
<file path=[Content_Types].xml><?xml version="1.0" encoding="utf-8"?>
<Types xmlns="http://schemas.openxmlformats.org/package/2006/content-types">
  <Default ContentType="application/vnd.openxmlformats-officedocument.spreadsheetml.printerSettings" Extension="bin"/>
  <Default ContentType="image/gif" Extension="gif"/>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alcChain+xml" PartName="/xl/calcChain.xml"/>
  <Override ContentType="application/vnd.openxmlformats-officedocument.drawingml.chart+xml" PartName="/xl/charts/chart1.xml"/>
  <Override ContentType="application/vnd.openxmlformats-officedocument.drawingml.chart+xml" PartName="/xl/charts/chart10.xml"/>
  <Override ContentType="application/vnd.openxmlformats-officedocument.drawingml.chart+xml" PartName="/xl/charts/chart11.xml"/>
  <Override ContentType="application/vnd.openxmlformats-officedocument.drawingml.chart+xml" PartName="/xl/charts/chart12.xml"/>
  <Override ContentType="application/vnd.openxmlformats-officedocument.drawingml.chart+xml" PartName="/xl/charts/chart13.xml"/>
  <Override ContentType="application/vnd.openxmlformats-officedocument.drawingml.chart+xml" PartName="/xl/charts/chart14.xml"/>
  <Override ContentType="application/vnd.openxmlformats-officedocument.drawingml.chart+xml" PartName="/xl/charts/chart15.xml"/>
  <Override ContentType="application/vnd.openxmlformats-officedocument.drawingml.chart+xml" PartName="/xl/charts/chart16.xml"/>
  <Override ContentType="application/vnd.openxmlformats-officedocument.drawingml.chart+xml" PartName="/xl/charts/chart17.xml"/>
  <Override ContentType="application/vnd.openxmlformats-officedocument.drawingml.chart+xml" PartName="/xl/charts/chart18.xml"/>
  <Override ContentType="application/vnd.openxmlformats-officedocument.drawingml.chart+xml" PartName="/xl/charts/chart2.xml"/>
  <Override ContentType="application/vnd.openxmlformats-officedocument.drawingml.chart+xml" PartName="/xl/charts/chart3.xml"/>
  <Override ContentType="application/vnd.openxmlformats-officedocument.drawingml.chart+xml" PartName="/xl/charts/chart4.xml"/>
  <Override ContentType="application/vnd.openxmlformats-officedocument.drawingml.chart+xml" PartName="/xl/charts/chart5.xml"/>
  <Override ContentType="application/vnd.openxmlformats-officedocument.drawingml.chart+xml" PartName="/xl/charts/chart6.xml"/>
  <Override ContentType="application/vnd.openxmlformats-officedocument.drawingml.chart+xml" PartName="/xl/charts/chart7.xml"/>
  <Override ContentType="application/vnd.openxmlformats-officedocument.drawingml.chart+xml" PartName="/xl/charts/chart8.xml"/>
  <Override ContentType="application/vnd.openxmlformats-officedocument.drawingml.chart+xml" PartName="/xl/charts/chart9.xml"/>
  <Override ContentType="application/vnd.openxmlformats-officedocument.spreadsheetml.comments+xml" PartName="/xl/comments1.xml"/>
  <Override ContentType="application/vnd.openxmlformats-officedocument.spreadsheetml.comments+xml" PartName="/xl/comments10.xml"/>
  <Override ContentType="application/vnd.openxmlformats-officedocument.spreadsheetml.comments+xml" PartName="/xl/comments1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mments+xml" PartName="/xl/comments7.xml"/>
  <Override ContentType="application/vnd.openxmlformats-officedocument.spreadsheetml.comments+xml" PartName="/xl/comments8.xml"/>
  <Override ContentType="application/vnd.openxmlformats-officedocument.spreadsheetml.comments+xml" PartName="/xl/comments9.xml"/>
  <Override ContentType="application/vnd.ms-excel.controlproperties+xml" PartName="/xl/ctrlProps/ctrlProp1.xml"/>
  <Override ContentType="application/vnd.ms-excel.controlproperties+xml" PartName="/xl/ctrlProps/ctrlProp2.xml"/>
  <Override ContentType="application/vnd.openxmlformats-officedocument.drawing+xml" PartName="/xl/drawings/drawing1.xml"/>
  <Override ContentType="application/vnd.openxmlformats-officedocument.drawing+xml" PartName="/xl/drawings/drawing10.xml"/>
  <Override ContentType="application/vnd.openxmlformats-officedocument.drawing+xml" PartName="/xl/drawings/drawing1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drawing+xml" PartName="/xl/drawings/drawing5.xml"/>
  <Override ContentType="application/vnd.openxmlformats-officedocument.drawing+xml" PartName="/xl/drawings/drawing6.xml"/>
  <Override ContentType="application/vnd.openxmlformats-officedocument.drawing+xml" PartName="/xl/drawings/drawing7.xml"/>
  <Override ContentType="application/vnd.openxmlformats-officedocument.drawing+xml" PartName="/xl/drawings/drawing8.xml"/>
  <Override ContentType="application/vnd.openxmlformats-officedocument.drawing+xml" PartName="/xl/drawings/drawing9.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spreadsheetml.externalLink+xml" PartName="/xl/externalLinks/externalLink4.xml"/>
  <Override ContentType="application/vnd.openxmlformats-officedocument.spreadsheetml.externalLink+xml" PartName="/xl/externalLinks/externalLink5.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45" yWindow="2100" windowWidth="15240" windowHeight="5025" tabRatio="895"/>
  </bookViews>
  <sheets>
    <sheet name="ImportantDisclosures" sheetId="82" r:id="rId1"/>
    <sheet name="SheetVisibilityStatus" sheetId="86" state="veryHidden" r:id="rId2"/>
    <sheet name="CircularReferenceAlert" sheetId="85" r:id="rId3"/>
    <sheet name="Cover" sheetId="15" state="veryHidden" r:id="rId4"/>
    <sheet name="Model" sheetId="1" state="veryHidden" r:id="rId5"/>
    <sheet name="Revenue" sheetId="56" state="veryHidden" r:id="rId6"/>
    <sheet name="Gross Margin" sheetId="59" state="veryHidden" r:id="rId7"/>
    <sheet name="PBM" sheetId="5" state="veryHidden" r:id="rId8"/>
    <sheet name="EM" sheetId="11" state="veryHidden" r:id="rId9"/>
    <sheet name="Specialty" sheetId="57" state="veryHidden" r:id="rId10"/>
    <sheet name="Debt" sheetId="7" state="veryHidden" r:id="rId11"/>
    <sheet name="Per claim analysis" sheetId="14" state="veryHidden" r:id="rId12"/>
    <sheet name="Scenarios" sheetId="33" state="veryHidden" r:id="rId13"/>
    <sheet name="Guidance" sheetId="66" state="veryHidden" r:id="rId14"/>
    <sheet name="IndexInformation" sheetId="83" state="veryHidden" r:id="rId15"/>
    <sheet name="ModPubIndex" sheetId="84" state="veryHidden" r:id="rId16"/>
    <sheet name="__FDSCACHE__" sheetId="53" state="veryHidden" r:id="rId17"/>
    <sheet name="MW-Cache" sheetId="38" state="veryHidden" r:id="rId18"/>
  </sheets>
  <externalReferences>
    <externalReference r:id="rId19"/>
    <externalReference r:id="rId20"/>
    <externalReference r:id="rId21"/>
    <externalReference r:id="rId22"/>
    <externalReference r:id="rId23"/>
  </externalReferences>
  <definedNames>
    <definedName name="__FDS_HYPERLINK_TOGGLE_STATE__" hidden="1">"ON"</definedName>
    <definedName name="__FDS_UNIQUE_RANGE_ID_GENERATOR_COUNTER" hidden="1">1</definedName>
    <definedName name="_bdm.05726CC0620E499981BF16FDA7BBC534.edm" localSheetId="4" hidden="1">Model!$B$137:$BR$176</definedName>
    <definedName name="_bdm.0852D3C7375F44E7BCE1BCF58C830372.edm" localSheetId="4" hidden="1">Model!$B$8:$BR$86</definedName>
    <definedName name="_bdm.0D79BC7FE3214F01833C8477FC12C53A.edm" hidden="1">'[1]MHS Charts'!$A:$IV</definedName>
    <definedName name="_bdm.0FC1A0FCB0584AA1BE80909E39C5230B.edm" hidden="1">'[2]MWA RR'!$A:$IV</definedName>
    <definedName name="_bdm.171A78B7052B425F857F0AD6749104FA.edm" localSheetId="4" hidden="1">Model!$B$7:$BM$86</definedName>
    <definedName name="_bdm.239987029E3843F6AB245328F3D8CF57.edm" localSheetId="4" hidden="1">Model!$B$93:$BM$176</definedName>
    <definedName name="_bdm.3150AC7077064A3D8F26BBBA3463A726.edm" localSheetId="4" hidden="1">Model!$B$93:$BM$135</definedName>
    <definedName name="_bdm.3DA434344C2245089A7FE34688919505.edm" localSheetId="4" hidden="1">Model!$B$137:$BM$176</definedName>
    <definedName name="_bdm.4CB494AD70474795869A5EE7A90F1C82.edm" localSheetId="4" hidden="1">Model!$B$93:$BR$135</definedName>
    <definedName name="_bdm.4F8ACB382B7A4F8290279A72C5593A6B.edm" localSheetId="5" hidden="1">Revenue!$1:$1048576</definedName>
    <definedName name="_bdm.5804712C8EBF48A28CE57CBDA71F0766.edm" localSheetId="6" hidden="1">'Gross Margin'!$B$7:$BR$63</definedName>
    <definedName name="_bdm.5C37656F733442D399F130A34E9D4090.edm" localSheetId="5" hidden="1">Revenue!$B$7:$BR$128</definedName>
    <definedName name="_bdm.6439806655544FB7A5412132621199D6.edm" localSheetId="4" hidden="1">Model!$B$8:$CB$86</definedName>
    <definedName name="_bdm.6D3CE8D82C194652AD07BF75EF557038.edm" localSheetId="6" hidden="1">'Gross Margin'!$B$7:$BM$63</definedName>
    <definedName name="_bdm.6FBADBEB97784087BE9C25F8E1B2365F.edm" localSheetId="5" hidden="1">Revenue!$B$7:$CB$128</definedName>
    <definedName name="_bdm.741898559CE042808C8E7AC7C30BD5BD.edm" localSheetId="6" hidden="1">'Gross Margin'!$B$8:$BM$63</definedName>
    <definedName name="_bdm.7BD2F8D535A5428CB8A0FDD4BB537895.edm" localSheetId="5" hidden="1">Revenue!$B$8:$BM$128</definedName>
    <definedName name="_bdm.916DD4BEC2CC4AE6B2F3960D9C7BC752.edm" localSheetId="4" hidden="1">Model!$B$8:$BM$86</definedName>
    <definedName name="_bdm.A8A53D350E8048D3B8A501027B7666F1.edm" hidden="1">'Per claim analysis'!$1:$1048576</definedName>
    <definedName name="_bdm.B595A446CCE346019CF9787612D59C75.edm" localSheetId="5" hidden="1">Revenue!$B$7:$BM$128</definedName>
    <definedName name="_bdm.B7F114610E2D46A4B7043F36B6982587.edm" localSheetId="11" hidden="1">'Per claim analysis'!$B$4:$BM$15</definedName>
    <definedName name="_bdm.BC4D0792A90A4846B7AB23659E2A0662.edm" localSheetId="4" hidden="1">Model!$B$7:$CB$86</definedName>
    <definedName name="_bdm.C573B210DD904D0FA0965E6E3E00F14C.edm" localSheetId="4" hidden="1">Model!$B$92:$BH$176</definedName>
    <definedName name="_bdm.C669031EEFFA485CBA89FAB65161395F.edm" hidden="1">[2]Variance!$A:$IV</definedName>
    <definedName name="_bdm.C6FCEE8D36A14BFD945493EDFC70DD8C.edm" hidden="1">Model!$1:$1048576</definedName>
    <definedName name="_bdm.CBC53F374616477E8442DD367481FDA9.edm" hidden="1">'[2]Per claim analysis'!$A:$IV</definedName>
    <definedName name="_bdm.D2DB327102C7432A92084FDA36A981B8.edm" hidden="1">'[1]ESRX Charts'!$A:$IV</definedName>
    <definedName name="_bdm.D5BC45BD1E0840FC8982B937F8F0418B.edm" localSheetId="4" hidden="1">Model!$B$5:$CB$47</definedName>
    <definedName name="_bdm.DF7C79F5B2C54173AADDDE12064734A3.edm" hidden="1">[2]Valuation!$A:$IV</definedName>
    <definedName name="_bdm.DFE56492250D4CC1BF0E949E55426164.edm" hidden="1">[2]Guidance!$A:$IV</definedName>
    <definedName name="_bdm.E68BE0109AB74778932E00155CFF645D.edm" localSheetId="4" hidden="1">Model!$B$5:$CB$86</definedName>
    <definedName name="_bdm.E88FE5B94D9741899B450C68B85657D6.edm" localSheetId="11" hidden="1">'Per claim analysis'!$B$4:$BR$15</definedName>
    <definedName name="_bdm.F71514C84EF2402C8E98EE5D13F14935.edm" hidden="1">[2]Model!$A:$IV</definedName>
    <definedName name="_bdm.F852A543A3304641B44180FC12F64432.edm" localSheetId="6" hidden="1">'Gross Margin'!$1:$1048576</definedName>
    <definedName name="_bdm.FFCAFB24186A4676988A21856AB3AD1A.edm" localSheetId="4" hidden="1">Model!$B$8:$BM$28</definedName>
    <definedName name="AdditionalInstructions">IndexInformation!$B$42</definedName>
    <definedName name="Address" localSheetId="0">ImportantDisclosures!$A$2:$A$2</definedName>
    <definedName name="ANA" localSheetId="15">ModPubIndex!$A$7</definedName>
    <definedName name="Authors" localSheetId="0">ImportantDisclosures!$A$7</definedName>
    <definedName name="Authors" localSheetId="14">IndexInformation!$B$18</definedName>
    <definedName name="BALANCE_SHEET">Model!$B$93</definedName>
    <definedName name="BRO" localSheetId="15">ModPubIndex!$A$1</definedName>
    <definedName name="bs_cfs_table">[3]Model!$B$76:$AG$180</definedName>
    <definedName name="Buttons" localSheetId="2">CircularReferenceAlert!$B$13:$B$15</definedName>
    <definedName name="cash" localSheetId="4">Model!$99:$99</definedName>
    <definedName name="CASH_FLOW_STATEMENT">Model!$B$137</definedName>
    <definedName name="Circularity">Scenarios!$B$74</definedName>
    <definedName name="COGS_PBM">PBM!$8:$8</definedName>
    <definedName name="CompanyName">[4]summary!$J$7</definedName>
    <definedName name="CompanyTicker">[4]summary!$J$8</definedName>
    <definedName name="CopyrightStamp">ImportantDisclosures!$A$29</definedName>
    <definedName name="COU" localSheetId="15">ModPubIndex!$A$5</definedName>
    <definedName name="CQEnd" localSheetId="14">IndexInformation!$B$31</definedName>
    <definedName name="cu102.ShareScalingFactor" hidden="1">1000000</definedName>
    <definedName name="cu103.EmployeeScalingFactor" hidden="1">1000</definedName>
    <definedName name="cu107.DPSSymbol" hidden="1">"US$"</definedName>
    <definedName name="cu107.EPSSymbol" hidden="1">"US$"</definedName>
    <definedName name="cu71.ScalingFactor" hidden="1">1000000</definedName>
    <definedName name="Currency" localSheetId="14">IndexInformation!$B$24</definedName>
    <definedName name="CurrentStockPrice" localSheetId="14">IndexInformation!$B$23</definedName>
    <definedName name="CurrQtrEPS" localSheetId="14">IndexInformation!$B$29</definedName>
    <definedName name="CurrYearEPS" localSheetId="14">IndexInformation!$B$11</definedName>
    <definedName name="CurrYearTotalRevenue" localSheetId="14">IndexInformation!$B$10</definedName>
    <definedName name="CurrYearTotalRevenueActual" localSheetId="14">IndexInformation!$B$32</definedName>
    <definedName name="CUSIP" localSheetId="14">IndexInformation!$B$20</definedName>
    <definedName name="CYEnd" localSheetId="14">IndexInformation!$B$30</definedName>
    <definedName name="Date" localSheetId="0">ImportantDisclosures!$A$8</definedName>
    <definedName name="DB">"WIRENYPROD"</definedName>
    <definedName name="Debt_Curr" localSheetId="4">Model!$115:$115</definedName>
    <definedName name="Debt_Long_Term" localSheetId="4">Model!$118:$118</definedName>
    <definedName name="Deleted" localSheetId="14">IndexInformation!$B$27</definedName>
    <definedName name="Description" localSheetId="14">IndexInformation!$B$7</definedName>
    <definedName name="dil_shrs_out" localSheetId="4">Model!$50:$50</definedName>
    <definedName name="Discipline" localSheetId="14">IndexInformation!$B$3</definedName>
    <definedName name="DISCIPLINE" localSheetId="15">ModPubIndex!$A$12</definedName>
    <definedName name="DisclosuresText">ImportantDisclosures!$A$24</definedName>
    <definedName name="Distribution" localSheetId="14">IndexInformation!$B$26</definedName>
    <definedName name="DistTable" localSheetId="0">ImportantDisclosures!#REF!</definedName>
    <definedName name="DistTablePreamble" localSheetId="0">ImportantDisclosures!#REF!</definedName>
    <definedName name="DOCDAT" localSheetId="15">ModPubIndex!$A$2</definedName>
    <definedName name="DOCTIME" localSheetId="15">ModPubIndex!$A$3</definedName>
    <definedName name="DocType" localSheetId="14">IndexInformation!$B$5</definedName>
    <definedName name="DtLastUpdt">[4]summary!$J$14</definedName>
    <definedName name="EMAIL_ALERT" localSheetId="15">ModPubIndex!$A$10</definedName>
    <definedName name="EmailAlert" localSheetId="14">IndexInformation!$B$28</definedName>
    <definedName name="FiveYearGrowthRate" localSheetId="14">IndexInformation!$B$16</definedName>
    <definedName name="FollowingYearEPS" localSheetId="14">IndexInformation!$B$15</definedName>
    <definedName name="FollowingYearTotalRevenue" localSheetId="14">IndexInformation!$B$14</definedName>
    <definedName name="FollowingYearTotalRevenueActual" localSheetId="14">IndexInformation!$B$34</definedName>
    <definedName name="FR_CODE_COPY_LINK">" "</definedName>
    <definedName name="FR_CODE_DOWNLOAD_START">" "</definedName>
    <definedName name="FR_CODE_STOCK_LINK">" "</definedName>
    <definedName name="FR_COM_ABBR">" "</definedName>
    <definedName name="FR_COM_ABBR_LINK">" "</definedName>
    <definedName name="FR_COM_AGG">0</definedName>
    <definedName name="FR_COM_NAME_LINK">" "</definedName>
    <definedName name="FR_COU_ABBR">" "</definedName>
    <definedName name="FR_COU_ABBR_LINK">" "</definedName>
    <definedName name="FR_COU_NAME_LINK">" "</definedName>
    <definedName name="FR_DATABOX_DOWNLOAD">"N"</definedName>
    <definedName name="FR_DISP_HIDDEN">FALSE</definedName>
    <definedName name="FR_END_DATE">"'"</definedName>
    <definedName name="FR_LINKS_OVERRUN">TRUE</definedName>
    <definedName name="FR_LOG_END_DATE">"'"</definedName>
    <definedName name="FR_LOG_START_DATE">"'"</definedName>
    <definedName name="FR_REPORT_TYPE">""</definedName>
    <definedName name="FR_RPT_AREA_LINK">" "</definedName>
    <definedName name="FR_RPT_FOOTER_LINK">" "</definedName>
    <definedName name="FR_RPT_HEADER_LINK">" "</definedName>
    <definedName name="FR_RPT_LINE_SPACING">1</definedName>
    <definedName name="FR_RPT_PAGE_BREAK">0</definedName>
    <definedName name="FR_SHOW_LINK_MARKER">TRUE</definedName>
    <definedName name="FR_START_DATE">"'"</definedName>
    <definedName name="FR_USE_BILLIONS">FALSE</definedName>
    <definedName name="FR_USE_DIMFAC">TRUE</definedName>
    <definedName name="FR_USE_LOCAL_CCY">TRUE</definedName>
    <definedName name="FR_WORKBOOK">"H:\EDGE\Biotech\ABI.xls"</definedName>
    <definedName name="HL" localSheetId="15">ModPubIndex!$A$8</definedName>
    <definedName name="inc_sta_table">[3]Model!$D$4:$AG$72</definedName>
    <definedName name="INCOME_STATEMENT">Model!$B$8</definedName>
    <definedName name="IND" localSheetId="15">ModPubIndex!$A$9</definedName>
    <definedName name="Industry" localSheetId="0">ImportantDisclosures!$A$12</definedName>
    <definedName name="IndustryId">IndexInformation!$B$40</definedName>
    <definedName name="IndustryRating" localSheetId="0">ImportantDisclosures!$A$13</definedName>
    <definedName name="Inv">[2]Model!$A$82:$IV$82</definedName>
    <definedName name="Inv_turns" localSheetId="4">Model!$131:$131</definedName>
    <definedName name="IQ_ACCOUNT_CHANGE" hidden="1">"c1449"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GROWTH" hidden="1">"c1924"</definedName>
    <definedName name="IQ_ACCT_RECV_1YR_ANN_GROWTH" hidden="1">"c1919"</definedName>
    <definedName name="IQ_ACCT_RECV_2YR_ANN_GROWTH" hidden="1">"c1920"</definedName>
    <definedName name="IQ_ACCT_RECV_3YR_ANN_GROWTH" hidden="1">"c1921"</definedName>
    <definedName name="IQ_ACCT_RECV_5YR_ANN_GROWTH" hidden="1">"c1922"</definedName>
    <definedName name="IQ_ACCT_RECV_7YR_ANN_GROWTH" hidden="1">"c1923"</definedName>
    <definedName name="IQ_ACCUM_DEP" hidden="1">"c1340"</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SITION_RE_ASSETS" hidden="1">"c1628"</definedName>
    <definedName name="IQ_AD" hidden="1">"c7"</definedName>
    <definedName name="IQ_ADD_PAID_IN" hidden="1">"c1344"</definedName>
    <definedName name="IQ_ADDIN" hidden="1">"AUTO"</definedName>
    <definedName name="IQ_ADJ_AVG_BANK_ASSETS" hidden="1">"c2671"</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IT" hidden="1">"c13"</definedName>
    <definedName name="IQ_AE_UTI" hidden="1">"c14"</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GROWTH" hidden="1">"c18"</definedName>
    <definedName name="IQ_ALLOWANCE_1YR_ANN_GROWTH" hidden="1">"c19"</definedName>
    <definedName name="IQ_ALLOWANCE_2YR_ANN_GROWTH" hidden="1">"c20"</definedName>
    <definedName name="IQ_ALLOWANCE_3YR_ANN_GROWTH" hidden="1">"c21"</definedName>
    <definedName name="IQ_ALLOWANCE_5YR_ANN_GROWTH" hidden="1">"c22"</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ORTIZATION" hidden="1">"c1591"</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IT" hidden="1">"c43"</definedName>
    <definedName name="IQ_AR_TURNS" hidden="1">"c44"</definedName>
    <definedName name="IQ_AR_UTI" hidden="1">"c45"</definedName>
    <definedName name="IQ_ARPU" hidden="1">"c2126"</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OPER_LEASE_DEPR" hidden="1">"c2070"</definedName>
    <definedName name="IQ_ASSETS_OPER_LEASE_GROSS" hidden="1">"c2071"</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G_BANK_ASSETS" hidden="1">"c2072"</definedName>
    <definedName name="IQ_AVG_BANK_LOANS" hidden="1">"c2073"</definedName>
    <definedName name="IQ_AVG_BROKER_REC" hidden="1">"c63"</definedName>
    <definedName name="IQ_AVG_BROKER_REC_NO" hidden="1">"c64"</definedName>
    <definedName name="IQ_AVG_BROKER_REC_NO_REUT" hidden="1">"c5315"</definedName>
    <definedName name="IQ_AVG_BROKER_REC_REUT" hidden="1">"c3630"</definedName>
    <definedName name="IQ_AVG_DAILY_VOL" hidden="1">"c65"</definedName>
    <definedName name="IQ_AVG_INDUSTRY_REC" hidden="1">"c4455"</definedName>
    <definedName name="IQ_AVG_INT_BEAR_LIAB" hidden="1">"c66"</definedName>
    <definedName name="IQ_AVG_INT_BEAR_LIAB_10YR_ANN_GROWTH" hidden="1">"c67"</definedName>
    <definedName name="IQ_AVG_INT_BEAR_LIAB_1YR_ANN_GROWTH" hidden="1">"c68"</definedName>
    <definedName name="IQ_AVG_INT_BEAR_LIAB_2YR_ANN_GROWTH" hidden="1">"c69"</definedName>
    <definedName name="IQ_AVG_INT_BEAR_LIAB_3YR_ANN_GROWTH" hidden="1">"c70"</definedName>
    <definedName name="IQ_AVG_INT_BEAR_LIAB_5YR_ANN_GROWTH" hidden="1">"c71"</definedName>
    <definedName name="IQ_AVG_INT_BEAR_LIAB_7YR_ANN_GROWTH" hidden="1">"c72"</definedName>
    <definedName name="IQ_AVG_INT_EARN_ASSETS" hidden="1">"c73"</definedName>
    <definedName name="IQ_AVG_INT_EARN_ASSETS_10YR_ANN_GROWTH" hidden="1">"c74"</definedName>
    <definedName name="IQ_AVG_INT_EARN_ASSETS_1YR_ANN_GROWTH" hidden="1">"c75"</definedName>
    <definedName name="IQ_AVG_INT_EARN_ASSETS_2YR_ANN_GROWTH" hidden="1">"c76"</definedName>
    <definedName name="IQ_AVG_INT_EARN_ASSETS_3YR_ANN_GROWTH" hidden="1">"c77"</definedName>
    <definedName name="IQ_AVG_INT_EARN_ASSETS_5YR_ANN_GROWTH" hidden="1">"c78"</definedName>
    <definedName name="IQ_AVG_INT_EARN_ASSETS_7YR_ANN_GROWTH" hidden="1">"c79"</definedName>
    <definedName name="IQ_AVG_MKTCAP" hidden="1">"c80"</definedName>
    <definedName name="IQ_AVG_PRICE" hidden="1">"c81"</definedName>
    <definedName name="IQ_AVG_SHAREOUTSTANDING" hidden="1">"c83"</definedName>
    <definedName name="IQ_AVG_TEV" hidden="1">"c84"</definedName>
    <definedName name="IQ_AVG_VOLUME" hidden="1">"c1346"</definedName>
    <definedName name="IQ_BANK_DEBT" hidden="1">"c2544"</definedName>
    <definedName name="IQ_BANK_DEBT_PCT" hidden="1">"c2545"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ROK_COMISSION" hidden="1">"c98"</definedName>
    <definedName name="IQ_BROK_COMMISSION" hidden="1">"c3514"</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REV" hidden="1">"c4068"</definedName>
    <definedName name="IQ_BUS_SEG_REV_ABS" hidden="1">"c4090"</definedName>
    <definedName name="IQ_BUS_SEG_REV_TOTAL" hidden="1">"c4106"</definedName>
    <definedName name="IQ_BUSINESS_DESCRIPTION" hidden="1">"c322"</definedName>
    <definedName name="IQ_BV_OVER_SHARES" hidden="1">"c1349"</definedName>
    <definedName name="IQ_BV_SHARE" hidden="1">"c100"</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Y" hidden="1">"c102"</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GROWTH" hidden="1">"c104"</definedName>
    <definedName name="IQ_CAPEX_1YR_ANN_GROWTH" hidden="1">"c105"</definedName>
    <definedName name="IQ_CAPEX_2YR_ANN_GROWTH" hidden="1">"c106"</definedName>
    <definedName name="IQ_CAPEX_3YR_ANN_GROWTH" hidden="1">"c107"</definedName>
    <definedName name="IQ_CAPEX_5YR_ANN_GROWTH" hidden="1">"c108"</definedName>
    <definedName name="IQ_CAPEX_7YR_ANN_GROWTH" hidden="1">"c109"</definedName>
    <definedName name="IQ_CAPEX_BNK" hidden="1">"c110"</definedName>
    <definedName name="IQ_CAPEX_BR" hidden="1">"c111"</definedName>
    <definedName name="IQ_CAPEX_FIN" hidden="1">"c112"</definedName>
    <definedName name="IQ_CAPEX_INS" hidden="1">"c113"</definedName>
    <definedName name="IQ_CAPEX_UTI" hidden="1">"c114"</definedName>
    <definedName name="IQ_CAPITAL_LEASE" hidden="1">"c1350"</definedName>
    <definedName name="IQ_CAPITAL_LEASES" hidden="1">"c115"</definedName>
    <definedName name="IQ_CAPITAL_LEASES_TOTAL" hidden="1">"c3031"</definedName>
    <definedName name="IQ_CAPITAL_LEASES_TOTAL_PCT" hidden="1">"c2506"</definedName>
    <definedName name="IQ_CAPITALIZED_INTEREST" hidden="1">"c3460"</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"c1458"</definedName>
    <definedName name="IQ_CASH_ACQUIRE_CF" hidden="1">"c116"</definedName>
    <definedName name="IQ_CASH_CONVERSION" hidden="1">"c117"</definedName>
    <definedName name="IQ_CASH_DUE_BANKS" hidden="1">"c1351"</definedName>
    <definedName name="IQ_CASH_EQUIV" hidden="1">"c118"</definedName>
    <definedName name="IQ_CASH_FINAN" hidden="1">"c119"</definedName>
    <definedName name="IQ_CASH_FLOW_ACT_OR_EST" hidden="1">"c4154"</definedName>
    <definedName name="IQ_CASH_INTEREST" hidden="1">"c120"</definedName>
    <definedName name="IQ_CASH_INVEST" hidden="1">"c121"</definedName>
    <definedName name="IQ_CASH_OPER" hidden="1">"c122"</definedName>
    <definedName name="IQ_CASH_OPER_ACT_OR_EST" hidden="1">"c4164"</definedName>
    <definedName name="IQ_CASH_SEGREG" hidden="1">"c123"</definedName>
    <definedName name="IQ_CASH_SHARE" hidden="1">"c1911"</definedName>
    <definedName name="IQ_CASH_ST" hidden="1">"c1355"</definedName>
    <definedName name="IQ_CASH_ST_INVEST" hidden="1">"c124"</definedName>
    <definedName name="IQ_CASH_TAXES" hidden="1">"c125"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GROWTH" hidden="1">"c126"</definedName>
    <definedName name="IQ_CFO_1YR_ANN_GROWTH" hidden="1">"c127"</definedName>
    <definedName name="IQ_CFO_2YR_ANN_GROWTH" hidden="1">"c128"</definedName>
    <definedName name="IQ_CFO_3YR_ANN_GROWTH" hidden="1">"c129"</definedName>
    <definedName name="IQ_CFO_5YR_ANN_GROWTH" hidden="1">"c130"</definedName>
    <definedName name="IQ_CFO_7YR_ANN_GROWTH" hidden="1">"c131"</definedName>
    <definedName name="IQ_CFO_CURRENT_LIAB" hidden="1">"c132"</definedName>
    <definedName name="IQ_CH" hidden="1">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GROSS" hidden="1">"c162"</definedName>
    <definedName name="IQ_CHARGE_OFFS_NET" hidden="1">"c163"</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ED" hidden="1">"c2681"</definedName>
    <definedName name="IQ_CLASSA_OPTIONS_GRANTED" hidden="1">"c2680"</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OGS" hidden="1">"c175"</definedName>
    <definedName name="IQ_COMBINED_RATIO" hidden="1">"c176"</definedName>
    <definedName name="IQ_COMMERCIAL_DOM" hidden="1">"c177"</definedName>
    <definedName name="IQ_COMMERCIAL_FIRE_WRITTEN" hidden="1">"c178"</definedName>
    <definedName name="IQ_COMMERCIAL_MORT" hidden="1">"c179"</definedName>
    <definedName name="IQ_COMMISS_FEES" hidden="1">"c180"</definedName>
    <definedName name="IQ_COMMISSION_DEF" hidden="1">"c181"</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GROWTH" hidden="1">"c191"</definedName>
    <definedName name="IQ_COMMON_EQUITY_1YR_ANN_GROWTH" hidden="1">"c192"</definedName>
    <definedName name="IQ_COMMON_EQUITY_2YR_ANN_GROWTH" hidden="1">"c193"</definedName>
    <definedName name="IQ_COMMON_EQUITY_3YR_ANN_GROWTH" hidden="1">"c194"</definedName>
    <definedName name="IQ_COMMON_EQUITY_5YR_ANN_GROWTH" hidden="1">"c195"</definedName>
    <definedName name="IQ_COMMON_EQUITY_7YR_ANN_GROWTH" hidden="1">"c196"</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LOANS" hidden="1">"c222"</definedName>
    <definedName name="IQ_CONSUMER_LOANS" hidden="1">"c223"</definedName>
    <definedName name="IQ_CONV_DATE" hidden="1">"c2191"</definedName>
    <definedName name="IQ_CONV_EXP_DATE" hidden="1">"c3043"</definedName>
    <definedName name="IQ_CONV_PREMIUM" hidden="1">"c2195"</definedName>
    <definedName name="IQ_CONV_PRICE" hidden="1">"c2193"</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ST_BORROWING" hidden="1">"c2936"</definedName>
    <definedName name="IQ_COST_BORROWINGS" hidden="1">"c225"</definedName>
    <definedName name="IQ_COST_REV" hidden="1">"c226"</definedName>
    <definedName name="IQ_COST_REVENUE" hidden="1">"c1359"</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FEE_BNK" hidden="1">"c231"</definedName>
    <definedName name="IQ_CREDIT_CARD_FEE_FIN" hidden="1">"c1583"</definedName>
    <definedName name="IQ_CREDIT_LOSS_CF" hidden="1">"c232"</definedName>
    <definedName name="IQ_CUMULATIVE_SPLIT_FACTOR" hidden="1">"c2094"</definedName>
    <definedName name="IQ_CURR_DOMESTIC_TAXES" hidden="1">"c2074"</definedName>
    <definedName name="IQ_CURR_FOREIGN_TAXES" hidden="1">"c2075"</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IT" hidden="1">"c1570"</definedName>
    <definedName name="IQ_CURRENT_PORT_DEBT_UTI" hidden="1">"c1571"</definedName>
    <definedName name="IQ_CURRENT_PORT_LEASES" hidden="1">"c245"</definedName>
    <definedName name="IQ_CURRENT_PORT_PCT" hidden="1">"c2541"</definedName>
    <definedName name="IQ_CURRENT_RATIO" hidden="1">"c246"</definedName>
    <definedName name="IQ_CUSIP" hidden="1">"c2245"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IT" hidden="1">"c266"</definedName>
    <definedName name="IQ_DA_SUPPL_CF_UTI" hidden="1">"c267"</definedName>
    <definedName name="IQ_DA_SUPPL_FIN" hidden="1">"c268"</definedName>
    <definedName name="IQ_DA_SUPPL_INS" hidden="1">"c269"</definedName>
    <definedName name="IQ_DA_SUPPL_REIT" hidden="1">"c270"</definedName>
    <definedName name="IQ_DA_SUPPL_UTI" hidden="1">"c271"</definedName>
    <definedName name="IQ_DA_UTI" hidden="1">"c272"</definedName>
    <definedName name="IQ_DAILY" hidden="1">500000</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IT" hidden="1">"c297"</definedName>
    <definedName name="IQ_DEF_CHARGES_LT_UTI" hidden="1">"c298"</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POSITS_FIN" hidden="1">"c321"</definedName>
    <definedName name="IQ_DEPOSITS_INTEREST_SECURITIES" hidden="1">"c5509"</definedName>
    <definedName name="IQ_DEPRE_AMORT" hidden="1">"c1360"</definedName>
    <definedName name="IQ_DEPRE_AMORT_SUPPL" hidden="1">"c1593"</definedName>
    <definedName name="IQ_DEPRE_DEPLE" hidden="1">"c1361"</definedName>
    <definedName name="IQ_DEPRE_SUPP" hidden="1">"c1443"</definedName>
    <definedName name="IQ_DESCRIPTION_LONG" hidden="1">"c1520"</definedName>
    <definedName name="IQ_DEVELOP_LAND" hidden="1">"c323"</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"c1367"</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ACT_OR_EST" hidden="1">"c4278"</definedName>
    <definedName name="IQ_DISTRIBUTABLE_CASH_PAYOUT" hidden="1">"c3005"</definedName>
    <definedName name="IQ_DISTRIBUTABLE_CASH_SHARE" hidden="1">"c3003"</definedName>
    <definedName name="IQ_DISTRIBUTABLE_CASH_SHARE_ACT_OR_EST" hidden="1">"c4286"</definedName>
    <definedName name="IQ_DIV_AMOUNT" hidden="1">"c3041"</definedName>
    <definedName name="IQ_DIV_PAYMENT_DATE" hidden="1">"c2205"</definedName>
    <definedName name="IQ_DIV_RECORD_DATE" hidden="1">"c2204"</definedName>
    <definedName name="IQ_DIV_SHARE" hidden="1">"c330"</definedName>
    <definedName name="IQ_DIVEST_CF" hidden="1">"c331"</definedName>
    <definedName name="IQ_DIVID_SHARE" hidden="1">"c1366"</definedName>
    <definedName name="IQ_DIVIDEND_YIELD" hidden="1">"c332"</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GROWTH" hidden="1">"c337"</definedName>
    <definedName name="IQ_DPS_1YR_ANN_GROWTH" hidden="1">"c338"</definedName>
    <definedName name="IQ_DPS_2YR_ANN_GROWTH" hidden="1">"c339"</definedName>
    <definedName name="IQ_DPS_3YR_ANN_GROWTH" hidden="1">"c340"</definedName>
    <definedName name="IQ_DPS_5YR_ANN_GROWTH" hidden="1">"c341"</definedName>
    <definedName name="IQ_DPS_7YR_ANN_GROWTH" hidden="1">"c342"</definedName>
    <definedName name="IQ_DURATION" hidden="1">"c2181"</definedName>
    <definedName name="IQ_EARNING_ASSET_YIELD" hidden="1">"c343"</definedName>
    <definedName name="IQ_EARNING_CO" hidden="1">"c344"</definedName>
    <definedName name="IQ_EARNING_CO_10YR_ANN_GROWTH" hidden="1">"c345"</definedName>
    <definedName name="IQ_EARNING_CO_1YR_ANN_GROWTH" hidden="1">"c346"</definedName>
    <definedName name="IQ_EARNING_CO_2YR_ANN_GROWTH" hidden="1">"c347"</definedName>
    <definedName name="IQ_EARNING_CO_3YR_ANN_GROWTH" hidden="1">"c348"</definedName>
    <definedName name="IQ_EARNING_CO_5YR_ANN_GROWTH" hidden="1">"c349"</definedName>
    <definedName name="IQ_EARNING_CO_7YR_ANN_GROWTH" hidden="1">"c350"</definedName>
    <definedName name="IQ_EARNING_CO_MARGIN" hidden="1">"c351"</definedName>
    <definedName name="IQ_EARNINGS_ANNOUNCE_DATE" hidden="1">"c1649"</definedName>
    <definedName name="IQ_EARNINGS_ANNOUNCE_DATE_REUT" hidden="1">"c5314"</definedName>
    <definedName name="IQ_EBIT" hidden="1">"c352"</definedName>
    <definedName name="IQ_EBIT_10YR_ANN_GROWTH" hidden="1">"c353"</definedName>
    <definedName name="IQ_EBIT_1YR_ANN_GROWTH" hidden="1">"c354"</definedName>
    <definedName name="IQ_EBIT_2YR_ANN_GROWTH" hidden="1">"c355"</definedName>
    <definedName name="IQ_EBIT_3YR_ANN_GROWTH" hidden="1">"c356"</definedName>
    <definedName name="IQ_EBIT_5YR_ANN_GROWTH" hidden="1">"c357"</definedName>
    <definedName name="IQ_EBIT_7YR_ANN_GROWTH" hidden="1">"c358"</definedName>
    <definedName name="IQ_EBIT_EQ_INC" hidden="1">"c3498"</definedName>
    <definedName name="IQ_EBIT_EQ_INC_EXCL_SBC" hidden="1">"c3502"</definedName>
    <definedName name="IQ_EBIT_EXCL_SBC" hidden="1">"c3082"</definedName>
    <definedName name="IQ_EBIT_GW_ACT_OR_EST" hidden="1">"c4306"</definedName>
    <definedName name="IQ_EBIT_INT" hidden="1">"c360"</definedName>
    <definedName name="IQ_EBIT_MARGIN" hidden="1">"c359"</definedName>
    <definedName name="IQ_EBIT_OVER_IE" hidden="1">"c1369"</definedName>
    <definedName name="IQ_EBIT_SBC_ACT_OR_EST" hidden="1">"c4316"</definedName>
    <definedName name="IQ_EBIT_SBC_GW_ACT_OR_EST" hidden="1">"c4320"</definedName>
    <definedName name="IQ_EBITA" hidden="1">"c1910"</definedName>
    <definedName name="IQ_EBITA_10YR_ANN_GROWTH" hidden="1">"c1954"</definedName>
    <definedName name="IQ_EBITA_1YR_ANN_GROWTH" hidden="1">"c1949"</definedName>
    <definedName name="IQ_EBITA_2YR_ANN_GROWTH" hidden="1">"c1950"</definedName>
    <definedName name="IQ_EBITA_3YR_ANN_GROWTH" hidden="1">"c1951"</definedName>
    <definedName name="IQ_EBITA_5YR_ANN_GROWTH" hidden="1">"c1952"</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YR_ANN_GROWTH" hidden="1">"c362"</definedName>
    <definedName name="IQ_EBITDA_1YR_ANN_GROWTH" hidden="1">"c363"</definedName>
    <definedName name="IQ_EBITDA_2YR_ANN_GROWTH" hidden="1">"c364"</definedName>
    <definedName name="IQ_EBITDA_3YR_ANN_GROWTH" hidden="1">"c365"</definedName>
    <definedName name="IQ_EBITDA_5YR_ANN_GROWTH" hidden="1">"c366"</definedName>
    <definedName name="IQ_EBITDA_7YR_ANN_GROWTH" hidden="1">"c367"</definedName>
    <definedName name="IQ_EBITDA_CAPEX_INT" hidden="1">"c368"</definedName>
    <definedName name="IQ_EBITDA_CAPEX_OVER_TOTAL_IE" hidden="1">"c1370"</definedName>
    <definedName name="IQ_EBITDA_EQ_INC" hidden="1">"c3496"</definedName>
    <definedName name="IQ_EBITDA_EQ_INC_EXCL_SBC" hidden="1">"c3500"</definedName>
    <definedName name="IQ_EBITDA_EST" hidden="1">"c369"</definedName>
    <definedName name="IQ_EBITDA_EST_REUT" hidden="1">"c3640"</definedName>
    <definedName name="IQ_EBITDA_EXCL_SBC" hidden="1">"c3081"</definedName>
    <definedName name="IQ_EBITDA_HIGH_EST" hidden="1">"c370"</definedName>
    <definedName name="IQ_EBITDA_HIGH_EST_REUT" hidden="1">"c3642"</definedName>
    <definedName name="IQ_EBITDA_INT" hidden="1">"c373"</definedName>
    <definedName name="IQ_EBITDA_LOW_EST" hidden="1">"c371"</definedName>
    <definedName name="IQ_EBITDA_LOW_EST_REUT" hidden="1">"c3643"</definedName>
    <definedName name="IQ_EBITDA_MARGIN" hidden="1">"c372"</definedName>
    <definedName name="IQ_EBITDA_MEDIAN_EST" hidden="1">"c1663"</definedName>
    <definedName name="IQ_EBITDA_MEDIAN_EST_REUT" hidden="1">"c3641"</definedName>
    <definedName name="IQ_EBITDA_NUM_EST" hidden="1">"c374"</definedName>
    <definedName name="IQ_EBITDA_NUM_EST_REUT" hidden="1">"c3644"</definedName>
    <definedName name="IQ_EBITDA_OVER_TOTAL_IE" hidden="1">"c1371"</definedName>
    <definedName name="IQ_EBITDA_SBC_ACT_OR_EST" hidden="1">"c4337"</definedName>
    <definedName name="IQ_EBITDA_STDDEV_EST" hidden="1">"c375"</definedName>
    <definedName name="IQ_EBITDA_STDDEV_EST_REUT" hidden="1">"c3645"</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IT" hidden="1">"c389"</definedName>
    <definedName name="IQ_EBT_SBC_ACT_OR_EST" hidden="1">"c4350"</definedName>
    <definedName name="IQ_EBT_SBC_GW_ACT_OR_EST" hidden="1">"c4354"</definedName>
    <definedName name="IQ_EBT_UTI" hidden="1">"c390"</definedName>
    <definedName name="IQ_EFFECT_SPECIAL_CHARGE" hidden="1">"c1595"</definedName>
    <definedName name="IQ_EFFECT_TAX_RATE" hidden="1">"c1899"</definedName>
    <definedName name="IQ_EFFICIENCY_RATIO" hidden="1">"c391"</definedName>
    <definedName name="IQ_EMPLOYEES" hidden="1">"c392"</definedName>
    <definedName name="IQ_ENTERPRISE_VALUE" hidden="1">"c1348"</definedName>
    <definedName name="IQ_EPS_10YR_ANN_GROWTH" hidden="1">"c393"</definedName>
    <definedName name="IQ_EPS_1YR_ANN_GROWTH" hidden="1">"c394"</definedName>
    <definedName name="IQ_EPS_2YR_ANN_GROWTH" hidden="1">"c395"</definedName>
    <definedName name="IQ_EPS_3YR_ANN_GROWTH" hidden="1">"c396"</definedName>
    <definedName name="IQ_EPS_5YR_ANN_GROWTH" hidden="1">"c397"</definedName>
    <definedName name="IQ_EPS_7YR_ANN_GROWTH" hidden="1">"c398"</definedName>
    <definedName name="IQ_EPS_EST" hidden="1">"c399"</definedName>
    <definedName name="IQ_EPS_EST_REUT" hidden="1">"c5453"</definedName>
    <definedName name="IQ_EPS_HIGH_EST" hidden="1">"c400"</definedName>
    <definedName name="IQ_EPS_HIGH_EST_REUT" hidden="1">"c5454"</definedName>
    <definedName name="IQ_EPS_LOW_EST" hidden="1">"c401"</definedName>
    <definedName name="IQ_EPS_LOW_EST_REUT" hidden="1">"c5455"</definedName>
    <definedName name="IQ_EPS_MEDIAN_EST" hidden="1">"c1661"</definedName>
    <definedName name="IQ_EPS_MEDIAN_EST_REUT" hidden="1">"c5456"</definedName>
    <definedName name="IQ_EPS_NORM" hidden="1">"c1902"</definedName>
    <definedName name="IQ_EPS_NUM_EST" hidden="1">"c402"</definedName>
    <definedName name="IQ_EPS_NUM_EST_REUT" hidden="1">"c5451"</definedName>
    <definedName name="IQ_EPS_SBC_ACT_OR_EST" hidden="1">"c4376"</definedName>
    <definedName name="IQ_EPS_SBC_GW_ACT_OR_EST" hidden="1">"c4380"</definedName>
    <definedName name="IQ_EPS_STDDEV_EST" hidden="1">"c403"</definedName>
    <definedName name="IQ_EPS_STDDEV_EST_REUT" hidden="1">"c5452"</definedName>
    <definedName name="IQ_EQUITY_AFFIL" hidden="1">"c1451"</definedName>
    <definedName name="IQ_EQUITY_METHOD" hidden="1">"c404"</definedName>
    <definedName name="IQ_EQV_OVER_BV" hidden="1">"c1596"</definedName>
    <definedName name="IQ_EQV_OVER_LTM_PRETAX_INC" hidden="1">"c1390"</definedName>
    <definedName name="IQ_ESOP_DEBT" hidden="1">"c1597"</definedName>
    <definedName name="IQ_EST_CURRENCY" hidden="1">"c2140"</definedName>
    <definedName name="IQ_EST_CURRENCY_REUT" hidden="1">"c5437"</definedName>
    <definedName name="IQ_EST_DATE" hidden="1">"c1634"</definedName>
    <definedName name="IQ_EST_DATE_REUT" hidden="1">"c5438"</definedName>
    <definedName name="IQ_EST_EPS_GROWTH_1YR" hidden="1">"c1636"</definedName>
    <definedName name="IQ_EST_EPS_GROWTH_1YR_REUT" hidden="1">"c3646"</definedName>
    <definedName name="IQ_EST_EPS_GROWTH_5YR" hidden="1">"c1655"</definedName>
    <definedName name="IQ_EST_EPS_GROWTH_5YR_REUT" hidden="1">"c3633"</definedName>
    <definedName name="IQ_EST_EPS_GROWTH_Q_1YR" hidden="1">"c1641"</definedName>
    <definedName name="IQ_EST_EPS_GROWTH_Q_1YR_REUT" hidden="1">"c5410"</definedName>
    <definedName name="IQ_EST_VENDOR" hidden="1">"c5564"</definedName>
    <definedName name="IQ_EV_OVER_EMPLOYEE" hidden="1">"c1428"</definedName>
    <definedName name="IQ_EV_OVER_LTM_EBIT" hidden="1">"c1426"</definedName>
    <definedName name="IQ_EV_OVER_LTM_EBITDA" hidden="1">"c1427"</definedName>
    <definedName name="IQ_EV_OVER_LTM_REVENUE" hidden="1">"c1429"</definedName>
    <definedName name="IQ_EVAL_DATE" hidden="1">"c2180"</definedName>
    <definedName name="IQ_EXCHANGE" hidden="1">"c405"</definedName>
    <definedName name="IQ_EXCISE_TAXES_EXCL_SALES" hidden="1">"c5515"</definedName>
    <definedName name="IQ_EXCISE_TAXES_INCL_SALES" hidden="1">"c5514"</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ENSE_CODE_">"019802400"</definedName>
    <definedName name="IQ_EXPLORE_DRILL" hidden="1">"c409"</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IT" hidden="1">"c415"</definedName>
    <definedName name="IQ_EXTRA_ACC_ITEMS_UTI" hidden="1">"c416"</definedName>
    <definedName name="IQ_EXTRA_ITEMS" hidden="1">"c1459"</definedName>
    <definedName name="IQ_FDIC" hidden="1">"c417"</definedName>
    <definedName name="IQ_FEDFUNDS_SOLD" hidden="1">"c2256"</definedName>
    <definedName name="IQ_FFO" hidden="1">"c1574"</definedName>
    <definedName name="IQ_FFO_ADJ_ACT_OR_EST" hidden="1">"c4435"</definedName>
    <definedName name="IQ_FFO_PAYOUT_RATIO" hidden="1">"c3492"</definedName>
    <definedName name="IQ_FFO_SHARE_ACT_OR_EST" hidden="1">"c4446"</definedName>
    <definedName name="IQ_FH" hidden="1">100000</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IV_ASSETS_CURRENT" hidden="1">"c427"</definedName>
    <definedName name="IQ_FIN_DIV_ASSETS_LT" hidden="1">"c428"</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NOTES_PAY_TOTAL" hidden="1">"c5522"</definedName>
    <definedName name="IQ_FIN_DIV_REV" hidden="1">"c437"</definedName>
    <definedName name="IQ_FIN_DIV_ST_DEBT_TOTAL" hidden="1">"c5527"</definedName>
    <definedName name="IQ_FINANCING_CASH" hidden="1">"c1405"</definedName>
    <definedName name="IQ_FINANCING_CASH_SUPPL" hidden="1">"c1406"</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Y" hidden="1">"c441"</definedName>
    <definedName name="IQ_FIVE_PERCENT_OWNER" hidden="1">"c442"</definedName>
    <definedName name="IQ_FIVEPERCENT_PERCENT" hidden="1">"c443"</definedName>
    <definedName name="IQ_FIVEPERCENT_SHARES" hidden="1">"c444"</definedName>
    <definedName name="IQ_FIXED_ASSET_TURNS" hidden="1">"c445"</definedName>
    <definedName name="IQ_FLOAT_PERCENT" hidden="1">"c1575"</definedName>
    <definedName name="IQ_FOREIGN_DEP_IB" hidden="1">"c446"</definedName>
    <definedName name="IQ_FOREIGN_DEP_NON_IB" hidden="1">"c447"</definedName>
    <definedName name="IQ_FOREIGN_EXCHANGE" hidden="1">"c1376"</definedName>
    <definedName name="IQ_FOREIGN_LOANS" hidden="1">"c448"</definedName>
    <definedName name="IQ_FQ" hidden="1">500</definedName>
    <definedName name="IQ_FUEL" hidden="1">"c449"</definedName>
    <definedName name="IQ_FULL_TIME" hidden="1">"c450"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X" hidden="1">"c451"</definedName>
    <definedName name="IQ_FY" hidden="1">1000</definedName>
    <definedName name="IQ_GA_EXP" hidden="1">"c2241"</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OODWILL_NET" hidden="1">"c1380"</definedName>
    <definedName name="IQ_GP" hidden="1">"c511"</definedName>
    <definedName name="IQ_GP_10YR_ANN_GROWTH" hidden="1">"c512"</definedName>
    <definedName name="IQ_GP_1YR_ANN_GROWTH" hidden="1">"c513"</definedName>
    <definedName name="IQ_GP_2YR_ANN_GROWTH" hidden="1">"c514"</definedName>
    <definedName name="IQ_GP_3YR_ANN_GROWTH" hidden="1">"c515"</definedName>
    <definedName name="IQ_GP_5YR_ANN_GROWTH" hidden="1">"c516"</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"c1446"</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GROWTH" hidden="1">"c522"</definedName>
    <definedName name="IQ_GROSS_LOANS_1YR_ANN_GROWTH" hidden="1">"c523"</definedName>
    <definedName name="IQ_GROSS_LOANS_2YR_ANN_GROWTH" hidden="1">"c524"</definedName>
    <definedName name="IQ_GROSS_LOANS_3YR_ANN_GROWTH" hidden="1">"c525"</definedName>
    <definedName name="IQ_GROSS_LOANS_5YR_ANN_GROWTH" hidden="1">"c526"</definedName>
    <definedName name="IQ_GROSS_LOANS_7YR_ANN_GROWTH" hidden="1">"c527"</definedName>
    <definedName name="IQ_GROSS_LOANS_TOTAL_DEPOSITS" hidden="1">"c528"</definedName>
    <definedName name="IQ_GROSS_MARGIN" hidden="1">"c529"</definedName>
    <definedName name="IQ_GROSS_PC_EARNED" hidden="1">"c2747"</definedName>
    <definedName name="IQ_GROSS_PROFIT" hidden="1">"c1378"</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IT" hidden="1">"c1480"</definedName>
    <definedName name="IQ_GW_INTAN_AMORT_UTI" hidden="1">"c1481"</definedName>
    <definedName name="IQ_HIGH_TARGET_PRICE" hidden="1">"c1651"</definedName>
    <definedName name="IQ_HIGH_TARGET_PRICE_REUT" hidden="1">"c5317"</definedName>
    <definedName name="IQ_HIGHPRICE" hidden="1">"c545"</definedName>
    <definedName name="IQ_HOMEOWNERS_WRITTEN" hidden="1">"c546"</definedName>
    <definedName name="IQ_IMPAIR_OIL" hidden="1">"c547"</definedName>
    <definedName name="IQ_IMPAIRMENT_GW" hidden="1">"c548"</definedName>
    <definedName name="IQ_IMPUT_OPER_LEASE_DEPR" hidden="1">"c2987"</definedName>
    <definedName name="IQ_IMPUT_OPER_LEASE_INT_EXP" hidden="1">"c2986"</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DUSTRY" hidden="1">"c3601"</definedName>
    <definedName name="IQ_INDUSTRY_GROUP" hidden="1">"c3602"</definedName>
    <definedName name="IQ_INDUSTRY_SECTOR" hidden="1">"c3603"</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UR_RECEIV" hidden="1">"c1600"</definedName>
    <definedName name="IQ_INT_BORROW" hidden="1">"c583"</definedName>
    <definedName name="IQ_INT_DEPOSITS" hidden="1">"c584"</definedName>
    <definedName name="IQ_INT_DIV_INC" hidden="1">"c585"</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IT" hidden="1">"c590"</definedName>
    <definedName name="IQ_INT_EXP_TOTAL" hidden="1">"c591"</definedName>
    <definedName name="IQ_INT_EXP_UTI" hidden="1">"c592"</definedName>
    <definedName name="IQ_INT_INC_BR" hidden="1">"c593"</definedName>
    <definedName name="IQ_INT_INC_FIN" hidden="1">"c594"</definedName>
    <definedName name="IQ_INT_INC_INVEST" hidden="1">"c595"</definedName>
    <definedName name="IQ_INT_INC_LOANS" hidden="1">"c596"</definedName>
    <definedName name="IQ_INT_INC_REIT" hidden="1">"c597"</definedName>
    <definedName name="IQ_INT_INC_TOTAL" hidden="1">"c598"</definedName>
    <definedName name="IQ_INT_INC_UTI" hidden="1">"c599"</definedName>
    <definedName name="IQ_INT_INV_INC" hidden="1">"c600"</definedName>
    <definedName name="IQ_INT_INV_INC_REIT" hidden="1">"c601"</definedName>
    <definedName name="IQ_INT_INV_INC_UTI" hidden="1">"c602"</definedName>
    <definedName name="IQ_INT_ON_BORROWING_COVERAGE" hidden="1">"c603"</definedName>
    <definedName name="IQ_INT_RATE_SPREAD" hidden="1">"c604"</definedName>
    <definedName name="IQ_INTANGIBLES_NET" hidden="1">"c1407"</definedName>
    <definedName name="IQ_INTEREST_CASH_DEPOSITS" hidden="1">"c2255"</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V_10YR_ANN_GROWTH" hidden="1">"c1930"</definedName>
    <definedName name="IQ_INV_1YR_ANN_GROWTH" hidden="1">"c1925"</definedName>
    <definedName name="IQ_INV_2YR_ANN_GROWTH" hidden="1">"c1926"</definedName>
    <definedName name="IQ_INV_3YR_ANN_GROWTH" hidden="1">"c1927"</definedName>
    <definedName name="IQ_INV_5YR_ANN_GROWTH" hidden="1">"c1928"</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IT" hidden="1">"c642"</definedName>
    <definedName name="IQ_INVEST_SECURITY_CF_UTI" hidden="1">"c643"</definedName>
    <definedName name="IQ_INVEST_SECURITY_SUPPL" hidden="1">"c5511"</definedName>
    <definedName name="IQ_IPRD" hidden="1">"c644"</definedName>
    <definedName name="IQ_ISS_DEBT_NET" hidden="1">"c1391"</definedName>
    <definedName name="IQ_ISS_STOCK_NET" hidden="1">"c1601"</definedName>
    <definedName name="IQ_ISSUE_CURRENCY" hidden="1">"c2156"</definedName>
    <definedName name="IQ_ISSUE_NAME" hidden="1">"c2142"</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K" hidden="1">1000</definedName>
    <definedName name="IQ_LATESTQ" hidden="1">500</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IT" hidden="1">"c652"</definedName>
    <definedName name="IQ_LEGAL_SETTLE_UTI" hidden="1">"c653"</definedName>
    <definedName name="IQ_LEVERAGE_RATIO" hidden="1">"c654"</definedName>
    <definedName name="IQ_LEVERED_FCF" hidden="1">"c1907"</definedName>
    <definedName name="IQ_LFCF_10YR_ANN_GROWTH" hidden="1">"c1942"</definedName>
    <definedName name="IQ_LFCF_1YR_ANN_GROWTH" hidden="1">"c1937"</definedName>
    <definedName name="IQ_LFCF_2YR_ANN_GROWTH" hidden="1">"c1938"</definedName>
    <definedName name="IQ_LFCF_3YR_ANN_GROWTH" hidden="1">"c1939"</definedName>
    <definedName name="IQ_LFCF_5YR_ANN_GROWTH" hidden="1">"c1940"</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OR" hidden="1">"c655"</definedName>
    <definedName name="IQ_LL" hidden="1">"c656"</definedName>
    <definedName name="IQ_LOAN_LEASE_RECEIV" hidden="1">"c657"</definedName>
    <definedName name="IQ_LOAN_LOSS" hidden="1">"c1386"</definedName>
    <definedName name="IQ_LOAN_SERVICE_REV" hidden="1">"c658"</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IT" hidden="1">"c664"</definedName>
    <definedName name="IQ_LOANS_CF_UTI" hidden="1">"c665"</definedName>
    <definedName name="IQ_LOANS_FOR_SALE" hidden="1">"c666"</definedName>
    <definedName name="IQ_LOANS_PAST_DUE" hidden="1">"c667"</definedName>
    <definedName name="IQ_LOANS_RECEIV_CURRENT" hidden="1">"c668"</definedName>
    <definedName name="IQ_LOANS_RECEIV_LT" hidden="1">"c669"</definedName>
    <definedName name="IQ_LOANS_RECEIV_LT_UTI" hidden="1">"c670"</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LOSS_EXP" hidden="1">"c672"</definedName>
    <definedName name="IQ_LOSS_TO_NET_EARNED" hidden="1">"c2751"</definedName>
    <definedName name="IQ_LOW_TARGET_PRICE" hidden="1">"c1652"</definedName>
    <definedName name="IQ_LOW_TARGET_PRICE_REUT" hidden="1">"c5318"</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IT" hidden="1">"c686"</definedName>
    <definedName name="IQ_LT_DEBT_ISSUED_UTI" hidden="1">"c687"</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REVENUE_OVER_EMPLOYEES" hidden="1">"c1437"</definedName>
    <definedName name="IQ_LTMMONTH" hidden="1">120000</definedName>
    <definedName name="IQ_MACHINERY" hidden="1">"c711"</definedName>
    <definedName name="IQ_MAINT_CAPEX" hidden="1">"c2947"</definedName>
    <definedName name="IQ_MAINT_CAPEX_ACT_OR_EST" hidden="1">"c4458"</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C_RATIO" hidden="1">"c2783"</definedName>
    <definedName name="IQ_MC_STATUTORY_SURPLUS" hidden="1">"c2772"</definedName>
    <definedName name="IQ_MEDIAN_TARGET_PRICE" hidden="1">"c1650"</definedName>
    <definedName name="IQ_MEDIAN_TARGET_PRICE_REUT" hidden="1">"c5316"</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REUT" hidden="1">"c4048"</definedName>
    <definedName name="IQ_MM_ACCOUNT" hidden="1">"c743"</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SERV_RIGHTS" hidden="1">"c2242"</definedName>
    <definedName name="IQ_MTD" hidden="1">800000</definedName>
    <definedName name="IQ_NAMES_REVISION_DATE_" hidden="1">41541.7844907407</definedName>
    <definedName name="IQ_NET_CHANGE" hidden="1">"c749"</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EBITDA" hidden="1">"c750"</definedName>
    <definedName name="IQ_NET_DEBT_EBITDA_CAPEX" hidden="1">"c2949"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IT" hidden="1">"c756"</definedName>
    <definedName name="IQ_NET_DEBT_ISSUED_UTI" hidden="1">"c757"</definedName>
    <definedName name="IQ_NET_EARNED" hidden="1">"c2734"</definedName>
    <definedName name="IQ_NET_INC" hidden="1">"c1394"</definedName>
    <definedName name="IQ_NET_INC_BEFORE" hidden="1">"c1368"</definedName>
    <definedName name="IQ_NET_INC_CF" hidden="1">"c1397"</definedName>
    <definedName name="IQ_NET_INC_MARGIN" hidden="1">"c1398"</definedName>
    <definedName name="IQ_NET_INT_INC_10YR_ANN_GROWTH" hidden="1">"c758"</definedName>
    <definedName name="IQ_NET_INT_INC_1YR_ANN_GROWTH" hidden="1">"c759"</definedName>
    <definedName name="IQ_NET_INT_INC_2YR_ANN_GROWTH" hidden="1">"c760"</definedName>
    <definedName name="IQ_NET_INT_INC_3YR_ANN_GROWTH" hidden="1">"c761"</definedName>
    <definedName name="IQ_NET_INT_INC_5YR_ANN_GROWTH" hidden="1">"c762"</definedName>
    <definedName name="IQ_NET_INT_INC_7YR_ANN_GROWTH" hidden="1">"c763"</definedName>
    <definedName name="IQ_NET_INT_INC_BNK" hidden="1">"c764"</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LIFE_INS_IN_FORCE" hidden="1">"c2769"</definedName>
    <definedName name="IQ_NET_LOANS" hidden="1">"c772"</definedName>
    <definedName name="IQ_NET_LOANS_10YR_ANN_GROWTH" hidden="1">"c773"</definedName>
    <definedName name="IQ_NET_LOANS_1YR_ANN_GROWTH" hidden="1">"c774"</definedName>
    <definedName name="IQ_NET_LOANS_2YR_ANN_GROWTH" hidden="1">"c775"</definedName>
    <definedName name="IQ_NET_LOANS_3YR_ANN_GROWTH" hidden="1">"c776"</definedName>
    <definedName name="IQ_NET_LOANS_5YR_ANN_GROWTH" hidden="1">"c777"</definedName>
    <definedName name="IQ_NET_LOANS_7YR_ANN_GROWTH" hidden="1">"c778"</definedName>
    <definedName name="IQ_NET_LOANS_TOTAL_DEPOSITS" hidden="1">"c779"</definedName>
    <definedName name="IQ_NET_RENTAL_EXP_FN" hidden="1">"c780"</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GROWTH" hidden="1">"c782"</definedName>
    <definedName name="IQ_NI_1YR_ANN_GROWTH" hidden="1">"c783"</definedName>
    <definedName name="IQ_NI_2YR_ANN_GROWTH" hidden="1">"c784"</definedName>
    <definedName name="IQ_NI_3YR_ANN_GROWTH" hidden="1">"c785"</definedName>
    <definedName name="IQ_NI_5YR_ANN_GROWTH" hidden="1">"c786"</definedName>
    <definedName name="IQ_NI_7YR_ANN_GROWTH" hidden="1">"c787"</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MARGIN" hidden="1">"c794"</definedName>
    <definedName name="IQ_NI_NORM" hidden="1">"c1901"</definedName>
    <definedName name="IQ_NI_NORM_10YR_ANN_GROWTH" hidden="1">"c1960"</definedName>
    <definedName name="IQ_NI_NORM_1YR_ANN_GROWTH" hidden="1">"c1955"</definedName>
    <definedName name="IQ_NI_NORM_2YR_ANN_GROWTH" hidden="1">"c1956"</definedName>
    <definedName name="IQ_NI_NORM_3YR_ANN_GROWTH" hidden="1">"c1957"</definedName>
    <definedName name="IQ_NI_NORM_5YR_ANN_GROWTH" hidden="1">"c1958"</definedName>
    <definedName name="IQ_NI_NORM_7YR_ANN_GROWTH" hidden="1">"c1959"</definedName>
    <definedName name="IQ_NI_NORM_MARGIN" hidden="1">"c1964"</definedName>
    <definedName name="IQ_NI_SBC_ACT_OR_EST" hidden="1">"c4474"</definedName>
    <definedName name="IQ_NI_SBC_GW_ACT_OR_EST" hidden="1">"c4478"</definedName>
    <definedName name="IQ_NI_SFAS" hidden="1">"c795"</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INC" hidden="1">"c802"</definedName>
    <definedName name="IQ_NON_INT_INC_10YR_ANN_GROWTH" hidden="1">"c803"</definedName>
    <definedName name="IQ_NON_INT_INC_1YR_ANN_GROWTH" hidden="1">"c804"</definedName>
    <definedName name="IQ_NON_INT_INC_2YR_ANN_GROWTH" hidden="1">"c805"</definedName>
    <definedName name="IQ_NON_INT_INC_3YR_ANN_GROWTH" hidden="1">"c806"</definedName>
    <definedName name="IQ_NON_INT_INC_5YR_ANN_GROWTH" hidden="1">"c807"</definedName>
    <definedName name="IQ_NON_INT_INC_7YR_ANN_GROWTH" hidden="1">"c808"</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GROWTH" hidden="1">"c811"</definedName>
    <definedName name="IQ_NON_PERF_ASSETS_1YR_ANN_GROWTH" hidden="1">"c812"</definedName>
    <definedName name="IQ_NON_PERF_ASSETS_2YR_ANN_GROWTH" hidden="1">"c813"</definedName>
    <definedName name="IQ_NON_PERF_ASSETS_3YR_ANN_GROWTH" hidden="1">"c814"</definedName>
    <definedName name="IQ_NON_PERF_ASSETS_5YR_ANN_GROWTH" hidden="1">"c815"</definedName>
    <definedName name="IQ_NON_PERF_ASSETS_7YR_ANN_GROWTH" hidden="1">"c816"</definedName>
    <definedName name="IQ_NON_PERF_ASSETS_TOTAL_ASSETS" hidden="1">"c817"</definedName>
    <definedName name="IQ_NON_PERF_LOANS_10YR_ANN_GROWTH" hidden="1">"c818"</definedName>
    <definedName name="IQ_NON_PERF_LOANS_1YR_ANN_GROWTH" hidden="1">"c819"</definedName>
    <definedName name="IQ_NON_PERF_LOANS_2YR_ANN_GROWTH" hidden="1">"c820"</definedName>
    <definedName name="IQ_NON_PERF_LOANS_3YR_ANN_GROWTH" hidden="1">"c821"</definedName>
    <definedName name="IQ_NON_PERF_LOANS_5YR_ANN_GROWTH" hidden="1">"c822"</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CASH_PENSION_EXP" hidden="1">"c3000"</definedName>
    <definedName name="IQ_NONRECOURSE_DEBT" hidden="1">"c2550"</definedName>
    <definedName name="IQ_NONRECOURSE_DEBT_PCT" hidden="1">"c2551"</definedName>
    <definedName name="IQ_NONUTIL_REV" hidden="1">"c2089"</definedName>
    <definedName name="IQ_NORMAL_INC_AFTER" hidden="1">"c1605"</definedName>
    <definedName name="IQ_NORMAL_INC_AVAIL" hidden="1">"c1606"</definedName>
    <definedName name="IQ_NORMAL_INC_BEFORE" hidden="1">"c1607"</definedName>
    <definedName name="IQ_NOTES_PAY" hidden="1">"c1423"</definedName>
    <definedName name="IQ_NOW_ACCOUNT" hidden="1">"c828"</definedName>
    <definedName name="IQ_NPPE" hidden="1">"c829"</definedName>
    <definedName name="IQ_NPPE_10YR_ANN_GROWTH" hidden="1">"c830"</definedName>
    <definedName name="IQ_NPPE_1YR_ANN_GROWTH" hidden="1">"c831"</definedName>
    <definedName name="IQ_NPPE_2YR_ANN_GROWTH" hidden="1">"c832"</definedName>
    <definedName name="IQ_NPPE_3YR_ANN_GROWTH" hidden="1">"c833"</definedName>
    <definedName name="IQ_NPPE_5YR_ANN_GROWTH" hidden="1">"c834"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SHAREHOLDERS" hidden="1">"c1967"</definedName>
    <definedName name="IQ_NUMBER_SHAREHOLDERS_CLASSA" hidden="1">"c1968"</definedName>
    <definedName name="IQ_NUMBER_SHAREHOLDERS_OTHER" hidden="1">"c1969"</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UNRECOG_PRIOR" hidden="1">"c3320"</definedName>
    <definedName name="IQ_OPEB_UNRECOG_PRIOR_DOM" hidden="1">"c3318"</definedName>
    <definedName name="IQ_OPEB_UNRECOG_PRIOR_FOREIGN" hidden="1">"c3319"</definedName>
    <definedName name="IQ_OPENPRICE" hidden="1">"c848"</definedName>
    <definedName name="IQ_OPER_INC" hidden="1">"c849"</definedName>
    <definedName name="IQ_OPER_INC_BR" hidden="1">"c850"</definedName>
    <definedName name="IQ_OPER_INC_FIN" hidden="1">"c851"</definedName>
    <definedName name="IQ_OPER_INC_INS" hidden="1">"c852"</definedName>
    <definedName name="IQ_OPER_INC_MARGIN" hidden="1">"c1448"</definedName>
    <definedName name="IQ_OPER_INC_REIT" hidden="1">"c853"</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ED" hidden="1">"c2116"</definedName>
    <definedName name="IQ_OPTIONS_GRANTED" hidden="1">"c2673"</definedName>
    <definedName name="IQ_OPTIONS_ISSUED" hidden="1">"c857"</definedName>
    <definedName name="IQ_OPTIONS_STRIKE_PRICE_GRANTED" hidden="1">"c2678"</definedName>
    <definedName name="IQ_OPTIONS_STRIKE_PRICE_OS" hidden="1">"c2677"</definedName>
    <definedName name="IQ_ORDER_BACKLOG" hidden="1">"c2090"</definedName>
    <definedName name="IQ_OTHER_ADJUST_GROSS_LOANS" hidden="1">"c859"</definedName>
    <definedName name="IQ_OTHER_AMORT" hidden="1">"c5563"</definedName>
    <definedName name="IQ_OTHER_ASSETS" hidden="1">"c860"</definedName>
    <definedName name="IQ_OTHER_ASSETS_BNK" hidden="1">"c861"</definedName>
    <definedName name="IQ_OTHER_ASSETS_BR" hidden="1">"c862"</definedName>
    <definedName name="IQ_OTHER_ASSETS_FIN" hidden="1">"c863"</definedName>
    <definedName name="IQ_OTHER_ASSETS_INS" hidden="1">"c864"</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REIT" hidden="1">"c882"</definedName>
    <definedName name="IQ_OTHER_CL_SUPPL_UTI" hidden="1">"c883"</definedName>
    <definedName name="IQ_OTHER_CL_UTI" hidden="1">"c884"</definedName>
    <definedName name="IQ_OTHER_CURRENT_ASSETS" hidden="1">"c1403"</definedName>
    <definedName name="IQ_OTHER_CURRENT_LIAB" hidden="1">"c1404"</definedName>
    <definedName name="IQ_OTHER_DEBT" hidden="1">"c2507"</definedName>
    <definedName name="IQ_OTHER_DEBT_PCT" hidden="1">"c2508"</definedName>
    <definedName name="IQ_OTHER_DEP" hidden="1">"c885"</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IT" hidden="1">"c904"</definedName>
    <definedName name="IQ_OTHER_FINANCE_ACT_SUPPL_UTI" hidden="1">"c905"</definedName>
    <definedName name="IQ_OTHER_FINANCE_ACT_UTI" hidden="1">"c906"</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IT" hidden="1">"c912"</definedName>
    <definedName name="IQ_OTHER_INTAN_UTI" hidden="1">"c913"</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IT" hidden="1">"c940"</definedName>
    <definedName name="IQ_OTHER_LIAB_LT_UTI" hidden="1">"c941"</definedName>
    <definedName name="IQ_OTHER_LIAB_REIT" hidden="1">"c942"</definedName>
    <definedName name="IQ_OTHER_LIAB_UTI" hidden="1">"c943"</definedName>
    <definedName name="IQ_OTHER_LIAB_WRITTEN" hidden="1">"c944"</definedName>
    <definedName name="IQ_OTHER_LOANS" hidden="1">"c945"</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IT" hidden="1">"c951"</definedName>
    <definedName name="IQ_OTHER_LT_ASSETS_UTI" hidden="1">"c952"</definedName>
    <definedName name="IQ_OTHER_NET" hidden="1">"c1453"</definedName>
    <definedName name="IQ_OTHER_NON_INT_EXP" hidden="1">"c953"</definedName>
    <definedName name="IQ_OTHER_NON_INT_EXP_TOTAL" hidden="1">"c954"</definedName>
    <definedName name="IQ_OTHER_NON_INT_INC" hidden="1">"c955"</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IT" hidden="1">"c965"</definedName>
    <definedName name="IQ_OTHER_NON_OPER_EXP_SUPPL_UTI" hidden="1">"c966"</definedName>
    <definedName name="IQ_OTHER_NON_OPER_EXP_UTI" hidden="1">"c967"</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ED" hidden="1">"c2688"</definedName>
    <definedName name="IQ_OTHER_OPTIONS_GRANTED" hidden="1">"c2687"</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IT" hidden="1">"c1019"</definedName>
    <definedName name="IQ_OTHER_REV_SUPPL_UTI" hidden="1">"c1020"</definedName>
    <definedName name="IQ_OTHER_REV_UTI" hidden="1">"c1021"</definedName>
    <definedName name="IQ_OTHER_REVENUE" hidden="1">"c1410"</definedName>
    <definedName name="IQ_OTHER_STRIKE_PRICE_GRANTED" hidden="1">"c2692"</definedName>
    <definedName name="IQ_OTHER_UNDRAWN" hidden="1">"c2522"</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"c2128"</definedName>
    <definedName name="IQ_OUTSTANDING_FILING_DATE" hidden="1">"c1023"</definedName>
    <definedName name="IQ_OWNERSHIP" hidden="1">"c2160"</definedName>
    <definedName name="IQ_PART_TIME" hidden="1">"c1024"</definedName>
    <definedName name="IQ_PAY_ACCRUED" hidden="1">"c1457"</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REUT" hidden="1">"c4049"</definedName>
    <definedName name="IQ_PE_NORMALIZED" hidden="1">"c2207"</definedName>
    <definedName name="IQ_PE_RATIO" hidden="1">"c1610"</definedName>
    <definedName name="IQ_PEG_FWD" hidden="1">"c1863"</definedName>
    <definedName name="IQ_PEG_FWD_REUT" hidden="1">"c4052"</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IODDATE" hidden="1">"c1414"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RE_OPEN_COST" hidden="1">"c1040"</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IT" hidden="1">"c1058"</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IT" hidden="1">"c1065"</definedName>
    <definedName name="IQ_PREF_REP_UTI" hidden="1">"c1066"</definedName>
    <definedName name="IQ_PREF_STOCK" hidden="1">"c1416"</definedName>
    <definedName name="IQ_PREF_TOT" hidden="1">"c1415"</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ICE_OVER_BVPS" hidden="1">"c1412"</definedName>
    <definedName name="IQ_PRICE_OVER_LTM_EPS" hidden="1">"c1413"</definedName>
    <definedName name="IQ_PRICE_TARGET" hidden="1">"c82"</definedName>
    <definedName name="IQ_PRICE_TARGET_REUT" hidden="1">"c3631"</definedName>
    <definedName name="IQ_PRICEDATE" hidden="1">"c1069"</definedName>
    <definedName name="IQ_PRICING_DATE" hidden="1">"c1613"</definedName>
    <definedName name="IQ_PRIMARY_INDUSTRY" hidden="1">"c1070"</definedName>
    <definedName name="IQ_PRINCIPAL_AMT" hidden="1">"c2157"</definedName>
    <definedName name="IQ_PRO_FORMA_BASIC_EPS" hidden="1">"c1614"</definedName>
    <definedName name="IQ_PRO_FORMA_DILUT_EPS" hidden="1">"c1615"</definedName>
    <definedName name="IQ_PRO_FORMA_NET_INC" hidden="1">"c1452"</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ISION_10YR_ANN_GROWTH" hidden="1">"c1077"</definedName>
    <definedName name="IQ_PROVISION_1YR_ANN_GROWTH" hidden="1">"c1078"</definedName>
    <definedName name="IQ_PROVISION_2YR_ANN_GROWTH" hidden="1">"c1079"</definedName>
    <definedName name="IQ_PROVISION_3YR_ANN_GROWTH" hidden="1">"c1080"</definedName>
    <definedName name="IQ_PROVISION_5YR_ANN_GROWTH" hidden="1">"c1081"</definedName>
    <definedName name="IQ_PROVISION_7YR_ANN_GROWTH" hidden="1">"c1082"</definedName>
    <definedName name="IQ_PROVISION_CHARGE_OFFS" hidden="1">"c1083"</definedName>
    <definedName name="IQ_PTBV" hidden="1">"c1084"</definedName>
    <definedName name="IQ_PTBV_AVG" hidden="1">"c1085"</definedName>
    <definedName name="IQ_PUT_DATE_SCHEDULE" hidden="1">"c2483"</definedName>
    <definedName name="IQ_PUT_NOTIFICATION" hidden="1">"c2485"</definedName>
    <definedName name="IQ_PUT_PRICE_SCHEDULE" hidden="1">"c2484"</definedName>
    <definedName name="IQ_QTD" hidden="1">750000</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AL_ESTATE" hidden="1">"c1093"</definedName>
    <definedName name="IQ_REAL_ESTATE_ASSETS" hidden="1">"c1094"</definedName>
    <definedName name="IQ_RECURRING_PROFIT_ACT_OR_EST" hidden="1">"c4507"</definedName>
    <definedName name="IQ_RECURRING_PROFIT_SHARE_ACT_OR_EST" hidden="1">"c4508"</definedName>
    <definedName name="IQ_REDEEM_PREF_STOCK" hidden="1">"c1417"</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NTAL_REV" hidden="1">"c1101"</definedName>
    <definedName name="IQ_RESEARCH_DEV" hidden="1">"c1419"</definedName>
    <definedName name="IQ_RESIDENTIAL_LOANS" hidden="1">"c1102"</definedName>
    <definedName name="IQ_RESTATEMENT_BS" hidden="1">"c1643"</definedName>
    <definedName name="IQ_RESTATEMENT_CF" hidden="1">"c1644"</definedName>
    <definedName name="IQ_RESTATEMENT_IS" hidden="1">"c1642"</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IT" hidden="1">"c1110"</definedName>
    <definedName name="IQ_RESTRUCTURE_UTI" hidden="1">"c1111"</definedName>
    <definedName name="IQ_RESTRUCTURED_LOANS" hidden="1">"c1112"</definedName>
    <definedName name="IQ_RETAIL_ACQUIRED_FRANCHISE_STORES" hidden="1">"c2895"</definedName>
    <definedName name="IQ_RETAIL_ACQUIRED_OWNED_STORES" hidden="1">"c2903"</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"c1420"</definedName>
    <definedName name="IQ_RETURN_ASSETS" hidden="1">"c1113"</definedName>
    <definedName name="IQ_RETURN_ASSETS_BANK" hidden="1">"c1114"</definedName>
    <definedName name="IQ_RETURN_ASSETS_BROK" hidden="1">"c1115"</definedName>
    <definedName name="IQ_RETURN_ASSETS_FS" hidden="1">"c1116"</definedName>
    <definedName name="IQ_RETURN_CAPITAL" hidden="1">"c1117"</definedName>
    <definedName name="IQ_RETURN_EQUITY" hidden="1">"c1118"</definedName>
    <definedName name="IQ_RETURN_EQUITY_BANK" hidden="1">"c1119"</definedName>
    <definedName name="IQ_RETURN_EQUITY_BROK" hidden="1">"c1120"</definedName>
    <definedName name="IQ_RETURN_EQUITY_FS" hidden="1">"c1121"</definedName>
    <definedName name="IQ_RETURN_INVESTMENT" hidden="1">"c1421"</definedName>
    <definedName name="IQ_REV" hidden="1">"c1122"</definedName>
    <definedName name="IQ_REV_BEFORE_LL" hidden="1">"c1123"</definedName>
    <definedName name="IQ_REV_STDDEV_EST" hidden="1">"c1124"</definedName>
    <definedName name="IQ_REV_STDDEV_EST_REUT" hidden="1">"c3639"</definedName>
    <definedName name="IQ_REV_UTI" hidden="1">"c1125"</definedName>
    <definedName name="IQ_REVENUE" hidden="1">"c1422"</definedName>
    <definedName name="IQ_REVENUE_EST" hidden="1">"c1126"</definedName>
    <definedName name="IQ_REVENUE_EST_REUT" hidden="1">"c3634"</definedName>
    <definedName name="IQ_REVENUE_HIGH_EST" hidden="1">"c1127"</definedName>
    <definedName name="IQ_REVENUE_HIGH_EST_REUT" hidden="1">"c3636"</definedName>
    <definedName name="IQ_REVENUE_LOW_EST" hidden="1">"c1128"</definedName>
    <definedName name="IQ_REVENUE_LOW_EST_REUT" hidden="1">"c3637"</definedName>
    <definedName name="IQ_REVENUE_MEDIAN_EST" hidden="1">"c1662"</definedName>
    <definedName name="IQ_REVENUE_MEDIAN_EST_REUT" hidden="1">"c3635"</definedName>
    <definedName name="IQ_REVENUE_NUM_EST" hidden="1">"c1129"</definedName>
    <definedName name="IQ_REVENUE_NUM_EST_REUT" hidden="1">"c3638"</definedName>
    <definedName name="IQ_REVISION_DATE_" hidden="1">39489.6256597222</definedName>
    <definedName name="IQ_RISK_ADJ_BANK_ASSETS" hidden="1">"c2670"</definedName>
    <definedName name="IQ_SALARY" hidden="1">"c1130"</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_PURCHASED_RESELL" hidden="1">"c5513"</definedName>
    <definedName name="IQ_SECUR_RECEIV" hidden="1">"c1151"</definedName>
    <definedName name="IQ_SECURED_DEBT" hidden="1">"c2546"</definedName>
    <definedName name="IQ_SECURED_DEBT_PCT" hidden="1">"c2547"</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GA" hidden="1">"c1158"</definedName>
    <definedName name="IQ_SGA_BNK" hidden="1">"c1159"</definedName>
    <definedName name="IQ_SGA_INS" hidden="1">"c1160"</definedName>
    <definedName name="IQ_SGA_MARGIN" hidden="1">"c1898"</definedName>
    <definedName name="IQ_SGA_REIT" hidden="1">"c1161"</definedName>
    <definedName name="IQ_SGA_SUPPL" hidden="1">"c1162"</definedName>
    <definedName name="IQ_SGA_UTI" hidden="1">"c1163"</definedName>
    <definedName name="IQ_SHAREOUTSTANDING" hidden="1">"c1347"</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"c1425"</definedName>
    <definedName name="IQ_SMALL_INT_BEAR_CD" hidden="1">"c1166"</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IT" hidden="1">"c1186"</definedName>
    <definedName name="IQ_ST_DEBT_ISSUED_UTI" hidden="1">"c1187"</definedName>
    <definedName name="IQ_ST_DEBT_PCT" hidden="1">"c2539"</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IT" hidden="1">"c1194"</definedName>
    <definedName name="IQ_ST_DEBT_REPAID_UTI" hidden="1">"c1195"</definedName>
    <definedName name="IQ_ST_DEBT_UTI" hidden="1">"c1196"</definedName>
    <definedName name="IQ_ST_INVEST" hidden="1">"c1197"</definedName>
    <definedName name="IQ_ST_INVEST_UTI" hidden="1">"c1198"</definedName>
    <definedName name="IQ_ST_NOTE_RECEIV" hidden="1">"c1199"</definedName>
    <definedName name="IQ_STATE" hidden="1">"c1200"</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VA" hidden="1">"c1214"</definedName>
    <definedName name="IQ_TARGET_PRICE_NUM" hidden="1">"c1653"</definedName>
    <definedName name="IQ_TARGET_PRICE_NUM_REUT" hidden="1">"c5319"</definedName>
    <definedName name="IQ_TARGET_PRICE_STDDEV" hidden="1">"c1654"</definedName>
    <definedName name="IQ_TARGET_PRICE_STDDEV_REUT" hidden="1">"c5320"</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GROWTH" hidden="1">"c1936"</definedName>
    <definedName name="IQ_TBV_1YR_ANN_GROWTH" hidden="1">"c1931"</definedName>
    <definedName name="IQ_TBV_2YR_ANN_GROWTH" hidden="1">"c1932"</definedName>
    <definedName name="IQ_TBV_3YR_ANN_GROWTH" hidden="1">"c1933"</definedName>
    <definedName name="IQ_TBV_5YR_ANN_GROWTH" hidden="1">"c1934"</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DA" hidden="1">"c1222"</definedName>
    <definedName name="IQ_TEV_EBITDA_AVG" hidden="1">"c1223"</definedName>
    <definedName name="IQ_TEV_EBITDA_FWD" hidden="1">"c1224"</definedName>
    <definedName name="IQ_TEV_EBITDA_FWD_REUT" hidden="1">"c4050"</definedName>
    <definedName name="IQ_TEV_EMPLOYEE_AVG" hidden="1">"c1225"</definedName>
    <definedName name="IQ_TEV_TOTAL_REV" hidden="1">"c1226"</definedName>
    <definedName name="IQ_TEV_TOTAL_REV_AVG" hidden="1">"c1227"</definedName>
    <definedName name="IQ_TEV_TOTAL_REV_FWD" hidden="1">"c1228"</definedName>
    <definedName name="IQ_TEV_TOTAL_REV_FWD_REUT" hidden="1">"c4051"</definedName>
    <definedName name="IQ_TEV_UFCF" hidden="1">"c2208"</definedName>
    <definedName name="IQ_TIER_ONE_CAPITAL" hidden="1">"c2667"</definedName>
    <definedName name="IQ_TIER_ONE_RATIO" hidden="1">"c1229"</definedName>
    <definedName name="IQ_TIER_TWO_CAPITAL" hidden="1">"c2669"</definedName>
    <definedName name="IQ_TIME_DEP" hidden="1">"c1230"</definedName>
    <definedName name="IQ_TODAY" hidden="1">0</definedName>
    <definedName name="IQ_TOT_ADJ_INC" hidden="1">"c1616"</definedName>
    <definedName name="IQ_TOTAL_AR_BR" hidden="1">"c1231"</definedName>
    <definedName name="IQ_TOTAL_AR_REIT" hidden="1">"c1232"</definedName>
    <definedName name="IQ_TOTAL_AR_UTI" hidden="1">"c1233"</definedName>
    <definedName name="IQ_TOTAL_ASSETS" hidden="1">"c1234"</definedName>
    <definedName name="IQ_TOTAL_ASSETS_10YR_ANN_GROWTH" hidden="1">"c1235"</definedName>
    <definedName name="IQ_TOTAL_ASSETS_1YR_ANN_GROWTH" hidden="1">"c1236"</definedName>
    <definedName name="IQ_TOTAL_ASSETS_2YR_ANN_GROWTH" hidden="1">"c1237"</definedName>
    <definedName name="IQ_TOTAL_ASSETS_3YR_ANN_GROWTH" hidden="1">"c1238"</definedName>
    <definedName name="IQ_TOTAL_ASSETS_5YR_ANN_GROWTH" hidden="1">"c1239"</definedName>
    <definedName name="IQ_TOTAL_ASSETS_7YR_ANN_GROWTH" hidden="1">"c1240"</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URN" hidden="1">"c2122"</definedName>
    <definedName name="IQ_TOTAL_CL" hidden="1">"c1245"</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IT" hidden="1">"c1255"</definedName>
    <definedName name="IQ_TOTAL_DEBT_ISSUED_UTI" hidden="1">"c1256"</definedName>
    <definedName name="IQ_TOTAL_DEBT_ISSUES_INS" hidden="1">"c1257"</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IT" hidden="1">"c1263"</definedName>
    <definedName name="IQ_TOTAL_DEBT_REPAID_UTI" hidden="1">"c1264"</definedName>
    <definedName name="IQ_TOTAL_DEPOSITS" hidden="1">"c1265"</definedName>
    <definedName name="IQ_TOTAL_DIV_PAID_CF" hidden="1">"c1266"</definedName>
    <definedName name="IQ_TOTAL_EMPLOYEE" hidden="1">"c2141"</definedName>
    <definedName name="IQ_TOTAL_EMPLOYEES" hidden="1">"c1522"</definedName>
    <definedName name="IQ_TOTAL_EQUITY" hidden="1">"c1267"</definedName>
    <definedName name="IQ_TOTAL_EQUITY_10YR_ANN_GROWTH" hidden="1">"c1268"</definedName>
    <definedName name="IQ_TOTAL_EQUITY_1YR_ANN_GROWTH" hidden="1">"c1269"</definedName>
    <definedName name="IQ_TOTAL_EQUITY_2YR_ANN_GROWTH" hidden="1">"c1270"</definedName>
    <definedName name="IQ_TOTAL_EQUITY_3YR_ANN_GROWTH" hidden="1">"c1271"</definedName>
    <definedName name="IQ_TOTAL_EQUITY_5YR_ANN_GROWTH" hidden="1">"c1272"</definedName>
    <definedName name="IQ_TOTAL_EQUITY_7YR_ANN_GROWTH" hidden="1">"c1273"</definedName>
    <definedName name="IQ_TOTAL_EQUITY_ALLOWANCE_TOTAL_LOANS" hidden="1">"c1274"</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FIN" hidden="1">"c1280"</definedName>
    <definedName name="IQ_TOTAL_LIAB_INS" hidden="1">"c1281"</definedName>
    <definedName name="IQ_TOTAL_LIAB_REIT" hidden="1">"c1282"</definedName>
    <definedName name="IQ_TOTAL_LIAB_SHAREHOLD" hidden="1">"c1435"</definedName>
    <definedName name="IQ_TOTAL_LIAB_TOTAL_ASSETS" hidden="1">"c1283"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V" hidden="1">"c1294"</definedName>
    <definedName name="IQ_TOTAL_REV_10YR_ANN_GROWTH" hidden="1">"c1295"</definedName>
    <definedName name="IQ_TOTAL_REV_1YR_ANN_GROWTH" hidden="1">"c1296"</definedName>
    <definedName name="IQ_TOTAL_REV_2YR_ANN_GROWTH" hidden="1">"c1297"</definedName>
    <definedName name="IQ_TOTAL_REV_3YR_ANN_GROWTH" hidden="1">"c1298"</definedName>
    <definedName name="IQ_TOTAL_REV_5YR_ANN_GROWTH" hidden="1">"c1299"</definedName>
    <definedName name="IQ_TOTAL_REV_7YR_ANN_GROWTH" hidden="1">"c1300"</definedName>
    <definedName name="IQ_TOTAL_REV_AS_REPORTED" hidden="1">"c1301"</definedName>
    <definedName name="IQ_TOTAL_REV_BNK" hidden="1">"c1302"</definedName>
    <definedName name="IQ_TOTAL_REV_BR" hidden="1">"c1303"</definedName>
    <definedName name="IQ_TOTAL_REV_EMPLOYEE" hidden="1">"c1304"</definedName>
    <definedName name="IQ_TOTAL_REV_FIN" hidden="1">"c1305"</definedName>
    <definedName name="IQ_TOTAL_REV_INS" hidden="1">"c1306"</definedName>
    <definedName name="IQ_TOTAL_REV_REIT" hidden="1">"c1307"</definedName>
    <definedName name="IQ_TOTAL_REV_SHARE" hidden="1">"c1912"</definedName>
    <definedName name="IQ_TOTAL_REV_UTI" hidden="1">"c1308"</definedName>
    <definedName name="IQ_TOTAL_REVENUE" hidden="1">"c1436"</definedName>
    <definedName name="IQ_TOTAL_SPECIAL" hidden="1">"c1618"</definedName>
    <definedName name="IQ_TOTAL_ST_BORROW" hidden="1">"c1424"</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IT" hidden="1">"c5520"</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"c1345"</definedName>
    <definedName name="IQ_TRADE_PRINCIPAL" hidden="1">"c1309"</definedName>
    <definedName name="IQ_TRADING_ASSETS" hidden="1">"c1310"</definedName>
    <definedName name="IQ_TRADING_CURRENCY" hidden="1">"c2212"</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IT" hidden="1">"c1317"</definedName>
    <definedName name="IQ_TREASURY_OTHER_EQUITY_UTI" hidden="1">"c1318"</definedName>
    <definedName name="IQ_TREASURY_STOCK" hidden="1">"c1438"</definedName>
    <definedName name="IQ_TRUST_INC" hidden="1">"c1319"</definedName>
    <definedName name="IQ_TRUST_PREF" hidden="1">"c1320"</definedName>
    <definedName name="IQ_TRUST_PREFERRED" hidden="1">"c3029"</definedName>
    <definedName name="IQ_TRUST_PREFERRED_PCT" hidden="1">"c3030"</definedName>
    <definedName name="IQ_UFCF_10YR_ANN_GROWTH" hidden="1">"c1948"</definedName>
    <definedName name="IQ_UFCF_1YR_ANN_GROWTH" hidden="1">"c1943"</definedName>
    <definedName name="IQ_UFCF_2YR_ANN_GROWTH" hidden="1">"c1944"</definedName>
    <definedName name="IQ_UFCF_3YR_ANN_GROWTH" hidden="1">"c1945"</definedName>
    <definedName name="IQ_UFCF_5YR_ANN_GROWTH" hidden="1">"c1946"</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IT" hidden="1">"c1327"</definedName>
    <definedName name="IQ_UNEARN_REV_CURRENT_UTI" hidden="1">"c1328"</definedName>
    <definedName name="IQ_UNEARN_REV_LT" hidden="1">"c1329"</definedName>
    <definedName name="IQ_UNLEVERED_FCF" hidden="1">"c1908"</definedName>
    <definedName name="IQ_UNPAID_CLAIMS" hidden="1">"c1330"</definedName>
    <definedName name="IQ_UNREALIZED_GAIN" hidden="1">"c1619"</definedName>
    <definedName name="IQ_UNSECURED_DEBT" hidden="1">"c2548"</definedName>
    <definedName name="IQ_UNSECURED_DEBT_PCT" hidden="1">"c2549"</definedName>
    <definedName name="IQ_UNUSUAL_EXP" hidden="1">"c1456"</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TIL_PPE_NET" hidden="1">"c1620"</definedName>
    <definedName name="IQ_UTIL_REV" hidden="1">"c2091"</definedName>
    <definedName name="IQ_UV_PENSION_LIAB" hidden="1">"c1332"</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 hidden="1">50000</definedName>
    <definedName name="IQ_WEIGHTED_AVG_PRICE" hidden="1">"c1334"</definedName>
    <definedName name="IQ_WIP_INV" hidden="1">"c1335"</definedName>
    <definedName name="IQ_WORKING_CAP" hidden="1">"c3494"</definedName>
    <definedName name="IQ_WORKMEN_WRITTEN" hidden="1">"c1336"</definedName>
    <definedName name="IQ_XDIV_DATE" hidden="1">"c2203"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DMONTH" hidden="1">130000</definedName>
    <definedName name="IQ_YTW" hidden="1">"c2163"</definedName>
    <definedName name="IQ_YTW_DATE" hidden="1">"c2164"</definedName>
    <definedName name="IQ_YTW_DATE_TYPE" hidden="1">"c2165"</definedName>
    <definedName name="IQ_Z_SCORE" hidden="1">"c1339"</definedName>
    <definedName name="KeepVersions" localSheetId="14">IndexInformation!$B$8</definedName>
    <definedName name="LanguageCode">IndexInformation!$B$38</definedName>
    <definedName name="LastCell" localSheetId="0">ImportantDisclosures!$A$24</definedName>
    <definedName name="Linking_1">Guidance!$CQ$3:$CU$11</definedName>
    <definedName name="Linking_3">Model!$B$5:$CL$86</definedName>
    <definedName name="Linking_4">Model!$B$5:$CV$86</definedName>
    <definedName name="Linking_5">Model!$B$5:$DF$86</definedName>
    <definedName name="Linking_Range_1">Model!$B$8:$CB$86</definedName>
    <definedName name="Linking_Range_10">Model!$B$137:$CB$158</definedName>
    <definedName name="Linking_Range_12">Model!$B$10:$CB$28</definedName>
    <definedName name="Linking_Range_13">Model!$B$5:$CB$86</definedName>
    <definedName name="Linking_Range_14" localSheetId="13">Guidance!$B$3:$AP$22</definedName>
    <definedName name="Linking_Range_14">Model!$B$8:$CG$86</definedName>
    <definedName name="Linking_Range_15">Model!$B$93:$CG$124</definedName>
    <definedName name="Linking_Range_16">Model!$B$137:$CG$158</definedName>
    <definedName name="Linking_Range_17">Guidance!$B$3:$AL$22</definedName>
    <definedName name="Linking_Range_18">Guidance!$B$3:$AM$22</definedName>
    <definedName name="Linking_Range_19">Guidance!$B$3:$AT$22</definedName>
    <definedName name="Linking_Range_2">Model!$B$93:$CB$135</definedName>
    <definedName name="Linking_Range_21">Guidance!$B$3:$CP$22</definedName>
    <definedName name="Linking_Range_22">Guidance!$B$3:$CP$11</definedName>
    <definedName name="Linking_Range_23">Model!$B$8:$CL$86</definedName>
    <definedName name="Linking_Range_3">Model!$B$137:$CB$176</definedName>
    <definedName name="Linking_Range_8">Model!$B$93:$CB$158</definedName>
    <definedName name="Linking_Range_9">Model!$B$93:$CB$124</definedName>
    <definedName name="LTD">[2]Model!$A$98:$IV$98</definedName>
    <definedName name="MacroVersion" localSheetId="14">IndexInformation!$B$1</definedName>
    <definedName name="mail">258.7/(258.7+1097.6)</definedName>
    <definedName name="MaxChange" localSheetId="2">CircularReferenceAlert!$B$9</definedName>
    <definedName name="MaxIterations" localSheetId="2">CircularReferenceAlert!$B$8</definedName>
    <definedName name="ModelPrice" localSheetId="0">ImportantDisclosures!$A$14</definedName>
    <definedName name="Multiplier" localSheetId="14">IndexInformation!$B$35</definedName>
    <definedName name="NetRev">[2]Model!$A$8:$IV$8</definedName>
    <definedName name="NextYearEPS" localSheetId="14">IndexInformation!$B$13</definedName>
    <definedName name="NextYearTotalRevenue" localSheetId="14">IndexInformation!$B$12</definedName>
    <definedName name="NextYearTotalRevenueActual" localSheetId="14">IndexInformation!$B$33</definedName>
    <definedName name="ObjectType">IndexInformation!$B$37</definedName>
    <definedName name="PANA" localSheetId="15">ModPubIndex!$A$11</definedName>
    <definedName name="PathName" localSheetId="14">IndexInformation!$B$25</definedName>
    <definedName name="_xlnm.Print_Area" localSheetId="6">'Gross Margin'!$B$4:$CB$75</definedName>
    <definedName name="_xlnm.Print_Area" localSheetId="13">Guidance!$B$2:$CV$61</definedName>
    <definedName name="_xlnm.Print_Area" localSheetId="4">Model!$B$5:$CV$86,Model!$B$91:$CV$135,Model!$B$137:$CV$158</definedName>
    <definedName name="_xlnm.Print_Area" localSheetId="7">PBM!$B$2:$CB$39</definedName>
    <definedName name="_xlnm.Print_Area" localSheetId="5">Revenue!$B$1:$DF$189</definedName>
    <definedName name="_xlnm.Print_Area" localSheetId="12">Scenarios!$B$4:$AM$41</definedName>
    <definedName name="_xlnm.Print_Area" localSheetId="9">Specialty!$A$1:$AQ$31</definedName>
    <definedName name="_xlnm.Print_Titles" localSheetId="7">PBM!$B:$B,PBM!$3:$6</definedName>
    <definedName name="_xlnm.Print_Titles" localSheetId="5">Revenue!$4:$8</definedName>
    <definedName name="PRODUCT" localSheetId="15">ModPubIndex!$A$6</definedName>
    <definedName name="PSYM" localSheetId="15">ModPubIndex!$A$4</definedName>
    <definedName name="PublishDate" localSheetId="14">IndexInformation!$B$2</definedName>
    <definedName name="Rating" localSheetId="14">IndexInformation!$B$9</definedName>
    <definedName name="Rating">[4]summary!$J$12</definedName>
    <definedName name="RatingsDefined" localSheetId="0">ImportantDisclosures!$A$21</definedName>
    <definedName name="RatingsDefs" localSheetId="0">ImportantDisclosures!#REF!</definedName>
    <definedName name="RegACDisclosure" localSheetId="0">ImportantDisclosures!#REF!</definedName>
    <definedName name="ResearchTopic" localSheetId="14">IndexInformation!$B$4</definedName>
    <definedName name="retail">1097.6/(258.7+1097.6)</definedName>
    <definedName name="Rev_PBM" localSheetId="5">Revenue!$19:$19</definedName>
    <definedName name="RIC" localSheetId="14">IndexInformation!$B$21</definedName>
    <definedName name="SECSettlement" localSheetId="0">ImportantDisclosures!#REF!</definedName>
    <definedName name="SEDOL" localSheetId="14">IndexInformation!$B$22</definedName>
    <definedName name="SGA_PBM">PBM!$13:$13</definedName>
    <definedName name="shrs_out_dil">[2]Model!$A$29:$IV$29</definedName>
    <definedName name="solver_adj" localSheetId="10" hidden="1">Debt!$BN$7</definedName>
    <definedName name="solver_adj" localSheetId="6" hidden="1">'Gross Margin'!$BJ$25</definedName>
    <definedName name="solver_adj" localSheetId="7" hidden="1">PBM!$AZ$28</definedName>
    <definedName name="solver_adj" localSheetId="5" hidden="1">Revenue!$AY$171:$BB$171</definedName>
    <definedName name="solver_adj" localSheetId="12" hidden="1">Scenarios!$Y$10</definedName>
    <definedName name="solver_cvg" localSheetId="10" hidden="1">0.0001</definedName>
    <definedName name="solver_cvg" localSheetId="6" hidden="1">0.0001</definedName>
    <definedName name="solver_cvg" localSheetId="7" hidden="1">0.0001</definedName>
    <definedName name="solver_cvg" localSheetId="5" hidden="1">0.0001</definedName>
    <definedName name="solver_cvg" localSheetId="12" hidden="1">0.0001</definedName>
    <definedName name="solver_cvg" localSheetId="9" hidden="1">0.0001</definedName>
    <definedName name="solver_drv" localSheetId="10" hidden="1">1</definedName>
    <definedName name="solver_drv" localSheetId="6" hidden="1">1</definedName>
    <definedName name="solver_drv" localSheetId="7" hidden="1">1</definedName>
    <definedName name="solver_drv" localSheetId="5" hidden="1">1</definedName>
    <definedName name="solver_drv" localSheetId="12" hidden="1">1</definedName>
    <definedName name="solver_drv" localSheetId="9" hidden="1">1</definedName>
    <definedName name="solver_est" localSheetId="10" hidden="1">1</definedName>
    <definedName name="solver_est" localSheetId="6" hidden="1">1</definedName>
    <definedName name="solver_est" localSheetId="7" hidden="1">1</definedName>
    <definedName name="solver_est" localSheetId="5" hidden="1">1</definedName>
    <definedName name="solver_est" localSheetId="12" hidden="1">1</definedName>
    <definedName name="solver_est" localSheetId="9" hidden="1">1</definedName>
    <definedName name="solver_itr" localSheetId="10" hidden="1">100</definedName>
    <definedName name="solver_itr" localSheetId="6" hidden="1">100</definedName>
    <definedName name="solver_itr" localSheetId="7" hidden="1">100</definedName>
    <definedName name="solver_itr" localSheetId="5" hidden="1">100</definedName>
    <definedName name="solver_itr" localSheetId="12" hidden="1">100</definedName>
    <definedName name="solver_itr" localSheetId="9" hidden="1">100</definedName>
    <definedName name="solver_lhs1" localSheetId="6" hidden="1">'Gross Margin'!$AO$36:$AR$36</definedName>
    <definedName name="solver_lhs1" localSheetId="5" hidden="1">Revenue!$AY$151</definedName>
    <definedName name="solver_lhs2" localSheetId="5" hidden="1">Revenue!$AZ$151</definedName>
    <definedName name="solver_lhs3" localSheetId="5" hidden="1">Revenue!$BA$151</definedName>
    <definedName name="solver_lhs4" localSheetId="5" hidden="1">Revenue!$BB$151</definedName>
    <definedName name="solver_lin" localSheetId="10" hidden="1">2</definedName>
    <definedName name="solver_lin" localSheetId="6" hidden="1">2</definedName>
    <definedName name="solver_lin" localSheetId="7" hidden="1">2</definedName>
    <definedName name="solver_lin" localSheetId="5" hidden="1">2</definedName>
    <definedName name="solver_lin" localSheetId="12" hidden="1">2</definedName>
    <definedName name="solver_lin" localSheetId="9" hidden="1">2</definedName>
    <definedName name="solver_neg" localSheetId="10" hidden="1">2</definedName>
    <definedName name="solver_neg" localSheetId="6" hidden="1">2</definedName>
    <definedName name="solver_neg" localSheetId="7" hidden="1">2</definedName>
    <definedName name="solver_neg" localSheetId="5" hidden="1">2</definedName>
    <definedName name="solver_neg" localSheetId="12" hidden="1">2</definedName>
    <definedName name="solver_neg" localSheetId="9" hidden="1">2</definedName>
    <definedName name="solver_num" localSheetId="10" hidden="1">0</definedName>
    <definedName name="solver_num" localSheetId="6" hidden="1">0</definedName>
    <definedName name="solver_num" localSheetId="7" hidden="1">0</definedName>
    <definedName name="solver_num" localSheetId="5" hidden="1">4</definedName>
    <definedName name="solver_num" localSheetId="12" hidden="1">0</definedName>
    <definedName name="solver_num" localSheetId="9" hidden="1">0</definedName>
    <definedName name="solver_nwt" localSheetId="10" hidden="1">1</definedName>
    <definedName name="solver_nwt" localSheetId="6" hidden="1">1</definedName>
    <definedName name="solver_nwt" localSheetId="7" hidden="1">1</definedName>
    <definedName name="solver_nwt" localSheetId="5" hidden="1">1</definedName>
    <definedName name="solver_nwt" localSheetId="12" hidden="1">1</definedName>
    <definedName name="solver_nwt" localSheetId="9" hidden="1">1</definedName>
    <definedName name="solver_opt" localSheetId="10" hidden="1">Debt!$BQ$1</definedName>
    <definedName name="solver_opt" localSheetId="6" hidden="1">'Gross Margin'!$BJ$51</definedName>
    <definedName name="solver_opt" localSheetId="5" hidden="1">Revenue!$BC$151</definedName>
    <definedName name="solver_opt" localSheetId="12" hidden="1">'Gross Margin'!$BR$35</definedName>
    <definedName name="solver_opt" localSheetId="9" hidden="1">Specialty!$V$15</definedName>
    <definedName name="solver_pre" localSheetId="10" hidden="1">0.000001</definedName>
    <definedName name="solver_pre" localSheetId="6" hidden="1">0.000001</definedName>
    <definedName name="solver_pre" localSheetId="7" hidden="1">0.000001</definedName>
    <definedName name="solver_pre" localSheetId="5" hidden="1">0.000001</definedName>
    <definedName name="solver_pre" localSheetId="12" hidden="1">0.000001</definedName>
    <definedName name="solver_pre" localSheetId="9" hidden="1">0.000001</definedName>
    <definedName name="solver_rel1" localSheetId="6" hidden="1">2</definedName>
    <definedName name="solver_rel1" localSheetId="7" hidden="1">2</definedName>
    <definedName name="solver_rel1" localSheetId="5" hidden="1">2</definedName>
    <definedName name="solver_rel2" localSheetId="5" hidden="1">2</definedName>
    <definedName name="solver_rel3" localSheetId="5" hidden="1">2</definedName>
    <definedName name="solver_rel4" localSheetId="5" hidden="1">2</definedName>
    <definedName name="solver_rhs1" localSheetId="6" hidden="1">'Gross Margin'!$AO$37:$AR$37</definedName>
    <definedName name="solver_rhs1" localSheetId="7" hidden="1">0</definedName>
    <definedName name="solver_rhs1" localSheetId="5" hidden="1">Revenue!$AY$157</definedName>
    <definedName name="solver_rhs2" localSheetId="5" hidden="1">Revenue!$AZ$157</definedName>
    <definedName name="solver_rhs3" localSheetId="5" hidden="1">Revenue!$BA$157</definedName>
    <definedName name="solver_rhs4" localSheetId="5" hidden="1">Revenue!$BB$157</definedName>
    <definedName name="solver_scl" localSheetId="10" hidden="1">2</definedName>
    <definedName name="solver_scl" localSheetId="6" hidden="1">2</definedName>
    <definedName name="solver_scl" localSheetId="7" hidden="1">2</definedName>
    <definedName name="solver_scl" localSheetId="5" hidden="1">2</definedName>
    <definedName name="solver_scl" localSheetId="12" hidden="1">2</definedName>
    <definedName name="solver_scl" localSheetId="9" hidden="1">2</definedName>
    <definedName name="solver_sho" localSheetId="10" hidden="1">2</definedName>
    <definedName name="solver_sho" localSheetId="6" hidden="1">2</definedName>
    <definedName name="solver_sho" localSheetId="7" hidden="1">2</definedName>
    <definedName name="solver_sho" localSheetId="5" hidden="1">2</definedName>
    <definedName name="solver_sho" localSheetId="12" hidden="1">2</definedName>
    <definedName name="solver_sho" localSheetId="9" hidden="1">2</definedName>
    <definedName name="solver_tim" localSheetId="10" hidden="1">100</definedName>
    <definedName name="solver_tim" localSheetId="6" hidden="1">100</definedName>
    <definedName name="solver_tim" localSheetId="7" hidden="1">100</definedName>
    <definedName name="solver_tim" localSheetId="5" hidden="1">100</definedName>
    <definedName name="solver_tim" localSheetId="12" hidden="1">100</definedName>
    <definedName name="solver_tim" localSheetId="9" hidden="1">100</definedName>
    <definedName name="solver_tol" localSheetId="10" hidden="1">0.05</definedName>
    <definedName name="solver_tol" localSheetId="6" hidden="1">0.05</definedName>
    <definedName name="solver_tol" localSheetId="7" hidden="1">0.05</definedName>
    <definedName name="solver_tol" localSheetId="5" hidden="1">0.05</definedName>
    <definedName name="solver_tol" localSheetId="12" hidden="1">0.05</definedName>
    <definedName name="solver_tol" localSheetId="9" hidden="1">0.05</definedName>
    <definedName name="solver_typ" localSheetId="10" hidden="1">3</definedName>
    <definedName name="solver_typ" localSheetId="6" hidden="1">3</definedName>
    <definedName name="solver_typ" localSheetId="7" hidden="1">3</definedName>
    <definedName name="solver_typ" localSheetId="5" hidden="1">3</definedName>
    <definedName name="solver_typ" localSheetId="12" hidden="1">3</definedName>
    <definedName name="solver_typ" localSheetId="9" hidden="1">3</definedName>
    <definedName name="solver_val" localSheetId="10" hidden="1">0</definedName>
    <definedName name="solver_val" localSheetId="6" hidden="1">0</definedName>
    <definedName name="solver_val" localSheetId="7" hidden="1">232</definedName>
    <definedName name="solver_val" localSheetId="5" hidden="1">0</definedName>
    <definedName name="solver_val" localSheetId="12" hidden="1">4.47</definedName>
    <definedName name="solver_val" localSheetId="9" hidden="1">110.7</definedName>
    <definedName name="SourceDefined" localSheetId="0">ImportantDisclosures!$A$19</definedName>
    <definedName name="SpecAdj">[2]Specialty!$C$28</definedName>
    <definedName name="StockRating" localSheetId="0">ImportantDisclosures!$A$11</definedName>
    <definedName name="SubjectCode" localSheetId="14">IndexInformation!$B$6</definedName>
    <definedName name="SubmitterUserId">IndexInformation!$B$39</definedName>
    <definedName name="SUPPRESSED" localSheetId="15">ModPubIndex!$A$13</definedName>
    <definedName name="TargetPrice" localSheetId="0">ImportantDisclosures!$A$15</definedName>
    <definedName name="Template.WIRE">"DBACCESS"</definedName>
    <definedName name="TemplateRegion">IndexInformation!$B$36</definedName>
    <definedName name="Ticker" localSheetId="0">ImportantDisclosures!$A$10</definedName>
    <definedName name="Ticker">Model!$B$5</definedName>
    <definedName name="TickerRegion">IndexInformation!$B$41</definedName>
    <definedName name="Tickers" localSheetId="14">IndexInformation!$B$19</definedName>
    <definedName name="TotalEquity">[2]Model!$A$108:$IV$108</definedName>
    <definedName name="trc_XLS_DATASHEET_ProtectDate">36886.46375</definedName>
    <definedName name="UpdateReason" localSheetId="14">IndexInformation!$B$17</definedName>
    <definedName name="USRegDisclosures" localSheetId="0">ImportantDisclosures!#REF!</definedName>
    <definedName name="Version.WIRE">1</definedName>
    <definedName name="WAGMktShare">'[5]WAG Generic Synergies'!$A$30</definedName>
    <definedName name="wrn.complete." localSheetId="6" hidden="1">{"assumptions",#N/A,FALSE,"QTRTEMP";"wwsales",#N/A,FALSE,"QTRTEMP";"wwgrowth",#N/A,FALSE,"QTRTEMP";"ussales",#N/A,FALSE,"QTRTEMP";"usgrowth",#N/A,FALSE,"QTRTEMP";"nonsales",#N/A,FALSE,"QTRTEMP";"nongrowth",#N/A,FALSE,"QTRTEMP";"pl growth",#N/A,FALSE,"QTRTEMP";"cashflow",#N/A,FALSE,"QTRTEMP"}</definedName>
    <definedName name="wrn.complete." localSheetId="13" hidden="1">{"assumptions",#N/A,FALSE,"QTRTEMP";"wwsales",#N/A,FALSE,"QTRTEMP";"wwgrowth",#N/A,FALSE,"QTRTEMP";"ussales",#N/A,FALSE,"QTRTEMP";"usgrowth",#N/A,FALSE,"QTRTEMP";"nonsales",#N/A,FALSE,"QTRTEMP";"nongrowth",#N/A,FALSE,"QTRTEMP";"pl growth",#N/A,FALSE,"QTRTEMP";"cashflow",#N/A,FALSE,"QTRTEMP"}</definedName>
    <definedName name="wrn.complete." localSheetId="4" hidden="1">{"assumptions",#N/A,FALSE,"QTRTEMP";"wwsales",#N/A,FALSE,"QTRTEMP";"wwgrowth",#N/A,FALSE,"QTRTEMP";"ussales",#N/A,FALSE,"QTRTEMP";"usgrowth",#N/A,FALSE,"QTRTEMP";"nonsales",#N/A,FALSE,"QTRTEMP";"nongrowth",#N/A,FALSE,"QTRTEMP";"pl growth",#N/A,FALSE,"QTRTEMP";"cashflow",#N/A,FALSE,"QTRTEMP"}</definedName>
    <definedName name="wrn.complete." localSheetId="5" hidden="1">{"assumptions",#N/A,FALSE,"QTRTEMP";"wwsales",#N/A,FALSE,"QTRTEMP";"wwgrowth",#N/A,FALSE,"QTRTEMP";"ussales",#N/A,FALSE,"QTRTEMP";"usgrowth",#N/A,FALSE,"QTRTEMP";"nonsales",#N/A,FALSE,"QTRTEMP";"nongrowth",#N/A,FALSE,"QTRTEMP";"pl growth",#N/A,FALSE,"QTRTEMP";"cashflow",#N/A,FALSE,"QTRTEMP"}</definedName>
    <definedName name="wrn.complete." localSheetId="9" hidden="1">{"assumptions",#N/A,FALSE,"QTRTEMP";"wwsales",#N/A,FALSE,"QTRTEMP";"wwgrowth",#N/A,FALSE,"QTRTEMP";"ussales",#N/A,FALSE,"QTRTEMP";"usgrowth",#N/A,FALSE,"QTRTEMP";"nonsales",#N/A,FALSE,"QTRTEMP";"nongrowth",#N/A,FALSE,"QTRTEMP";"pl growth",#N/A,FALSE,"QTRTEMP";"cashflow",#N/A,FALSE,"QTRTEMP"}</definedName>
    <definedName name="wrn.complete." hidden="1">{"assumptions",#N/A,FALSE,"QTRTEMP";"wwsales",#N/A,FALSE,"QTRTEMP";"wwgrowth",#N/A,FALSE,"QTRTEMP";"ussales",#N/A,FALSE,"QTRTEMP";"usgrowth",#N/A,FALSE,"QTRTEMP";"nonsales",#N/A,FALSE,"QTRTEMP";"nongrowth",#N/A,FALSE,"QTRTEMP";"pl growth",#N/A,FALSE,"QTRTEMP";"cashflow",#N/A,FALSE,"QTRTEMP"}</definedName>
    <definedName name="wrn.ENTIRE." localSheetId="6" hidden="1">{"INCOMEannual1",#N/A,FALSE,"income";"INCOMEannual2",#N/A,FALSE,"income";"INCOMEquarterly1",#N/A,FALSE,"income";"INCOMEquarterly2",#N/A,FALSE,"income";"INCOMEcalendarized1",#N/A,FALSE,"income";"INCOMEcalendarized2",#N/A,FALSE,"income";"QTRSTATISTICSstatistics",#N/A,FALSE,"Qtr statistics";"YEARSTATISTICSstatistics",#N/A,FALSE,"Yr statistics";"CASHFLOWcashflow",#N/A,FALSE,"cash flow";"DEBTdebt1",#N/A,FALSE,"debt";"DEBTdebt2",#N/A,FALSE,"debt";"VALUATIONprice",#N/A,FALSE,"valuation"}</definedName>
    <definedName name="wrn.ENTIRE." localSheetId="13" hidden="1">{"INCOMEannual1",#N/A,FALSE,"income";"INCOMEannual2",#N/A,FALSE,"income";"INCOMEquarterly1",#N/A,FALSE,"income";"INCOMEquarterly2",#N/A,FALSE,"income";"INCOMEcalendarized1",#N/A,FALSE,"income";"INCOMEcalendarized2",#N/A,FALSE,"income";"QTRSTATISTICSstatistics",#N/A,FALSE,"Qtr statistics";"YEARSTATISTICSstatistics",#N/A,FALSE,"Yr statistics";"CASHFLOWcashflow",#N/A,FALSE,"cash flow";"DEBTdebt1",#N/A,FALSE,"debt";"DEBTdebt2",#N/A,FALSE,"debt";"VALUATIONprice",#N/A,FALSE,"valuation"}</definedName>
    <definedName name="wrn.ENTIRE." localSheetId="4" hidden="1">{"INCOMEannual1",#N/A,FALSE,"income";"INCOMEannual2",#N/A,FALSE,"income";"INCOMEquarterly1",#N/A,FALSE,"income";"INCOMEquarterly2",#N/A,FALSE,"income";"INCOMEcalendarized1",#N/A,FALSE,"income";"INCOMEcalendarized2",#N/A,FALSE,"income";"QTRSTATISTICSstatistics",#N/A,FALSE,"Qtr statistics";"YEARSTATISTICSstatistics",#N/A,FALSE,"Yr statistics";"CASHFLOWcashflow",#N/A,FALSE,"cash flow";"DEBTdebt1",#N/A,FALSE,"debt";"DEBTdebt2",#N/A,FALSE,"debt";"VALUATIONprice",#N/A,FALSE,"valuation"}</definedName>
    <definedName name="wrn.ENTIRE." localSheetId="5" hidden="1">{"INCOMEannual1",#N/A,FALSE,"income";"INCOMEannual2",#N/A,FALSE,"income";"INCOMEquarterly1",#N/A,FALSE,"income";"INCOMEquarterly2",#N/A,FALSE,"income";"INCOMEcalendarized1",#N/A,FALSE,"income";"INCOMEcalendarized2",#N/A,FALSE,"income";"QTRSTATISTICSstatistics",#N/A,FALSE,"Qtr statistics";"YEARSTATISTICSstatistics",#N/A,FALSE,"Yr statistics";"CASHFLOWcashflow",#N/A,FALSE,"cash flow";"DEBTdebt1",#N/A,FALSE,"debt";"DEBTdebt2",#N/A,FALSE,"debt";"VALUATIONprice",#N/A,FALSE,"valuation"}</definedName>
    <definedName name="wrn.ENTIRE." localSheetId="9" hidden="1">{"INCOMEannual1",#N/A,FALSE,"income";"INCOMEannual2",#N/A,FALSE,"income";"INCOMEquarterly1",#N/A,FALSE,"income";"INCOMEquarterly2",#N/A,FALSE,"income";"INCOMEcalendarized1",#N/A,FALSE,"income";"INCOMEcalendarized2",#N/A,FALSE,"income";"QTRSTATISTICSstatistics",#N/A,FALSE,"Qtr statistics";"YEARSTATISTICSstatistics",#N/A,FALSE,"Yr statistics";"CASHFLOWcashflow",#N/A,FALSE,"cash flow";"DEBTdebt1",#N/A,FALSE,"debt";"DEBTdebt2",#N/A,FALSE,"debt";"VALUATIONprice",#N/A,FALSE,"valuation"}</definedName>
    <definedName name="wrn.ENTIRE." hidden="1">{"INCOMEannual1",#N/A,FALSE,"income";"INCOMEannual2",#N/A,FALSE,"income";"INCOMEquarterly1",#N/A,FALSE,"income";"INCOMEquarterly2",#N/A,FALSE,"income";"INCOMEcalendarized1",#N/A,FALSE,"income";"INCOMEcalendarized2",#N/A,FALSE,"income";"QTRSTATISTICSstatistics",#N/A,FALSE,"Qtr statistics";"YEARSTATISTICSstatistics",#N/A,FALSE,"Yr statistics";"CASHFLOWcashflow",#N/A,FALSE,"cash flow";"DEBTdebt1",#N/A,FALSE,"debt";"DEBTdebt2",#N/A,FALSE,"debt";"VALUATIONprice",#N/A,FALSE,"valuation"}</definedName>
    <definedName name="wrn.entireINCOME." localSheetId="6" hidden="1">{"INCOMEannual2",#N/A,FALSE,"income";"INCOMEannual1",#N/A,FALSE,"income";"INCOMEquarterly1",#N/A,FALSE,"income";"INCOMEquarterly2",#N/A,FALSE,"income";"INCOMEcalendarized1",#N/A,FALSE,"income"}</definedName>
    <definedName name="wrn.entireINCOME." localSheetId="13" hidden="1">{"INCOMEannual2",#N/A,FALSE,"income";"INCOMEannual1",#N/A,FALSE,"income";"INCOMEquarterly1",#N/A,FALSE,"income";"INCOMEquarterly2",#N/A,FALSE,"income";"INCOMEcalendarized1",#N/A,FALSE,"income"}</definedName>
    <definedName name="wrn.entireINCOME." localSheetId="4" hidden="1">{"INCOMEannual2",#N/A,FALSE,"income";"INCOMEannual1",#N/A,FALSE,"income";"INCOMEquarterly1",#N/A,FALSE,"income";"INCOMEquarterly2",#N/A,FALSE,"income";"INCOMEcalendarized1",#N/A,FALSE,"income"}</definedName>
    <definedName name="wrn.entireINCOME." localSheetId="5" hidden="1">{"INCOMEannual2",#N/A,FALSE,"income";"INCOMEannual1",#N/A,FALSE,"income";"INCOMEquarterly1",#N/A,FALSE,"income";"INCOMEquarterly2",#N/A,FALSE,"income";"INCOMEcalendarized1",#N/A,FALSE,"income"}</definedName>
    <definedName name="wrn.entireINCOME." localSheetId="9" hidden="1">{"INCOMEannual2",#N/A,FALSE,"income";"INCOMEannual1",#N/A,FALSE,"income";"INCOMEquarterly1",#N/A,FALSE,"income";"INCOMEquarterly2",#N/A,FALSE,"income";"INCOMEcalendarized1",#N/A,FALSE,"income"}</definedName>
    <definedName name="wrn.entireINCOME." hidden="1">{"INCOMEannual2",#N/A,FALSE,"income";"INCOMEannual1",#N/A,FALSE,"income";"INCOMEquarterly1",#N/A,FALSE,"income";"INCOMEquarterly2",#N/A,FALSE,"income";"INCOMEcalendarized1",#N/A,FALSE,"income"}</definedName>
    <definedName name="wrn.INCOME." localSheetId="6" hidden="1">{"INCOMEquarterly1",#N/A,TRUE,"income";"INCOMEquarterly2",#N/A,TRUE,"income"}</definedName>
    <definedName name="wrn.INCOME." localSheetId="13" hidden="1">{"INCOMEquarterly1",#N/A,TRUE,"income";"INCOMEquarterly2",#N/A,TRUE,"income"}</definedName>
    <definedName name="wrn.INCOME." localSheetId="4" hidden="1">{"INCOMEquarterly1",#N/A,TRUE,"income";"INCOMEquarterly2",#N/A,TRUE,"income"}</definedName>
    <definedName name="wrn.INCOME." localSheetId="5" hidden="1">{"INCOMEquarterly1",#N/A,TRUE,"income";"INCOMEquarterly2",#N/A,TRUE,"income"}</definedName>
    <definedName name="wrn.INCOME." localSheetId="9" hidden="1">{"INCOMEquarterly1",#N/A,TRUE,"income";"INCOMEquarterly2",#N/A,TRUE,"income"}</definedName>
    <definedName name="wrn.INCOME." hidden="1">{"INCOMEquarterly1",#N/A,TRUE,"income";"INCOMEquarterly2",#N/A,TRUE,"income"}</definedName>
  </definedNames>
  <calcPr calcId="145621"/>
</workbook>
</file>

<file path=xl/calcChain.xml><?xml version="1.0" encoding="utf-8"?>
<calcChain xmlns="http://schemas.openxmlformats.org/spreadsheetml/2006/main">
  <c r="CR63" i="1" l="1"/>
  <c r="CM79" i="56"/>
  <c r="CK38" i="11" l="1"/>
  <c r="CM38" i="11"/>
  <c r="CK132" i="56" l="1"/>
  <c r="CS56" i="1" l="1"/>
  <c r="CT56" i="1"/>
  <c r="CU56" i="1"/>
  <c r="CO97" i="56" l="1"/>
  <c r="CP97" i="56"/>
  <c r="CO95" i="56"/>
  <c r="CP95" i="56"/>
  <c r="CK20" i="1"/>
  <c r="AV34" i="33" l="1"/>
  <c r="AV39" i="33"/>
  <c r="AV13" i="33"/>
  <c r="AV18" i="33"/>
  <c r="AV24" i="33"/>
  <c r="BY27" i="57"/>
  <c r="BY26" i="57"/>
  <c r="BY22" i="57"/>
  <c r="BY5" i="57" s="1"/>
  <c r="CK10" i="11"/>
  <c r="CK18" i="5" s="1"/>
  <c r="CK7" i="11"/>
  <c r="CK6" i="11"/>
  <c r="CK42" i="5"/>
  <c r="CK14" i="5"/>
  <c r="CK13" i="5"/>
  <c r="CK15" i="5" s="1"/>
  <c r="CK21" i="59"/>
  <c r="CK46" i="59" s="1"/>
  <c r="CK22" i="56"/>
  <c r="CK43" i="56" s="1"/>
  <c r="CK21" i="56"/>
  <c r="CK17" i="56"/>
  <c r="CK24" i="56"/>
  <c r="CK186" i="56"/>
  <c r="CK147" i="56"/>
  <c r="CK138" i="56"/>
  <c r="CK137" i="56"/>
  <c r="CK133" i="56"/>
  <c r="CK128" i="56"/>
  <c r="CK126" i="56"/>
  <c r="CK125" i="56"/>
  <c r="CK123" i="56"/>
  <c r="CK122" i="56"/>
  <c r="CK120" i="56"/>
  <c r="CK119" i="56"/>
  <c r="CK97" i="56"/>
  <c r="CK95" i="56"/>
  <c r="CK77" i="56"/>
  <c r="CK110" i="56" s="1"/>
  <c r="CK39" i="56"/>
  <c r="CK122" i="1"/>
  <c r="CK121" i="1"/>
  <c r="CK120" i="1"/>
  <c r="CK116" i="1"/>
  <c r="CK104" i="1"/>
  <c r="CK105" i="1"/>
  <c r="CK127" i="1"/>
  <c r="CK117" i="1"/>
  <c r="CK11" i="1"/>
  <c r="CK75" i="1" s="1"/>
  <c r="CK81" i="1"/>
  <c r="CK80" i="1"/>
  <c r="CK60" i="1"/>
  <c r="CK16" i="1"/>
  <c r="CK59" i="1" s="1"/>
  <c r="CK77" i="66"/>
  <c r="CJ77" i="66"/>
  <c r="CK75" i="66"/>
  <c r="CJ75" i="66"/>
  <c r="CK61" i="1" l="1"/>
  <c r="BY28" i="57"/>
  <c r="CK73" i="56" s="1"/>
  <c r="CK141" i="56" s="1"/>
  <c r="CK24" i="11"/>
  <c r="CK9" i="11"/>
  <c r="CK16" i="11" s="1"/>
  <c r="CK17" i="11"/>
  <c r="CK41" i="5"/>
  <c r="CK15" i="11"/>
  <c r="CK37" i="5"/>
  <c r="CK16" i="5"/>
  <c r="CK75" i="59"/>
  <c r="CK134" i="56"/>
  <c r="CK112" i="56"/>
  <c r="CK106" i="56"/>
  <c r="CK62" i="56"/>
  <c r="CK42" i="56"/>
  <c r="CK108" i="56"/>
  <c r="CK111" i="56"/>
  <c r="CK139" i="56"/>
  <c r="CK143" i="56" s="1"/>
  <c r="CK61" i="56"/>
  <c r="CK114" i="56"/>
  <c r="CK187" i="56"/>
  <c r="CK63" i="56"/>
  <c r="CK45" i="56"/>
  <c r="CK103" i="56"/>
  <c r="CK123" i="1"/>
  <c r="CK135" i="1" s="1"/>
  <c r="CK74" i="1"/>
  <c r="CK67" i="1"/>
  <c r="CK73" i="1"/>
  <c r="AV60" i="33" s="1"/>
  <c r="CK79" i="1"/>
  <c r="CK12" i="1"/>
  <c r="CK65" i="1"/>
  <c r="CK129" i="1" l="1"/>
  <c r="CK128" i="1"/>
  <c r="CK130" i="1"/>
  <c r="CK76" i="56"/>
  <c r="CK109" i="56"/>
  <c r="CK9" i="5"/>
  <c r="CK11" i="11"/>
  <c r="CK133" i="1"/>
  <c r="CK124" i="1"/>
  <c r="CK62" i="1"/>
  <c r="CK72" i="1"/>
  <c r="CK13" i="1"/>
  <c r="CK132" i="1" l="1"/>
  <c r="CK134" i="1"/>
  <c r="CK18" i="11"/>
  <c r="CK66" i="1"/>
  <c r="CB78" i="66" l="1"/>
  <c r="CR45" i="66" l="1"/>
  <c r="CL72" i="66" l="1"/>
  <c r="CK72" i="66"/>
  <c r="CJ72" i="66"/>
  <c r="CL65" i="66"/>
  <c r="CL42" i="66" s="1"/>
  <c r="CL70" i="66"/>
  <c r="CL55" i="66" s="1"/>
  <c r="CL69" i="66"/>
  <c r="CL53" i="66" s="1"/>
  <c r="CL68" i="66"/>
  <c r="CL47" i="66" s="1"/>
  <c r="CL67" i="66"/>
  <c r="CL66" i="66"/>
  <c r="CI67" i="66"/>
  <c r="CL52" i="66"/>
  <c r="CL48" i="66"/>
  <c r="CL44" i="66"/>
  <c r="CH72" i="66"/>
  <c r="CG72" i="66"/>
  <c r="CI68" i="66"/>
  <c r="CI47" i="66" s="1"/>
  <c r="CI66" i="66"/>
  <c r="CI44" i="66" s="1"/>
  <c r="CI52" i="66"/>
  <c r="CI48" i="66"/>
  <c r="CC54" i="66"/>
  <c r="CC50" i="66"/>
  <c r="CC49" i="66"/>
  <c r="CA72" i="66"/>
  <c r="BZ72" i="66"/>
  <c r="CB70" i="66"/>
  <c r="CB55" i="66" s="1"/>
  <c r="CB69" i="66"/>
  <c r="CB53" i="66" s="1"/>
  <c r="CB68" i="66"/>
  <c r="CB72" i="66" s="1"/>
  <c r="CB66" i="66"/>
  <c r="CB65" i="66"/>
  <c r="CB42" i="66" s="1"/>
  <c r="CB52" i="66"/>
  <c r="CB48" i="66"/>
  <c r="CB44" i="66"/>
  <c r="CI72" i="66" l="1"/>
  <c r="CB47" i="66"/>
  <c r="CE95" i="1" l="1"/>
  <c r="AY59" i="33" l="1"/>
  <c r="AZ59" i="33"/>
  <c r="AY14" i="33" l="1"/>
  <c r="AZ14" i="33"/>
  <c r="BA14" i="33"/>
  <c r="AX14" i="33"/>
  <c r="AY19" i="33"/>
  <c r="AZ19" i="33"/>
  <c r="BA19" i="33"/>
  <c r="AX19" i="33"/>
  <c r="BJ60" i="33"/>
  <c r="BJ59" i="33" s="1"/>
  <c r="BD60" i="33"/>
  <c r="BD59" i="33" s="1"/>
  <c r="BE60" i="33"/>
  <c r="BE59" i="33" s="1"/>
  <c r="BA59" i="33"/>
  <c r="BI60" i="33" l="1"/>
  <c r="BO60" i="33"/>
  <c r="BO59" i="33" s="1"/>
  <c r="BJ61" i="33"/>
  <c r="BF60" i="33"/>
  <c r="CV205" i="56"/>
  <c r="CV204" i="56"/>
  <c r="CV203" i="56"/>
  <c r="BI59" i="33" l="1"/>
  <c r="BN60" i="33"/>
  <c r="BN59" i="33" s="1"/>
  <c r="BI61" i="33"/>
  <c r="BF59" i="33"/>
  <c r="BK60" i="33"/>
  <c r="AY40" i="33"/>
  <c r="AZ40" i="33"/>
  <c r="BA40" i="33"/>
  <c r="AX40" i="33"/>
  <c r="AY35" i="33"/>
  <c r="AZ35" i="33"/>
  <c r="BA35" i="33"/>
  <c r="AX35" i="33"/>
  <c r="CZ128" i="1"/>
  <c r="DE128" i="1" s="1"/>
  <c r="BK59" i="33" l="1"/>
  <c r="BP60" i="33"/>
  <c r="BP59" i="33" s="1"/>
  <c r="BK61" i="33"/>
  <c r="CP129" i="1"/>
  <c r="CU129" i="1" s="1"/>
  <c r="CZ129" i="1" s="1"/>
  <c r="DE129" i="1" s="1"/>
  <c r="BX27" i="57" l="1"/>
  <c r="BX5" i="57" s="1"/>
  <c r="BX26" i="57"/>
  <c r="BX22" i="57"/>
  <c r="CJ24" i="11"/>
  <c r="CJ22" i="11"/>
  <c r="CJ6" i="11"/>
  <c r="CJ42" i="5"/>
  <c r="CJ18" i="5"/>
  <c r="CJ41" i="5" s="1"/>
  <c r="CJ21" i="59"/>
  <c r="CJ46" i="59" s="1"/>
  <c r="BX28" i="57" l="1"/>
  <c r="CJ73" i="56" s="1"/>
  <c r="CJ141" i="56" s="1"/>
  <c r="CJ9" i="11"/>
  <c r="CJ17" i="11"/>
  <c r="CJ15" i="11"/>
  <c r="CJ75" i="59"/>
  <c r="AU39" i="33"/>
  <c r="AU18" i="33"/>
  <c r="AU13" i="33"/>
  <c r="CJ12" i="56"/>
  <c r="CJ186" i="56"/>
  <c r="CJ147" i="56"/>
  <c r="CJ138" i="56"/>
  <c r="CJ137" i="56"/>
  <c r="CJ133" i="56"/>
  <c r="CJ132" i="56"/>
  <c r="CJ128" i="56"/>
  <c r="CJ126" i="56"/>
  <c r="CJ125" i="56"/>
  <c r="CJ123" i="56"/>
  <c r="CJ122" i="56"/>
  <c r="CJ120" i="56"/>
  <c r="CJ119" i="56"/>
  <c r="CJ97" i="56"/>
  <c r="CJ95" i="56"/>
  <c r="AU34" i="33" s="1"/>
  <c r="CJ77" i="56"/>
  <c r="CJ110" i="56" s="1"/>
  <c r="CJ43" i="56"/>
  <c r="CJ42" i="56"/>
  <c r="CJ39" i="56"/>
  <c r="CJ24" i="56"/>
  <c r="CJ62" i="56" s="1"/>
  <c r="CJ155" i="56" l="1"/>
  <c r="CJ11" i="11"/>
  <c r="CJ9" i="5"/>
  <c r="CJ16" i="11"/>
  <c r="CJ139" i="56"/>
  <c r="CJ143" i="56" s="1"/>
  <c r="CJ134" i="56"/>
  <c r="CJ109" i="56"/>
  <c r="CJ106" i="56"/>
  <c r="CJ112" i="56"/>
  <c r="CJ108" i="56"/>
  <c r="CJ111" i="56"/>
  <c r="CJ63" i="56"/>
  <c r="CJ61" i="56"/>
  <c r="CJ76" i="56"/>
  <c r="CJ114" i="56"/>
  <c r="CJ154" i="56"/>
  <c r="CJ187" i="56"/>
  <c r="CJ153" i="56"/>
  <c r="CJ45" i="56"/>
  <c r="CJ103" i="56"/>
  <c r="CJ146" i="1"/>
  <c r="CK146" i="1" s="1"/>
  <c r="CJ18" i="11" l="1"/>
  <c r="CJ180" i="56"/>
  <c r="CJ11" i="59" s="1"/>
  <c r="CJ181" i="56"/>
  <c r="CJ12" i="59" s="1"/>
  <c r="CJ38" i="59" s="1"/>
  <c r="CJ67" i="59" s="1"/>
  <c r="CJ127" i="1"/>
  <c r="CJ135" i="1"/>
  <c r="CJ122" i="1"/>
  <c r="CJ123" i="1" s="1"/>
  <c r="CJ133" i="1" s="1"/>
  <c r="CJ116" i="1"/>
  <c r="CJ105" i="1"/>
  <c r="CJ117" i="1"/>
  <c r="CJ11" i="1"/>
  <c r="CJ81" i="1"/>
  <c r="CJ80" i="1"/>
  <c r="CJ79" i="1"/>
  <c r="CJ75" i="1"/>
  <c r="CJ73" i="1"/>
  <c r="AU60" i="33" s="1"/>
  <c r="CJ65" i="1"/>
  <c r="CJ60" i="1"/>
  <c r="CJ61" i="1" s="1"/>
  <c r="CJ16" i="1"/>
  <c r="CJ59" i="1" s="1"/>
  <c r="CJ12" i="1"/>
  <c r="CJ72" i="1" s="1"/>
  <c r="CJ128" i="1" l="1"/>
  <c r="CO128" i="1" s="1"/>
  <c r="CT128" i="1" s="1"/>
  <c r="CY128" i="1" s="1"/>
  <c r="DD128" i="1" s="1"/>
  <c r="CJ130" i="1"/>
  <c r="CJ129" i="1"/>
  <c r="CO129" i="1" s="1"/>
  <c r="CT129" i="1" s="1"/>
  <c r="CY129" i="1" s="1"/>
  <c r="DD129" i="1" s="1"/>
  <c r="CJ13" i="59"/>
  <c r="CJ37" i="59"/>
  <c r="CJ124" i="1"/>
  <c r="CJ74" i="1"/>
  <c r="CJ67" i="1"/>
  <c r="CJ39" i="59" l="1"/>
  <c r="CJ66" i="59"/>
  <c r="CJ13" i="1"/>
  <c r="CJ62" i="1"/>
  <c r="CJ134" i="1" l="1"/>
  <c r="CJ163" i="1"/>
  <c r="CJ132" i="1"/>
  <c r="CJ68" i="59"/>
  <c r="CJ27" i="59"/>
  <c r="CJ66" i="1"/>
  <c r="CX35" i="59" l="1"/>
  <c r="BA17" i="33"/>
  <c r="AZ17" i="33"/>
  <c r="AY17" i="33"/>
  <c r="AX17" i="33"/>
  <c r="BA12" i="33"/>
  <c r="AZ12" i="33"/>
  <c r="AY12" i="33"/>
  <c r="AX12" i="33"/>
  <c r="BF38" i="33"/>
  <c r="BE38" i="33"/>
  <c r="BD38" i="33"/>
  <c r="BC38" i="33"/>
  <c r="BF33" i="33"/>
  <c r="BE33" i="33"/>
  <c r="BD33" i="33"/>
  <c r="BC33" i="33"/>
  <c r="CL34" i="11" l="1"/>
  <c r="CL33" i="11"/>
  <c r="CK30" i="11"/>
  <c r="CL30" i="11" s="1"/>
  <c r="CK29" i="11"/>
  <c r="CL29" i="11" s="1"/>
  <c r="CX24" i="56" l="1"/>
  <c r="CW24" i="56"/>
  <c r="CM24" i="56"/>
  <c r="CI24" i="56"/>
  <c r="CH24" i="56"/>
  <c r="DE23" i="56"/>
  <c r="DF23" i="56" s="1"/>
  <c r="DD23" i="56"/>
  <c r="DC23" i="56"/>
  <c r="DC24" i="56" s="1"/>
  <c r="DB23" i="56"/>
  <c r="DB24" i="56" s="1"/>
  <c r="CZ23" i="56"/>
  <c r="CY23" i="56"/>
  <c r="CX23" i="56"/>
  <c r="CW23" i="56"/>
  <c r="CU23" i="56"/>
  <c r="CT23" i="56"/>
  <c r="CS23" i="56"/>
  <c r="CS24" i="56" s="1"/>
  <c r="CR23" i="56"/>
  <c r="CV23" i="56" s="1"/>
  <c r="CL23" i="56"/>
  <c r="CN23" i="56"/>
  <c r="CN24" i="56" s="1"/>
  <c r="CO23" i="56"/>
  <c r="CP23" i="56"/>
  <c r="CM23" i="56"/>
  <c r="CQ23" i="56" s="1"/>
  <c r="CR24" i="56" l="1"/>
  <c r="DA23" i="56"/>
  <c r="CV32" i="11"/>
  <c r="CT30" i="11"/>
  <c r="CS30" i="11"/>
  <c r="CR30" i="11"/>
  <c r="CQ33" i="11"/>
  <c r="CQ29" i="11"/>
  <c r="CN29" i="11"/>
  <c r="CO29" i="11"/>
  <c r="CP29" i="11"/>
  <c r="CN30" i="11"/>
  <c r="CO30" i="11"/>
  <c r="CP30" i="11"/>
  <c r="CM30" i="11"/>
  <c r="CQ30" i="11" s="1"/>
  <c r="CM29" i="11"/>
  <c r="CX28" i="11"/>
  <c r="DC28" i="11" s="1"/>
  <c r="DC30" i="11" s="1"/>
  <c r="CU28" i="11"/>
  <c r="CU30" i="11" s="1"/>
  <c r="CT28" i="11"/>
  <c r="CY28" i="11" s="1"/>
  <c r="DD28" i="11" s="1"/>
  <c r="DD30" i="11" s="1"/>
  <c r="CS28" i="11"/>
  <c r="CS29" i="11" s="1"/>
  <c r="CR28" i="11"/>
  <c r="CW28" i="11" s="1"/>
  <c r="DB28" i="11" s="1"/>
  <c r="DB29" i="11" s="1"/>
  <c r="CP28" i="11"/>
  <c r="CO28" i="11"/>
  <c r="CN28" i="11"/>
  <c r="CM28" i="11"/>
  <c r="CQ28" i="11" s="1"/>
  <c r="CL28" i="11"/>
  <c r="CK28" i="11"/>
  <c r="CQ34" i="11" l="1"/>
  <c r="DB30" i="11"/>
  <c r="CY30" i="11"/>
  <c r="DC29" i="11"/>
  <c r="CT29" i="11"/>
  <c r="CX29" i="11"/>
  <c r="CY29" i="11"/>
  <c r="CW30" i="11"/>
  <c r="DD29" i="11"/>
  <c r="CX30" i="11"/>
  <c r="CW29" i="11"/>
  <c r="CV30" i="11"/>
  <c r="CZ28" i="11"/>
  <c r="CU29" i="11"/>
  <c r="CR29" i="11"/>
  <c r="CV28" i="11"/>
  <c r="DA29" i="11" l="1"/>
  <c r="DA30" i="11"/>
  <c r="DE28" i="11"/>
  <c r="CZ29" i="11"/>
  <c r="CZ30" i="11"/>
  <c r="DA28" i="11"/>
  <c r="DA32" i="11" s="1"/>
  <c r="CV34" i="11"/>
  <c r="CV29" i="11"/>
  <c r="CV33" i="11" s="1"/>
  <c r="DF28" i="11" l="1"/>
  <c r="DF32" i="11" s="1"/>
  <c r="DE29" i="11"/>
  <c r="DF29" i="11" s="1"/>
  <c r="DF33" i="11" s="1"/>
  <c r="DE30" i="11"/>
  <c r="DF30" i="11" s="1"/>
  <c r="DA34" i="11"/>
  <c r="DA33" i="11"/>
  <c r="DF34" i="11" l="1"/>
  <c r="BP38" i="33" l="1"/>
  <c r="BO38" i="33"/>
  <c r="BN38" i="33"/>
  <c r="BM38" i="33"/>
  <c r="BK38" i="33"/>
  <c r="BJ38" i="33"/>
  <c r="BI38" i="33"/>
  <c r="BH38" i="33"/>
  <c r="BP33" i="33"/>
  <c r="BO33" i="33"/>
  <c r="BN33" i="33"/>
  <c r="BM33" i="33"/>
  <c r="BI33" i="33"/>
  <c r="BJ33" i="33"/>
  <c r="BK33" i="33"/>
  <c r="BH33" i="33"/>
  <c r="CM53" i="1" l="1"/>
  <c r="CN53" i="1"/>
  <c r="CO53" i="1"/>
  <c r="CP53" i="1"/>
  <c r="C30" i="33"/>
  <c r="CM95" i="56" s="1"/>
  <c r="CM67" i="56" s="1"/>
  <c r="BD40" i="33"/>
  <c r="BE40" i="33"/>
  <c r="BF40" i="33"/>
  <c r="BC40" i="33"/>
  <c r="BP40" i="33"/>
  <c r="BO40" i="33"/>
  <c r="BN40" i="33"/>
  <c r="BM40" i="33"/>
  <c r="BP35" i="33"/>
  <c r="BO35" i="33"/>
  <c r="BN35" i="33"/>
  <c r="BM35" i="33"/>
  <c r="BK35" i="33"/>
  <c r="BJ35" i="33"/>
  <c r="BI35" i="33"/>
  <c r="BH35" i="33"/>
  <c r="BK40" i="33"/>
  <c r="BJ40" i="33"/>
  <c r="BI40" i="33"/>
  <c r="BH40" i="33"/>
  <c r="BD35" i="33"/>
  <c r="BE35" i="33"/>
  <c r="BF35" i="33"/>
  <c r="BC35" i="33"/>
  <c r="BN61" i="33"/>
  <c r="BO61" i="33"/>
  <c r="BP61" i="33"/>
  <c r="BD61" i="33"/>
  <c r="BE61" i="33"/>
  <c r="BF61" i="33"/>
  <c r="AY61" i="33"/>
  <c r="AZ61" i="33"/>
  <c r="BA61" i="33"/>
  <c r="BW5" i="57"/>
  <c r="DF128" i="1"/>
  <c r="DC25" i="59"/>
  <c r="DE25" i="59"/>
  <c r="BQ74" i="1"/>
  <c r="BP74" i="1"/>
  <c r="BO74" i="1"/>
  <c r="BN74" i="1"/>
  <c r="BL74" i="1"/>
  <c r="BK74" i="1"/>
  <c r="BJ74" i="1"/>
  <c r="BI74" i="1"/>
  <c r="DD25" i="59"/>
  <c r="DB25" i="59"/>
  <c r="DF157" i="1"/>
  <c r="DF156" i="1"/>
  <c r="DF153" i="1"/>
  <c r="DF150" i="1"/>
  <c r="DF147" i="1"/>
  <c r="DF146" i="1"/>
  <c r="DF142" i="1"/>
  <c r="DF138" i="1"/>
  <c r="DE138" i="1"/>
  <c r="DD138" i="1"/>
  <c r="DC138" i="1"/>
  <c r="DB138" i="1"/>
  <c r="DE112" i="1"/>
  <c r="DD112" i="1"/>
  <c r="DC112" i="1"/>
  <c r="DB112" i="1"/>
  <c r="DF94" i="1"/>
  <c r="DE94" i="1"/>
  <c r="DD94" i="1"/>
  <c r="DC94" i="1"/>
  <c r="DB94" i="1"/>
  <c r="DB93" i="1"/>
  <c r="DB137" i="1" s="1"/>
  <c r="CR55" i="1"/>
  <c r="CW55" i="1" s="1"/>
  <c r="DB55" i="1" s="1"/>
  <c r="DF40" i="1"/>
  <c r="DF38" i="1"/>
  <c r="DF34" i="1"/>
  <c r="DF33" i="1"/>
  <c r="DF32" i="1"/>
  <c r="DF24" i="1"/>
  <c r="DE20" i="1"/>
  <c r="DD20" i="1"/>
  <c r="DC20" i="1"/>
  <c r="DB20" i="1"/>
  <c r="DF18" i="1"/>
  <c r="DF7" i="1"/>
  <c r="DA157" i="1"/>
  <c r="DA156" i="1"/>
  <c r="DA153" i="1"/>
  <c r="DA150" i="1"/>
  <c r="DA147" i="1"/>
  <c r="DA146" i="1"/>
  <c r="DA142" i="1"/>
  <c r="DA138" i="1"/>
  <c r="CZ138" i="1"/>
  <c r="CY138" i="1"/>
  <c r="CX138" i="1"/>
  <c r="CW138" i="1"/>
  <c r="DA128" i="1"/>
  <c r="CZ112" i="1"/>
  <c r="CY112" i="1"/>
  <c r="CX112" i="1"/>
  <c r="CW112" i="1"/>
  <c r="DA94" i="1"/>
  <c r="CZ94" i="1"/>
  <c r="CY94" i="1"/>
  <c r="CX94" i="1"/>
  <c r="CW94" i="1"/>
  <c r="CW93" i="1"/>
  <c r="CW137" i="1" s="1"/>
  <c r="DA40" i="1"/>
  <c r="DA38" i="1"/>
  <c r="DA34" i="1"/>
  <c r="DA33" i="1"/>
  <c r="DA32" i="1"/>
  <c r="DA24" i="1"/>
  <c r="CZ20" i="1"/>
  <c r="CY20" i="1"/>
  <c r="CX20" i="1"/>
  <c r="CW20" i="1"/>
  <c r="DA18" i="1"/>
  <c r="DA7" i="1"/>
  <c r="DF5" i="14"/>
  <c r="DE5" i="14"/>
  <c r="DD5" i="14"/>
  <c r="DC5" i="14"/>
  <c r="DB5" i="14"/>
  <c r="DB4" i="14"/>
  <c r="DA5" i="14"/>
  <c r="CZ5" i="14"/>
  <c r="CY5" i="14"/>
  <c r="CX5" i="14"/>
  <c r="CW5" i="14"/>
  <c r="CW4" i="14"/>
  <c r="DB357" i="7"/>
  <c r="DF356" i="7"/>
  <c r="DB356" i="7"/>
  <c r="DB355" i="7"/>
  <c r="DC355" i="7"/>
  <c r="DF350" i="7"/>
  <c r="DF349" i="7"/>
  <c r="DB349" i="7"/>
  <c r="DB351" i="7"/>
  <c r="DC349" i="7"/>
  <c r="DC351" i="7"/>
  <c r="DD349" i="7"/>
  <c r="DD351" i="7"/>
  <c r="DE349" i="7"/>
  <c r="DE351" i="7"/>
  <c r="DF351" i="7"/>
  <c r="DB348" i="7"/>
  <c r="DC348" i="7"/>
  <c r="DF342" i="7"/>
  <c r="DF341" i="7"/>
  <c r="DF343" i="7"/>
  <c r="DB341" i="7"/>
  <c r="DB343" i="7"/>
  <c r="DC341" i="7"/>
  <c r="DC343" i="7"/>
  <c r="DB340" i="7"/>
  <c r="DC340" i="7"/>
  <c r="DE339" i="7"/>
  <c r="DD339" i="7"/>
  <c r="DC339" i="7"/>
  <c r="DB339" i="7"/>
  <c r="DB345" i="7"/>
  <c r="DF334" i="7"/>
  <c r="DF333" i="7"/>
  <c r="DF335" i="7"/>
  <c r="DB333" i="7"/>
  <c r="DB335" i="7"/>
  <c r="DB325" i="7"/>
  <c r="DC325" i="7"/>
  <c r="DD325" i="7"/>
  <c r="DE325" i="7"/>
  <c r="DB324" i="7"/>
  <c r="DB326" i="7"/>
  <c r="DC324" i="7"/>
  <c r="DB323" i="7"/>
  <c r="DC323" i="7"/>
  <c r="DB322" i="7"/>
  <c r="DC322" i="7"/>
  <c r="DB321" i="7"/>
  <c r="DC321" i="7"/>
  <c r="DB314" i="7"/>
  <c r="DC314" i="7"/>
  <c r="DD314" i="7"/>
  <c r="DE314" i="7"/>
  <c r="DB313" i="7"/>
  <c r="DB315" i="7"/>
  <c r="DC313" i="7"/>
  <c r="DC315" i="7"/>
  <c r="DD313" i="7"/>
  <c r="DD315" i="7"/>
  <c r="DE313" i="7"/>
  <c r="DE315" i="7"/>
  <c r="DB312" i="7"/>
  <c r="DC312" i="7"/>
  <c r="DB311" i="7"/>
  <c r="DC311" i="7"/>
  <c r="DB310" i="7"/>
  <c r="DC310" i="7"/>
  <c r="DB303" i="7"/>
  <c r="DC303" i="7"/>
  <c r="DD303" i="7"/>
  <c r="DE303" i="7"/>
  <c r="DB302" i="7"/>
  <c r="DB304" i="7"/>
  <c r="DC302" i="7"/>
  <c r="DB301" i="7"/>
  <c r="DC301" i="7"/>
  <c r="DB300" i="7"/>
  <c r="DC300" i="7"/>
  <c r="DB299" i="7"/>
  <c r="DC299" i="7"/>
  <c r="DB292" i="7"/>
  <c r="DC292" i="7"/>
  <c r="DD292" i="7"/>
  <c r="DE292" i="7"/>
  <c r="DB291" i="7"/>
  <c r="DB293" i="7"/>
  <c r="DC291" i="7"/>
  <c r="DC293" i="7"/>
  <c r="DD291" i="7"/>
  <c r="DD293" i="7"/>
  <c r="DE291" i="7"/>
  <c r="DE293" i="7"/>
  <c r="DB290" i="7"/>
  <c r="DC290" i="7"/>
  <c r="DB289" i="7"/>
  <c r="DC289" i="7"/>
  <c r="DB288" i="7"/>
  <c r="DC288" i="7"/>
  <c r="DF283" i="7"/>
  <c r="DF282" i="7"/>
  <c r="DF284" i="7"/>
  <c r="DB282" i="7"/>
  <c r="DB284" i="7"/>
  <c r="DC282" i="7"/>
  <c r="DC284" i="7"/>
  <c r="DD282" i="7"/>
  <c r="DD284" i="7"/>
  <c r="DE282" i="7"/>
  <c r="DE284" i="7"/>
  <c r="DB281" i="7"/>
  <c r="DC281" i="7"/>
  <c r="DD281" i="7"/>
  <c r="DE281" i="7"/>
  <c r="DB280" i="7"/>
  <c r="DC280" i="7"/>
  <c r="DB273" i="7"/>
  <c r="DC273" i="7"/>
  <c r="DD273" i="7"/>
  <c r="DE273" i="7"/>
  <c r="DB272" i="7"/>
  <c r="DB274" i="7"/>
  <c r="DC272" i="7"/>
  <c r="DC274" i="7"/>
  <c r="DD272" i="7"/>
  <c r="DD274" i="7"/>
  <c r="DE272" i="7"/>
  <c r="DE274" i="7"/>
  <c r="DB271" i="7"/>
  <c r="DC271" i="7"/>
  <c r="DB270" i="7"/>
  <c r="DC270" i="7"/>
  <c r="DB269" i="7"/>
  <c r="DC269" i="7"/>
  <c r="DB262" i="7"/>
  <c r="DC262" i="7"/>
  <c r="DD262" i="7"/>
  <c r="DE262" i="7"/>
  <c r="DB261" i="7"/>
  <c r="DB263" i="7"/>
  <c r="DC261" i="7"/>
  <c r="DB260" i="7"/>
  <c r="DB259" i="7"/>
  <c r="DB258" i="7"/>
  <c r="DB253" i="7"/>
  <c r="DB251" i="7"/>
  <c r="DC251" i="7"/>
  <c r="DD251" i="7"/>
  <c r="DE251" i="7"/>
  <c r="DB250" i="7"/>
  <c r="DB252" i="7"/>
  <c r="DB249" i="7"/>
  <c r="DC249" i="7"/>
  <c r="DB248" i="7"/>
  <c r="DC248" i="7"/>
  <c r="DB247" i="7"/>
  <c r="DB240" i="7"/>
  <c r="DC240" i="7"/>
  <c r="DD240" i="7"/>
  <c r="DE240" i="7"/>
  <c r="DB239" i="7"/>
  <c r="DB241" i="7"/>
  <c r="DC239" i="7"/>
  <c r="DC241" i="7"/>
  <c r="DD239" i="7"/>
  <c r="DD241" i="7"/>
  <c r="DE239" i="7"/>
  <c r="DE241" i="7"/>
  <c r="DB238" i="7"/>
  <c r="DC238" i="7"/>
  <c r="DB237" i="7"/>
  <c r="DC237" i="7"/>
  <c r="DB236" i="7"/>
  <c r="DC236" i="7"/>
  <c r="DB229" i="7"/>
  <c r="DB228" i="7"/>
  <c r="DB227" i="7"/>
  <c r="DC227" i="7"/>
  <c r="DB226" i="7"/>
  <c r="DC226" i="7"/>
  <c r="DB225" i="7"/>
  <c r="DC225" i="7"/>
  <c r="DD221" i="7"/>
  <c r="DE219" i="7"/>
  <c r="DE221" i="7"/>
  <c r="DF220" i="7"/>
  <c r="DF219" i="7"/>
  <c r="DF221" i="7"/>
  <c r="DB219" i="7"/>
  <c r="DB221" i="7"/>
  <c r="DC219" i="7"/>
  <c r="DC221" i="7"/>
  <c r="DD219" i="7"/>
  <c r="DB218" i="7"/>
  <c r="DC218" i="7"/>
  <c r="DD218" i="7"/>
  <c r="DE218" i="7"/>
  <c r="DB217" i="7"/>
  <c r="DB214" i="7"/>
  <c r="DB212" i="7"/>
  <c r="DB211" i="7"/>
  <c r="DC209" i="7"/>
  <c r="DC211" i="7"/>
  <c r="DE210" i="7"/>
  <c r="DB210" i="7"/>
  <c r="DD209" i="7"/>
  <c r="DD211" i="7"/>
  <c r="DE209" i="7"/>
  <c r="DE211" i="7"/>
  <c r="DB209" i="7"/>
  <c r="DD208" i="7"/>
  <c r="DB208" i="7"/>
  <c r="DC208" i="7"/>
  <c r="DD207" i="7"/>
  <c r="DB207" i="7"/>
  <c r="DC207" i="7"/>
  <c r="DC213" i="7"/>
  <c r="DD206" i="7"/>
  <c r="DB206" i="7"/>
  <c r="DC206" i="7"/>
  <c r="DE199" i="7"/>
  <c r="DB199" i="7"/>
  <c r="DB198" i="7"/>
  <c r="DB200" i="7"/>
  <c r="DC198" i="7"/>
  <c r="DC200" i="7"/>
  <c r="DD198" i="7"/>
  <c r="DD200" i="7"/>
  <c r="DE198" i="7"/>
  <c r="DE200" i="7"/>
  <c r="DD197" i="7"/>
  <c r="DE197" i="7"/>
  <c r="DB197" i="7"/>
  <c r="DC197" i="7"/>
  <c r="DD196" i="7"/>
  <c r="DE196" i="7"/>
  <c r="DB196" i="7"/>
  <c r="DC196" i="7"/>
  <c r="DD195" i="7"/>
  <c r="DE195" i="7"/>
  <c r="DB195" i="7"/>
  <c r="DC195" i="7"/>
  <c r="DF191" i="7"/>
  <c r="DB191" i="7"/>
  <c r="DB190" i="7"/>
  <c r="DF190" i="7"/>
  <c r="DF189" i="7"/>
  <c r="DC189" i="7"/>
  <c r="DC191" i="7"/>
  <c r="DD189" i="7"/>
  <c r="DD191" i="7"/>
  <c r="DE189" i="7"/>
  <c r="DE191" i="7"/>
  <c r="DB189" i="7"/>
  <c r="DE188" i="7"/>
  <c r="DC188" i="7"/>
  <c r="DD188" i="7"/>
  <c r="DB188" i="7"/>
  <c r="DC187" i="7"/>
  <c r="DD187" i="7"/>
  <c r="DB187" i="7"/>
  <c r="DB179" i="7"/>
  <c r="DB181" i="7"/>
  <c r="DC179" i="7"/>
  <c r="DC181" i="7"/>
  <c r="DD179" i="7"/>
  <c r="DD181" i="7"/>
  <c r="DE179" i="7"/>
  <c r="DE181" i="7"/>
  <c r="DC178" i="7"/>
  <c r="DB178" i="7"/>
  <c r="DE177" i="7"/>
  <c r="DC177" i="7"/>
  <c r="DD177" i="7"/>
  <c r="DB177" i="7"/>
  <c r="DB183" i="7"/>
  <c r="DC176" i="7"/>
  <c r="DD176" i="7"/>
  <c r="DB176" i="7"/>
  <c r="DE169" i="7"/>
  <c r="DD169" i="7"/>
  <c r="DB168" i="7"/>
  <c r="DB170" i="7"/>
  <c r="DC168" i="7"/>
  <c r="DC170" i="7"/>
  <c r="DC167" i="7"/>
  <c r="DD167" i="7"/>
  <c r="DB167" i="7"/>
  <c r="DE166" i="7"/>
  <c r="DC166" i="7"/>
  <c r="DD166" i="7"/>
  <c r="DB166" i="7"/>
  <c r="DC165" i="7"/>
  <c r="DB165" i="7"/>
  <c r="DE158" i="7"/>
  <c r="DC158" i="7"/>
  <c r="DD158" i="7"/>
  <c r="DB158" i="7"/>
  <c r="DC157" i="7"/>
  <c r="DC159" i="7"/>
  <c r="DB157" i="7"/>
  <c r="DB159" i="7"/>
  <c r="DE156" i="7"/>
  <c r="DC156" i="7"/>
  <c r="DD156" i="7"/>
  <c r="DB156" i="7"/>
  <c r="DB160" i="7"/>
  <c r="DC155" i="7"/>
  <c r="DB155" i="7"/>
  <c r="DE154" i="7"/>
  <c r="DC154" i="7"/>
  <c r="DD154" i="7"/>
  <c r="DB154" i="7"/>
  <c r="DB162" i="7"/>
  <c r="DC148" i="7"/>
  <c r="DD146" i="7"/>
  <c r="DD148" i="7"/>
  <c r="DE146" i="7"/>
  <c r="DE148" i="7"/>
  <c r="DE147" i="7"/>
  <c r="DB147" i="7"/>
  <c r="DC147" i="7"/>
  <c r="DB146" i="7"/>
  <c r="DB148" i="7"/>
  <c r="DC146" i="7"/>
  <c r="DB145" i="7"/>
  <c r="DB144" i="7"/>
  <c r="DB143" i="7"/>
  <c r="DE136" i="7"/>
  <c r="DD136" i="7"/>
  <c r="DB135" i="7"/>
  <c r="DB137" i="7"/>
  <c r="DC135" i="7"/>
  <c r="DC137" i="7"/>
  <c r="DC134" i="7"/>
  <c r="DD134" i="7"/>
  <c r="DB134" i="7"/>
  <c r="DE133" i="7"/>
  <c r="DC133" i="7"/>
  <c r="DD133" i="7"/>
  <c r="DB133" i="7"/>
  <c r="DB139" i="7"/>
  <c r="DC132" i="7"/>
  <c r="DD132" i="7"/>
  <c r="DE132" i="7"/>
  <c r="DB132" i="7"/>
  <c r="DF126" i="7"/>
  <c r="DB126" i="7"/>
  <c r="DB128" i="7"/>
  <c r="DC126" i="7"/>
  <c r="DC128" i="7"/>
  <c r="DD126" i="7"/>
  <c r="DD128" i="7"/>
  <c r="DE126" i="7"/>
  <c r="DB125" i="7"/>
  <c r="DC125" i="7"/>
  <c r="DD125" i="7"/>
  <c r="DE125" i="7"/>
  <c r="DB124" i="7"/>
  <c r="DC124" i="7"/>
  <c r="DB120" i="7"/>
  <c r="DB118" i="7"/>
  <c r="DC116" i="7"/>
  <c r="DC118" i="7"/>
  <c r="DD116" i="7"/>
  <c r="DD118" i="7"/>
  <c r="DE116" i="7"/>
  <c r="DE118" i="7"/>
  <c r="DD117" i="7"/>
  <c r="DE117" i="7"/>
  <c r="DC117" i="7"/>
  <c r="DB116" i="7"/>
  <c r="DC115" i="7"/>
  <c r="DD115" i="7"/>
  <c r="DD119" i="7"/>
  <c r="DB115" i="7"/>
  <c r="DE114" i="7"/>
  <c r="DC114" i="7"/>
  <c r="DD114" i="7"/>
  <c r="DB114" i="7"/>
  <c r="DC113" i="7"/>
  <c r="DD113" i="7"/>
  <c r="DE113" i="7"/>
  <c r="DB113" i="7"/>
  <c r="DB106" i="7"/>
  <c r="DF104" i="7"/>
  <c r="DF103" i="7"/>
  <c r="DF105" i="7"/>
  <c r="DB103" i="7"/>
  <c r="DB105" i="7"/>
  <c r="DC103" i="7"/>
  <c r="DC105" i="7"/>
  <c r="DD103" i="7"/>
  <c r="DD105" i="7"/>
  <c r="DE102" i="7"/>
  <c r="DC102" i="7"/>
  <c r="DD102" i="7"/>
  <c r="DB102" i="7"/>
  <c r="DE101" i="7"/>
  <c r="DD101" i="7"/>
  <c r="DC101" i="7"/>
  <c r="DB101" i="7"/>
  <c r="DF96" i="7"/>
  <c r="DB95" i="7"/>
  <c r="DB97" i="7"/>
  <c r="DC95" i="7"/>
  <c r="DC97" i="7"/>
  <c r="DD95" i="7"/>
  <c r="DD97" i="7"/>
  <c r="DE95" i="7"/>
  <c r="DB94" i="7"/>
  <c r="DE93" i="7"/>
  <c r="DD93" i="7"/>
  <c r="DC93" i="7"/>
  <c r="DB93" i="7"/>
  <c r="DB86" i="7"/>
  <c r="DB84" i="7"/>
  <c r="DC82" i="7"/>
  <c r="DC84" i="7"/>
  <c r="DD83" i="7"/>
  <c r="DE83" i="7"/>
  <c r="DD82" i="7"/>
  <c r="DD84" i="7"/>
  <c r="DE82" i="7"/>
  <c r="DE84" i="7"/>
  <c r="DB82" i="7"/>
  <c r="DD81" i="7"/>
  <c r="DB81" i="7"/>
  <c r="DC81" i="7"/>
  <c r="DD80" i="7"/>
  <c r="DB80" i="7"/>
  <c r="DC80" i="7"/>
  <c r="DD79" i="7"/>
  <c r="DB79" i="7"/>
  <c r="DC79" i="7"/>
  <c r="DB73" i="7"/>
  <c r="DB75" i="7"/>
  <c r="DD72" i="7"/>
  <c r="DE72" i="7"/>
  <c r="DC72" i="7"/>
  <c r="DC71" i="7"/>
  <c r="DC73" i="7"/>
  <c r="DD71" i="7"/>
  <c r="DD73" i="7"/>
  <c r="DE71" i="7"/>
  <c r="DE73" i="7"/>
  <c r="DB71" i="7"/>
  <c r="DC70" i="7"/>
  <c r="DB70" i="7"/>
  <c r="DC69" i="7"/>
  <c r="DB69" i="7"/>
  <c r="DC68" i="7"/>
  <c r="DB68" i="7"/>
  <c r="DD61" i="7"/>
  <c r="DC58" i="7"/>
  <c r="DB58" i="7"/>
  <c r="DE57" i="7"/>
  <c r="DC57" i="7"/>
  <c r="DD57" i="7"/>
  <c r="DB57" i="7"/>
  <c r="DB52" i="7"/>
  <c r="DF50" i="7"/>
  <c r="DF49" i="7"/>
  <c r="DF51" i="7"/>
  <c r="DB49" i="7"/>
  <c r="DB51" i="7"/>
  <c r="DE48" i="7"/>
  <c r="DC48" i="7"/>
  <c r="DD48" i="7"/>
  <c r="DB48" i="7"/>
  <c r="DC47" i="7"/>
  <c r="DD47" i="7"/>
  <c r="DE47" i="7"/>
  <c r="DB47" i="7"/>
  <c r="DE46" i="7"/>
  <c r="DC46" i="7"/>
  <c r="DD46" i="7"/>
  <c r="DB46" i="7"/>
  <c r="DB42" i="7"/>
  <c r="DB41" i="7"/>
  <c r="DF39" i="7"/>
  <c r="DF38" i="7"/>
  <c r="DF40" i="7"/>
  <c r="DB38" i="7"/>
  <c r="DB40" i="7"/>
  <c r="DC38" i="7"/>
  <c r="DC40" i="7"/>
  <c r="DD38" i="7"/>
  <c r="DD40" i="7"/>
  <c r="DE38" i="7"/>
  <c r="DE40" i="7"/>
  <c r="DE42" i="7"/>
  <c r="DE37" i="7"/>
  <c r="DC37" i="7"/>
  <c r="DD37" i="7"/>
  <c r="DB37" i="7"/>
  <c r="DC36" i="7"/>
  <c r="DD36" i="7"/>
  <c r="DB36" i="7"/>
  <c r="DE35" i="7"/>
  <c r="DC35" i="7"/>
  <c r="DD35" i="7"/>
  <c r="DB35" i="7"/>
  <c r="DB43" i="7"/>
  <c r="DB25" i="7"/>
  <c r="DE24" i="7"/>
  <c r="DF24" i="7"/>
  <c r="DF5" i="7"/>
  <c r="DE5" i="7"/>
  <c r="DD5" i="7"/>
  <c r="DC5" i="7"/>
  <c r="DB5" i="7"/>
  <c r="DB4" i="7"/>
  <c r="CW357" i="7"/>
  <c r="DA356" i="7"/>
  <c r="CW356" i="7"/>
  <c r="CW355" i="7"/>
  <c r="DA350" i="7"/>
  <c r="DA349" i="7"/>
  <c r="CW349" i="7"/>
  <c r="CW351" i="7"/>
  <c r="CX349" i="7"/>
  <c r="CX351" i="7"/>
  <c r="CY349" i="7"/>
  <c r="CY351" i="7"/>
  <c r="CZ349" i="7"/>
  <c r="CZ351" i="7"/>
  <c r="DA351" i="7"/>
  <c r="CW348" i="7"/>
  <c r="DA342" i="7"/>
  <c r="DA341" i="7"/>
  <c r="DA343" i="7"/>
  <c r="CW341" i="7"/>
  <c r="CW343" i="7"/>
  <c r="CX341" i="7"/>
  <c r="CX343" i="7"/>
  <c r="CW340" i="7"/>
  <c r="CZ339" i="7"/>
  <c r="CY339" i="7"/>
  <c r="CX339" i="7"/>
  <c r="CW339" i="7"/>
  <c r="DA334" i="7"/>
  <c r="DA333" i="7"/>
  <c r="DA335" i="7"/>
  <c r="CW333" i="7"/>
  <c r="CW335" i="7"/>
  <c r="CW325" i="7"/>
  <c r="CX325" i="7"/>
  <c r="CY325" i="7"/>
  <c r="CZ325" i="7"/>
  <c r="CW324" i="7"/>
  <c r="CW326" i="7"/>
  <c r="CX324" i="7"/>
  <c r="CX326" i="7"/>
  <c r="CY324" i="7"/>
  <c r="CY326" i="7"/>
  <c r="CZ324" i="7"/>
  <c r="CZ326" i="7"/>
  <c r="CW323" i="7"/>
  <c r="CX323" i="7"/>
  <c r="CW322" i="7"/>
  <c r="CX322" i="7"/>
  <c r="CW321" i="7"/>
  <c r="CX321" i="7"/>
  <c r="CW314" i="7"/>
  <c r="CW313" i="7"/>
  <c r="CW312" i="7"/>
  <c r="CX312" i="7"/>
  <c r="CW311" i="7"/>
  <c r="CX311" i="7"/>
  <c r="CW310" i="7"/>
  <c r="CW304" i="7"/>
  <c r="CX302" i="7"/>
  <c r="CX304" i="7"/>
  <c r="CY302" i="7"/>
  <c r="CY304" i="7"/>
  <c r="CZ302" i="7"/>
  <c r="CZ304" i="7"/>
  <c r="CW303" i="7"/>
  <c r="CX303" i="7"/>
  <c r="CY303" i="7"/>
  <c r="CZ303" i="7"/>
  <c r="CW302" i="7"/>
  <c r="CW301" i="7"/>
  <c r="CX301" i="7"/>
  <c r="CW300" i="7"/>
  <c r="CW299" i="7"/>
  <c r="CX299" i="7"/>
  <c r="CW294" i="7"/>
  <c r="CW292" i="7"/>
  <c r="CX292" i="7"/>
  <c r="CY292" i="7"/>
  <c r="CZ292" i="7"/>
  <c r="CW291" i="7"/>
  <c r="CW293" i="7"/>
  <c r="CW290" i="7"/>
  <c r="CX290" i="7"/>
  <c r="CW289" i="7"/>
  <c r="CX289" i="7"/>
  <c r="CW288" i="7"/>
  <c r="CX288" i="7"/>
  <c r="CY284" i="7"/>
  <c r="CZ282" i="7"/>
  <c r="CZ284" i="7"/>
  <c r="DA283" i="7"/>
  <c r="DA282" i="7"/>
  <c r="DA284" i="7"/>
  <c r="CW282" i="7"/>
  <c r="CW284" i="7"/>
  <c r="CX282" i="7"/>
  <c r="CX284" i="7"/>
  <c r="CY282" i="7"/>
  <c r="CW281" i="7"/>
  <c r="CX281" i="7"/>
  <c r="CY281" i="7"/>
  <c r="CZ281" i="7"/>
  <c r="CW280" i="7"/>
  <c r="CW275" i="7"/>
  <c r="CW273" i="7"/>
  <c r="CX273" i="7"/>
  <c r="CY273" i="7"/>
  <c r="CZ273" i="7"/>
  <c r="CW272" i="7"/>
  <c r="CW274" i="7"/>
  <c r="CW271" i="7"/>
  <c r="CX271" i="7"/>
  <c r="CW270" i="7"/>
  <c r="CX270" i="7"/>
  <c r="CW269" i="7"/>
  <c r="CX269" i="7"/>
  <c r="CW262" i="7"/>
  <c r="CX262" i="7"/>
  <c r="CY262" i="7"/>
  <c r="CZ262" i="7"/>
  <c r="CW261" i="7"/>
  <c r="CW263" i="7"/>
  <c r="CX261" i="7"/>
  <c r="CX263" i="7"/>
  <c r="CY261" i="7"/>
  <c r="CY263" i="7"/>
  <c r="CZ261" i="7"/>
  <c r="CZ263" i="7"/>
  <c r="CW260" i="7"/>
  <c r="CX260" i="7"/>
  <c r="CW259" i="7"/>
  <c r="CX259" i="7"/>
  <c r="CW258" i="7"/>
  <c r="CX258" i="7"/>
  <c r="CW251" i="7"/>
  <c r="CX251" i="7"/>
  <c r="CY251" i="7"/>
  <c r="CZ251" i="7"/>
  <c r="CW250" i="7"/>
  <c r="CW252" i="7"/>
  <c r="CX250" i="7"/>
  <c r="CX252" i="7"/>
  <c r="CY250" i="7"/>
  <c r="CY252" i="7"/>
  <c r="CZ250" i="7"/>
  <c r="CZ252" i="7"/>
  <c r="CW249" i="7"/>
  <c r="CX249" i="7"/>
  <c r="CW248" i="7"/>
  <c r="CW247" i="7"/>
  <c r="CX247" i="7"/>
  <c r="CW243" i="7"/>
  <c r="CW240" i="7"/>
  <c r="CX240" i="7"/>
  <c r="CY240" i="7"/>
  <c r="CZ240" i="7"/>
  <c r="CW239" i="7"/>
  <c r="CW241" i="7"/>
  <c r="CX239" i="7"/>
  <c r="CX241" i="7"/>
  <c r="CY239" i="7"/>
  <c r="CY241" i="7"/>
  <c r="CZ239" i="7"/>
  <c r="CZ241" i="7"/>
  <c r="CW238" i="7"/>
  <c r="CX238" i="7"/>
  <c r="CW237" i="7"/>
  <c r="CX237" i="7"/>
  <c r="CW236" i="7"/>
  <c r="CX236" i="7"/>
  <c r="CW229" i="7"/>
  <c r="CW228" i="7"/>
  <c r="CW227" i="7"/>
  <c r="CX227" i="7"/>
  <c r="CW226" i="7"/>
  <c r="CX226" i="7"/>
  <c r="CW225" i="7"/>
  <c r="CX225" i="7"/>
  <c r="DA220" i="7"/>
  <c r="DA219" i="7"/>
  <c r="DA221" i="7"/>
  <c r="CW219" i="7"/>
  <c r="CW221" i="7"/>
  <c r="CX219" i="7"/>
  <c r="CX221" i="7"/>
  <c r="CY219" i="7"/>
  <c r="CY221" i="7"/>
  <c r="CZ219" i="7"/>
  <c r="CZ221" i="7"/>
  <c r="CW218" i="7"/>
  <c r="CX218" i="7"/>
  <c r="CY218" i="7"/>
  <c r="CZ218" i="7"/>
  <c r="CW217" i="7"/>
  <c r="CW211" i="7"/>
  <c r="CX209" i="7"/>
  <c r="CX211" i="7"/>
  <c r="CY209" i="7"/>
  <c r="CY211" i="7"/>
  <c r="CZ209" i="7"/>
  <c r="CZ211" i="7"/>
  <c r="CZ210" i="7"/>
  <c r="CW210" i="7"/>
  <c r="CW209" i="7"/>
  <c r="CY208" i="7"/>
  <c r="CW208" i="7"/>
  <c r="CX208" i="7"/>
  <c r="CW207" i="7"/>
  <c r="CX207" i="7"/>
  <c r="CX213" i="7"/>
  <c r="CY206" i="7"/>
  <c r="CW206" i="7"/>
  <c r="CX206" i="7"/>
  <c r="CZ199" i="7"/>
  <c r="CW199" i="7"/>
  <c r="CW198" i="7"/>
  <c r="CW200" i="7"/>
  <c r="CX198" i="7"/>
  <c r="CX200" i="7"/>
  <c r="CY198" i="7"/>
  <c r="CY200" i="7"/>
  <c r="CZ198" i="7"/>
  <c r="CZ200" i="7"/>
  <c r="CW197" i="7"/>
  <c r="CW196" i="7"/>
  <c r="CW195" i="7"/>
  <c r="CW190" i="7"/>
  <c r="DA189" i="7"/>
  <c r="CW189" i="7"/>
  <c r="CX188" i="7"/>
  <c r="CY188" i="7"/>
  <c r="CZ188" i="7"/>
  <c r="CW188" i="7"/>
  <c r="CX187" i="7"/>
  <c r="CY187" i="7"/>
  <c r="CW187" i="7"/>
  <c r="CW179" i="7"/>
  <c r="CW181" i="7"/>
  <c r="CX179" i="7"/>
  <c r="CX181" i="7"/>
  <c r="CX178" i="7"/>
  <c r="CY178" i="7"/>
  <c r="CW178" i="7"/>
  <c r="CX177" i="7"/>
  <c r="CY177" i="7"/>
  <c r="CW177" i="7"/>
  <c r="CW183" i="7"/>
  <c r="CX176" i="7"/>
  <c r="CW176" i="7"/>
  <c r="CX170" i="7"/>
  <c r="CY168" i="7"/>
  <c r="CY170" i="7"/>
  <c r="CZ168" i="7"/>
  <c r="CZ170" i="7"/>
  <c r="CY169" i="7"/>
  <c r="CZ169" i="7"/>
  <c r="CW168" i="7"/>
  <c r="CW170" i="7"/>
  <c r="CX168" i="7"/>
  <c r="CW167" i="7"/>
  <c r="CW166" i="7"/>
  <c r="CW165" i="7"/>
  <c r="CW159" i="7"/>
  <c r="CX157" i="7"/>
  <c r="CX159" i="7"/>
  <c r="CY157" i="7"/>
  <c r="CY159" i="7"/>
  <c r="CZ157" i="7"/>
  <c r="CZ159" i="7"/>
  <c r="CZ158" i="7"/>
  <c r="CW158" i="7"/>
  <c r="CX158" i="7"/>
  <c r="CY158" i="7"/>
  <c r="CW157" i="7"/>
  <c r="CW156" i="7"/>
  <c r="CW160" i="7"/>
  <c r="CW155" i="7"/>
  <c r="CX155" i="7"/>
  <c r="CW154" i="7"/>
  <c r="CW162" i="7"/>
  <c r="CW148" i="7"/>
  <c r="CW150" i="7"/>
  <c r="CZ147" i="7"/>
  <c r="CX147" i="7"/>
  <c r="CW147" i="7"/>
  <c r="CW146" i="7"/>
  <c r="CY145" i="7"/>
  <c r="CX145" i="7"/>
  <c r="CW145" i="7"/>
  <c r="CY144" i="7"/>
  <c r="CX144" i="7"/>
  <c r="CW144" i="7"/>
  <c r="CY143" i="7"/>
  <c r="CX143" i="7"/>
  <c r="CW143" i="7"/>
  <c r="CY136" i="7"/>
  <c r="CZ136" i="7"/>
  <c r="CW135" i="7"/>
  <c r="CW137" i="7"/>
  <c r="CX135" i="7"/>
  <c r="CX137" i="7"/>
  <c r="CY135" i="7"/>
  <c r="CY137" i="7"/>
  <c r="CZ135" i="7"/>
  <c r="CZ137" i="7"/>
  <c r="CW134" i="7"/>
  <c r="CW133" i="7"/>
  <c r="CW132" i="7"/>
  <c r="DA126" i="7"/>
  <c r="CX126" i="7"/>
  <c r="CX128" i="7"/>
  <c r="CY126" i="7"/>
  <c r="CY128" i="7"/>
  <c r="CZ126" i="7"/>
  <c r="CW126" i="7"/>
  <c r="CW128" i="7"/>
  <c r="CX125" i="7"/>
  <c r="CY125" i="7"/>
  <c r="CZ125" i="7"/>
  <c r="CW125" i="7"/>
  <c r="CX124" i="7"/>
  <c r="CY124" i="7"/>
  <c r="CW124" i="7"/>
  <c r="CW129" i="7"/>
  <c r="CX117" i="7"/>
  <c r="CY117" i="7"/>
  <c r="CZ117" i="7"/>
  <c r="CW116" i="7"/>
  <c r="CW118" i="7"/>
  <c r="CX116" i="7"/>
  <c r="CX118" i="7"/>
  <c r="CY116" i="7"/>
  <c r="CY118" i="7"/>
  <c r="CZ116" i="7"/>
  <c r="CZ118" i="7"/>
  <c r="CW115" i="7"/>
  <c r="CW114" i="7"/>
  <c r="CW113" i="7"/>
  <c r="DA104" i="7"/>
  <c r="DA103" i="7"/>
  <c r="DA105" i="7"/>
  <c r="CW103" i="7"/>
  <c r="CW105" i="7"/>
  <c r="CX103" i="7"/>
  <c r="CX105" i="7"/>
  <c r="CY103" i="7"/>
  <c r="CY105" i="7"/>
  <c r="CW102" i="7"/>
  <c r="CX102" i="7"/>
  <c r="CY102" i="7"/>
  <c r="CZ102" i="7"/>
  <c r="CZ101" i="7"/>
  <c r="CY101" i="7"/>
  <c r="CX101" i="7"/>
  <c r="CW101" i="7"/>
  <c r="CY97" i="7"/>
  <c r="CZ95" i="7"/>
  <c r="CZ97" i="7"/>
  <c r="DA96" i="7"/>
  <c r="CW95" i="7"/>
  <c r="CW97" i="7"/>
  <c r="CX95" i="7"/>
  <c r="CX97" i="7"/>
  <c r="CY95" i="7"/>
  <c r="CX94" i="7"/>
  <c r="CW94" i="7"/>
  <c r="CZ93" i="7"/>
  <c r="CY93" i="7"/>
  <c r="CX93" i="7"/>
  <c r="CX98" i="7"/>
  <c r="CW93" i="7"/>
  <c r="CW98" i="7"/>
  <c r="CX84" i="7"/>
  <c r="CY82" i="7"/>
  <c r="CY84" i="7"/>
  <c r="CZ82" i="7"/>
  <c r="CZ84" i="7"/>
  <c r="CY83" i="7"/>
  <c r="CZ83" i="7"/>
  <c r="CW82" i="7"/>
  <c r="CW84" i="7"/>
  <c r="CX82" i="7"/>
  <c r="CW81" i="7"/>
  <c r="CW80" i="7"/>
  <c r="CW86" i="7"/>
  <c r="CW79" i="7"/>
  <c r="CW73" i="7"/>
  <c r="CW75" i="7"/>
  <c r="CX72" i="7"/>
  <c r="CW71" i="7"/>
  <c r="CW70" i="7"/>
  <c r="CX70" i="7"/>
  <c r="CW69" i="7"/>
  <c r="CX69" i="7"/>
  <c r="CW68" i="7"/>
  <c r="CX68" i="7"/>
  <c r="CY61" i="7"/>
  <c r="CW58" i="7"/>
  <c r="CW57" i="7"/>
  <c r="DA50" i="7"/>
  <c r="DA49" i="7"/>
  <c r="DA51" i="7"/>
  <c r="CW49" i="7"/>
  <c r="CW51" i="7"/>
  <c r="CW48" i="7"/>
  <c r="CW47" i="7"/>
  <c r="CX47" i="7"/>
  <c r="CY47" i="7"/>
  <c r="CZ47" i="7"/>
  <c r="CW46" i="7"/>
  <c r="CX46" i="7"/>
  <c r="DA39" i="7"/>
  <c r="DA38" i="7"/>
  <c r="CW38" i="7"/>
  <c r="CW40" i="7"/>
  <c r="CX38" i="7"/>
  <c r="CX40" i="7"/>
  <c r="CY38" i="7"/>
  <c r="CY40" i="7"/>
  <c r="CZ38" i="7"/>
  <c r="CZ40" i="7"/>
  <c r="CZ42" i="7"/>
  <c r="CX37" i="7"/>
  <c r="CY37" i="7"/>
  <c r="CZ37" i="7"/>
  <c r="CW37" i="7"/>
  <c r="CW36" i="7"/>
  <c r="CW42" i="7"/>
  <c r="CX35" i="7"/>
  <c r="CW35" i="7"/>
  <c r="DA5" i="7"/>
  <c r="CZ5" i="7"/>
  <c r="CY5" i="7"/>
  <c r="CX5" i="7"/>
  <c r="CW5" i="7"/>
  <c r="CW4" i="7"/>
  <c r="CS11" i="57"/>
  <c r="CS10" i="57" s="1"/>
  <c r="CP11" i="57"/>
  <c r="CP10" i="57" s="1"/>
  <c r="CT4" i="57"/>
  <c r="CS4" i="57"/>
  <c r="CR4" i="57"/>
  <c r="CQ4" i="57"/>
  <c r="CP4" i="57"/>
  <c r="CP3" i="57"/>
  <c r="CO4" i="57"/>
  <c r="CN4" i="57"/>
  <c r="CM4" i="57"/>
  <c r="CL4" i="57"/>
  <c r="CK4" i="57"/>
  <c r="CK3" i="57"/>
  <c r="DF5" i="11"/>
  <c r="DE5" i="11"/>
  <c r="DD5" i="11"/>
  <c r="DC5" i="11"/>
  <c r="DB5" i="11"/>
  <c r="DB4" i="11"/>
  <c r="DA5" i="11"/>
  <c r="CZ5" i="11"/>
  <c r="CY5" i="11"/>
  <c r="CX5" i="11"/>
  <c r="CW5" i="11"/>
  <c r="CW4" i="11"/>
  <c r="DF6" i="5"/>
  <c r="DE6" i="5"/>
  <c r="DD6" i="5"/>
  <c r="DC6" i="5"/>
  <c r="DB6" i="5"/>
  <c r="DB5" i="5"/>
  <c r="DE4" i="5"/>
  <c r="DD4" i="5"/>
  <c r="DC4" i="5"/>
  <c r="DB4" i="5"/>
  <c r="DA6" i="5"/>
  <c r="CZ6" i="5"/>
  <c r="CY6" i="5"/>
  <c r="CX6" i="5"/>
  <c r="CW6" i="5"/>
  <c r="CW5" i="5"/>
  <c r="CZ4" i="5"/>
  <c r="CY4" i="5"/>
  <c r="CX4" i="5"/>
  <c r="CW4" i="5"/>
  <c r="DC21" i="59"/>
  <c r="DC46" i="59" s="1"/>
  <c r="DB21" i="59"/>
  <c r="DB46" i="59" s="1"/>
  <c r="DF8" i="59"/>
  <c r="DE8" i="59"/>
  <c r="DD8" i="59"/>
  <c r="DC8" i="59"/>
  <c r="DB8" i="59"/>
  <c r="DB7" i="59"/>
  <c r="DE6" i="59"/>
  <c r="DD6" i="59"/>
  <c r="DC6" i="59"/>
  <c r="DB6" i="59"/>
  <c r="CW26" i="59"/>
  <c r="DB26" i="59"/>
  <c r="CX21" i="59"/>
  <c r="CX46" i="59" s="1"/>
  <c r="CW21" i="59"/>
  <c r="CW46" i="59" s="1"/>
  <c r="DA8" i="59"/>
  <c r="CZ8" i="59"/>
  <c r="CY8" i="59"/>
  <c r="CX8" i="59"/>
  <c r="CW8" i="59"/>
  <c r="CW7" i="59"/>
  <c r="CZ6" i="59"/>
  <c r="CY6" i="59"/>
  <c r="CX6" i="59"/>
  <c r="CW6" i="59"/>
  <c r="DD39" i="56"/>
  <c r="DE39" i="56"/>
  <c r="DC39" i="56"/>
  <c r="DF27" i="56"/>
  <c r="DC17" i="56"/>
  <c r="DC186" i="56"/>
  <c r="DB17" i="56"/>
  <c r="DF8" i="56"/>
  <c r="BQ7" i="33" s="1"/>
  <c r="DE8" i="56"/>
  <c r="BP7" i="33" s="1"/>
  <c r="DD8" i="56"/>
  <c r="BO7" i="33" s="1"/>
  <c r="DC8" i="56"/>
  <c r="BN7" i="33" s="1"/>
  <c r="DB8" i="56"/>
  <c r="BM7" i="33" s="1"/>
  <c r="DB7" i="56"/>
  <c r="CX39" i="56"/>
  <c r="CY39" i="56"/>
  <c r="CZ39" i="56"/>
  <c r="DA27" i="56"/>
  <c r="CX17" i="56"/>
  <c r="CW17" i="56"/>
  <c r="DA8" i="56"/>
  <c r="BL7" i="33" s="1"/>
  <c r="CZ8" i="56"/>
  <c r="BK7" i="33" s="1"/>
  <c r="CY8" i="56"/>
  <c r="BJ7" i="33" s="1"/>
  <c r="CX8" i="56"/>
  <c r="BI7" i="33" s="1"/>
  <c r="CW8" i="56"/>
  <c r="BH7" i="33" s="1"/>
  <c r="CW7" i="56"/>
  <c r="DF20" i="1"/>
  <c r="DF112" i="1"/>
  <c r="DA20" i="1"/>
  <c r="DA112" i="1"/>
  <c r="DE127" i="7"/>
  <c r="DF127" i="7"/>
  <c r="DE97" i="7"/>
  <c r="DF95" i="7"/>
  <c r="DF97" i="7"/>
  <c r="DD135" i="7"/>
  <c r="DD137" i="7"/>
  <c r="DE135" i="7"/>
  <c r="DE137" i="7"/>
  <c r="DC139" i="7"/>
  <c r="DC138" i="7"/>
  <c r="DC140" i="7"/>
  <c r="DD106" i="7"/>
  <c r="DE103" i="7"/>
  <c r="DE105" i="7"/>
  <c r="DE106" i="7"/>
  <c r="DF106" i="7"/>
  <c r="DD168" i="7"/>
  <c r="DD170" i="7"/>
  <c r="DE168" i="7"/>
  <c r="DE170" i="7"/>
  <c r="DC172" i="7"/>
  <c r="DD41" i="7"/>
  <c r="DC49" i="7"/>
  <c r="DC51" i="7"/>
  <c r="DD68" i="7"/>
  <c r="DC74" i="7"/>
  <c r="DC76" i="7"/>
  <c r="DD70" i="7"/>
  <c r="DC86" i="7"/>
  <c r="DB85" i="7"/>
  <c r="DB87" i="7"/>
  <c r="DC98" i="7"/>
  <c r="DC106" i="7"/>
  <c r="DB119" i="7"/>
  <c r="DB121" i="7"/>
  <c r="DB129" i="7"/>
  <c r="DB138" i="7"/>
  <c r="DB140" i="7"/>
  <c r="DC144" i="7"/>
  <c r="DB150" i="7"/>
  <c r="DD157" i="7"/>
  <c r="DD159" i="7"/>
  <c r="DE157" i="7"/>
  <c r="DE159" i="7"/>
  <c r="DC160" i="7"/>
  <c r="DC162" i="7"/>
  <c r="DD178" i="7"/>
  <c r="DC182" i="7"/>
  <c r="DE202" i="7"/>
  <c r="DD202" i="7"/>
  <c r="DD225" i="7"/>
  <c r="DC229" i="7"/>
  <c r="DB230" i="7"/>
  <c r="DC228" i="7"/>
  <c r="DC230" i="7"/>
  <c r="DD228" i="7"/>
  <c r="DC260" i="7"/>
  <c r="DB264" i="7"/>
  <c r="DC276" i="7"/>
  <c r="DD270" i="7"/>
  <c r="DC285" i="7"/>
  <c r="DD280" i="7"/>
  <c r="DD301" i="7"/>
  <c r="DC317" i="7"/>
  <c r="DD311" i="7"/>
  <c r="DD321" i="7"/>
  <c r="DC344" i="7"/>
  <c r="DD340" i="7"/>
  <c r="DC352" i="7"/>
  <c r="DD348" i="7"/>
  <c r="DD355" i="7"/>
  <c r="DD138" i="7"/>
  <c r="DD42" i="7"/>
  <c r="DB98" i="7"/>
  <c r="DD43" i="7"/>
  <c r="DE36" i="7"/>
  <c r="DB53" i="7"/>
  <c r="DC75" i="7"/>
  <c r="DD69" i="7"/>
  <c r="DC85" i="7"/>
  <c r="DC87" i="7"/>
  <c r="DE98" i="7"/>
  <c r="DD120" i="7"/>
  <c r="DE115" i="7"/>
  <c r="DE119" i="7"/>
  <c r="DE121" i="7"/>
  <c r="DF128" i="7"/>
  <c r="DD139" i="7"/>
  <c r="DE134" i="7"/>
  <c r="DE138" i="7"/>
  <c r="DE140" i="7"/>
  <c r="DE160" i="7"/>
  <c r="DE162" i="7"/>
  <c r="DE172" i="7"/>
  <c r="DE183" i="7"/>
  <c r="DD214" i="7"/>
  <c r="DE206" i="7"/>
  <c r="DE214" i="7"/>
  <c r="DD212" i="7"/>
  <c r="DE208" i="7"/>
  <c r="DE212" i="7"/>
  <c r="DD249" i="7"/>
  <c r="DE41" i="7"/>
  <c r="DD86" i="7"/>
  <c r="DE80" i="7"/>
  <c r="DE86" i="7"/>
  <c r="DD98" i="7"/>
  <c r="DB54" i="7"/>
  <c r="DE79" i="7"/>
  <c r="DE87" i="7"/>
  <c r="DD85" i="7"/>
  <c r="DD87" i="7"/>
  <c r="DE81" i="7"/>
  <c r="DE85" i="7"/>
  <c r="DB109" i="7"/>
  <c r="DC94" i="7"/>
  <c r="DD121" i="7"/>
  <c r="DE120" i="7"/>
  <c r="DD124" i="7"/>
  <c r="DC129" i="7"/>
  <c r="DD140" i="7"/>
  <c r="DE139" i="7"/>
  <c r="DD155" i="7"/>
  <c r="DC161" i="7"/>
  <c r="DD165" i="7"/>
  <c r="DB243" i="7"/>
  <c r="DC250" i="7"/>
  <c r="DC252" i="7"/>
  <c r="DD250" i="7"/>
  <c r="DD252" i="7"/>
  <c r="DE250" i="7"/>
  <c r="DE252" i="7"/>
  <c r="DB254" i="7"/>
  <c r="DC41" i="7"/>
  <c r="DC42" i="7"/>
  <c r="DF42" i="7"/>
  <c r="DC52" i="7"/>
  <c r="DC119" i="7"/>
  <c r="DC120" i="7"/>
  <c r="DC121" i="7"/>
  <c r="DD162" i="7"/>
  <c r="DB171" i="7"/>
  <c r="DD183" i="7"/>
  <c r="DC183" i="7"/>
  <c r="DB192" i="7"/>
  <c r="DC201" i="7"/>
  <c r="DC203" i="7"/>
  <c r="DB201" i="7"/>
  <c r="DB203" i="7"/>
  <c r="DB222" i="7"/>
  <c r="DC217" i="7"/>
  <c r="DD226" i="7"/>
  <c r="DD236" i="7"/>
  <c r="DC244" i="7"/>
  <c r="DC43" i="7"/>
  <c r="DC54" i="7"/>
  <c r="DB74" i="7"/>
  <c r="DB76" i="7"/>
  <c r="DC143" i="7"/>
  <c r="DB151" i="7"/>
  <c r="DC145" i="7"/>
  <c r="DB149" i="7"/>
  <c r="DB172" i="7"/>
  <c r="DD171" i="7"/>
  <c r="DD192" i="7"/>
  <c r="DE201" i="7"/>
  <c r="DE203" i="7"/>
  <c r="DD201" i="7"/>
  <c r="DD203" i="7"/>
  <c r="DD213" i="7"/>
  <c r="DE207" i="7"/>
  <c r="DE213" i="7"/>
  <c r="DD227" i="7"/>
  <c r="DD237" i="7"/>
  <c r="DC243" i="7"/>
  <c r="DB255" i="7"/>
  <c r="DC247" i="7"/>
  <c r="DD58" i="7"/>
  <c r="DE61" i="7"/>
  <c r="DB161" i="7"/>
  <c r="DD160" i="7"/>
  <c r="DB173" i="7"/>
  <c r="DD172" i="7"/>
  <c r="DE167" i="7"/>
  <c r="DE171" i="7"/>
  <c r="DC171" i="7"/>
  <c r="DC173" i="7"/>
  <c r="DE176" i="7"/>
  <c r="DB182" i="7"/>
  <c r="DB184" i="7"/>
  <c r="DC184" i="7"/>
  <c r="DE187" i="7"/>
  <c r="DE192" i="7"/>
  <c r="DC192" i="7"/>
  <c r="DC202" i="7"/>
  <c r="DB202" i="7"/>
  <c r="DC214" i="7"/>
  <c r="DC212" i="7"/>
  <c r="DB213" i="7"/>
  <c r="DB232" i="7"/>
  <c r="DD238" i="7"/>
  <c r="DC242" i="7"/>
  <c r="DB242" i="7"/>
  <c r="DB244" i="7"/>
  <c r="DC254" i="7"/>
  <c r="DD248" i="7"/>
  <c r="DC263" i="7"/>
  <c r="DD261" i="7"/>
  <c r="DD263" i="7"/>
  <c r="DE261" i="7"/>
  <c r="DE263" i="7"/>
  <c r="DC275" i="7"/>
  <c r="DD271" i="7"/>
  <c r="DD288" i="7"/>
  <c r="DC304" i="7"/>
  <c r="DD302" i="7"/>
  <c r="DD304" i="7"/>
  <c r="DE302" i="7"/>
  <c r="DE304" i="7"/>
  <c r="DC316" i="7"/>
  <c r="DC318" i="7"/>
  <c r="DD312" i="7"/>
  <c r="DD322" i="7"/>
  <c r="DC333" i="7"/>
  <c r="DC335" i="7"/>
  <c r="DB336" i="7"/>
  <c r="DC345" i="7"/>
  <c r="DD341" i="7"/>
  <c r="DD343" i="7"/>
  <c r="DE341" i="7"/>
  <c r="DE343" i="7"/>
  <c r="DE345" i="7"/>
  <c r="DB362" i="7"/>
  <c r="DC258" i="7"/>
  <c r="DB266" i="7"/>
  <c r="DC295" i="7"/>
  <c r="DD289" i="7"/>
  <c r="DD299" i="7"/>
  <c r="DD323" i="7"/>
  <c r="DC259" i="7"/>
  <c r="DB265" i="7"/>
  <c r="DC277" i="7"/>
  <c r="DD269" i="7"/>
  <c r="DC294" i="7"/>
  <c r="DC296" i="7"/>
  <c r="DD290" i="7"/>
  <c r="DC306" i="7"/>
  <c r="DD300" i="7"/>
  <c r="DD310" i="7"/>
  <c r="DC326" i="7"/>
  <c r="DD324" i="7"/>
  <c r="DD326" i="7"/>
  <c r="DE324" i="7"/>
  <c r="DE326" i="7"/>
  <c r="DC357" i="7"/>
  <c r="DB358" i="7"/>
  <c r="DC356" i="7"/>
  <c r="DB285" i="7"/>
  <c r="DB344" i="7"/>
  <c r="DB352" i="7"/>
  <c r="DB359" i="7"/>
  <c r="DB275" i="7"/>
  <c r="DB276" i="7"/>
  <c r="DB277" i="7"/>
  <c r="DB294" i="7"/>
  <c r="DB296" i="7"/>
  <c r="DB295" i="7"/>
  <c r="DB305" i="7"/>
  <c r="DB307" i="7"/>
  <c r="DB306" i="7"/>
  <c r="DB316" i="7"/>
  <c r="DB317" i="7"/>
  <c r="DB318" i="7"/>
  <c r="DB327" i="7"/>
  <c r="DB328" i="7"/>
  <c r="DB329" i="7"/>
  <c r="CY106" i="7"/>
  <c r="CZ103" i="7"/>
  <c r="CZ105" i="7"/>
  <c r="CZ106" i="7"/>
  <c r="CZ128" i="7"/>
  <c r="CZ127" i="7"/>
  <c r="DA127" i="7"/>
  <c r="CX106" i="7"/>
  <c r="CX36" i="7"/>
  <c r="CX49" i="7"/>
  <c r="CX51" i="7"/>
  <c r="CW53" i="7"/>
  <c r="CX58" i="7"/>
  <c r="CX75" i="7"/>
  <c r="CY98" i="7"/>
  <c r="DA98" i="7"/>
  <c r="CX113" i="7"/>
  <c r="CX133" i="7"/>
  <c r="CW139" i="7"/>
  <c r="CZ145" i="7"/>
  <c r="CY149" i="7"/>
  <c r="CW161" i="7"/>
  <c r="CZ208" i="7"/>
  <c r="CZ212" i="7"/>
  <c r="CY212" i="7"/>
  <c r="CW253" i="7"/>
  <c r="CW255" i="7"/>
  <c r="CY341" i="7"/>
  <c r="CY343" i="7"/>
  <c r="CZ341" i="7"/>
  <c r="CZ343" i="7"/>
  <c r="CX345" i="7"/>
  <c r="CX43" i="7"/>
  <c r="CY35" i="7"/>
  <c r="CZ143" i="7"/>
  <c r="CY151" i="7"/>
  <c r="CW41" i="7"/>
  <c r="DA40" i="7"/>
  <c r="CX41" i="7"/>
  <c r="CY46" i="7"/>
  <c r="CY69" i="7"/>
  <c r="CW85" i="7"/>
  <c r="CW87" i="7"/>
  <c r="CZ98" i="7"/>
  <c r="DA95" i="7"/>
  <c r="DA97" i="7"/>
  <c r="CW106" i="7"/>
  <c r="CX114" i="7"/>
  <c r="CW120" i="7"/>
  <c r="CX134" i="7"/>
  <c r="CW138" i="7"/>
  <c r="CW140" i="7"/>
  <c r="CZ144" i="7"/>
  <c r="CX161" i="7"/>
  <c r="CY155" i="7"/>
  <c r="CX165" i="7"/>
  <c r="CY176" i="7"/>
  <c r="CZ178" i="7"/>
  <c r="CZ182" i="7"/>
  <c r="CZ187" i="7"/>
  <c r="CZ206" i="7"/>
  <c r="CZ214" i="7"/>
  <c r="CY214" i="7"/>
  <c r="CX253" i="7"/>
  <c r="CY249" i="7"/>
  <c r="CZ41" i="7"/>
  <c r="CY41" i="7"/>
  <c r="CX115" i="7"/>
  <c r="CW119" i="7"/>
  <c r="CW121" i="7"/>
  <c r="CY129" i="7"/>
  <c r="CZ124" i="7"/>
  <c r="CX129" i="7"/>
  <c r="CY179" i="7"/>
  <c r="CY181" i="7"/>
  <c r="CZ179" i="7"/>
  <c r="CZ181" i="7"/>
  <c r="CX183" i="7"/>
  <c r="CX310" i="7"/>
  <c r="CX314" i="7"/>
  <c r="CY314" i="7"/>
  <c r="CZ314" i="7"/>
  <c r="CW315" i="7"/>
  <c r="CX313" i="7"/>
  <c r="CX315" i="7"/>
  <c r="CY313" i="7"/>
  <c r="CY315" i="7"/>
  <c r="CZ313" i="7"/>
  <c r="CZ315" i="7"/>
  <c r="CX48" i="7"/>
  <c r="CW52" i="7"/>
  <c r="CW54" i="7"/>
  <c r="CX57" i="7"/>
  <c r="CY68" i="7"/>
  <c r="CY70" i="7"/>
  <c r="CX109" i="7"/>
  <c r="CY94" i="7"/>
  <c r="CW109" i="7"/>
  <c r="DA128" i="7"/>
  <c r="CX132" i="7"/>
  <c r="CW171" i="7"/>
  <c r="CW173" i="7"/>
  <c r="CX167" i="7"/>
  <c r="CX182" i="7"/>
  <c r="CX184" i="7"/>
  <c r="CY225" i="7"/>
  <c r="CX229" i="7"/>
  <c r="CX362" i="7"/>
  <c r="CW230" i="7"/>
  <c r="CX228" i="7"/>
  <c r="CW25" i="7"/>
  <c r="CX355" i="7"/>
  <c r="CW359" i="7"/>
  <c r="CZ61" i="7"/>
  <c r="DA61" i="7"/>
  <c r="CX79" i="7"/>
  <c r="CX80" i="7"/>
  <c r="CX81" i="7"/>
  <c r="CX154" i="7"/>
  <c r="CX156" i="7"/>
  <c r="CW172" i="7"/>
  <c r="CX166" i="7"/>
  <c r="CZ177" i="7"/>
  <c r="CZ183" i="7"/>
  <c r="DA190" i="7"/>
  <c r="DA191" i="7"/>
  <c r="CW191" i="7"/>
  <c r="CX189" i="7"/>
  <c r="CX191" i="7"/>
  <c r="CX196" i="7"/>
  <c r="CW202" i="7"/>
  <c r="CY207" i="7"/>
  <c r="CW212" i="7"/>
  <c r="CW214" i="7"/>
  <c r="CY227" i="7"/>
  <c r="CW231" i="7"/>
  <c r="CW233" i="7"/>
  <c r="CX243" i="7"/>
  <c r="CY237" i="7"/>
  <c r="CX255" i="7"/>
  <c r="CY247" i="7"/>
  <c r="CY271" i="7"/>
  <c r="CX294" i="7"/>
  <c r="CY290" i="7"/>
  <c r="CX71" i="7"/>
  <c r="CX73" i="7"/>
  <c r="CY71" i="7"/>
  <c r="CY72" i="7"/>
  <c r="CZ72" i="7"/>
  <c r="CX146" i="7"/>
  <c r="CX148" i="7"/>
  <c r="CY146" i="7"/>
  <c r="CY148" i="7"/>
  <c r="CZ146" i="7"/>
  <c r="CZ148" i="7"/>
  <c r="CW184" i="7"/>
  <c r="CW182" i="7"/>
  <c r="CW192" i="7"/>
  <c r="CX197" i="7"/>
  <c r="CW201" i="7"/>
  <c r="CW203" i="7"/>
  <c r="CX212" i="7"/>
  <c r="CX214" i="7"/>
  <c r="CW213" i="7"/>
  <c r="CW232" i="7"/>
  <c r="CX242" i="7"/>
  <c r="CY238" i="7"/>
  <c r="CW242" i="7"/>
  <c r="CW244" i="7"/>
  <c r="CX248" i="7"/>
  <c r="CW254" i="7"/>
  <c r="CW265" i="7"/>
  <c r="CX272" i="7"/>
  <c r="CX274" i="7"/>
  <c r="CY272" i="7"/>
  <c r="CY274" i="7"/>
  <c r="CZ272" i="7"/>
  <c r="CZ274" i="7"/>
  <c r="CW276" i="7"/>
  <c r="CX291" i="7"/>
  <c r="CX293" i="7"/>
  <c r="CY291" i="7"/>
  <c r="CY293" i="7"/>
  <c r="CZ291" i="7"/>
  <c r="CZ293" i="7"/>
  <c r="CW295" i="7"/>
  <c r="CX300" i="7"/>
  <c r="CW306" i="7"/>
  <c r="CW328" i="7"/>
  <c r="CW74" i="7"/>
  <c r="CW76" i="7"/>
  <c r="CW149" i="7"/>
  <c r="CW151" i="7"/>
  <c r="CX195" i="7"/>
  <c r="CX217" i="7"/>
  <c r="CW222" i="7"/>
  <c r="CY226" i="7"/>
  <c r="CX244" i="7"/>
  <c r="CY236" i="7"/>
  <c r="CW362" i="7"/>
  <c r="CX265" i="7"/>
  <c r="CY259" i="7"/>
  <c r="CY269" i="7"/>
  <c r="CW277" i="7"/>
  <c r="CX296" i="7"/>
  <c r="CY288" i="7"/>
  <c r="CW296" i="7"/>
  <c r="CY312" i="7"/>
  <c r="CX328" i="7"/>
  <c r="CY322" i="7"/>
  <c r="CX333" i="7"/>
  <c r="CX335" i="7"/>
  <c r="CW336" i="7"/>
  <c r="CZ345" i="7"/>
  <c r="CX348" i="7"/>
  <c r="CW352" i="7"/>
  <c r="CX264" i="7"/>
  <c r="CY260" i="7"/>
  <c r="CW264" i="7"/>
  <c r="CX276" i="7"/>
  <c r="CY270" i="7"/>
  <c r="CX280" i="7"/>
  <c r="CW285" i="7"/>
  <c r="CX295" i="7"/>
  <c r="CY289" i="7"/>
  <c r="CY299" i="7"/>
  <c r="CW307" i="7"/>
  <c r="CX327" i="7"/>
  <c r="CX329" i="7"/>
  <c r="CY323" i="7"/>
  <c r="CW327" i="7"/>
  <c r="CW329" i="7"/>
  <c r="CW345" i="7"/>
  <c r="CX340" i="7"/>
  <c r="CW344" i="7"/>
  <c r="CX266" i="7"/>
  <c r="CY258" i="7"/>
  <c r="CW266" i="7"/>
  <c r="CX305" i="7"/>
  <c r="CX307" i="7"/>
  <c r="CY301" i="7"/>
  <c r="CW305" i="7"/>
  <c r="CY311" i="7"/>
  <c r="CY321" i="7"/>
  <c r="CY345" i="7"/>
  <c r="CX357" i="7"/>
  <c r="CW358" i="7"/>
  <c r="CX356" i="7"/>
  <c r="DB186" i="56"/>
  <c r="CW186" i="56"/>
  <c r="CX186" i="56"/>
  <c r="CH56" i="1"/>
  <c r="DC358" i="7"/>
  <c r="DD357" i="7"/>
  <c r="DE310" i="7"/>
  <c r="DE290" i="7"/>
  <c r="DE294" i="7"/>
  <c r="DD294" i="7"/>
  <c r="DC327" i="7"/>
  <c r="DC329" i="7"/>
  <c r="DE322" i="7"/>
  <c r="DE328" i="7"/>
  <c r="DD328" i="7"/>
  <c r="DC362" i="7"/>
  <c r="DD247" i="7"/>
  <c r="DB231" i="7"/>
  <c r="DB233" i="7"/>
  <c r="DD143" i="7"/>
  <c r="DE236" i="7"/>
  <c r="DC109" i="7"/>
  <c r="DD94" i="7"/>
  <c r="DE249" i="7"/>
  <c r="DE253" i="7"/>
  <c r="DD253" i="7"/>
  <c r="DF98" i="7"/>
  <c r="DE355" i="7"/>
  <c r="DD344" i="7"/>
  <c r="DE340" i="7"/>
  <c r="DE344" i="7"/>
  <c r="DC305" i="7"/>
  <c r="DC307" i="7"/>
  <c r="DD229" i="7"/>
  <c r="DC25" i="7"/>
  <c r="DE68" i="7"/>
  <c r="DE128" i="7"/>
  <c r="DE323" i="7"/>
  <c r="DE327" i="7"/>
  <c r="DD327" i="7"/>
  <c r="DE289" i="7"/>
  <c r="DE295" i="7"/>
  <c r="DD295" i="7"/>
  <c r="DC336" i="7"/>
  <c r="DD333" i="7"/>
  <c r="DD335" i="7"/>
  <c r="DE271" i="7"/>
  <c r="DE275" i="7"/>
  <c r="DD275" i="7"/>
  <c r="DE58" i="7"/>
  <c r="DE237" i="7"/>
  <c r="DE243" i="7"/>
  <c r="DD243" i="7"/>
  <c r="DD217" i="7"/>
  <c r="DC222" i="7"/>
  <c r="DD173" i="7"/>
  <c r="DE165" i="7"/>
  <c r="DE173" i="7"/>
  <c r="DC253" i="7"/>
  <c r="DC255" i="7"/>
  <c r="DE301" i="7"/>
  <c r="DE305" i="7"/>
  <c r="DD305" i="7"/>
  <c r="DD307" i="7"/>
  <c r="DC265" i="7"/>
  <c r="DD259" i="7"/>
  <c r="DE299" i="7"/>
  <c r="DE307" i="7"/>
  <c r="DC328" i="7"/>
  <c r="DE288" i="7"/>
  <c r="DE296" i="7"/>
  <c r="DD296" i="7"/>
  <c r="DF61" i="7"/>
  <c r="DC231" i="7"/>
  <c r="DC233" i="7"/>
  <c r="DC232" i="7"/>
  <c r="DF192" i="7"/>
  <c r="DD161" i="7"/>
  <c r="DE155" i="7"/>
  <c r="DE161" i="7"/>
  <c r="DE124" i="7"/>
  <c r="DE129" i="7"/>
  <c r="DD129" i="7"/>
  <c r="DF129" i="7"/>
  <c r="DE311" i="7"/>
  <c r="DE317" i="7"/>
  <c r="DD317" i="7"/>
  <c r="DD285" i="7"/>
  <c r="DE280" i="7"/>
  <c r="DE285" i="7"/>
  <c r="DF285" i="7"/>
  <c r="DD49" i="7"/>
  <c r="DD51" i="7"/>
  <c r="DC53" i="7"/>
  <c r="DE321" i="7"/>
  <c r="DE329" i="7"/>
  <c r="DD329" i="7"/>
  <c r="DE270" i="7"/>
  <c r="DE276" i="7"/>
  <c r="DD276" i="7"/>
  <c r="DD230" i="7"/>
  <c r="DE228" i="7"/>
  <c r="DE300" i="7"/>
  <c r="DE306" i="7"/>
  <c r="DD306" i="7"/>
  <c r="DE269" i="7"/>
  <c r="DE277" i="7"/>
  <c r="DD277" i="7"/>
  <c r="DD345" i="7"/>
  <c r="DF345" i="7"/>
  <c r="DD258" i="7"/>
  <c r="DE312" i="7"/>
  <c r="DE316" i="7"/>
  <c r="DD316" i="7"/>
  <c r="DD318" i="7"/>
  <c r="DD254" i="7"/>
  <c r="DE248" i="7"/>
  <c r="DE254" i="7"/>
  <c r="DE238" i="7"/>
  <c r="DE242" i="7"/>
  <c r="DD242" i="7"/>
  <c r="DD244" i="7"/>
  <c r="DE227" i="7"/>
  <c r="DD231" i="7"/>
  <c r="DD145" i="7"/>
  <c r="DC149" i="7"/>
  <c r="DC151" i="7"/>
  <c r="DE226" i="7"/>
  <c r="DD232" i="7"/>
  <c r="DE69" i="7"/>
  <c r="DE75" i="7"/>
  <c r="DD75" i="7"/>
  <c r="DD352" i="7"/>
  <c r="DF352" i="7"/>
  <c r="DE348" i="7"/>
  <c r="DE352" i="7"/>
  <c r="DC264" i="7"/>
  <c r="DC266" i="7"/>
  <c r="DD260" i="7"/>
  <c r="DE225" i="7"/>
  <c r="DD233" i="7"/>
  <c r="DD182" i="7"/>
  <c r="DD184" i="7"/>
  <c r="DE178" i="7"/>
  <c r="DE182" i="7"/>
  <c r="DE184" i="7"/>
  <c r="DD144" i="7"/>
  <c r="DC150" i="7"/>
  <c r="DE70" i="7"/>
  <c r="DE74" i="7"/>
  <c r="DD74" i="7"/>
  <c r="DD76" i="7"/>
  <c r="DB17" i="7"/>
  <c r="DE43" i="7"/>
  <c r="DA362" i="7"/>
  <c r="CY333" i="7"/>
  <c r="CY335" i="7"/>
  <c r="CX336" i="7"/>
  <c r="CZ259" i="7"/>
  <c r="CZ265" i="7"/>
  <c r="CY265" i="7"/>
  <c r="CZ236" i="7"/>
  <c r="CZ244" i="7"/>
  <c r="CY244" i="7"/>
  <c r="CX254" i="7"/>
  <c r="CY248" i="7"/>
  <c r="CZ290" i="7"/>
  <c r="CZ294" i="7"/>
  <c r="CY294" i="7"/>
  <c r="CY167" i="7"/>
  <c r="CX171" i="7"/>
  <c r="CX173" i="7"/>
  <c r="CY132" i="7"/>
  <c r="CY57" i="7"/>
  <c r="CY114" i="7"/>
  <c r="CX120" i="7"/>
  <c r="CX317" i="7"/>
  <c r="CZ323" i="7"/>
  <c r="CZ327" i="7"/>
  <c r="CY327" i="7"/>
  <c r="CZ299" i="7"/>
  <c r="CY307" i="7"/>
  <c r="CZ322" i="7"/>
  <c r="CZ328" i="7"/>
  <c r="CY328" i="7"/>
  <c r="CX306" i="7"/>
  <c r="CY300" i="7"/>
  <c r="CZ227" i="7"/>
  <c r="CY79" i="7"/>
  <c r="CX87" i="7"/>
  <c r="CZ225" i="7"/>
  <c r="CZ70" i="7"/>
  <c r="CY165" i="7"/>
  <c r="DA106" i="7"/>
  <c r="CZ46" i="7"/>
  <c r="CZ321" i="7"/>
  <c r="CY329" i="7"/>
  <c r="CZ258" i="7"/>
  <c r="CY340" i="7"/>
  <c r="CX344" i="7"/>
  <c r="CY280" i="7"/>
  <c r="CX285" i="7"/>
  <c r="CZ260" i="7"/>
  <c r="CZ264" i="7"/>
  <c r="CY264" i="7"/>
  <c r="CY266" i="7"/>
  <c r="CZ269" i="7"/>
  <c r="CZ226" i="7"/>
  <c r="CZ238" i="7"/>
  <c r="CZ242" i="7"/>
  <c r="CY242" i="7"/>
  <c r="CZ271" i="7"/>
  <c r="CZ275" i="7"/>
  <c r="CY275" i="7"/>
  <c r="CY277" i="7"/>
  <c r="CZ237" i="7"/>
  <c r="CZ243" i="7"/>
  <c r="CY243" i="7"/>
  <c r="CX202" i="7"/>
  <c r="CY196" i="7"/>
  <c r="CY183" i="7"/>
  <c r="CY154" i="7"/>
  <c r="CX149" i="7"/>
  <c r="CX151" i="7"/>
  <c r="CZ68" i="7"/>
  <c r="CY48" i="7"/>
  <c r="CX52" i="7"/>
  <c r="CX54" i="7"/>
  <c r="CY115" i="7"/>
  <c r="CX119" i="7"/>
  <c r="CX121" i="7"/>
  <c r="CY253" i="7"/>
  <c r="CY255" i="7"/>
  <c r="CZ249" i="7"/>
  <c r="CZ253" i="7"/>
  <c r="CZ150" i="7"/>
  <c r="CZ69" i="7"/>
  <c r="CZ75" i="7"/>
  <c r="CX74" i="7"/>
  <c r="CX76" i="7"/>
  <c r="CX150" i="7"/>
  <c r="CY113" i="7"/>
  <c r="CY49" i="7"/>
  <c r="CY51" i="7"/>
  <c r="CX53" i="7"/>
  <c r="CZ311" i="7"/>
  <c r="CZ317" i="7"/>
  <c r="CY317" i="7"/>
  <c r="CZ312" i="7"/>
  <c r="CZ316" i="7"/>
  <c r="CY316" i="7"/>
  <c r="CZ247" i="7"/>
  <c r="CZ255" i="7"/>
  <c r="CZ207" i="7"/>
  <c r="CZ213" i="7"/>
  <c r="CY213" i="7"/>
  <c r="CY80" i="7"/>
  <c r="CX86" i="7"/>
  <c r="CY229" i="7"/>
  <c r="CX25" i="7"/>
  <c r="CX139" i="7"/>
  <c r="CY133" i="7"/>
  <c r="CY348" i="7"/>
  <c r="CX352" i="7"/>
  <c r="CX316" i="7"/>
  <c r="CY217" i="7"/>
  <c r="CX222" i="7"/>
  <c r="CX201" i="7"/>
  <c r="CY197" i="7"/>
  <c r="CY156" i="7"/>
  <c r="CX160" i="7"/>
  <c r="CX162" i="7"/>
  <c r="CY355" i="7"/>
  <c r="CY182" i="7"/>
  <c r="CY184" i="7"/>
  <c r="CY150" i="7"/>
  <c r="CX138" i="7"/>
  <c r="CX140" i="7"/>
  <c r="CY134" i="7"/>
  <c r="CW43" i="7"/>
  <c r="CZ149" i="7"/>
  <c r="CZ151" i="7"/>
  <c r="CX358" i="7"/>
  <c r="CY356" i="7"/>
  <c r="CY357" i="7"/>
  <c r="CZ301" i="7"/>
  <c r="CZ305" i="7"/>
  <c r="CY305" i="7"/>
  <c r="DA345" i="7"/>
  <c r="CW317" i="7"/>
  <c r="CW17" i="7"/>
  <c r="CZ289" i="7"/>
  <c r="CZ295" i="7"/>
  <c r="CY295" i="7"/>
  <c r="CZ270" i="7"/>
  <c r="CZ276" i="7"/>
  <c r="CY276" i="7"/>
  <c r="CW316" i="7"/>
  <c r="CW318" i="7"/>
  <c r="CZ288" i="7"/>
  <c r="CY296" i="7"/>
  <c r="CX203" i="7"/>
  <c r="CY195" i="7"/>
  <c r="CY73" i="7"/>
  <c r="CZ71" i="7"/>
  <c r="CZ73" i="7"/>
  <c r="CX275" i="7"/>
  <c r="CX277" i="7"/>
  <c r="CY189" i="7"/>
  <c r="CY191" i="7"/>
  <c r="CX192" i="7"/>
  <c r="CY166" i="7"/>
  <c r="CX172" i="7"/>
  <c r="CY81" i="7"/>
  <c r="CX85" i="7"/>
  <c r="CX230" i="7"/>
  <c r="CY109" i="7"/>
  <c r="CZ94" i="7"/>
  <c r="CX318" i="7"/>
  <c r="CY310" i="7"/>
  <c r="CZ129" i="7"/>
  <c r="DA129" i="7"/>
  <c r="CZ176" i="7"/>
  <c r="CZ184" i="7"/>
  <c r="CY161" i="7"/>
  <c r="CZ155" i="7"/>
  <c r="CZ161" i="7"/>
  <c r="CZ35" i="7"/>
  <c r="CZ43" i="7"/>
  <c r="CY43" i="7"/>
  <c r="CY58" i="7"/>
  <c r="CY36" i="7"/>
  <c r="CX42" i="7"/>
  <c r="DE217" i="7"/>
  <c r="DE222" i="7"/>
  <c r="DD222" i="7"/>
  <c r="DF222" i="7"/>
  <c r="DE76" i="7"/>
  <c r="DD151" i="7"/>
  <c r="DE143" i="7"/>
  <c r="DE357" i="7"/>
  <c r="DD150" i="7"/>
  <c r="DE144" i="7"/>
  <c r="DE150" i="7"/>
  <c r="DD356" i="7"/>
  <c r="DD358" i="7"/>
  <c r="DC359" i="7"/>
  <c r="DE260" i="7"/>
  <c r="DE264" i="7"/>
  <c r="DD264" i="7"/>
  <c r="DD149" i="7"/>
  <c r="DE145" i="7"/>
  <c r="DE149" i="7"/>
  <c r="DE258" i="7"/>
  <c r="DE266" i="7"/>
  <c r="DD266" i="7"/>
  <c r="DD109" i="7"/>
  <c r="DE94" i="7"/>
  <c r="DE244" i="7"/>
  <c r="DD255" i="7"/>
  <c r="DE247" i="7"/>
  <c r="DE255" i="7"/>
  <c r="DE230" i="7"/>
  <c r="DE232" i="7"/>
  <c r="DD53" i="7"/>
  <c r="DE49" i="7"/>
  <c r="DE51" i="7"/>
  <c r="DD52" i="7"/>
  <c r="DF362" i="7"/>
  <c r="DE259" i="7"/>
  <c r="DE265" i="7"/>
  <c r="DD265" i="7"/>
  <c r="DD336" i="7"/>
  <c r="DF336" i="7"/>
  <c r="DE333" i="7"/>
  <c r="DE335" i="7"/>
  <c r="DE336" i="7"/>
  <c r="DE229" i="7"/>
  <c r="DD25" i="7"/>
  <c r="DD362" i="7"/>
  <c r="DE318" i="7"/>
  <c r="CZ310" i="7"/>
  <c r="CZ318" i="7"/>
  <c r="CY318" i="7"/>
  <c r="CY228" i="7"/>
  <c r="CY230" i="7"/>
  <c r="CX232" i="7"/>
  <c r="CX17" i="7"/>
  <c r="CX231" i="7"/>
  <c r="CX233" i="7"/>
  <c r="CZ113" i="7"/>
  <c r="CZ57" i="7"/>
  <c r="CY172" i="7"/>
  <c r="CZ166" i="7"/>
  <c r="CZ172" i="7"/>
  <c r="CZ296" i="7"/>
  <c r="CY160" i="7"/>
  <c r="CZ156" i="7"/>
  <c r="CZ160" i="7"/>
  <c r="CY222" i="7"/>
  <c r="DA222" i="7"/>
  <c r="CZ217" i="7"/>
  <c r="CZ222" i="7"/>
  <c r="CY86" i="7"/>
  <c r="CZ80" i="7"/>
  <c r="CZ86" i="7"/>
  <c r="CY344" i="7"/>
  <c r="CZ340" i="7"/>
  <c r="CZ344" i="7"/>
  <c r="CZ329" i="7"/>
  <c r="CY74" i="7"/>
  <c r="CY76" i="7"/>
  <c r="CZ300" i="7"/>
  <c r="CZ306" i="7"/>
  <c r="CY306" i="7"/>
  <c r="CZ167" i="7"/>
  <c r="CZ171" i="7"/>
  <c r="CY171" i="7"/>
  <c r="CY254" i="7"/>
  <c r="CZ248" i="7"/>
  <c r="CZ254" i="7"/>
  <c r="CY42" i="7"/>
  <c r="DA42" i="7"/>
  <c r="CZ36" i="7"/>
  <c r="CZ109" i="7"/>
  <c r="DA94" i="7"/>
  <c r="CZ195" i="7"/>
  <c r="CZ203" i="7"/>
  <c r="CY203" i="7"/>
  <c r="CZ134" i="7"/>
  <c r="CZ138" i="7"/>
  <c r="CY138" i="7"/>
  <c r="CX359" i="7"/>
  <c r="DA359" i="7"/>
  <c r="CZ197" i="7"/>
  <c r="CZ201" i="7"/>
  <c r="CY201" i="7"/>
  <c r="CY53" i="7"/>
  <c r="CZ49" i="7"/>
  <c r="CZ51" i="7"/>
  <c r="CY119" i="7"/>
  <c r="CY121" i="7"/>
  <c r="CZ115" i="7"/>
  <c r="CZ119" i="7"/>
  <c r="CZ76" i="7"/>
  <c r="CZ74" i="7"/>
  <c r="CY87" i="7"/>
  <c r="CZ79" i="7"/>
  <c r="CZ87" i="7"/>
  <c r="CZ307" i="7"/>
  <c r="CZ132" i="7"/>
  <c r="CZ140" i="7"/>
  <c r="CY140" i="7"/>
  <c r="CY358" i="7"/>
  <c r="CZ356" i="7"/>
  <c r="CZ357" i="7"/>
  <c r="CZ358" i="7"/>
  <c r="DA358" i="7"/>
  <c r="DA357" i="7"/>
  <c r="CY352" i="7"/>
  <c r="DA352" i="7"/>
  <c r="CZ348" i="7"/>
  <c r="CZ352" i="7"/>
  <c r="CY52" i="7"/>
  <c r="CZ48" i="7"/>
  <c r="CZ52" i="7"/>
  <c r="CY162" i="7"/>
  <c r="CZ154" i="7"/>
  <c r="CZ162" i="7"/>
  <c r="CY336" i="7"/>
  <c r="DA336" i="7"/>
  <c r="CZ333" i="7"/>
  <c r="CZ335" i="7"/>
  <c r="CZ336" i="7"/>
  <c r="CZ58" i="7"/>
  <c r="CY85" i="7"/>
  <c r="CZ81" i="7"/>
  <c r="CZ85" i="7"/>
  <c r="CZ189" i="7"/>
  <c r="CZ191" i="7"/>
  <c r="CZ192" i="7"/>
  <c r="CY192" i="7"/>
  <c r="CY359" i="7"/>
  <c r="CZ355" i="7"/>
  <c r="CZ359" i="7"/>
  <c r="CZ133" i="7"/>
  <c r="CZ139" i="7"/>
  <c r="CY139" i="7"/>
  <c r="CZ229" i="7"/>
  <c r="CY25" i="7"/>
  <c r="CY362" i="7"/>
  <c r="CY75" i="7"/>
  <c r="CZ196" i="7"/>
  <c r="CZ202" i="7"/>
  <c r="CY202" i="7"/>
  <c r="CZ277" i="7"/>
  <c r="CY285" i="7"/>
  <c r="DA285" i="7"/>
  <c r="CZ280" i="7"/>
  <c r="CZ285" i="7"/>
  <c r="CZ266" i="7"/>
  <c r="CY173" i="7"/>
  <c r="CZ165" i="7"/>
  <c r="CY120" i="7"/>
  <c r="CZ114" i="7"/>
  <c r="CZ120" i="7"/>
  <c r="DE356" i="7"/>
  <c r="DD359" i="7"/>
  <c r="DD17" i="7"/>
  <c r="DB18" i="7"/>
  <c r="DE25" i="7"/>
  <c r="DD24" i="7"/>
  <c r="DE362" i="7"/>
  <c r="DE358" i="7"/>
  <c r="DF357" i="7"/>
  <c r="DE231" i="7"/>
  <c r="DE233" i="7"/>
  <c r="DD54" i="7"/>
  <c r="DE53" i="7"/>
  <c r="DF53" i="7"/>
  <c r="DE52" i="7"/>
  <c r="CZ24" i="7"/>
  <c r="DF94" i="7"/>
  <c r="DE109" i="7"/>
  <c r="DB24" i="7"/>
  <c r="DE151" i="7"/>
  <c r="DC17" i="7"/>
  <c r="DA53" i="7"/>
  <c r="CZ54" i="7"/>
  <c r="CW18" i="7"/>
  <c r="CZ25" i="7"/>
  <c r="CY24" i="7"/>
  <c r="CZ362" i="7"/>
  <c r="CZ121" i="7"/>
  <c r="CZ228" i="7"/>
  <c r="CZ230" i="7"/>
  <c r="CY231" i="7"/>
  <c r="CY233" i="7"/>
  <c r="CY232" i="7"/>
  <c r="CY17" i="7"/>
  <c r="CY54" i="7"/>
  <c r="CW24" i="7"/>
  <c r="CZ173" i="7"/>
  <c r="DA192" i="7"/>
  <c r="CZ53" i="7"/>
  <c r="DD18" i="7"/>
  <c r="DE54" i="7"/>
  <c r="DF358" i="7"/>
  <c r="DE359" i="7"/>
  <c r="DC24" i="7"/>
  <c r="DA24" i="7"/>
  <c r="DA17" i="7"/>
  <c r="CZ232" i="7"/>
  <c r="CZ17" i="7"/>
  <c r="CZ231" i="7"/>
  <c r="CZ233" i="7"/>
  <c r="CX24" i="7"/>
  <c r="CX18" i="7"/>
  <c r="DC18" i="7"/>
  <c r="DF359" i="7"/>
  <c r="DE17" i="7"/>
  <c r="CZ18" i="7"/>
  <c r="CY18" i="7"/>
  <c r="DA18" i="7" s="1"/>
  <c r="DF17" i="7"/>
  <c r="DE18" i="7"/>
  <c r="DF18" i="7"/>
  <c r="BV66" i="66"/>
  <c r="BU65" i="66"/>
  <c r="BU42" i="66" s="1"/>
  <c r="BT72" i="66"/>
  <c r="BS72" i="66"/>
  <c r="BU70" i="66"/>
  <c r="BU69" i="66"/>
  <c r="BU53" i="66" s="1"/>
  <c r="BU68" i="66"/>
  <c r="BU47" i="66" s="1"/>
  <c r="BU66" i="66"/>
  <c r="BU44" i="66" s="1"/>
  <c r="BU55" i="66"/>
  <c r="BU52" i="66"/>
  <c r="CC51" i="66"/>
  <c r="BU48" i="66"/>
  <c r="AT39" i="33"/>
  <c r="AT34" i="33"/>
  <c r="AT18" i="33"/>
  <c r="AT13" i="33"/>
  <c r="CI24" i="11"/>
  <c r="CI22" i="11"/>
  <c r="CI6" i="11"/>
  <c r="CI15" i="11" s="1"/>
  <c r="CH24" i="11"/>
  <c r="CH22" i="11"/>
  <c r="CH6" i="11"/>
  <c r="CI42" i="5"/>
  <c r="CI21" i="59"/>
  <c r="CI46" i="59" s="1"/>
  <c r="CI75" i="59" s="1"/>
  <c r="CI12" i="56"/>
  <c r="CI186" i="56"/>
  <c r="CI147" i="56"/>
  <c r="CI138" i="56"/>
  <c r="CI137" i="56"/>
  <c r="CI133" i="56"/>
  <c r="CI132" i="56"/>
  <c r="CI128" i="56"/>
  <c r="CI126" i="56"/>
  <c r="CI125" i="56"/>
  <c r="CI123" i="56"/>
  <c r="CI122" i="56"/>
  <c r="CI120" i="56"/>
  <c r="CI119" i="56"/>
  <c r="CI97" i="56"/>
  <c r="CI95" i="56"/>
  <c r="CI77" i="56"/>
  <c r="CI110" i="56"/>
  <c r="CI73" i="56"/>
  <c r="CI43" i="56"/>
  <c r="CI42" i="56"/>
  <c r="CI39" i="56"/>
  <c r="CI63" i="56"/>
  <c r="CI155" i="56"/>
  <c r="CI156" i="1"/>
  <c r="CI152" i="1"/>
  <c r="CI56" i="1" s="1"/>
  <c r="CI53" i="1" s="1"/>
  <c r="CI150" i="1"/>
  <c r="CI151" i="1"/>
  <c r="CI147" i="1"/>
  <c r="CI145" i="1"/>
  <c r="CI172" i="1" s="1"/>
  <c r="CI141" i="1"/>
  <c r="CI142" i="1"/>
  <c r="CI140" i="1"/>
  <c r="CI139" i="1"/>
  <c r="CI193" i="1"/>
  <c r="CI127" i="1"/>
  <c r="CI122" i="1"/>
  <c r="CH15" i="11"/>
  <c r="CH9" i="11"/>
  <c r="CH17" i="11"/>
  <c r="CI61" i="56"/>
  <c r="CI114" i="56"/>
  <c r="CI154" i="56"/>
  <c r="CI181" i="56" s="1"/>
  <c r="CI12" i="59" s="1"/>
  <c r="CI38" i="59" s="1"/>
  <c r="CI112" i="56"/>
  <c r="CI62" i="56"/>
  <c r="CI45" i="56"/>
  <c r="CI108" i="56"/>
  <c r="CI139" i="56"/>
  <c r="CI187" i="56"/>
  <c r="CI76" i="56"/>
  <c r="CI109" i="56"/>
  <c r="CI106" i="56"/>
  <c r="CI111" i="56"/>
  <c r="CI134" i="56"/>
  <c r="CI141" i="56"/>
  <c r="CI103" i="56"/>
  <c r="CI148" i="1"/>
  <c r="CI164" i="1"/>
  <c r="CH11" i="11"/>
  <c r="CH16" i="11"/>
  <c r="CI143" i="56"/>
  <c r="CI116" i="1"/>
  <c r="CI105" i="1"/>
  <c r="CI123" i="1"/>
  <c r="CI133" i="1" s="1"/>
  <c r="CI117" i="1"/>
  <c r="CI124" i="1" s="1"/>
  <c r="CH18" i="11"/>
  <c r="CI11" i="1"/>
  <c r="CI81" i="1"/>
  <c r="CI80" i="1"/>
  <c r="CI75" i="1"/>
  <c r="CI73" i="1"/>
  <c r="AT60" i="33" s="1"/>
  <c r="CI60" i="1"/>
  <c r="CI16" i="1"/>
  <c r="CI59" i="1"/>
  <c r="CI61" i="1" s="1"/>
  <c r="CI12" i="1"/>
  <c r="CI130" i="1" s="1"/>
  <c r="CI65" i="1"/>
  <c r="CI67" i="1"/>
  <c r="CI79" i="1"/>
  <c r="CH193" i="1"/>
  <c r="CF193" i="1"/>
  <c r="CG193" i="1" s="1"/>
  <c r="CE193" i="1"/>
  <c r="CD193" i="1"/>
  <c r="CC193" i="1"/>
  <c r="CA193" i="1"/>
  <c r="CB193" i="1" s="1"/>
  <c r="BZ193" i="1"/>
  <c r="BY193" i="1"/>
  <c r="BX193" i="1"/>
  <c r="BV193" i="1"/>
  <c r="BW193" i="1" s="1"/>
  <c r="BU193" i="1"/>
  <c r="BT193" i="1"/>
  <c r="BS193" i="1"/>
  <c r="BI193" i="1"/>
  <c r="BG193" i="1"/>
  <c r="BH193" i="1" s="1"/>
  <c r="BF193" i="1"/>
  <c r="BE193" i="1"/>
  <c r="BD193" i="1"/>
  <c r="BB193" i="1"/>
  <c r="BC193" i="1" s="1"/>
  <c r="BA193" i="1"/>
  <c r="AY193" i="1"/>
  <c r="BV192" i="1"/>
  <c r="BW192" i="1" s="1"/>
  <c r="BH186" i="1"/>
  <c r="BD186" i="1" s="1"/>
  <c r="BB186" i="1"/>
  <c r="BA186" i="1"/>
  <c r="AZ186" i="1"/>
  <c r="AY186" i="1"/>
  <c r="AW186" i="1"/>
  <c r="AV186" i="1"/>
  <c r="AU186" i="1"/>
  <c r="AT186" i="1"/>
  <c r="AS186" i="1"/>
  <c r="AR186" i="1"/>
  <c r="AQ186" i="1"/>
  <c r="AP186" i="1"/>
  <c r="AO186" i="1"/>
  <c r="AN186" i="1"/>
  <c r="AK186" i="1"/>
  <c r="AG186" i="1"/>
  <c r="AC186" i="1" s="1"/>
  <c r="Y186" i="1" s="1"/>
  <c r="U186" i="1" s="1"/>
  <c r="AM186" i="1"/>
  <c r="AI186" i="1" s="1"/>
  <c r="AE186" i="1" s="1"/>
  <c r="AL186" i="1"/>
  <c r="AH186" i="1" s="1"/>
  <c r="AD186" i="1" s="1"/>
  <c r="Z186" i="1" s="1"/>
  <c r="AJ186" i="1"/>
  <c r="AF186" i="1" s="1"/>
  <c r="AB186" i="1" s="1"/>
  <c r="X186" i="1" s="1"/>
  <c r="CH172" i="1"/>
  <c r="CG172" i="1"/>
  <c r="CC172" i="1"/>
  <c r="CB172" i="1"/>
  <c r="BX172" i="1"/>
  <c r="BS172" i="1"/>
  <c r="BN172" i="1"/>
  <c r="BI172" i="1"/>
  <c r="BD172" i="1"/>
  <c r="AY172" i="1"/>
  <c r="AT172" i="1"/>
  <c r="AO172" i="1"/>
  <c r="AJ172" i="1"/>
  <c r="AE172" i="1"/>
  <c r="Z172" i="1"/>
  <c r="U172" i="1"/>
  <c r="CH164" i="1"/>
  <c r="CG164" i="1"/>
  <c r="CC164" i="1"/>
  <c r="CB164" i="1"/>
  <c r="BX164" i="1"/>
  <c r="BS164" i="1"/>
  <c r="BN164" i="1"/>
  <c r="BI164" i="1"/>
  <c r="BD164" i="1"/>
  <c r="AY164" i="1"/>
  <c r="AT164" i="1"/>
  <c r="AO164" i="1"/>
  <c r="AJ164" i="1"/>
  <c r="AE164" i="1"/>
  <c r="Z164" i="1"/>
  <c r="BB163" i="1"/>
  <c r="BA163" i="1"/>
  <c r="AW163" i="1"/>
  <c r="U164" i="1"/>
  <c r="CV157" i="1"/>
  <c r="CV156" i="1"/>
  <c r="CQ157" i="1"/>
  <c r="CQ156" i="1"/>
  <c r="CL157" i="1"/>
  <c r="CG157" i="1"/>
  <c r="CB157" i="1"/>
  <c r="BW157" i="1"/>
  <c r="BH157" i="1"/>
  <c r="BC157" i="1"/>
  <c r="AX157" i="1"/>
  <c r="AI157" i="1"/>
  <c r="CD156" i="1"/>
  <c r="CE156" i="1" s="1"/>
  <c r="CF156" i="1" s="1"/>
  <c r="BY156" i="1"/>
  <c r="BT156" i="1"/>
  <c r="BV156" i="1" s="1"/>
  <c r="BO157" i="1"/>
  <c r="BP157" i="1" s="1"/>
  <c r="BQ157" i="1" s="1"/>
  <c r="BO156" i="1"/>
  <c r="BP156" i="1" s="1"/>
  <c r="BL157" i="1"/>
  <c r="BM157" i="1" s="1"/>
  <c r="BJ156" i="1"/>
  <c r="BE156" i="1"/>
  <c r="AZ156" i="1"/>
  <c r="AU156" i="1"/>
  <c r="AQ157" i="1"/>
  <c r="AP156" i="1"/>
  <c r="AQ156" i="1" s="1"/>
  <c r="AN157" i="1"/>
  <c r="AL157" i="1"/>
  <c r="AM157" i="1" s="1"/>
  <c r="AL156" i="1"/>
  <c r="AM156" i="1" s="1"/>
  <c r="AG156" i="1"/>
  <c r="AH156" i="1" s="1"/>
  <c r="AF156" i="1"/>
  <c r="AA156" i="1"/>
  <c r="AB156" i="1"/>
  <c r="V156" i="1"/>
  <c r="Q156" i="1"/>
  <c r="R156" i="1" s="1"/>
  <c r="S156" i="1" s="1"/>
  <c r="M156" i="1"/>
  <c r="N156" i="1" s="1"/>
  <c r="L156" i="1"/>
  <c r="G156" i="1"/>
  <c r="Z154" i="1"/>
  <c r="P154" i="1"/>
  <c r="J154" i="1"/>
  <c r="F154" i="1"/>
  <c r="E154" i="1"/>
  <c r="CV153" i="1"/>
  <c r="CV150" i="1"/>
  <c r="CQ153" i="1"/>
  <c r="CQ150" i="1"/>
  <c r="CL153" i="1"/>
  <c r="CF153" i="1"/>
  <c r="BW153" i="1"/>
  <c r="BR153" i="1"/>
  <c r="BM153" i="1"/>
  <c r="BH153" i="1"/>
  <c r="BC153" i="1"/>
  <c r="AX153" i="1"/>
  <c r="AS153" i="1"/>
  <c r="AN153" i="1"/>
  <c r="AI153" i="1"/>
  <c r="AA153" i="1"/>
  <c r="AB153" i="1" s="1"/>
  <c r="AD153" i="1" s="1"/>
  <c r="V153" i="1"/>
  <c r="Y153" i="1" s="1"/>
  <c r="V150" i="1"/>
  <c r="Q153" i="1"/>
  <c r="R153" i="1" s="1"/>
  <c r="S153" i="1" s="1"/>
  <c r="T153" i="1" s="1"/>
  <c r="L153" i="1"/>
  <c r="CH152" i="1"/>
  <c r="CH154" i="1"/>
  <c r="CC152" i="1"/>
  <c r="CB152" i="1"/>
  <c r="BY152" i="1"/>
  <c r="BX152" i="1"/>
  <c r="BX154" i="1"/>
  <c r="BJ152" i="1"/>
  <c r="BL152" i="1" s="1"/>
  <c r="BM152" i="1" s="1"/>
  <c r="BJ151" i="1"/>
  <c r="BJ150" i="1"/>
  <c r="AT152" i="1"/>
  <c r="AU152" i="1"/>
  <c r="AO152" i="1"/>
  <c r="AP152" i="1"/>
  <c r="AE152" i="1"/>
  <c r="AF152" i="1"/>
  <c r="AG152" i="1" s="1"/>
  <c r="AH152" i="1" s="1"/>
  <c r="AI152" i="1" s="1"/>
  <c r="O152" i="1"/>
  <c r="K152" i="1"/>
  <c r="G153" i="1"/>
  <c r="H153" i="1" s="1"/>
  <c r="G152" i="1"/>
  <c r="CG151" i="1"/>
  <c r="CG150" i="1"/>
  <c r="CC151" i="1"/>
  <c r="CD151" i="1"/>
  <c r="CE151" i="1" s="1"/>
  <c r="CB151" i="1"/>
  <c r="BY151" i="1"/>
  <c r="BN152" i="1"/>
  <c r="BO152" i="1"/>
  <c r="BP152" i="1" s="1"/>
  <c r="BQ152" i="1" s="1"/>
  <c r="BR152" i="1" s="1"/>
  <c r="BN151" i="1"/>
  <c r="BN154" i="1"/>
  <c r="BK151" i="1"/>
  <c r="BL151" i="1" s="1"/>
  <c r="BM151" i="1"/>
  <c r="BK150" i="1"/>
  <c r="BK154" i="1"/>
  <c r="BI151" i="1"/>
  <c r="BI150" i="1"/>
  <c r="BI154" i="1"/>
  <c r="AY151" i="1"/>
  <c r="AY154" i="1"/>
  <c r="AP151" i="1"/>
  <c r="AP154" i="1" s="1"/>
  <c r="U152" i="1"/>
  <c r="V152" i="1"/>
  <c r="W152" i="1"/>
  <c r="X152" i="1" s="1"/>
  <c r="Y152" i="1" s="1"/>
  <c r="Q152" i="1"/>
  <c r="R152" i="1" s="1"/>
  <c r="S152" i="1" s="1"/>
  <c r="T152" i="1" s="1"/>
  <c r="U151" i="1"/>
  <c r="V151" i="1"/>
  <c r="Q151" i="1"/>
  <c r="R151" i="1" s="1"/>
  <c r="S151" i="1" s="1"/>
  <c r="J151" i="1"/>
  <c r="G151" i="1"/>
  <c r="CC150" i="1"/>
  <c r="CD150" i="1"/>
  <c r="CE150" i="1" s="1"/>
  <c r="BY150" i="1"/>
  <c r="BT152" i="1"/>
  <c r="BU152" i="1" s="1"/>
  <c r="BV152" i="1" s="1"/>
  <c r="BW152" i="1" s="1"/>
  <c r="BT151" i="1"/>
  <c r="BU151" i="1" s="1"/>
  <c r="BV151" i="1" s="1"/>
  <c r="BW151" i="1" s="1"/>
  <c r="BS150" i="1"/>
  <c r="BS154" i="1"/>
  <c r="BO150" i="1"/>
  <c r="BP150" i="1" s="1"/>
  <c r="BE152" i="1"/>
  <c r="BF152" i="1"/>
  <c r="BG152" i="1" s="1"/>
  <c r="BH152" i="1" s="1"/>
  <c r="BF151" i="1"/>
  <c r="BG151" i="1" s="1"/>
  <c r="BH151" i="1" s="1"/>
  <c r="BE151" i="1"/>
  <c r="BE150" i="1"/>
  <c r="BD150" i="1"/>
  <c r="BD154" i="1"/>
  <c r="AZ152" i="1"/>
  <c r="AZ151" i="1"/>
  <c r="BA151" i="1" s="1"/>
  <c r="BB151" i="1" s="1"/>
  <c r="BC151" i="1" s="1"/>
  <c r="AZ150" i="1"/>
  <c r="BA150" i="1"/>
  <c r="AW151" i="1"/>
  <c r="AX151" i="1" s="1"/>
  <c r="AU151" i="1"/>
  <c r="AV151" i="1" s="1"/>
  <c r="AU150" i="1"/>
  <c r="AQ150" i="1"/>
  <c r="AJ151" i="1"/>
  <c r="AK151" i="1"/>
  <c r="AJ150" i="1"/>
  <c r="AK150" i="1"/>
  <c r="AF151" i="1"/>
  <c r="AG151" i="1" s="1"/>
  <c r="AH151" i="1" s="1"/>
  <c r="AI151" i="1" s="1"/>
  <c r="AF150" i="1"/>
  <c r="AE150" i="1"/>
  <c r="AE154" i="1"/>
  <c r="AA152" i="1"/>
  <c r="AB152" i="1" s="1"/>
  <c r="AC152" i="1" s="1"/>
  <c r="AD152" i="1" s="1"/>
  <c r="AA151" i="1"/>
  <c r="AB151" i="1" s="1"/>
  <c r="AC151" i="1" s="1"/>
  <c r="AD151" i="1" s="1"/>
  <c r="AA150" i="1"/>
  <c r="W150" i="1"/>
  <c r="Q150" i="1"/>
  <c r="R150" i="1" s="1"/>
  <c r="O151" i="1"/>
  <c r="L151" i="1"/>
  <c r="O150" i="1"/>
  <c r="O154" i="1"/>
  <c r="L150" i="1"/>
  <c r="G150" i="1"/>
  <c r="H150" i="1" s="1"/>
  <c r="CH148" i="1"/>
  <c r="CC148" i="1"/>
  <c r="BX148" i="1"/>
  <c r="BS148" i="1"/>
  <c r="BI148" i="1"/>
  <c r="BD148" i="1"/>
  <c r="AY148" i="1"/>
  <c r="AT148" i="1"/>
  <c r="AO148" i="1"/>
  <c r="AJ148" i="1"/>
  <c r="AE148" i="1"/>
  <c r="U148" i="1"/>
  <c r="P148" i="1"/>
  <c r="O148" i="1"/>
  <c r="K148" i="1"/>
  <c r="F148" i="1"/>
  <c r="E148" i="1"/>
  <c r="CV147" i="1"/>
  <c r="CV146" i="1"/>
  <c r="CQ147" i="1"/>
  <c r="CQ146" i="1"/>
  <c r="CL146" i="1"/>
  <c r="CD147" i="1"/>
  <c r="CE147" i="1" s="1"/>
  <c r="BZ147" i="1"/>
  <c r="CA147" i="1" s="1"/>
  <c r="BU147" i="1"/>
  <c r="BV147" i="1" s="1"/>
  <c r="BW147" i="1" s="1"/>
  <c r="BT147" i="1"/>
  <c r="BN147" i="1"/>
  <c r="BN148" i="1"/>
  <c r="BJ147" i="1"/>
  <c r="BK147" i="1" s="1"/>
  <c r="BL147" i="1" s="1"/>
  <c r="BM147" i="1" s="1"/>
  <c r="BE147" i="1"/>
  <c r="AZ147" i="1"/>
  <c r="BA147" i="1" s="1"/>
  <c r="AU147" i="1"/>
  <c r="AV147" i="1" s="1"/>
  <c r="AW147" i="1" s="1"/>
  <c r="AX147" i="1" s="1"/>
  <c r="AP147" i="1"/>
  <c r="AQ147" i="1" s="1"/>
  <c r="AR147" i="1"/>
  <c r="AS147" i="1" s="1"/>
  <c r="AJ147" i="1"/>
  <c r="AK147" i="1"/>
  <c r="AL147" i="1" s="1"/>
  <c r="AM147" i="1" s="1"/>
  <c r="AF147" i="1"/>
  <c r="AG147" i="1" s="1"/>
  <c r="Z147" i="1"/>
  <c r="Z148" i="1"/>
  <c r="V147" i="1"/>
  <c r="W147" i="1" s="1"/>
  <c r="CG146" i="1"/>
  <c r="CG148" i="1" s="1"/>
  <c r="BH146" i="1"/>
  <c r="BC146" i="1"/>
  <c r="AU146" i="1"/>
  <c r="G147" i="1"/>
  <c r="G146" i="1"/>
  <c r="CN145" i="1"/>
  <c r="CS145" i="1" s="1"/>
  <c r="CM145" i="1"/>
  <c r="CD145" i="1"/>
  <c r="CE145" i="1" s="1"/>
  <c r="CE148" i="1" s="1"/>
  <c r="BY145" i="1"/>
  <c r="BV146" i="1"/>
  <c r="BW146" i="1" s="1"/>
  <c r="BT145" i="1"/>
  <c r="BO146" i="1"/>
  <c r="BP146" i="1" s="1"/>
  <c r="BQ146" i="1" s="1"/>
  <c r="BR146" i="1" s="1"/>
  <c r="BO145" i="1"/>
  <c r="BP145" i="1" s="1"/>
  <c r="BJ146" i="1"/>
  <c r="BK146" i="1" s="1"/>
  <c r="BL146" i="1" s="1"/>
  <c r="BM146" i="1" s="1"/>
  <c r="BJ145" i="1"/>
  <c r="BK145" i="1" s="1"/>
  <c r="BE145" i="1"/>
  <c r="BF145" i="1" s="1"/>
  <c r="BF172" i="1" s="1"/>
  <c r="AZ145" i="1"/>
  <c r="AU145" i="1"/>
  <c r="AQ146" i="1"/>
  <c r="AR146" i="1" s="1"/>
  <c r="AS146" i="1" s="1"/>
  <c r="AP145" i="1"/>
  <c r="AQ145" i="1" s="1"/>
  <c r="AM146" i="1"/>
  <c r="AN146" i="1" s="1"/>
  <c r="AK145" i="1"/>
  <c r="AF146" i="1"/>
  <c r="AG146" i="1"/>
  <c r="AH146" i="1" s="1"/>
  <c r="AI146" i="1" s="1"/>
  <c r="AF145" i="1"/>
  <c r="AA146" i="1"/>
  <c r="AB146" i="1"/>
  <c r="AC146" i="1" s="1"/>
  <c r="AD146" i="1" s="1"/>
  <c r="AA145" i="1"/>
  <c r="V146" i="1"/>
  <c r="W146" i="1" s="1"/>
  <c r="X146" i="1" s="1"/>
  <c r="Y146" i="1" s="1"/>
  <c r="V145" i="1"/>
  <c r="Q147" i="1"/>
  <c r="R147" i="1" s="1"/>
  <c r="Q146" i="1"/>
  <c r="R146" i="1"/>
  <c r="S146" i="1" s="1"/>
  <c r="T146" i="1" s="1"/>
  <c r="Q145" i="1"/>
  <c r="R145" i="1" s="1"/>
  <c r="L147" i="1"/>
  <c r="M147" i="1"/>
  <c r="L146" i="1"/>
  <c r="M146" i="1" s="1"/>
  <c r="N146" i="1" s="1"/>
  <c r="M145" i="1"/>
  <c r="L145" i="1"/>
  <c r="N145" i="1" s="1"/>
  <c r="J145" i="1"/>
  <c r="J148" i="1"/>
  <c r="H145" i="1"/>
  <c r="G145" i="1"/>
  <c r="E145" i="1"/>
  <c r="CV142" i="1"/>
  <c r="CV138" i="1"/>
  <c r="CQ142" i="1"/>
  <c r="CQ138" i="1"/>
  <c r="CL138" i="1"/>
  <c r="CH142" i="1"/>
  <c r="CG142" i="1"/>
  <c r="CD142" i="1"/>
  <c r="CE142" i="1" s="1"/>
  <c r="CC142" i="1"/>
  <c r="CB142" i="1"/>
  <c r="CB143" i="1"/>
  <c r="BX142" i="1"/>
  <c r="BT142" i="1"/>
  <c r="BU142" i="1"/>
  <c r="BV142" i="1" s="1"/>
  <c r="BW142" i="1" s="1"/>
  <c r="BS142" i="1"/>
  <c r="BP142" i="1"/>
  <c r="BQ142" i="1" s="1"/>
  <c r="BR142" i="1" s="1"/>
  <c r="BO142" i="1"/>
  <c r="BN142" i="1"/>
  <c r="BJ142" i="1"/>
  <c r="BK142" i="1" s="1"/>
  <c r="BL142" i="1" s="1"/>
  <c r="BM142" i="1" s="1"/>
  <c r="BI142" i="1"/>
  <c r="BE142" i="1"/>
  <c r="AY142" i="1"/>
  <c r="AU142" i="1"/>
  <c r="AT142" i="1"/>
  <c r="AQ142" i="1"/>
  <c r="AR142" i="1" s="1"/>
  <c r="AS142" i="1" s="1"/>
  <c r="AP142" i="1"/>
  <c r="AO142" i="1"/>
  <c r="AK142" i="1"/>
  <c r="AJ142" i="1"/>
  <c r="AF142" i="1"/>
  <c r="AG142" i="1" s="1"/>
  <c r="AH142" i="1" s="1"/>
  <c r="AI142" i="1" s="1"/>
  <c r="AB142" i="1"/>
  <c r="AC142" i="1" s="1"/>
  <c r="AD142" i="1" s="1"/>
  <c r="AA142" i="1"/>
  <c r="E142" i="1"/>
  <c r="E141" i="1"/>
  <c r="CH141" i="1"/>
  <c r="CH165" i="1"/>
  <c r="CG141" i="1"/>
  <c r="CE165" i="1"/>
  <c r="CD141" i="1"/>
  <c r="CE141" i="1" s="1"/>
  <c r="CD165" i="1"/>
  <c r="CC141" i="1"/>
  <c r="CB141" i="1"/>
  <c r="CB165" i="1"/>
  <c r="BY141" i="1"/>
  <c r="BY165" i="1" s="1"/>
  <c r="BX141" i="1"/>
  <c r="BX165" i="1"/>
  <c r="BS141" i="1"/>
  <c r="BS165" i="1"/>
  <c r="BO141" i="1"/>
  <c r="BO165" i="1" s="1"/>
  <c r="BN141" i="1"/>
  <c r="BN165" i="1"/>
  <c r="BJ141" i="1"/>
  <c r="BJ165" i="1" s="1"/>
  <c r="BI141" i="1"/>
  <c r="BI165" i="1"/>
  <c r="BE141" i="1"/>
  <c r="BE165" i="1" s="1"/>
  <c r="BD141" i="1"/>
  <c r="BD165" i="1"/>
  <c r="AY141" i="1"/>
  <c r="AY165" i="1"/>
  <c r="AU141" i="1"/>
  <c r="AV141" i="1" s="1"/>
  <c r="AW141" i="1" s="1"/>
  <c r="AT141" i="1"/>
  <c r="AQ141" i="1"/>
  <c r="AR141" i="1" s="1"/>
  <c r="AP141" i="1"/>
  <c r="AO141" i="1"/>
  <c r="AK141" i="1"/>
  <c r="AJ141" i="1"/>
  <c r="AE141" i="1"/>
  <c r="AF141" i="1"/>
  <c r="AA141" i="1"/>
  <c r="AB141" i="1" s="1"/>
  <c r="T142" i="1"/>
  <c r="Q142" i="1"/>
  <c r="R142" i="1" s="1"/>
  <c r="S142" i="1" s="1"/>
  <c r="T141" i="1"/>
  <c r="Q141" i="1"/>
  <c r="R141" i="1"/>
  <c r="O142" i="1"/>
  <c r="L142" i="1"/>
  <c r="M142" i="1" s="1"/>
  <c r="N142" i="1" s="1"/>
  <c r="O141" i="1"/>
  <c r="L141" i="1"/>
  <c r="J142" i="1"/>
  <c r="G142" i="1"/>
  <c r="H142" i="1" s="1"/>
  <c r="J141" i="1"/>
  <c r="G141" i="1"/>
  <c r="H141" i="1" s="1"/>
  <c r="BO140" i="1"/>
  <c r="BP140" i="1" s="1"/>
  <c r="BQ140" i="1" s="1"/>
  <c r="BR140" i="1" s="1"/>
  <c r="BJ140" i="1"/>
  <c r="BK140" i="1"/>
  <c r="BL140" i="1" s="1"/>
  <c r="BM140" i="1" s="1"/>
  <c r="BI140" i="1"/>
  <c r="BF140" i="1"/>
  <c r="BF61" i="1" s="1"/>
  <c r="BE140" i="1"/>
  <c r="BA140" i="1"/>
  <c r="AZ140" i="1"/>
  <c r="AX138" i="1"/>
  <c r="AU140" i="1"/>
  <c r="AV140" i="1" s="1"/>
  <c r="AP140" i="1"/>
  <c r="AQ140" i="1" s="1"/>
  <c r="AM140" i="1"/>
  <c r="AK140" i="1"/>
  <c r="AL140" i="1" s="1"/>
  <c r="AF140" i="1"/>
  <c r="AG140" i="1" s="1"/>
  <c r="AA140" i="1"/>
  <c r="AB140" i="1" s="1"/>
  <c r="AB61" i="1" s="1"/>
  <c r="V142" i="1"/>
  <c r="W142" i="1" s="1"/>
  <c r="X141" i="1"/>
  <c r="Y141" i="1" s="1"/>
  <c r="V141" i="1"/>
  <c r="W141" i="1" s="1"/>
  <c r="V140" i="1"/>
  <c r="W140" i="1" s="1"/>
  <c r="Q140" i="1"/>
  <c r="R140" i="1" s="1"/>
  <c r="R61" i="1" s="1"/>
  <c r="R13" i="1" s="1"/>
  <c r="L140" i="1"/>
  <c r="G140" i="1"/>
  <c r="CD140" i="1"/>
  <c r="CN140" i="1"/>
  <c r="CS140" i="1" s="1"/>
  <c r="CX140" i="1" s="1"/>
  <c r="DC140" i="1" s="1"/>
  <c r="CD139" i="1"/>
  <c r="CE139" i="1" s="1"/>
  <c r="CD143" i="1"/>
  <c r="BY140" i="1"/>
  <c r="BY139" i="1"/>
  <c r="BT140" i="1"/>
  <c r="BU140" i="1" s="1"/>
  <c r="BV140" i="1" s="1"/>
  <c r="BW140" i="1" s="1"/>
  <c r="CU138" i="1"/>
  <c r="CT138" i="1"/>
  <c r="CS138" i="1"/>
  <c r="CR138" i="1"/>
  <c r="CM140" i="1"/>
  <c r="CR140" i="1" s="1"/>
  <c r="CW140" i="1" s="1"/>
  <c r="DB140" i="1" s="1"/>
  <c r="CP138" i="1"/>
  <c r="CO138" i="1"/>
  <c r="CN138" i="1"/>
  <c r="CM138" i="1"/>
  <c r="CK138" i="1"/>
  <c r="CJ138" i="1"/>
  <c r="CI138" i="1"/>
  <c r="CH138" i="1"/>
  <c r="CG138" i="1"/>
  <c r="CF138" i="1"/>
  <c r="CE138" i="1"/>
  <c r="CD138" i="1"/>
  <c r="CC138" i="1"/>
  <c r="CB138" i="1"/>
  <c r="CA138" i="1"/>
  <c r="BZ138" i="1"/>
  <c r="BY138" i="1"/>
  <c r="BX138" i="1"/>
  <c r="BW138" i="1"/>
  <c r="BV138" i="1"/>
  <c r="BU138" i="1"/>
  <c r="BT138" i="1"/>
  <c r="BS138" i="1"/>
  <c r="BR138" i="1"/>
  <c r="BQ138" i="1"/>
  <c r="BP138" i="1"/>
  <c r="BO138" i="1"/>
  <c r="BN138" i="1"/>
  <c r="BM138" i="1"/>
  <c r="BL138" i="1"/>
  <c r="BK138" i="1"/>
  <c r="BJ138" i="1"/>
  <c r="BI138" i="1"/>
  <c r="BH138" i="1"/>
  <c r="BG138" i="1"/>
  <c r="BF138" i="1"/>
  <c r="BE138" i="1"/>
  <c r="BD138" i="1"/>
  <c r="BC138" i="1"/>
  <c r="BB138" i="1"/>
  <c r="BA138" i="1"/>
  <c r="AZ138" i="1"/>
  <c r="AY138" i="1"/>
  <c r="AW138" i="1"/>
  <c r="AV138" i="1"/>
  <c r="AU138" i="1"/>
  <c r="AT138" i="1"/>
  <c r="AS138" i="1"/>
  <c r="AR138" i="1"/>
  <c r="AQ138" i="1"/>
  <c r="AP138" i="1"/>
  <c r="AO138" i="1"/>
  <c r="AN138" i="1"/>
  <c r="AM138" i="1"/>
  <c r="AL138" i="1"/>
  <c r="AK138" i="1"/>
  <c r="AJ138" i="1"/>
  <c r="AI138" i="1"/>
  <c r="AH138" i="1"/>
  <c r="AG138" i="1"/>
  <c r="AF138" i="1"/>
  <c r="AE138" i="1"/>
  <c r="AD138" i="1"/>
  <c r="AC138" i="1"/>
  <c r="AB138" i="1"/>
  <c r="AA138" i="1"/>
  <c r="Z138" i="1"/>
  <c r="Y138" i="1"/>
  <c r="X138" i="1"/>
  <c r="W138" i="1"/>
  <c r="V138" i="1"/>
  <c r="U138" i="1"/>
  <c r="T138" i="1"/>
  <c r="S138" i="1"/>
  <c r="R138" i="1"/>
  <c r="Q138" i="1"/>
  <c r="P138" i="1"/>
  <c r="O138" i="1"/>
  <c r="N138" i="1"/>
  <c r="M138" i="1"/>
  <c r="L138" i="1"/>
  <c r="K138" i="1"/>
  <c r="J138" i="1"/>
  <c r="I138" i="1"/>
  <c r="H138" i="1"/>
  <c r="G138" i="1"/>
  <c r="F138" i="1"/>
  <c r="E138" i="1"/>
  <c r="D138" i="1"/>
  <c r="BB134" i="1"/>
  <c r="BA134" i="1"/>
  <c r="AW134" i="1"/>
  <c r="BB132" i="1"/>
  <c r="BA132" i="1"/>
  <c r="BS130" i="1"/>
  <c r="BI130" i="1"/>
  <c r="BG130" i="1"/>
  <c r="BF130" i="1"/>
  <c r="BE130" i="1"/>
  <c r="BD130" i="1"/>
  <c r="AV130" i="1"/>
  <c r="AU130" i="1"/>
  <c r="AT130" i="1"/>
  <c r="AR130" i="1"/>
  <c r="AQ130" i="1"/>
  <c r="AP130" i="1"/>
  <c r="AO130" i="1"/>
  <c r="AG130" i="1"/>
  <c r="M130" i="1"/>
  <c r="L130" i="1"/>
  <c r="H130" i="1"/>
  <c r="G130" i="1"/>
  <c r="F130" i="1"/>
  <c r="E130" i="1"/>
  <c r="BS129" i="1"/>
  <c r="BI129" i="1"/>
  <c r="BG129" i="1"/>
  <c r="BF129" i="1"/>
  <c r="BE129" i="1"/>
  <c r="BD129" i="1"/>
  <c r="AV129" i="1"/>
  <c r="AU129" i="1"/>
  <c r="AT129" i="1"/>
  <c r="AR129" i="1"/>
  <c r="AQ129" i="1"/>
  <c r="AP129" i="1"/>
  <c r="AO129" i="1"/>
  <c r="AG129" i="1"/>
  <c r="M129" i="1"/>
  <c r="L129" i="1"/>
  <c r="H129" i="1"/>
  <c r="G129" i="1"/>
  <c r="F129" i="1"/>
  <c r="E129" i="1"/>
  <c r="BS128" i="1"/>
  <c r="BI128" i="1"/>
  <c r="BG128" i="1"/>
  <c r="BH128" i="1" s="1"/>
  <c r="BF128" i="1"/>
  <c r="BE128" i="1"/>
  <c r="BD128" i="1"/>
  <c r="AV128" i="1"/>
  <c r="AU128" i="1"/>
  <c r="AT128" i="1"/>
  <c r="AR128" i="1"/>
  <c r="AP128" i="1"/>
  <c r="AO128" i="1"/>
  <c r="AG128" i="1"/>
  <c r="M128" i="1"/>
  <c r="L128" i="1"/>
  <c r="H128" i="1"/>
  <c r="G128" i="1"/>
  <c r="F128" i="1"/>
  <c r="E128" i="1"/>
  <c r="BY127" i="1"/>
  <c r="AV127" i="1"/>
  <c r="AU127" i="1"/>
  <c r="AT127" i="1"/>
  <c r="AR127" i="1"/>
  <c r="AP127" i="1"/>
  <c r="AO127" i="1"/>
  <c r="AM127" i="1"/>
  <c r="AG127" i="1"/>
  <c r="AE127" i="1"/>
  <c r="M127" i="1"/>
  <c r="L127" i="1"/>
  <c r="K127" i="1"/>
  <c r="H127" i="1"/>
  <c r="G127" i="1"/>
  <c r="F127" i="1"/>
  <c r="E127" i="1"/>
  <c r="X123" i="1"/>
  <c r="X135" i="1" s="1"/>
  <c r="S123" i="1"/>
  <c r="N123" i="1"/>
  <c r="I123" i="1"/>
  <c r="I135" i="1" s="1"/>
  <c r="CD123" i="1"/>
  <c r="CA123" i="1"/>
  <c r="BZ123" i="1"/>
  <c r="BV123" i="1"/>
  <c r="BO123" i="1"/>
  <c r="BN123" i="1"/>
  <c r="BK123" i="1"/>
  <c r="BJ123" i="1"/>
  <c r="BG123" i="1"/>
  <c r="BF123" i="1"/>
  <c r="BB123" i="1"/>
  <c r="AY123" i="1"/>
  <c r="CH122" i="1"/>
  <c r="CH123" i="1"/>
  <c r="CF122" i="1"/>
  <c r="CE122" i="1"/>
  <c r="CD122" i="1"/>
  <c r="CC122" i="1"/>
  <c r="CB122" i="1"/>
  <c r="CA122" i="1"/>
  <c r="BZ122" i="1"/>
  <c r="BY122" i="1"/>
  <c r="BY123" i="1"/>
  <c r="BX122" i="1"/>
  <c r="BX123" i="1"/>
  <c r="BV122" i="1"/>
  <c r="BW122" i="1"/>
  <c r="BU122" i="1"/>
  <c r="BU123" i="1"/>
  <c r="BT122" i="1"/>
  <c r="BT123" i="1"/>
  <c r="BS122" i="1"/>
  <c r="BQ122" i="1"/>
  <c r="BQ123" i="1"/>
  <c r="BP122" i="1"/>
  <c r="BP123" i="1"/>
  <c r="BO122" i="1"/>
  <c r="BN122" i="1"/>
  <c r="BL122" i="1"/>
  <c r="BK122" i="1"/>
  <c r="BJ122" i="1"/>
  <c r="BI122" i="1"/>
  <c r="BI123" i="1"/>
  <c r="BH122" i="1"/>
  <c r="BG122" i="1"/>
  <c r="BF122" i="1"/>
  <c r="BE122" i="1"/>
  <c r="BE123" i="1"/>
  <c r="BD122" i="1"/>
  <c r="BD123" i="1"/>
  <c r="BB122" i="1"/>
  <c r="BC122" i="1"/>
  <c r="BA122" i="1"/>
  <c r="BA123" i="1"/>
  <c r="AZ122" i="1"/>
  <c r="AZ123" i="1"/>
  <c r="AY122" i="1"/>
  <c r="AW122" i="1"/>
  <c r="AW123" i="1"/>
  <c r="AV122" i="1"/>
  <c r="AV123" i="1"/>
  <c r="AU122" i="1"/>
  <c r="AU123" i="1"/>
  <c r="AT122" i="1"/>
  <c r="AT123" i="1"/>
  <c r="AR122" i="1"/>
  <c r="AQ122" i="1"/>
  <c r="AP122" i="1"/>
  <c r="AP123" i="1"/>
  <c r="AO122" i="1"/>
  <c r="AO123" i="1"/>
  <c r="AN122" i="1"/>
  <c r="AM122" i="1"/>
  <c r="AL122" i="1"/>
  <c r="AL123" i="1"/>
  <c r="AK122" i="1"/>
  <c r="AK123" i="1"/>
  <c r="AJ122" i="1"/>
  <c r="AH122" i="1"/>
  <c r="AI122" i="1"/>
  <c r="AG122" i="1"/>
  <c r="AF122" i="1"/>
  <c r="AE122" i="1"/>
  <c r="AC122" i="1"/>
  <c r="AD122" i="1"/>
  <c r="AB122" i="1"/>
  <c r="AB123" i="1"/>
  <c r="AA122" i="1"/>
  <c r="AA123" i="1"/>
  <c r="Z122" i="1"/>
  <c r="Z123" i="1"/>
  <c r="Y122" i="1"/>
  <c r="W122" i="1"/>
  <c r="W123" i="1"/>
  <c r="V122" i="1"/>
  <c r="V123" i="1"/>
  <c r="U122" i="1"/>
  <c r="U123" i="1"/>
  <c r="T122" i="1"/>
  <c r="R122" i="1"/>
  <c r="R123" i="1"/>
  <c r="Q122" i="1"/>
  <c r="P122" i="1"/>
  <c r="P123" i="1"/>
  <c r="O122" i="1"/>
  <c r="M122" i="1"/>
  <c r="M123" i="1"/>
  <c r="L122" i="1"/>
  <c r="L123" i="1"/>
  <c r="K122" i="1"/>
  <c r="K123" i="1"/>
  <c r="J122" i="1"/>
  <c r="H122" i="1"/>
  <c r="H123" i="1"/>
  <c r="G122" i="1"/>
  <c r="G123" i="1"/>
  <c r="F122" i="1"/>
  <c r="F123" i="1"/>
  <c r="E122" i="1"/>
  <c r="E123" i="1"/>
  <c r="CG121" i="1"/>
  <c r="CG120" i="1"/>
  <c r="CE121" i="1"/>
  <c r="CE120" i="1"/>
  <c r="BW121" i="1"/>
  <c r="BW120" i="1"/>
  <c r="BM121" i="1"/>
  <c r="BM120" i="1"/>
  <c r="BH121" i="1"/>
  <c r="BH120" i="1"/>
  <c r="BH123" i="1"/>
  <c r="BC121" i="1"/>
  <c r="BC120" i="1"/>
  <c r="AX121" i="1"/>
  <c r="AX120" i="1"/>
  <c r="AS121" i="1"/>
  <c r="AS120" i="1"/>
  <c r="AQ121" i="1"/>
  <c r="AQ120" i="1"/>
  <c r="AN121" i="1"/>
  <c r="AN120" i="1"/>
  <c r="AI121" i="1"/>
  <c r="AD121" i="1"/>
  <c r="Y121" i="1"/>
  <c r="Y120" i="1"/>
  <c r="T121" i="1"/>
  <c r="T120" i="1"/>
  <c r="T123" i="1" s="1"/>
  <c r="Q121" i="1"/>
  <c r="Q123" i="1"/>
  <c r="O121" i="1"/>
  <c r="O120" i="1"/>
  <c r="J121" i="1"/>
  <c r="J120" i="1"/>
  <c r="J123" i="1" s="1"/>
  <c r="J133" i="1" s="1"/>
  <c r="CC121" i="1"/>
  <c r="CB121" i="1"/>
  <c r="CC120" i="1"/>
  <c r="CC123" i="1"/>
  <c r="CB120" i="1"/>
  <c r="BS121" i="1"/>
  <c r="BR121" i="1"/>
  <c r="BS120" i="1"/>
  <c r="BR120" i="1"/>
  <c r="AM120" i="1"/>
  <c r="AJ120" i="1"/>
  <c r="AH120" i="1"/>
  <c r="AH123" i="1"/>
  <c r="AG120" i="1"/>
  <c r="AG123" i="1"/>
  <c r="AF120" i="1"/>
  <c r="AE120" i="1"/>
  <c r="AE123" i="1"/>
  <c r="AC120" i="1"/>
  <c r="AC123" i="1"/>
  <c r="CF117" i="1"/>
  <c r="BX117" i="1"/>
  <c r="BX124" i="1" s="1"/>
  <c r="BI117" i="1"/>
  <c r="BG117" i="1"/>
  <c r="BG124" i="1" s="1"/>
  <c r="BF117" i="1"/>
  <c r="BE117" i="1"/>
  <c r="BE124" i="1" s="1"/>
  <c r="BD117" i="1"/>
  <c r="BD124" i="1" s="1"/>
  <c r="BB117" i="1"/>
  <c r="BA117" i="1"/>
  <c r="AZ117" i="1"/>
  <c r="AZ124" i="1" s="1"/>
  <c r="AY117" i="1"/>
  <c r="AY124" i="1" s="1"/>
  <c r="AV117" i="1"/>
  <c r="AR117" i="1"/>
  <c r="AL117" i="1"/>
  <c r="AK117" i="1"/>
  <c r="AK124" i="1" s="1"/>
  <c r="AJ117" i="1"/>
  <c r="AG117" i="1"/>
  <c r="AF117" i="1"/>
  <c r="AE117" i="1"/>
  <c r="AE124" i="1" s="1"/>
  <c r="AC117" i="1"/>
  <c r="AC124" i="1" s="1"/>
  <c r="AB117" i="1"/>
  <c r="AA117" i="1"/>
  <c r="AA124" i="1" s="1"/>
  <c r="X117" i="1"/>
  <c r="X124" i="1" s="1"/>
  <c r="W117" i="1"/>
  <c r="V117" i="1"/>
  <c r="V124" i="1" s="1"/>
  <c r="U117" i="1"/>
  <c r="U124" i="1"/>
  <c r="S117" i="1"/>
  <c r="S124" i="1" s="1"/>
  <c r="R117" i="1"/>
  <c r="P117" i="1"/>
  <c r="P124" i="1" s="1"/>
  <c r="N117" i="1"/>
  <c r="N124" i="1"/>
  <c r="M117" i="1"/>
  <c r="L117" i="1"/>
  <c r="L124" i="1" s="1"/>
  <c r="K117" i="1"/>
  <c r="I117" i="1"/>
  <c r="I124" i="1" s="1"/>
  <c r="H117" i="1"/>
  <c r="H124" i="1" s="1"/>
  <c r="G117" i="1"/>
  <c r="F117" i="1"/>
  <c r="E117" i="1"/>
  <c r="E124" i="1" s="1"/>
  <c r="CM116" i="1"/>
  <c r="CN116" i="1" s="1"/>
  <c r="CO116" i="1" s="1"/>
  <c r="CP116" i="1" s="1"/>
  <c r="CH116" i="1"/>
  <c r="CH117" i="1"/>
  <c r="CH124" i="1" s="1"/>
  <c r="CF116" i="1"/>
  <c r="CG116" i="1"/>
  <c r="CE116" i="1"/>
  <c r="CE117" i="1"/>
  <c r="CD116" i="1"/>
  <c r="CD117" i="1"/>
  <c r="CD124" i="1" s="1"/>
  <c r="CC116" i="1"/>
  <c r="CC117" i="1"/>
  <c r="CC124" i="1" s="1"/>
  <c r="CB116" i="1"/>
  <c r="CA116" i="1"/>
  <c r="CA117" i="1"/>
  <c r="CA124" i="1" s="1"/>
  <c r="BZ116" i="1"/>
  <c r="BZ117" i="1"/>
  <c r="BY116" i="1"/>
  <c r="BY117" i="1"/>
  <c r="BX116" i="1"/>
  <c r="BW116" i="1"/>
  <c r="BV116" i="1"/>
  <c r="BV117" i="1"/>
  <c r="BV124" i="1" s="1"/>
  <c r="BU116" i="1"/>
  <c r="BU117" i="1"/>
  <c r="BU124" i="1" s="1"/>
  <c r="BT116" i="1"/>
  <c r="BT117" i="1"/>
  <c r="BS116" i="1"/>
  <c r="BS117" i="1"/>
  <c r="BQ116" i="1"/>
  <c r="BR116" i="1"/>
  <c r="BP116" i="1"/>
  <c r="BP117" i="1"/>
  <c r="BP124" i="1" s="1"/>
  <c r="BO116" i="1"/>
  <c r="BN116" i="1"/>
  <c r="BL116" i="1"/>
  <c r="BM116" i="1"/>
  <c r="BH116" i="1"/>
  <c r="BH115" i="1"/>
  <c r="BC116" i="1"/>
  <c r="BC115" i="1"/>
  <c r="AX116" i="1"/>
  <c r="AX115" i="1"/>
  <c r="AS116" i="1"/>
  <c r="AS115" i="1"/>
  <c r="AQ116" i="1"/>
  <c r="AQ115" i="1"/>
  <c r="AN116" i="1"/>
  <c r="AN115" i="1"/>
  <c r="AI116" i="1"/>
  <c r="AI115" i="1"/>
  <c r="AD116" i="1"/>
  <c r="AD115" i="1"/>
  <c r="Y116" i="1"/>
  <c r="Y115" i="1"/>
  <c r="T116" i="1"/>
  <c r="T115" i="1"/>
  <c r="O116" i="1"/>
  <c r="O115" i="1"/>
  <c r="J116" i="1"/>
  <c r="J115" i="1"/>
  <c r="CG115" i="1"/>
  <c r="CB115" i="1"/>
  <c r="BW115" i="1"/>
  <c r="BR115" i="1"/>
  <c r="BM115" i="1"/>
  <c r="CG113" i="1"/>
  <c r="CG112" i="1"/>
  <c r="CG111" i="1"/>
  <c r="CG110" i="1"/>
  <c r="CB113" i="1"/>
  <c r="CB112" i="1"/>
  <c r="CB111" i="1"/>
  <c r="CB110" i="1"/>
  <c r="BW113" i="1"/>
  <c r="BW112" i="1"/>
  <c r="BW111" i="1"/>
  <c r="BW110" i="1"/>
  <c r="BR113" i="1"/>
  <c r="BQ113" i="1"/>
  <c r="BQ193" i="1"/>
  <c r="BR193" i="1" s="1"/>
  <c r="BP113" i="1"/>
  <c r="BP193" i="1"/>
  <c r="BO113" i="1"/>
  <c r="BO193" i="1"/>
  <c r="BN113" i="1"/>
  <c r="BL113" i="1"/>
  <c r="BL193" i="1"/>
  <c r="BM193" i="1" s="1"/>
  <c r="BK113" i="1"/>
  <c r="BH113" i="1"/>
  <c r="BH112" i="1"/>
  <c r="BH111" i="1"/>
  <c r="BH110" i="1"/>
  <c r="BH117" i="1" s="1"/>
  <c r="BC113" i="1"/>
  <c r="BC112" i="1"/>
  <c r="BC111" i="1"/>
  <c r="BC110" i="1"/>
  <c r="BC117" i="1" s="1"/>
  <c r="AZ113" i="1"/>
  <c r="AZ193" i="1"/>
  <c r="AW113" i="1"/>
  <c r="AW193" i="1"/>
  <c r="AX193" i="1" s="1"/>
  <c r="AV113" i="1"/>
  <c r="AV193" i="1"/>
  <c r="AU113" i="1"/>
  <c r="AT113" i="1"/>
  <c r="AT193" i="1"/>
  <c r="AR113" i="1"/>
  <c r="AS113" i="1"/>
  <c r="AQ113" i="1"/>
  <c r="AP113" i="1"/>
  <c r="AP117" i="1"/>
  <c r="AP124" i="1" s="1"/>
  <c r="AO113" i="1"/>
  <c r="AO117" i="1"/>
  <c r="AM113" i="1"/>
  <c r="AH113" i="1"/>
  <c r="AI113" i="1"/>
  <c r="AD113" i="1"/>
  <c r="AD117" i="1" s="1"/>
  <c r="AD112" i="1"/>
  <c r="AD111" i="1"/>
  <c r="AD110" i="1"/>
  <c r="T113" i="1"/>
  <c r="T117" i="1" s="1"/>
  <c r="T112" i="1"/>
  <c r="T111" i="1"/>
  <c r="T110" i="1"/>
  <c r="Q113" i="1"/>
  <c r="Q117" i="1"/>
  <c r="Q124" i="1" s="1"/>
  <c r="O113" i="1"/>
  <c r="O112" i="1"/>
  <c r="O111" i="1"/>
  <c r="O110" i="1"/>
  <c r="J113" i="1"/>
  <c r="J112" i="1"/>
  <c r="J111" i="1"/>
  <c r="J130" i="1" s="1"/>
  <c r="J110" i="1"/>
  <c r="J129" i="1" s="1"/>
  <c r="BR112" i="1"/>
  <c r="BR111" i="1"/>
  <c r="BR110" i="1"/>
  <c r="BM112" i="1"/>
  <c r="BM111" i="1"/>
  <c r="BM110" i="1"/>
  <c r="BK112" i="1"/>
  <c r="BJ112" i="1"/>
  <c r="BJ117" i="1"/>
  <c r="BJ124" i="1"/>
  <c r="AX112" i="1"/>
  <c r="AX111" i="1"/>
  <c r="AX110" i="1"/>
  <c r="AS112" i="1"/>
  <c r="AS111" i="1"/>
  <c r="AS110" i="1"/>
  <c r="AQ112" i="1"/>
  <c r="AN112" i="1"/>
  <c r="AN111" i="1"/>
  <c r="AN110" i="1"/>
  <c r="AI112" i="1"/>
  <c r="AI111" i="1"/>
  <c r="AI110" i="1"/>
  <c r="Z113" i="1"/>
  <c r="Y113" i="1"/>
  <c r="Z112" i="1"/>
  <c r="Z117" i="1"/>
  <c r="Y112" i="1"/>
  <c r="Y111" i="1"/>
  <c r="Y110" i="1"/>
  <c r="CL113" i="1"/>
  <c r="CP112" i="1"/>
  <c r="CQ112" i="1"/>
  <c r="CO112" i="1"/>
  <c r="CN112" i="1"/>
  <c r="CM112" i="1"/>
  <c r="CA107" i="1"/>
  <c r="BO107" i="1"/>
  <c r="AY107" i="1"/>
  <c r="AE107" i="1"/>
  <c r="W107" i="1"/>
  <c r="S107" i="1"/>
  <c r="N107" i="1"/>
  <c r="K107" i="1"/>
  <c r="I107" i="1"/>
  <c r="G107" i="1"/>
  <c r="CG106" i="1"/>
  <c r="CG105" i="1"/>
  <c r="CG104" i="1"/>
  <c r="CB106" i="1"/>
  <c r="CB104" i="1"/>
  <c r="BW106" i="1"/>
  <c r="BW104" i="1"/>
  <c r="BT106" i="1"/>
  <c r="BT105" i="1"/>
  <c r="BR106" i="1"/>
  <c r="BQ106" i="1"/>
  <c r="BP106" i="1"/>
  <c r="BO106" i="1"/>
  <c r="BN106" i="1"/>
  <c r="BL106" i="1"/>
  <c r="BM106" i="1"/>
  <c r="BI106" i="1"/>
  <c r="BH106" i="1"/>
  <c r="BC106" i="1"/>
  <c r="BC105" i="1"/>
  <c r="BC104" i="1"/>
  <c r="AZ106" i="1"/>
  <c r="AZ105" i="1"/>
  <c r="AX106" i="1"/>
  <c r="AX104" i="1"/>
  <c r="AS106" i="1"/>
  <c r="AS105" i="1"/>
  <c r="AS104" i="1"/>
  <c r="AQ106" i="1"/>
  <c r="AQ105" i="1"/>
  <c r="AO106" i="1"/>
  <c r="AM106" i="1"/>
  <c r="AN106" i="1"/>
  <c r="AI106" i="1"/>
  <c r="AI105" i="1"/>
  <c r="AI104" i="1"/>
  <c r="AD106" i="1"/>
  <c r="AD104" i="1"/>
  <c r="AB106" i="1"/>
  <c r="AB107" i="1"/>
  <c r="Y106" i="1"/>
  <c r="Y104" i="1"/>
  <c r="T106" i="1"/>
  <c r="T105" i="1"/>
  <c r="T104" i="1"/>
  <c r="O106" i="1"/>
  <c r="O105" i="1"/>
  <c r="O104" i="1"/>
  <c r="J106" i="1"/>
  <c r="J105" i="1"/>
  <c r="J104" i="1"/>
  <c r="CH105" i="1"/>
  <c r="CF105" i="1"/>
  <c r="CE105" i="1"/>
  <c r="CD105" i="1"/>
  <c r="CC105" i="1"/>
  <c r="CC107" i="1"/>
  <c r="CC125" i="1" s="1"/>
  <c r="CA105" i="1"/>
  <c r="CB105" i="1"/>
  <c r="BZ105" i="1"/>
  <c r="BZ107" i="1"/>
  <c r="BY105" i="1"/>
  <c r="BY107" i="1"/>
  <c r="BX105" i="1"/>
  <c r="BV105" i="1"/>
  <c r="BV107" i="1"/>
  <c r="BU105" i="1"/>
  <c r="BS105" i="1"/>
  <c r="BR105" i="1"/>
  <c r="BQ105" i="1"/>
  <c r="BQ107" i="1"/>
  <c r="BP105" i="1"/>
  <c r="BO105" i="1"/>
  <c r="BN105" i="1"/>
  <c r="BL105" i="1"/>
  <c r="BM105" i="1"/>
  <c r="BK105" i="1"/>
  <c r="BJ105" i="1"/>
  <c r="BG105" i="1"/>
  <c r="BH105" i="1"/>
  <c r="BF105" i="1"/>
  <c r="BE105" i="1"/>
  <c r="BD105" i="1"/>
  <c r="BB105" i="1"/>
  <c r="BA105" i="1"/>
  <c r="AY105" i="1"/>
  <c r="AW105" i="1"/>
  <c r="AX105" i="1"/>
  <c r="AV105" i="1"/>
  <c r="AU105" i="1"/>
  <c r="AT105" i="1"/>
  <c r="AR105" i="1"/>
  <c r="AP105" i="1"/>
  <c r="AO105" i="1"/>
  <c r="AN105" i="1"/>
  <c r="AM105" i="1"/>
  <c r="AL105" i="1"/>
  <c r="AL107" i="1"/>
  <c r="AK105" i="1"/>
  <c r="AK107" i="1"/>
  <c r="AJ105" i="1"/>
  <c r="AJ107" i="1"/>
  <c r="AH105" i="1"/>
  <c r="AH107" i="1"/>
  <c r="AG105" i="1"/>
  <c r="AG107" i="1"/>
  <c r="AF105" i="1"/>
  <c r="AF107" i="1"/>
  <c r="AE105" i="1"/>
  <c r="AC105" i="1"/>
  <c r="AD105" i="1"/>
  <c r="AA105" i="1"/>
  <c r="AA107" i="1"/>
  <c r="Z105" i="1"/>
  <c r="Z107" i="1"/>
  <c r="X105" i="1"/>
  <c r="X107" i="1"/>
  <c r="X125" i="1" s="1"/>
  <c r="W105" i="1"/>
  <c r="V105" i="1"/>
  <c r="V107" i="1"/>
  <c r="U105" i="1"/>
  <c r="U107" i="1"/>
  <c r="U125" i="1" s="1"/>
  <c r="R105" i="1"/>
  <c r="R107" i="1"/>
  <c r="Q105" i="1"/>
  <c r="P105" i="1"/>
  <c r="P107" i="1"/>
  <c r="M105" i="1"/>
  <c r="M107" i="1"/>
  <c r="L105" i="1"/>
  <c r="L107" i="1"/>
  <c r="K105" i="1"/>
  <c r="H105" i="1"/>
  <c r="H107" i="1"/>
  <c r="G105" i="1"/>
  <c r="F105" i="1"/>
  <c r="F107" i="1"/>
  <c r="E105" i="1"/>
  <c r="E107" i="1"/>
  <c r="BR104" i="1"/>
  <c r="BM104" i="1"/>
  <c r="BH104" i="1"/>
  <c r="AN104" i="1"/>
  <c r="CG100" i="1"/>
  <c r="CG98" i="1"/>
  <c r="CG97" i="1"/>
  <c r="CG96" i="1"/>
  <c r="CC102" i="1"/>
  <c r="CC192" i="1" s="1"/>
  <c r="CA102" i="1"/>
  <c r="CA192" i="1" s="1"/>
  <c r="CB192" i="1" s="1"/>
  <c r="BZ102" i="1"/>
  <c r="BZ192" i="1" s="1"/>
  <c r="BY102" i="1"/>
  <c r="BY192" i="1" s="1"/>
  <c r="BX102" i="1"/>
  <c r="BX192" i="1" s="1"/>
  <c r="BU101" i="1"/>
  <c r="BU102" i="1" s="1"/>
  <c r="BU100" i="1"/>
  <c r="BS102" i="1"/>
  <c r="BQ102" i="1"/>
  <c r="BQ192" i="1" s="1"/>
  <c r="BR192" i="1" s="1"/>
  <c r="BP102" i="1"/>
  <c r="BL102" i="1"/>
  <c r="BL192" i="1" s="1"/>
  <c r="BM192" i="1" s="1"/>
  <c r="BD102" i="1"/>
  <c r="BD192" i="1" s="1"/>
  <c r="AZ102" i="1"/>
  <c r="AZ192" i="1" s="1"/>
  <c r="AV102" i="1"/>
  <c r="AR102" i="1"/>
  <c r="AL102" i="1"/>
  <c r="AK102" i="1"/>
  <c r="AJ102" i="1"/>
  <c r="AH102" i="1"/>
  <c r="AG102" i="1"/>
  <c r="AF102" i="1"/>
  <c r="AE102" i="1"/>
  <c r="AC102" i="1"/>
  <c r="AB102" i="1"/>
  <c r="AA102" i="1"/>
  <c r="Z102" i="1"/>
  <c r="X102" i="1"/>
  <c r="W102" i="1"/>
  <c r="V102" i="1"/>
  <c r="U102" i="1"/>
  <c r="S102" i="1"/>
  <c r="R102" i="1"/>
  <c r="P102" i="1"/>
  <c r="N102" i="1"/>
  <c r="M102" i="1"/>
  <c r="L102" i="1"/>
  <c r="K102" i="1"/>
  <c r="I102" i="1"/>
  <c r="H102" i="1"/>
  <c r="G102" i="1"/>
  <c r="F102" i="1"/>
  <c r="E102" i="1"/>
  <c r="CD101" i="1"/>
  <c r="CE101" i="1" s="1"/>
  <c r="CF101" i="1" s="1"/>
  <c r="CG101" i="1" s="1"/>
  <c r="CH101" i="1" s="1"/>
  <c r="CI101" i="1" s="1"/>
  <c r="CJ101" i="1" s="1"/>
  <c r="CB101" i="1"/>
  <c r="CB100" i="1"/>
  <c r="CB99" i="1"/>
  <c r="CB98" i="1"/>
  <c r="CB97" i="1"/>
  <c r="CB96" i="1"/>
  <c r="BW101" i="1"/>
  <c r="BW100" i="1"/>
  <c r="BW99" i="1"/>
  <c r="BW98" i="1"/>
  <c r="BW97" i="1"/>
  <c r="BW96" i="1"/>
  <c r="BR101" i="1"/>
  <c r="BR100" i="1"/>
  <c r="BR99" i="1"/>
  <c r="BR98" i="1"/>
  <c r="BR97" i="1"/>
  <c r="BR96" i="1"/>
  <c r="AN101" i="1"/>
  <c r="AN99" i="1"/>
  <c r="AN98" i="1"/>
  <c r="AN97" i="1"/>
  <c r="AI101" i="1"/>
  <c r="AI100" i="1"/>
  <c r="AI99" i="1"/>
  <c r="AI98" i="1"/>
  <c r="AI97" i="1"/>
  <c r="AI96" i="1"/>
  <c r="AD101" i="1"/>
  <c r="AD100" i="1"/>
  <c r="AD99" i="1"/>
  <c r="AD98" i="1"/>
  <c r="AD97" i="1"/>
  <c r="AD96" i="1"/>
  <c r="Y101" i="1"/>
  <c r="Y100" i="1"/>
  <c r="Y99" i="1"/>
  <c r="Y98" i="1"/>
  <c r="Y97" i="1"/>
  <c r="Y96" i="1"/>
  <c r="T101" i="1"/>
  <c r="T100" i="1"/>
  <c r="T99" i="1"/>
  <c r="T98" i="1"/>
  <c r="T97" i="1"/>
  <c r="T96" i="1"/>
  <c r="O101" i="1"/>
  <c r="O100" i="1"/>
  <c r="O99" i="1"/>
  <c r="O98" i="1"/>
  <c r="O97" i="1"/>
  <c r="O127" i="1" s="1"/>
  <c r="O96" i="1"/>
  <c r="J101" i="1"/>
  <c r="J100" i="1"/>
  <c r="J99" i="1"/>
  <c r="J98" i="1"/>
  <c r="J128" i="1" s="1"/>
  <c r="J97" i="1"/>
  <c r="J127" i="1" s="1"/>
  <c r="J96" i="1"/>
  <c r="BS100" i="1"/>
  <c r="BP100" i="1"/>
  <c r="BO100" i="1"/>
  <c r="BN100" i="1"/>
  <c r="BN107" i="1"/>
  <c r="BM100" i="1"/>
  <c r="BL100" i="1"/>
  <c r="BK100" i="1"/>
  <c r="BK102" i="1"/>
  <c r="BK192" i="1" s="1"/>
  <c r="BJ100" i="1"/>
  <c r="BJ102" i="1"/>
  <c r="BJ192" i="1" s="1"/>
  <c r="BI100" i="1"/>
  <c r="BG100" i="1"/>
  <c r="BF100" i="1"/>
  <c r="BF107" i="1"/>
  <c r="BE100" i="1"/>
  <c r="BD100" i="1"/>
  <c r="BC100" i="1"/>
  <c r="BB100" i="1"/>
  <c r="BB102" i="1"/>
  <c r="BB192" i="1" s="1"/>
  <c r="BC192" i="1" s="1"/>
  <c r="BA100" i="1"/>
  <c r="AZ100" i="1"/>
  <c r="AY100" i="1"/>
  <c r="AW100" i="1"/>
  <c r="AV100" i="1"/>
  <c r="AU100" i="1"/>
  <c r="AU102" i="1"/>
  <c r="AU192" i="1" s="1"/>
  <c r="AT100" i="1"/>
  <c r="AT102" i="1"/>
  <c r="AT192" i="1" s="1"/>
  <c r="AS100" i="1"/>
  <c r="AR100" i="1"/>
  <c r="AQ100" i="1"/>
  <c r="AP100" i="1"/>
  <c r="AP102" i="1"/>
  <c r="AO100" i="1"/>
  <c r="AO102" i="1"/>
  <c r="AM100" i="1"/>
  <c r="AN100" i="1"/>
  <c r="Q100" i="1"/>
  <c r="Q102" i="1"/>
  <c r="CD99" i="1"/>
  <c r="BM99" i="1"/>
  <c r="BM98" i="1"/>
  <c r="BM97" i="1"/>
  <c r="BM96" i="1"/>
  <c r="BH99" i="1"/>
  <c r="BH98" i="1"/>
  <c r="BH97" i="1"/>
  <c r="BH96" i="1"/>
  <c r="BC99" i="1"/>
  <c r="BC102" i="1" s="1"/>
  <c r="BC98" i="1"/>
  <c r="BC97" i="1"/>
  <c r="AX99" i="1"/>
  <c r="AX98" i="1"/>
  <c r="AX97" i="1"/>
  <c r="AX96" i="1"/>
  <c r="AS99" i="1"/>
  <c r="AS98" i="1"/>
  <c r="AS97" i="1"/>
  <c r="AQ99" i="1"/>
  <c r="AQ102" i="1"/>
  <c r="AQ98" i="1"/>
  <c r="AQ128" i="1"/>
  <c r="AQ97" i="1"/>
  <c r="AQ127" i="1"/>
  <c r="AQ96" i="1"/>
  <c r="CL100" i="1"/>
  <c r="BX96" i="1"/>
  <c r="BT96" i="1"/>
  <c r="BS96" i="1"/>
  <c r="BK96" i="1"/>
  <c r="BJ96" i="1"/>
  <c r="BB96" i="1"/>
  <c r="AU96" i="1"/>
  <c r="AU107" i="1"/>
  <c r="AT96" i="1"/>
  <c r="AR96" i="1"/>
  <c r="AP96" i="1"/>
  <c r="AP107" i="1"/>
  <c r="AO96" i="1"/>
  <c r="AM96" i="1"/>
  <c r="AN96" i="1"/>
  <c r="CV94" i="1"/>
  <c r="CU94" i="1"/>
  <c r="CT94" i="1"/>
  <c r="CS94" i="1"/>
  <c r="CR94" i="1"/>
  <c r="CQ94" i="1"/>
  <c r="CP94" i="1"/>
  <c r="CO94" i="1"/>
  <c r="CN94" i="1"/>
  <c r="CM94" i="1"/>
  <c r="CL94" i="1"/>
  <c r="CK94" i="1"/>
  <c r="CJ94" i="1"/>
  <c r="CI94" i="1"/>
  <c r="CH94" i="1"/>
  <c r="CG94" i="1"/>
  <c r="CF94" i="1"/>
  <c r="CE94" i="1"/>
  <c r="CD94" i="1"/>
  <c r="CC94" i="1"/>
  <c r="CB94" i="1"/>
  <c r="CA94" i="1"/>
  <c r="BZ94" i="1"/>
  <c r="BY94" i="1"/>
  <c r="BX94" i="1"/>
  <c r="BW94" i="1"/>
  <c r="BV94" i="1"/>
  <c r="BU94" i="1"/>
  <c r="BT94" i="1"/>
  <c r="BS94" i="1"/>
  <c r="BR94" i="1"/>
  <c r="BQ94" i="1"/>
  <c r="BP94" i="1"/>
  <c r="BO94" i="1"/>
  <c r="BN94" i="1"/>
  <c r="BM94" i="1"/>
  <c r="BL94" i="1"/>
  <c r="BK94" i="1"/>
  <c r="BJ94" i="1"/>
  <c r="BI94" i="1"/>
  <c r="BH94" i="1"/>
  <c r="BG94" i="1"/>
  <c r="BF94" i="1"/>
  <c r="BE94" i="1"/>
  <c r="BD94" i="1"/>
  <c r="BC94" i="1"/>
  <c r="BB94" i="1"/>
  <c r="BA94" i="1"/>
  <c r="AZ94" i="1"/>
  <c r="AY94" i="1"/>
  <c r="AX94" i="1"/>
  <c r="AW94" i="1"/>
  <c r="AV94" i="1"/>
  <c r="AU94" i="1"/>
  <c r="AT94" i="1"/>
  <c r="AS94" i="1"/>
  <c r="AR94" i="1"/>
  <c r="AQ94" i="1"/>
  <c r="AP94" i="1"/>
  <c r="AO94" i="1"/>
  <c r="AN94" i="1"/>
  <c r="AM94" i="1"/>
  <c r="AL94" i="1"/>
  <c r="AK94" i="1"/>
  <c r="AJ94" i="1"/>
  <c r="AI94" i="1"/>
  <c r="AH94" i="1"/>
  <c r="AG94" i="1"/>
  <c r="AF94" i="1"/>
  <c r="AE94" i="1"/>
  <c r="AD94" i="1"/>
  <c r="AC94" i="1"/>
  <c r="AB94" i="1"/>
  <c r="AA94" i="1"/>
  <c r="Z94" i="1"/>
  <c r="Y94" i="1"/>
  <c r="X94" i="1"/>
  <c r="W94" i="1"/>
  <c r="V94" i="1"/>
  <c r="U94" i="1"/>
  <c r="T94" i="1"/>
  <c r="S94" i="1"/>
  <c r="R94" i="1"/>
  <c r="Q94" i="1"/>
  <c r="P94" i="1"/>
  <c r="O94" i="1"/>
  <c r="N94" i="1"/>
  <c r="M94" i="1"/>
  <c r="L94" i="1"/>
  <c r="K94" i="1"/>
  <c r="J94" i="1"/>
  <c r="I94" i="1"/>
  <c r="H94" i="1"/>
  <c r="G94" i="1"/>
  <c r="F94" i="1"/>
  <c r="E94" i="1"/>
  <c r="D94" i="1"/>
  <c r="CR93" i="1"/>
  <c r="CR137" i="1"/>
  <c r="CM93" i="1"/>
  <c r="CM137" i="1" s="1"/>
  <c r="CH93" i="1"/>
  <c r="CH137" i="1" s="1"/>
  <c r="CC93" i="1"/>
  <c r="CC137" i="1" s="1"/>
  <c r="B92" i="1"/>
  <c r="B91" i="1"/>
  <c r="BB82" i="1"/>
  <c r="CH81" i="1"/>
  <c r="CF81" i="1"/>
  <c r="CE81" i="1"/>
  <c r="CD81" i="1"/>
  <c r="CC81" i="1"/>
  <c r="CA81" i="1"/>
  <c r="BZ81" i="1"/>
  <c r="BY81" i="1"/>
  <c r="BX81" i="1"/>
  <c r="AT81" i="1"/>
  <c r="AP81" i="1"/>
  <c r="AK81" i="1"/>
  <c r="AI81" i="1"/>
  <c r="AG81" i="1"/>
  <c r="AF81" i="1"/>
  <c r="AE81" i="1"/>
  <c r="AA81" i="1"/>
  <c r="Z81" i="1"/>
  <c r="V81" i="1"/>
  <c r="U81" i="1"/>
  <c r="T81" i="1"/>
  <c r="R81" i="1"/>
  <c r="Q81" i="1"/>
  <c r="P81" i="1"/>
  <c r="O81" i="1"/>
  <c r="M81" i="1"/>
  <c r="L81" i="1"/>
  <c r="K81" i="1"/>
  <c r="CH80" i="1"/>
  <c r="CF80" i="1"/>
  <c r="CE80" i="1"/>
  <c r="CD80" i="1"/>
  <c r="CC80" i="1"/>
  <c r="CA80" i="1"/>
  <c r="AV79" i="1"/>
  <c r="AU79" i="1"/>
  <c r="AT79" i="1"/>
  <c r="AR79" i="1"/>
  <c r="O79" i="1"/>
  <c r="M79" i="1"/>
  <c r="L79" i="1"/>
  <c r="K79" i="1"/>
  <c r="BY75" i="1"/>
  <c r="AV75" i="1"/>
  <c r="AT75" i="1"/>
  <c r="AR75" i="1"/>
  <c r="AQ75" i="1"/>
  <c r="AP75" i="1"/>
  <c r="AO75" i="1"/>
  <c r="AM75" i="1"/>
  <c r="AG75" i="1"/>
  <c r="AE75" i="1"/>
  <c r="O75" i="1"/>
  <c r="M75" i="1"/>
  <c r="L75" i="1"/>
  <c r="K75" i="1"/>
  <c r="BY73" i="1"/>
  <c r="BS73" i="1"/>
  <c r="AR73" i="1"/>
  <c r="AQ73" i="1"/>
  <c r="AP73" i="1"/>
  <c r="AO73" i="1"/>
  <c r="AI73" i="1"/>
  <c r="AG73" i="1"/>
  <c r="AE73" i="1"/>
  <c r="O73" i="1"/>
  <c r="M73" i="1"/>
  <c r="L73" i="1"/>
  <c r="K73" i="1"/>
  <c r="AV72" i="1"/>
  <c r="AU72" i="1"/>
  <c r="AT72" i="1"/>
  <c r="AR72" i="1"/>
  <c r="AQ72" i="1"/>
  <c r="AP72" i="1"/>
  <c r="AO72" i="1"/>
  <c r="AG72" i="1"/>
  <c r="M72" i="1"/>
  <c r="L72" i="1"/>
  <c r="BY65" i="1"/>
  <c r="BX65" i="1"/>
  <c r="BQ61" i="1"/>
  <c r="BP61" i="1"/>
  <c r="BO61" i="1"/>
  <c r="BN61" i="1"/>
  <c r="BR61" i="1"/>
  <c r="BL61" i="1"/>
  <c r="BK61" i="1"/>
  <c r="BJ61" i="1"/>
  <c r="BI61" i="1"/>
  <c r="BM61" i="1"/>
  <c r="BE61" i="1"/>
  <c r="BD61" i="1"/>
  <c r="BD74" i="1" s="1"/>
  <c r="BA61" i="1"/>
  <c r="BA74" i="1" s="1"/>
  <c r="AZ61" i="1"/>
  <c r="AZ74" i="1" s="1"/>
  <c r="AY61" i="1"/>
  <c r="AY74" i="1" s="1"/>
  <c r="AU61" i="1"/>
  <c r="AT61" i="1"/>
  <c r="AP61" i="1"/>
  <c r="AO61" i="1"/>
  <c r="AL61" i="1"/>
  <c r="AK61" i="1"/>
  <c r="AJ61" i="1"/>
  <c r="AF61" i="1"/>
  <c r="AE61" i="1"/>
  <c r="AA61" i="1"/>
  <c r="Z61" i="1"/>
  <c r="V61" i="1"/>
  <c r="U61" i="1"/>
  <c r="Q61" i="1"/>
  <c r="P61" i="1"/>
  <c r="O61" i="1"/>
  <c r="N61" i="1"/>
  <c r="I61" i="1"/>
  <c r="G61" i="1"/>
  <c r="F61" i="1"/>
  <c r="E61" i="1"/>
  <c r="CH60" i="1"/>
  <c r="CF60" i="1"/>
  <c r="CE60" i="1"/>
  <c r="CD60" i="1"/>
  <c r="CC60" i="1"/>
  <c r="CA60" i="1"/>
  <c r="BZ60" i="1"/>
  <c r="BY60" i="1"/>
  <c r="BX60" i="1"/>
  <c r="BV60" i="1"/>
  <c r="BU60" i="1"/>
  <c r="BT60" i="1"/>
  <c r="BS60" i="1"/>
  <c r="CO152" i="1"/>
  <c r="CN152" i="1"/>
  <c r="CF56" i="1"/>
  <c r="CF152" i="1" s="1"/>
  <c r="BY56" i="1"/>
  <c r="BZ56" i="1" s="1"/>
  <c r="BZ55" i="1" s="1"/>
  <c r="BW56" i="1"/>
  <c r="BR56" i="1"/>
  <c r="BM56" i="1"/>
  <c r="BE56" i="1"/>
  <c r="BH56" i="1" s="1"/>
  <c r="BE53" i="1"/>
  <c r="BB56" i="1"/>
  <c r="BC56" i="1" s="1"/>
  <c r="AW56" i="1"/>
  <c r="AV56" i="1"/>
  <c r="AU56" i="1"/>
  <c r="AT56" i="1"/>
  <c r="AR56" i="1"/>
  <c r="AQ56" i="1"/>
  <c r="AM56" i="1"/>
  <c r="AJ56" i="1"/>
  <c r="AJ152" i="1" s="1"/>
  <c r="AJ154" i="1" s="1"/>
  <c r="AE56" i="1"/>
  <c r="AF55" i="1"/>
  <c r="AF56" i="1" s="1"/>
  <c r="AG55" i="1"/>
  <c r="AH55" i="1" s="1"/>
  <c r="AH56" i="1" s="1"/>
  <c r="AB56" i="1"/>
  <c r="CE55" i="1"/>
  <c r="CD55" i="1"/>
  <c r="CC55" i="1"/>
  <c r="BV55" i="1"/>
  <c r="BX55" i="1" s="1"/>
  <c r="BX53" i="1" s="1"/>
  <c r="BX54" i="1" s="1"/>
  <c r="BT55" i="1"/>
  <c r="BA55" i="1"/>
  <c r="AZ55" i="1"/>
  <c r="AY55" i="1"/>
  <c r="AP55" i="1"/>
  <c r="AL55" i="1"/>
  <c r="AK55" i="1"/>
  <c r="CE54" i="1"/>
  <c r="CF51" i="1" s="1"/>
  <c r="CD54" i="1"/>
  <c r="CC54" i="1"/>
  <c r="BQ55" i="1"/>
  <c r="BS55" i="1" s="1"/>
  <c r="BP55" i="1"/>
  <c r="BO55" i="1"/>
  <c r="BN55" i="1"/>
  <c r="BD53" i="1"/>
  <c r="BB54" i="1"/>
  <c r="BD51" i="1" s="1"/>
  <c r="AT54" i="1"/>
  <c r="AU51" i="1" s="1"/>
  <c r="AU54" i="1" s="1"/>
  <c r="AV51" i="1" s="1"/>
  <c r="AV54" i="1" s="1"/>
  <c r="AW51" i="1" s="1"/>
  <c r="AW54" i="1" s="1"/>
  <c r="AY51" i="1" s="1"/>
  <c r="AY54" i="1" s="1"/>
  <c r="AZ51" i="1" s="1"/>
  <c r="AZ54" i="1" s="1"/>
  <c r="BA51" i="1" s="1"/>
  <c r="BA54" i="1" s="1"/>
  <c r="AO54" i="1"/>
  <c r="AP51" i="1" s="1"/>
  <c r="AP54" i="1" s="1"/>
  <c r="AQ51" i="1" s="1"/>
  <c r="AQ54" i="1" s="1"/>
  <c r="AR51" i="1" s="1"/>
  <c r="AR54" i="1" s="1"/>
  <c r="AM54" i="1"/>
  <c r="AJ54" i="1"/>
  <c r="AK51" i="1" s="1"/>
  <c r="AK54" i="1" s="1"/>
  <c r="AL51" i="1" s="1"/>
  <c r="AL54" i="1" s="1"/>
  <c r="AE54" i="1"/>
  <c r="AF51" i="1" s="1"/>
  <c r="AF54" i="1" s="1"/>
  <c r="AG51" i="1" s="1"/>
  <c r="AG54" i="1" s="1"/>
  <c r="AH51" i="1" s="1"/>
  <c r="AH54" i="1" s="1"/>
  <c r="AB54" i="1"/>
  <c r="AC51" i="1" s="1"/>
  <c r="AA54" i="1"/>
  <c r="CU55" i="1"/>
  <c r="CZ55" i="1" s="1"/>
  <c r="DE55" i="1" s="1"/>
  <c r="CT55" i="1"/>
  <c r="CY55" i="1" s="1"/>
  <c r="DD55" i="1" s="1"/>
  <c r="CS55" i="1"/>
  <c r="CX55" i="1" s="1"/>
  <c r="CH53" i="1"/>
  <c r="BL53" i="1"/>
  <c r="BK53" i="1"/>
  <c r="BJ53" i="1"/>
  <c r="BI53" i="1"/>
  <c r="CH51" i="1"/>
  <c r="BV51" i="1"/>
  <c r="BV54" i="1" s="1"/>
  <c r="BU51" i="1"/>
  <c r="BT51" i="1"/>
  <c r="AS51" i="1"/>
  <c r="CG50" i="1"/>
  <c r="CB48" i="1"/>
  <c r="BV48" i="1"/>
  <c r="BV46" i="1" s="1"/>
  <c r="BW46" i="1" s="1"/>
  <c r="BR48" i="1"/>
  <c r="BR47" i="1"/>
  <c r="BR46" i="1"/>
  <c r="BM48" i="1"/>
  <c r="BH48" i="1"/>
  <c r="BH47" i="1"/>
  <c r="BH46" i="1"/>
  <c r="BB48" i="1"/>
  <c r="BC48" i="1"/>
  <c r="CG47" i="1"/>
  <c r="BV69" i="66" s="1"/>
  <c r="CG46" i="1"/>
  <c r="BW47" i="1"/>
  <c r="BC46" i="1"/>
  <c r="AY48" i="1"/>
  <c r="AW48" i="1"/>
  <c r="AX48" i="1"/>
  <c r="AV48" i="1"/>
  <c r="AU48" i="1"/>
  <c r="AT48" i="1"/>
  <c r="AS48" i="1"/>
  <c r="AR48" i="1"/>
  <c r="AQ48" i="1"/>
  <c r="AP48" i="1"/>
  <c r="AO48" i="1"/>
  <c r="AM48" i="1"/>
  <c r="AN48" i="1"/>
  <c r="AL48" i="1"/>
  <c r="AK48" i="1"/>
  <c r="AJ48" i="1"/>
  <c r="AI48" i="1"/>
  <c r="AH48" i="1"/>
  <c r="AG48" i="1"/>
  <c r="AF48" i="1"/>
  <c r="AE48" i="1"/>
  <c r="AC48" i="1"/>
  <c r="AD48" i="1"/>
  <c r="AB48" i="1"/>
  <c r="AA48" i="1"/>
  <c r="Z48" i="1"/>
  <c r="Y48" i="1"/>
  <c r="X48" i="1"/>
  <c r="W48" i="1"/>
  <c r="V48" i="1"/>
  <c r="U48" i="1"/>
  <c r="S48" i="1"/>
  <c r="T48" i="1"/>
  <c r="R48" i="1"/>
  <c r="Q48" i="1"/>
  <c r="P48" i="1"/>
  <c r="O48" i="1"/>
  <c r="N48" i="1"/>
  <c r="M48" i="1"/>
  <c r="L48" i="1"/>
  <c r="K48" i="1"/>
  <c r="I48" i="1"/>
  <c r="J48" i="1"/>
  <c r="H48" i="1"/>
  <c r="G48" i="1"/>
  <c r="F48" i="1"/>
  <c r="E48" i="1"/>
  <c r="AY47" i="1"/>
  <c r="BC47" i="1"/>
  <c r="AW47" i="1"/>
  <c r="AV47" i="1"/>
  <c r="AU47" i="1"/>
  <c r="AT47" i="1"/>
  <c r="AX47" i="1"/>
  <c r="AS47" i="1"/>
  <c r="AR47" i="1"/>
  <c r="AQ47" i="1"/>
  <c r="AP47" i="1"/>
  <c r="AO47" i="1"/>
  <c r="AN47" i="1"/>
  <c r="AM47" i="1"/>
  <c r="AL47" i="1"/>
  <c r="AK47" i="1"/>
  <c r="AJ47" i="1"/>
  <c r="AI47" i="1"/>
  <c r="AH47" i="1"/>
  <c r="AG47" i="1"/>
  <c r="AF47" i="1"/>
  <c r="AE47" i="1"/>
  <c r="AD47" i="1"/>
  <c r="AC47" i="1"/>
  <c r="AB47" i="1"/>
  <c r="AA47" i="1"/>
  <c r="Z47" i="1"/>
  <c r="Y47" i="1"/>
  <c r="X47" i="1"/>
  <c r="W47" i="1"/>
  <c r="V47" i="1"/>
  <c r="U47" i="1"/>
  <c r="T47" i="1"/>
  <c r="S47" i="1"/>
  <c r="R47" i="1"/>
  <c r="Q47" i="1"/>
  <c r="P47" i="1"/>
  <c r="O47" i="1"/>
  <c r="N47" i="1"/>
  <c r="M47" i="1"/>
  <c r="L47" i="1"/>
  <c r="K47" i="1"/>
  <c r="J47" i="1"/>
  <c r="I47" i="1"/>
  <c r="H47" i="1"/>
  <c r="G47" i="1"/>
  <c r="F47" i="1"/>
  <c r="E47" i="1"/>
  <c r="AY46" i="1"/>
  <c r="AW46" i="1"/>
  <c r="AV46" i="1"/>
  <c r="AU46" i="1"/>
  <c r="AT46" i="1"/>
  <c r="AX46" i="1"/>
  <c r="AS46" i="1"/>
  <c r="AR46" i="1"/>
  <c r="AQ46" i="1"/>
  <c r="AP46" i="1"/>
  <c r="AO46" i="1"/>
  <c r="AN46" i="1"/>
  <c r="AM46" i="1"/>
  <c r="AL46" i="1"/>
  <c r="AK46" i="1"/>
  <c r="AJ46" i="1"/>
  <c r="AI46" i="1"/>
  <c r="AH46" i="1"/>
  <c r="AG46" i="1"/>
  <c r="AF46" i="1"/>
  <c r="AE46" i="1"/>
  <c r="AD46" i="1"/>
  <c r="AC46" i="1"/>
  <c r="AB46" i="1"/>
  <c r="AA46" i="1"/>
  <c r="Z46" i="1"/>
  <c r="Y46" i="1"/>
  <c r="X46" i="1"/>
  <c r="W46" i="1"/>
  <c r="V46" i="1"/>
  <c r="U46" i="1"/>
  <c r="T46" i="1"/>
  <c r="S46" i="1"/>
  <c r="R46" i="1"/>
  <c r="Q46" i="1"/>
  <c r="P46" i="1"/>
  <c r="O46" i="1"/>
  <c r="N46" i="1"/>
  <c r="M46" i="1"/>
  <c r="L46" i="1"/>
  <c r="K46" i="1"/>
  <c r="J46" i="1"/>
  <c r="I46" i="1"/>
  <c r="H46" i="1"/>
  <c r="G46" i="1"/>
  <c r="F46" i="1"/>
  <c r="E46" i="1"/>
  <c r="CV40" i="1"/>
  <c r="CV38" i="1"/>
  <c r="CV34" i="1"/>
  <c r="CV33" i="1"/>
  <c r="CV32" i="1"/>
  <c r="CQ40" i="1"/>
  <c r="CQ38" i="1"/>
  <c r="CQ34" i="1"/>
  <c r="CQ33" i="1"/>
  <c r="CQ32" i="1"/>
  <c r="CL40" i="1"/>
  <c r="CL38" i="1"/>
  <c r="CL34" i="1"/>
  <c r="CL33" i="1"/>
  <c r="CL32" i="1"/>
  <c r="CG40" i="1"/>
  <c r="CG38" i="1"/>
  <c r="CG35" i="1"/>
  <c r="CG34" i="1"/>
  <c r="CG33" i="1"/>
  <c r="CG32" i="1"/>
  <c r="CG31" i="1"/>
  <c r="CB40" i="1"/>
  <c r="CB38" i="1"/>
  <c r="CB35" i="1"/>
  <c r="CB34" i="1"/>
  <c r="CB33" i="1"/>
  <c r="CB32" i="1"/>
  <c r="BW40" i="1"/>
  <c r="BW38" i="1"/>
  <c r="BW34" i="1"/>
  <c r="BW33" i="1"/>
  <c r="BW32" i="1"/>
  <c r="BR38" i="1"/>
  <c r="BR34" i="1"/>
  <c r="BR33" i="1"/>
  <c r="BR32" i="1"/>
  <c r="BO40" i="1"/>
  <c r="BN40" i="1"/>
  <c r="BR40" i="1"/>
  <c r="BM40" i="1"/>
  <c r="BH40" i="1"/>
  <c r="BH38" i="1"/>
  <c r="BH34" i="1"/>
  <c r="BH33" i="1"/>
  <c r="BH32" i="1"/>
  <c r="BC40" i="1"/>
  <c r="BC38" i="1"/>
  <c r="BC35" i="1"/>
  <c r="BC34" i="1"/>
  <c r="BC33" i="1"/>
  <c r="BC32" i="1"/>
  <c r="AX40" i="1"/>
  <c r="AX38" i="1"/>
  <c r="AX36" i="1"/>
  <c r="AX35" i="1"/>
  <c r="AX34" i="1"/>
  <c r="AX33" i="1"/>
  <c r="AX32" i="1"/>
  <c r="AX31" i="1"/>
  <c r="AS40" i="1"/>
  <c r="AS38" i="1"/>
  <c r="AS36" i="1"/>
  <c r="AS35" i="1"/>
  <c r="AS34" i="1"/>
  <c r="AS33" i="1"/>
  <c r="AS32" i="1"/>
  <c r="AS31" i="1"/>
  <c r="AO40" i="1"/>
  <c r="AN40" i="1"/>
  <c r="AH40" i="1"/>
  <c r="AC40" i="1"/>
  <c r="X40" i="1"/>
  <c r="S40" i="1"/>
  <c r="N40" i="1"/>
  <c r="I40" i="1"/>
  <c r="BM38" i="1"/>
  <c r="BM35" i="1"/>
  <c r="BM34" i="1"/>
  <c r="BM33" i="1"/>
  <c r="BM32" i="1"/>
  <c r="AN38" i="1"/>
  <c r="AN36" i="1"/>
  <c r="AN33" i="1"/>
  <c r="AN32" i="1"/>
  <c r="AN31" i="1"/>
  <c r="AI38" i="1"/>
  <c r="AI37" i="1"/>
  <c r="AD38" i="1"/>
  <c r="AD36" i="1"/>
  <c r="Y38" i="1"/>
  <c r="Y37" i="1"/>
  <c r="Y36" i="1"/>
  <c r="Y35" i="1"/>
  <c r="O38" i="1"/>
  <c r="O36" i="1"/>
  <c r="O35" i="1"/>
  <c r="O34" i="1"/>
  <c r="O33" i="1"/>
  <c r="O32" i="1"/>
  <c r="O31" i="1"/>
  <c r="J38" i="1"/>
  <c r="J36" i="1"/>
  <c r="J35" i="1"/>
  <c r="J34" i="1"/>
  <c r="J33" i="1"/>
  <c r="J32" i="1"/>
  <c r="J31" i="1"/>
  <c r="AW37" i="1"/>
  <c r="AV37" i="1"/>
  <c r="AU37" i="1"/>
  <c r="AU165" i="1" s="1"/>
  <c r="AT37" i="1"/>
  <c r="AR37" i="1"/>
  <c r="AQ37" i="1"/>
  <c r="AP37" i="1"/>
  <c r="AO37" i="1"/>
  <c r="AG37" i="1"/>
  <c r="AF37" i="1"/>
  <c r="AE37" i="1"/>
  <c r="AE165" i="1" s="1"/>
  <c r="AA37" i="1"/>
  <c r="Z37" i="1"/>
  <c r="Z165" i="1" s="1"/>
  <c r="W37" i="1"/>
  <c r="S37" i="1"/>
  <c r="R37" i="1"/>
  <c r="Q37" i="1"/>
  <c r="P37" i="1"/>
  <c r="N37" i="1"/>
  <c r="M37" i="1"/>
  <c r="L37" i="1"/>
  <c r="K37" i="1"/>
  <c r="I37" i="1"/>
  <c r="H37" i="1"/>
  <c r="G37" i="1"/>
  <c r="F37" i="1"/>
  <c r="E37" i="1"/>
  <c r="CE36" i="1"/>
  <c r="CE37" i="1"/>
  <c r="CD36" i="1"/>
  <c r="CD37" i="1"/>
  <c r="CC36" i="1"/>
  <c r="CC37" i="1"/>
  <c r="CA36" i="1"/>
  <c r="BZ36" i="1"/>
  <c r="BY36" i="1"/>
  <c r="BX36" i="1"/>
  <c r="CB36" i="1"/>
  <c r="BU36" i="1"/>
  <c r="BT36" i="1"/>
  <c r="BL36" i="1"/>
  <c r="BK36" i="1"/>
  <c r="BJ36" i="1"/>
  <c r="BI36" i="1"/>
  <c r="BI37" i="1"/>
  <c r="BG36" i="1"/>
  <c r="BF36" i="1"/>
  <c r="BE36" i="1"/>
  <c r="BD36" i="1"/>
  <c r="BH36" i="1"/>
  <c r="BB36" i="1"/>
  <c r="BA36" i="1"/>
  <c r="AZ36" i="1"/>
  <c r="AY36" i="1"/>
  <c r="BC36" i="1"/>
  <c r="AM36" i="1"/>
  <c r="AL36" i="1"/>
  <c r="AL37" i="1"/>
  <c r="AK36" i="1"/>
  <c r="AK37" i="1"/>
  <c r="AJ36" i="1"/>
  <c r="AJ37" i="1"/>
  <c r="AH36" i="1"/>
  <c r="AH35" i="1"/>
  <c r="AH34" i="1"/>
  <c r="AH33" i="1"/>
  <c r="AH32" i="1"/>
  <c r="AH31" i="1"/>
  <c r="AB36" i="1"/>
  <c r="AC36" i="1"/>
  <c r="W36" i="1"/>
  <c r="V36" i="1"/>
  <c r="V37" i="1"/>
  <c r="U36" i="1"/>
  <c r="X36" i="1"/>
  <c r="T36" i="1"/>
  <c r="BV35" i="1"/>
  <c r="BS35" i="1"/>
  <c r="BQ36" i="1"/>
  <c r="BP36" i="1"/>
  <c r="BO36" i="1"/>
  <c r="BN36" i="1"/>
  <c r="BQ35" i="1"/>
  <c r="BP35" i="1"/>
  <c r="BP22" i="1"/>
  <c r="BP60" i="1" s="1"/>
  <c r="BO35" i="1"/>
  <c r="BN35" i="1"/>
  <c r="BG35" i="1"/>
  <c r="BF35" i="1"/>
  <c r="BH35" i="1"/>
  <c r="AL35" i="1"/>
  <c r="AJ35" i="1"/>
  <c r="AN35" i="1"/>
  <c r="AC35" i="1"/>
  <c r="AC34" i="1"/>
  <c r="AC33" i="1"/>
  <c r="AC32" i="1"/>
  <c r="AC31" i="1"/>
  <c r="X35" i="1"/>
  <c r="X34" i="1"/>
  <c r="X33" i="1"/>
  <c r="X32" i="1"/>
  <c r="X31" i="1"/>
  <c r="U35" i="1"/>
  <c r="T35" i="1"/>
  <c r="AM34" i="1"/>
  <c r="AN34" i="1"/>
  <c r="T34" i="1"/>
  <c r="T33" i="1"/>
  <c r="T32" i="1"/>
  <c r="T31" i="1"/>
  <c r="CA31" i="1"/>
  <c r="CA37" i="1"/>
  <c r="BZ31" i="1"/>
  <c r="BZ37" i="1"/>
  <c r="BY31" i="1"/>
  <c r="BV31" i="1"/>
  <c r="BU31" i="1"/>
  <c r="BU37" i="1"/>
  <c r="BT31" i="1"/>
  <c r="BT37" i="1"/>
  <c r="BQ31" i="1"/>
  <c r="BQ37" i="1"/>
  <c r="BP31" i="1"/>
  <c r="BO31" i="1"/>
  <c r="BO37" i="1"/>
  <c r="BN31" i="1"/>
  <c r="BL31" i="1"/>
  <c r="BL37" i="1"/>
  <c r="BK31" i="1"/>
  <c r="BK37" i="1"/>
  <c r="BJ31" i="1"/>
  <c r="BJ37" i="1"/>
  <c r="BI31" i="1"/>
  <c r="BG31" i="1"/>
  <c r="BG37" i="1"/>
  <c r="BF31" i="1"/>
  <c r="BF37" i="1"/>
  <c r="BE31" i="1"/>
  <c r="BE37" i="1"/>
  <c r="BD31" i="1"/>
  <c r="BB31" i="1"/>
  <c r="BB37" i="1"/>
  <c r="BA31" i="1"/>
  <c r="BA37" i="1"/>
  <c r="AZ31" i="1"/>
  <c r="AZ37" i="1"/>
  <c r="AY31" i="1"/>
  <c r="CV24" i="1"/>
  <c r="CV18" i="1"/>
  <c r="CQ24" i="1"/>
  <c r="CQ18" i="1"/>
  <c r="CL24" i="1"/>
  <c r="CL18" i="1"/>
  <c r="CG24" i="1"/>
  <c r="CG23" i="1"/>
  <c r="CG22" i="1"/>
  <c r="CG20" i="1"/>
  <c r="CG19" i="1"/>
  <c r="CG18" i="1"/>
  <c r="CG15" i="1"/>
  <c r="CG14" i="1"/>
  <c r="CB24" i="1"/>
  <c r="CB23" i="1"/>
  <c r="CB22" i="1"/>
  <c r="CB19" i="1"/>
  <c r="CB18" i="1"/>
  <c r="CB17" i="1"/>
  <c r="CB15" i="1"/>
  <c r="CB14" i="1"/>
  <c r="BW24" i="1"/>
  <c r="BW23" i="1"/>
  <c r="BW22" i="1"/>
  <c r="BW20" i="1"/>
  <c r="BW19" i="1"/>
  <c r="BW18" i="1"/>
  <c r="BW17" i="1"/>
  <c r="BW15" i="1"/>
  <c r="BR24" i="1"/>
  <c r="BR18" i="1"/>
  <c r="BR17" i="1"/>
  <c r="BQ23" i="1"/>
  <c r="BP23" i="1"/>
  <c r="BO23" i="1"/>
  <c r="BN23" i="1"/>
  <c r="BL23" i="1"/>
  <c r="BK23" i="1"/>
  <c r="BJ23" i="1"/>
  <c r="BI23" i="1"/>
  <c r="BF23" i="1"/>
  <c r="BE23" i="1"/>
  <c r="BD23" i="1"/>
  <c r="BB23" i="1"/>
  <c r="BA23" i="1"/>
  <c r="AZ23" i="1"/>
  <c r="AY23" i="1"/>
  <c r="AW23" i="1"/>
  <c r="AV23" i="1"/>
  <c r="AU23" i="1"/>
  <c r="AT23" i="1"/>
  <c r="AS23" i="1"/>
  <c r="AM23" i="1"/>
  <c r="AL23" i="1"/>
  <c r="AK23" i="1"/>
  <c r="AJ23" i="1"/>
  <c r="AI23" i="1"/>
  <c r="AH23" i="1"/>
  <c r="AD23" i="1"/>
  <c r="AC23" i="1"/>
  <c r="AB23" i="1"/>
  <c r="AA23" i="1"/>
  <c r="Z23" i="1"/>
  <c r="Y23" i="1"/>
  <c r="W23" i="1"/>
  <c r="V23" i="1"/>
  <c r="U23" i="1"/>
  <c r="S23" i="1"/>
  <c r="O23" i="1"/>
  <c r="K23" i="1"/>
  <c r="I23" i="1"/>
  <c r="BO22" i="1"/>
  <c r="BN22" i="1"/>
  <c r="BL22" i="1"/>
  <c r="BK22" i="1"/>
  <c r="BK60" i="1" s="1"/>
  <c r="BJ22" i="1"/>
  <c r="BJ60" i="1" s="1"/>
  <c r="BI22" i="1"/>
  <c r="BI60" i="1" s="1"/>
  <c r="BE22" i="1"/>
  <c r="BD22" i="1"/>
  <c r="BB22" i="1"/>
  <c r="BB60" i="1" s="1"/>
  <c r="BA22" i="1"/>
  <c r="BA60" i="1" s="1"/>
  <c r="AZ22" i="1"/>
  <c r="AZ60" i="1" s="1"/>
  <c r="AY22" i="1"/>
  <c r="AW22" i="1"/>
  <c r="AW60" i="1" s="1"/>
  <c r="AV22" i="1"/>
  <c r="AV60" i="1" s="1"/>
  <c r="AU22" i="1"/>
  <c r="AU60" i="1" s="1"/>
  <c r="AT22" i="1"/>
  <c r="AR22" i="1"/>
  <c r="AR60" i="1" s="1"/>
  <c r="AQ22" i="1"/>
  <c r="AQ60" i="1" s="1"/>
  <c r="AP22" i="1"/>
  <c r="AP60" i="1" s="1"/>
  <c r="AO22" i="1"/>
  <c r="AO60" i="1" s="1"/>
  <c r="BZ20" i="1"/>
  <c r="CB20" i="1"/>
  <c r="BN20" i="1"/>
  <c r="BL20" i="1"/>
  <c r="BK20" i="1"/>
  <c r="BJ20" i="1"/>
  <c r="BI20" i="1"/>
  <c r="BI75" i="1"/>
  <c r="BG20" i="1"/>
  <c r="BF20" i="1"/>
  <c r="BC20" i="1"/>
  <c r="BC19" i="1"/>
  <c r="BC18" i="1"/>
  <c r="AW20" i="1"/>
  <c r="AU20" i="1"/>
  <c r="AS20" i="1"/>
  <c r="AS19" i="1"/>
  <c r="AS18" i="1"/>
  <c r="AS17" i="1"/>
  <c r="AS15" i="1"/>
  <c r="AS12" i="1"/>
  <c r="AS11" i="1"/>
  <c r="AS14" i="1" s="1"/>
  <c r="AN20" i="1"/>
  <c r="AN19" i="1"/>
  <c r="AN17" i="1"/>
  <c r="AN15" i="1"/>
  <c r="AH20" i="1"/>
  <c r="AH19" i="1"/>
  <c r="AH18" i="1"/>
  <c r="AH17" i="1"/>
  <c r="AH15" i="1"/>
  <c r="AD20" i="1"/>
  <c r="AC20" i="1"/>
  <c r="Y20" i="1"/>
  <c r="V20" i="1"/>
  <c r="U20" i="1"/>
  <c r="S20" i="1"/>
  <c r="S19" i="1"/>
  <c r="S18" i="1"/>
  <c r="S17" i="1"/>
  <c r="S15" i="1"/>
  <c r="N20" i="1"/>
  <c r="N19" i="1"/>
  <c r="N18" i="1"/>
  <c r="N17" i="1"/>
  <c r="N15" i="1"/>
  <c r="N11" i="1"/>
  <c r="I20" i="1"/>
  <c r="I19" i="1"/>
  <c r="I18" i="1"/>
  <c r="I17" i="1"/>
  <c r="I15" i="1"/>
  <c r="I12" i="1"/>
  <c r="I13" i="1" s="1"/>
  <c r="I11" i="1"/>
  <c r="I127" i="1" s="1"/>
  <c r="E20" i="1"/>
  <c r="CU20" i="1"/>
  <c r="CT20" i="1"/>
  <c r="CS20" i="1"/>
  <c r="CR20" i="1"/>
  <c r="CP20" i="1"/>
  <c r="CO20" i="1"/>
  <c r="CN20" i="1"/>
  <c r="CM20" i="1"/>
  <c r="BQ19" i="1"/>
  <c r="BP19" i="1"/>
  <c r="BR19" i="1"/>
  <c r="BM19" i="1"/>
  <c r="BM18" i="1"/>
  <c r="BH19" i="1"/>
  <c r="BH18" i="1"/>
  <c r="BH12" i="1"/>
  <c r="AX19" i="1"/>
  <c r="AX18" i="1"/>
  <c r="AC19" i="1"/>
  <c r="AC18" i="1"/>
  <c r="AC17" i="1"/>
  <c r="AC15" i="1"/>
  <c r="X19" i="1"/>
  <c r="X17" i="1"/>
  <c r="AL18" i="1"/>
  <c r="AK18" i="1"/>
  <c r="AJ18" i="1"/>
  <c r="AN18" i="1"/>
  <c r="CF17" i="1"/>
  <c r="CG17" i="1"/>
  <c r="CH17" i="1" s="1"/>
  <c r="CI17" i="1" s="1"/>
  <c r="CF16" i="1"/>
  <c r="CK83" i="1" s="1"/>
  <c r="BI15" i="1"/>
  <c r="BI13" i="1"/>
  <c r="CH16" i="1"/>
  <c r="CE16" i="1"/>
  <c r="CJ83" i="1" s="1"/>
  <c r="CD16" i="1"/>
  <c r="CC16" i="1"/>
  <c r="CC21" i="1" s="1"/>
  <c r="CA16" i="1"/>
  <c r="BZ16" i="1"/>
  <c r="BY16" i="1"/>
  <c r="BY21" i="1" s="1"/>
  <c r="BX16" i="1"/>
  <c r="BX21" i="1" s="1"/>
  <c r="BV16" i="1"/>
  <c r="AJ15" i="1"/>
  <c r="AJ12" i="1"/>
  <c r="AJ11" i="1"/>
  <c r="Y15" i="1"/>
  <c r="X15" i="1"/>
  <c r="X81" i="1"/>
  <c r="Y12" i="1"/>
  <c r="Y11" i="1"/>
  <c r="Y14" i="1"/>
  <c r="Y16" i="1" s="1"/>
  <c r="W15" i="1"/>
  <c r="W14" i="1"/>
  <c r="W12" i="1"/>
  <c r="W11" i="1"/>
  <c r="BU14" i="1"/>
  <c r="AK13" i="1"/>
  <c r="AK12" i="1"/>
  <c r="AK11" i="1"/>
  <c r="AK14" i="1"/>
  <c r="AI12" i="1"/>
  <c r="AI11" i="1"/>
  <c r="AI14" i="1"/>
  <c r="AI65" i="1" s="1"/>
  <c r="CH12" i="1"/>
  <c r="CH11" i="1"/>
  <c r="CA11" i="1"/>
  <c r="BX12" i="1"/>
  <c r="BX11" i="1"/>
  <c r="BG15" i="1"/>
  <c r="BF15" i="1"/>
  <c r="BE15" i="1"/>
  <c r="BD15" i="1"/>
  <c r="BD13" i="1"/>
  <c r="AV17" i="1"/>
  <c r="AW17" i="1" s="1"/>
  <c r="AY17" i="1" s="1"/>
  <c r="AW15" i="1"/>
  <c r="AV15" i="1"/>
  <c r="AV14" i="1"/>
  <c r="AU15" i="1"/>
  <c r="AT15" i="1"/>
  <c r="AT73" i="1"/>
  <c r="AU14" i="1"/>
  <c r="AT14" i="1"/>
  <c r="AU13" i="1"/>
  <c r="AT13" i="1"/>
  <c r="AR14" i="1"/>
  <c r="AQ14" i="1"/>
  <c r="AQ16" i="1" s="1"/>
  <c r="AP14" i="1"/>
  <c r="AP16" i="1" s="1"/>
  <c r="AO14" i="1"/>
  <c r="AP13" i="1"/>
  <c r="AO13" i="1"/>
  <c r="AG14" i="1"/>
  <c r="AG16" i="1"/>
  <c r="M14" i="1"/>
  <c r="M16" i="1" s="1"/>
  <c r="L14" i="1"/>
  <c r="L65" i="1" s="1"/>
  <c r="K14" i="1"/>
  <c r="J14" i="1"/>
  <c r="J16" i="1" s="1"/>
  <c r="M13" i="1"/>
  <c r="L13" i="1"/>
  <c r="K13" i="1"/>
  <c r="H14" i="1"/>
  <c r="H16" i="1" s="1"/>
  <c r="G14" i="1"/>
  <c r="G16" i="1" s="1"/>
  <c r="F14" i="1"/>
  <c r="F16" i="1" s="1"/>
  <c r="E14" i="1"/>
  <c r="E16" i="1" s="1"/>
  <c r="G13" i="1"/>
  <c r="F13" i="1"/>
  <c r="E13" i="1"/>
  <c r="D13" i="1"/>
  <c r="BY12" i="1"/>
  <c r="AW12" i="1"/>
  <c r="AW11" i="1"/>
  <c r="AX11" i="1"/>
  <c r="AX79" i="1" s="1"/>
  <c r="AM15" i="1"/>
  <c r="AL15" i="1"/>
  <c r="AL13" i="1"/>
  <c r="AM12" i="1"/>
  <c r="AL12" i="1"/>
  <c r="AF12" i="1"/>
  <c r="AE12" i="1"/>
  <c r="AE14" i="1"/>
  <c r="AE16" i="1" s="1"/>
  <c r="AD12" i="1"/>
  <c r="R12" i="1"/>
  <c r="R72" i="1"/>
  <c r="Q12" i="1"/>
  <c r="P12" i="1"/>
  <c r="O12" i="1"/>
  <c r="K12" i="1"/>
  <c r="CF11" i="1"/>
  <c r="CE11" i="1"/>
  <c r="CD11" i="1"/>
  <c r="CC11" i="1"/>
  <c r="BZ11" i="1"/>
  <c r="BU12" i="1"/>
  <c r="BT12" i="1"/>
  <c r="BV11" i="1"/>
  <c r="BU11" i="1"/>
  <c r="BT11" i="1"/>
  <c r="BS11" i="1"/>
  <c r="BQ15" i="1"/>
  <c r="BP15" i="1"/>
  <c r="BO15" i="1"/>
  <c r="BN15" i="1"/>
  <c r="BQ12" i="1"/>
  <c r="BP12" i="1"/>
  <c r="BO12" i="1"/>
  <c r="BN12" i="1"/>
  <c r="BQ11" i="1"/>
  <c r="BQ14" i="1"/>
  <c r="BQ16" i="1" s="1"/>
  <c r="BV83" i="1" s="1"/>
  <c r="BP11" i="1"/>
  <c r="BO11" i="1"/>
  <c r="BN11" i="1"/>
  <c r="BL15" i="1"/>
  <c r="BK15" i="1"/>
  <c r="BJ15" i="1"/>
  <c r="BJ14" i="1"/>
  <c r="BL12" i="1"/>
  <c r="BL14" i="1"/>
  <c r="BK12" i="1"/>
  <c r="BK13" i="1"/>
  <c r="BJ12" i="1"/>
  <c r="BL11" i="1"/>
  <c r="BK11" i="1"/>
  <c r="BJ11" i="1"/>
  <c r="BI11" i="1"/>
  <c r="BG11" i="1"/>
  <c r="BF11" i="1"/>
  <c r="BE11" i="1"/>
  <c r="BD11" i="1"/>
  <c r="BB15" i="1"/>
  <c r="BA15" i="1"/>
  <c r="AZ15" i="1"/>
  <c r="AY15" i="1"/>
  <c r="BB12" i="1"/>
  <c r="BA12" i="1"/>
  <c r="BA13" i="1"/>
  <c r="AZ12" i="1"/>
  <c r="AY12" i="1"/>
  <c r="BB11" i="1"/>
  <c r="BA11" i="1"/>
  <c r="AZ11" i="1"/>
  <c r="AY11" i="1"/>
  <c r="AL11" i="1"/>
  <c r="AN11" i="1"/>
  <c r="AF11" i="1"/>
  <c r="AD11" i="1"/>
  <c r="Z14" i="1"/>
  <c r="AB12" i="1"/>
  <c r="AA12" i="1"/>
  <c r="AA13" i="1"/>
  <c r="Z12" i="1"/>
  <c r="AB11" i="1"/>
  <c r="AA11" i="1"/>
  <c r="Z11" i="1"/>
  <c r="T14" i="1"/>
  <c r="T16" i="1"/>
  <c r="T59" i="1" s="1"/>
  <c r="V12" i="1"/>
  <c r="U12" i="1"/>
  <c r="U13" i="1"/>
  <c r="T12" i="1"/>
  <c r="V11" i="1"/>
  <c r="V79" i="1"/>
  <c r="U11" i="1"/>
  <c r="T11" i="1"/>
  <c r="R11" i="1"/>
  <c r="Q11" i="1"/>
  <c r="P11" i="1"/>
  <c r="P14" i="1"/>
  <c r="CV7" i="1"/>
  <c r="CQ7" i="1"/>
  <c r="CL7" i="1"/>
  <c r="CG7" i="1"/>
  <c r="CB7" i="1"/>
  <c r="BW7" i="1"/>
  <c r="BR7" i="1"/>
  <c r="BM7" i="1"/>
  <c r="BH7" i="1"/>
  <c r="BC7" i="1"/>
  <c r="AX7" i="1"/>
  <c r="AS7" i="1"/>
  <c r="AN7" i="1"/>
  <c r="AI7" i="1"/>
  <c r="AD7" i="1"/>
  <c r="Y7" i="1"/>
  <c r="T7" i="1"/>
  <c r="O7" i="1"/>
  <c r="J7" i="1"/>
  <c r="B6" i="1"/>
  <c r="CL20" i="1"/>
  <c r="CV20" i="1"/>
  <c r="CN148" i="1"/>
  <c r="BM107" i="1"/>
  <c r="CX56" i="1"/>
  <c r="CX152" i="1" s="1"/>
  <c r="AN79" i="1"/>
  <c r="AE80" i="1"/>
  <c r="AE65" i="1"/>
  <c r="P65" i="1"/>
  <c r="P16" i="1"/>
  <c r="T21" i="1"/>
  <c r="T67" i="1"/>
  <c r="BQ65" i="1"/>
  <c r="BV80" i="1"/>
  <c r="CH21" i="1"/>
  <c r="V130" i="1"/>
  <c r="V129" i="1"/>
  <c r="V128" i="1"/>
  <c r="V72" i="1"/>
  <c r="AB130" i="1"/>
  <c r="AB129" i="1"/>
  <c r="AB128" i="1"/>
  <c r="AB72" i="1"/>
  <c r="BA127" i="1"/>
  <c r="BA75" i="1"/>
  <c r="BA79" i="1"/>
  <c r="BA66" i="1"/>
  <c r="BA81" i="1"/>
  <c r="BA73" i="1"/>
  <c r="BF127" i="1"/>
  <c r="BF79" i="1"/>
  <c r="BF72" i="1"/>
  <c r="BF14" i="1"/>
  <c r="BJ65" i="1"/>
  <c r="BQ128" i="1"/>
  <c r="BR128" i="1" s="1"/>
  <c r="BQ130" i="1"/>
  <c r="BQ129" i="1"/>
  <c r="BQ72" i="1"/>
  <c r="CF127" i="1"/>
  <c r="CF73" i="1"/>
  <c r="CF75" i="1"/>
  <c r="CF79" i="1"/>
  <c r="CF65" i="1"/>
  <c r="AC81" i="1"/>
  <c r="N81" i="1"/>
  <c r="BX76" i="1"/>
  <c r="BX68" i="1"/>
  <c r="BX25" i="1"/>
  <c r="R127" i="1"/>
  <c r="R73" i="1"/>
  <c r="R75" i="1"/>
  <c r="R79" i="1"/>
  <c r="R14" i="1"/>
  <c r="T128" i="1"/>
  <c r="T72" i="1"/>
  <c r="S12" i="1"/>
  <c r="V14" i="1"/>
  <c r="Z130" i="1"/>
  <c r="Z129" i="1"/>
  <c r="Z128" i="1"/>
  <c r="Z72" i="1"/>
  <c r="AB14" i="1"/>
  <c r="AY127" i="1"/>
  <c r="AY79" i="1"/>
  <c r="AY75" i="1"/>
  <c r="BC11" i="1"/>
  <c r="AY130" i="1"/>
  <c r="AY129" i="1"/>
  <c r="AY128" i="1"/>
  <c r="AY72" i="1"/>
  <c r="AY13" i="1"/>
  <c r="AY14" i="1"/>
  <c r="AY81" i="1"/>
  <c r="AY73" i="1"/>
  <c r="BC15" i="1"/>
  <c r="BD127" i="1"/>
  <c r="BD75" i="1"/>
  <c r="BD79" i="1"/>
  <c r="BD72" i="1"/>
  <c r="BH11" i="1"/>
  <c r="BD14" i="1"/>
  <c r="BI127" i="1"/>
  <c r="BI79" i="1"/>
  <c r="BI72" i="1"/>
  <c r="BI14" i="1"/>
  <c r="BM11" i="1"/>
  <c r="BJ130" i="1"/>
  <c r="BJ129" i="1"/>
  <c r="BJ128" i="1"/>
  <c r="BJ72" i="1"/>
  <c r="BJ16" i="1"/>
  <c r="BO127" i="1"/>
  <c r="BO79" i="1"/>
  <c r="BO75" i="1"/>
  <c r="BO130" i="1"/>
  <c r="BO129" i="1"/>
  <c r="BO128" i="1"/>
  <c r="BO72" i="1"/>
  <c r="BO13" i="1"/>
  <c r="BO14" i="1"/>
  <c r="BO81" i="1"/>
  <c r="BT81" i="1"/>
  <c r="BO73" i="1"/>
  <c r="BT127" i="1"/>
  <c r="BY79" i="1"/>
  <c r="BT73" i="1"/>
  <c r="BT75" i="1"/>
  <c r="BT79" i="1"/>
  <c r="BT14" i="1"/>
  <c r="BU128" i="1"/>
  <c r="BU130" i="1"/>
  <c r="BU129" i="1"/>
  <c r="BU72" i="1"/>
  <c r="CD127" i="1"/>
  <c r="CD73" i="1"/>
  <c r="CD75" i="1"/>
  <c r="CD79" i="1"/>
  <c r="CD65" i="1"/>
  <c r="CD12" i="1"/>
  <c r="P130" i="1"/>
  <c r="P129" i="1"/>
  <c r="P128" i="1"/>
  <c r="P72" i="1"/>
  <c r="AE13" i="1"/>
  <c r="AP65" i="1"/>
  <c r="AU81" i="1"/>
  <c r="AU73" i="1"/>
  <c r="AJ128" i="1"/>
  <c r="AJ130" i="1"/>
  <c r="AJ129" i="1"/>
  <c r="AJ72" i="1"/>
  <c r="AJ14" i="1"/>
  <c r="AN12" i="1"/>
  <c r="AN72" i="1" s="1"/>
  <c r="AJ13" i="1"/>
  <c r="BF75" i="1"/>
  <c r="X23" i="1"/>
  <c r="AN23" i="1"/>
  <c r="CG81" i="1"/>
  <c r="BM31" i="1"/>
  <c r="U37" i="1"/>
  <c r="U165" i="1" s="1"/>
  <c r="BX37" i="1"/>
  <c r="BM36" i="1"/>
  <c r="CF67" i="1"/>
  <c r="BA72" i="1"/>
  <c r="U127" i="1"/>
  <c r="U79" i="1"/>
  <c r="U73" i="1"/>
  <c r="AA127" i="1"/>
  <c r="AA79" i="1"/>
  <c r="AA75" i="1"/>
  <c r="AA73" i="1"/>
  <c r="AF127" i="1"/>
  <c r="AF79" i="1"/>
  <c r="AF75" i="1"/>
  <c r="AF73" i="1"/>
  <c r="AF14" i="1"/>
  <c r="BL128" i="1"/>
  <c r="BM128" i="1" s="1"/>
  <c r="BL130" i="1"/>
  <c r="BL129" i="1"/>
  <c r="BL72" i="1"/>
  <c r="BQ13" i="1"/>
  <c r="BV127" i="1"/>
  <c r="BV73" i="1"/>
  <c r="BV79" i="1"/>
  <c r="BV65" i="1"/>
  <c r="BV75" i="1"/>
  <c r="CF12" i="1"/>
  <c r="BU65" i="1"/>
  <c r="E59" i="1"/>
  <c r="E62" i="1"/>
  <c r="E21" i="1"/>
  <c r="E25" i="1" s="1"/>
  <c r="BM12" i="1"/>
  <c r="BD37" i="1"/>
  <c r="T73" i="1"/>
  <c r="T79" i="1"/>
  <c r="S11" i="1"/>
  <c r="S73" i="1" s="1"/>
  <c r="T75" i="1"/>
  <c r="U128" i="1"/>
  <c r="U130" i="1"/>
  <c r="U129" i="1"/>
  <c r="U72" i="1"/>
  <c r="V13" i="1"/>
  <c r="Z127" i="1"/>
  <c r="AE79" i="1"/>
  <c r="Z73" i="1"/>
  <c r="Z75" i="1"/>
  <c r="Z79" i="1"/>
  <c r="AA130" i="1"/>
  <c r="AA129" i="1"/>
  <c r="AA128" i="1"/>
  <c r="AA72" i="1"/>
  <c r="AB13" i="1"/>
  <c r="AD73" i="1"/>
  <c r="AD79" i="1"/>
  <c r="AD14" i="1"/>
  <c r="AZ127" i="1"/>
  <c r="AZ75" i="1"/>
  <c r="AZ79" i="1"/>
  <c r="AZ130" i="1"/>
  <c r="AZ129" i="1"/>
  <c r="AZ128" i="1"/>
  <c r="AZ72" i="1"/>
  <c r="AZ13" i="1"/>
  <c r="AZ14" i="1"/>
  <c r="AZ73" i="1"/>
  <c r="AZ81" i="1"/>
  <c r="BE127" i="1"/>
  <c r="BE75" i="1"/>
  <c r="BE79" i="1"/>
  <c r="BE72" i="1"/>
  <c r="BE14" i="1"/>
  <c r="BJ127" i="1"/>
  <c r="BJ79" i="1"/>
  <c r="BK128" i="1"/>
  <c r="BK130" i="1"/>
  <c r="BK129" i="1"/>
  <c r="BK72" i="1"/>
  <c r="BL13" i="1"/>
  <c r="BJ73" i="1"/>
  <c r="BJ81" i="1"/>
  <c r="BP127" i="1"/>
  <c r="BP75" i="1"/>
  <c r="BP79" i="1"/>
  <c r="BP128" i="1"/>
  <c r="BP130" i="1"/>
  <c r="BP129" i="1"/>
  <c r="BP72" i="1"/>
  <c r="BP13" i="1"/>
  <c r="BP14" i="1"/>
  <c r="BU81" i="1"/>
  <c r="BP73" i="1"/>
  <c r="BP81" i="1"/>
  <c r="BU127" i="1"/>
  <c r="BU75" i="1"/>
  <c r="BU79" i="1"/>
  <c r="BU73" i="1"/>
  <c r="BV12" i="1"/>
  <c r="CE127" i="1"/>
  <c r="CE79" i="1"/>
  <c r="CE75" i="1"/>
  <c r="CE65" i="1"/>
  <c r="CE73" i="1"/>
  <c r="CE12" i="1"/>
  <c r="K80" i="1"/>
  <c r="AW81" i="1"/>
  <c r="AW73" i="1"/>
  <c r="CA127" i="1"/>
  <c r="CA79" i="1"/>
  <c r="CA75" i="1"/>
  <c r="CA65" i="1"/>
  <c r="CA73" i="1"/>
  <c r="CA12" i="1"/>
  <c r="W80" i="1"/>
  <c r="X12" i="1"/>
  <c r="AC11" i="1"/>
  <c r="U75" i="1"/>
  <c r="X20" i="1"/>
  <c r="AN73" i="1"/>
  <c r="AN81" i="1"/>
  <c r="AS65" i="1"/>
  <c r="AS16" i="1"/>
  <c r="AU75" i="1"/>
  <c r="AX20" i="1"/>
  <c r="AX75" i="1" s="1"/>
  <c r="BD60" i="1"/>
  <c r="AY37" i="1"/>
  <c r="CN76" i="1"/>
  <c r="P127" i="1"/>
  <c r="P79" i="1"/>
  <c r="P75" i="1"/>
  <c r="P73" i="1"/>
  <c r="T65" i="1"/>
  <c r="Z65" i="1"/>
  <c r="Z16" i="1"/>
  <c r="BA128" i="1"/>
  <c r="BA130" i="1"/>
  <c r="BA129" i="1"/>
  <c r="BA14" i="1"/>
  <c r="BK127" i="1"/>
  <c r="BK79" i="1"/>
  <c r="BK81" i="1"/>
  <c r="BK73" i="1"/>
  <c r="BQ127" i="1"/>
  <c r="BQ75" i="1"/>
  <c r="BQ79" i="1"/>
  <c r="BQ81" i="1"/>
  <c r="BV81" i="1"/>
  <c r="BQ73" i="1"/>
  <c r="BZ127" i="1"/>
  <c r="BZ73" i="1"/>
  <c r="BZ79" i="1"/>
  <c r="BZ65" i="1"/>
  <c r="BZ12" i="1"/>
  <c r="CB12" i="1" s="1"/>
  <c r="AE130" i="1"/>
  <c r="AE129" i="1"/>
  <c r="AE128" i="1"/>
  <c r="AE72" i="1"/>
  <c r="AG59" i="1"/>
  <c r="Y83" i="1"/>
  <c r="Y67" i="1"/>
  <c r="Y59" i="1"/>
  <c r="BM15" i="1"/>
  <c r="BM20" i="1"/>
  <c r="BM75" i="1" s="1"/>
  <c r="CG11" i="1"/>
  <c r="CG73" i="1"/>
  <c r="Q127" i="1"/>
  <c r="Q75" i="1"/>
  <c r="Q79" i="1"/>
  <c r="Q73" i="1"/>
  <c r="Q14" i="1"/>
  <c r="V127" i="1"/>
  <c r="V73" i="1"/>
  <c r="U14" i="1"/>
  <c r="AB127" i="1"/>
  <c r="AG79" i="1"/>
  <c r="AB79" i="1"/>
  <c r="AB73" i="1"/>
  <c r="AB75" i="1"/>
  <c r="Z13" i="1"/>
  <c r="AA14" i="1"/>
  <c r="AL127" i="1"/>
  <c r="AQ79" i="1"/>
  <c r="AL75" i="1"/>
  <c r="AL79" i="1"/>
  <c r="AL14" i="1"/>
  <c r="BB127" i="1"/>
  <c r="BB79" i="1"/>
  <c r="BB75" i="1"/>
  <c r="BB66" i="1"/>
  <c r="BB130" i="1"/>
  <c r="BB129" i="1"/>
  <c r="BB128" i="1"/>
  <c r="BC128" i="1" s="1"/>
  <c r="BB72" i="1"/>
  <c r="BB14" i="1"/>
  <c r="BB73" i="1"/>
  <c r="BB81" i="1"/>
  <c r="BG127" i="1"/>
  <c r="BG79" i="1"/>
  <c r="BG72" i="1"/>
  <c r="BL127" i="1"/>
  <c r="BL79" i="1"/>
  <c r="BJ13" i="1"/>
  <c r="BK14" i="1"/>
  <c r="BL73" i="1"/>
  <c r="BL81" i="1"/>
  <c r="BN127" i="1"/>
  <c r="BN79" i="1"/>
  <c r="BR11" i="1"/>
  <c r="BN130" i="1"/>
  <c r="BN129" i="1"/>
  <c r="BN128" i="1"/>
  <c r="BN72" i="1"/>
  <c r="BR12" i="1"/>
  <c r="BN13" i="1"/>
  <c r="BN14" i="1"/>
  <c r="BS81" i="1"/>
  <c r="BN73" i="1"/>
  <c r="BN81" i="1"/>
  <c r="BR15" i="1"/>
  <c r="BS127" i="1"/>
  <c r="BS79" i="1"/>
  <c r="BS72" i="1"/>
  <c r="BS75" i="1"/>
  <c r="BS14" i="1"/>
  <c r="BT130" i="1"/>
  <c r="BT129" i="1"/>
  <c r="BT128" i="1"/>
  <c r="BT72" i="1"/>
  <c r="BW12" i="1"/>
  <c r="CC127" i="1"/>
  <c r="CC75" i="1"/>
  <c r="CC79" i="1"/>
  <c r="CC73" i="1"/>
  <c r="CC65" i="1"/>
  <c r="CC12" i="1"/>
  <c r="P13" i="1"/>
  <c r="AQ81" i="1"/>
  <c r="AL73" i="1"/>
  <c r="AL81" i="1"/>
  <c r="BY130" i="1"/>
  <c r="BY129" i="1"/>
  <c r="BY128" i="1"/>
  <c r="BY72" i="1"/>
  <c r="M59" i="1"/>
  <c r="M62" i="1" s="1"/>
  <c r="BG14" i="1"/>
  <c r="BG81" i="1"/>
  <c r="BG73" i="1"/>
  <c r="CH128" i="1"/>
  <c r="CM128" i="1" s="1"/>
  <c r="CR128" i="1" s="1"/>
  <c r="CW128" i="1" s="1"/>
  <c r="DB128" i="1" s="1"/>
  <c r="Y80" i="1"/>
  <c r="Y65" i="1"/>
  <c r="BV59" i="1"/>
  <c r="BV67" i="1"/>
  <c r="BV21" i="1"/>
  <c r="CA83" i="1"/>
  <c r="CA67" i="1"/>
  <c r="CA59" i="1"/>
  <c r="CA21" i="1"/>
  <c r="CH83" i="1"/>
  <c r="CH59" i="1"/>
  <c r="CH67" i="1"/>
  <c r="BC12" i="1"/>
  <c r="BC130" i="1" s="1"/>
  <c r="BC75" i="1"/>
  <c r="BN75" i="1"/>
  <c r="CC76" i="1"/>
  <c r="N23" i="1"/>
  <c r="BW11" i="1"/>
  <c r="BP37" i="1"/>
  <c r="AB37" i="1"/>
  <c r="O128" i="1"/>
  <c r="O72" i="1"/>
  <c r="O13" i="1"/>
  <c r="O14" i="1"/>
  <c r="AD128" i="1"/>
  <c r="AD72" i="1"/>
  <c r="AM130" i="1"/>
  <c r="AM129" i="1"/>
  <c r="AM128" i="1"/>
  <c r="AM72" i="1"/>
  <c r="AM14" i="1"/>
  <c r="AW128" i="1"/>
  <c r="AW130" i="1"/>
  <c r="AW129" i="1"/>
  <c r="AW72" i="1"/>
  <c r="AO80" i="1"/>
  <c r="AO65" i="1"/>
  <c r="AV73" i="1"/>
  <c r="AV81" i="1"/>
  <c r="BF73" i="1"/>
  <c r="BF81" i="1"/>
  <c r="CH127" i="1"/>
  <c r="CM127" i="1" s="1"/>
  <c r="CH73" i="1"/>
  <c r="CH79" i="1"/>
  <c r="CH75" i="1"/>
  <c r="CH65" i="1"/>
  <c r="AI128" i="1"/>
  <c r="AI72" i="1"/>
  <c r="AK128" i="1"/>
  <c r="AK130" i="1"/>
  <c r="AK129" i="1"/>
  <c r="AK72" i="1"/>
  <c r="Y128" i="1"/>
  <c r="Y72" i="1"/>
  <c r="AJ127" i="1"/>
  <c r="AO79" i="1"/>
  <c r="AJ79" i="1"/>
  <c r="AJ75" i="1"/>
  <c r="AO81" i="1"/>
  <c r="AJ73" i="1"/>
  <c r="AJ81" i="1"/>
  <c r="BZ59" i="1"/>
  <c r="BZ67" i="1"/>
  <c r="CE83" i="1"/>
  <c r="CE67" i="1"/>
  <c r="X11" i="1"/>
  <c r="BH72" i="1"/>
  <c r="I129" i="1"/>
  <c r="I128" i="1"/>
  <c r="I130" i="1"/>
  <c r="S75" i="1"/>
  <c r="Y75" i="1"/>
  <c r="AH12" i="1"/>
  <c r="AS128" i="1"/>
  <c r="AS72" i="1"/>
  <c r="AS75" i="1"/>
  <c r="BH20" i="1"/>
  <c r="BH75" i="1" s="1"/>
  <c r="BL75" i="1"/>
  <c r="BC23" i="1"/>
  <c r="BR20" i="1"/>
  <c r="BR75" i="1" s="1"/>
  <c r="CG80" i="1"/>
  <c r="CG65" i="1"/>
  <c r="BC31" i="1"/>
  <c r="BH31" i="1"/>
  <c r="BR31" i="1"/>
  <c r="BS31" i="1"/>
  <c r="CB31" i="1"/>
  <c r="AM37" i="1"/>
  <c r="Q130" i="1"/>
  <c r="Q129" i="1"/>
  <c r="Q128" i="1"/>
  <c r="Q72" i="1"/>
  <c r="Q13" i="1"/>
  <c r="AF130" i="1"/>
  <c r="AF129" i="1"/>
  <c r="AF128" i="1"/>
  <c r="AF72" i="1"/>
  <c r="AM81" i="1"/>
  <c r="AR81" i="1"/>
  <c r="AM73" i="1"/>
  <c r="L80" i="1"/>
  <c r="AF13" i="1"/>
  <c r="AQ80" i="1"/>
  <c r="AQ65" i="1"/>
  <c r="AT80" i="1"/>
  <c r="AT65" i="1"/>
  <c r="AT16" i="1"/>
  <c r="AV80" i="1"/>
  <c r="AV16" i="1"/>
  <c r="BD73" i="1"/>
  <c r="BD81" i="1"/>
  <c r="BX127" i="1"/>
  <c r="BX73" i="1"/>
  <c r="BX75" i="1"/>
  <c r="W127" i="1"/>
  <c r="W79" i="1"/>
  <c r="W75" i="1"/>
  <c r="W81" i="1"/>
  <c r="AB81" i="1"/>
  <c r="W73" i="1"/>
  <c r="AO16" i="1"/>
  <c r="BX59" i="1"/>
  <c r="CC83" i="1"/>
  <c r="CC67" i="1"/>
  <c r="CC59" i="1"/>
  <c r="CF83" i="1"/>
  <c r="CF59" i="1"/>
  <c r="AC12" i="1"/>
  <c r="AX15" i="1"/>
  <c r="I14" i="1"/>
  <c r="I16" i="1" s="1"/>
  <c r="N12" i="1"/>
  <c r="V75" i="1"/>
  <c r="AD75" i="1"/>
  <c r="AN75" i="1"/>
  <c r="AW132" i="1"/>
  <c r="AW75" i="1"/>
  <c r="BJ75" i="1"/>
  <c r="BW75" i="1"/>
  <c r="CG75" i="1"/>
  <c r="CL22" i="1"/>
  <c r="CQ20" i="1"/>
  <c r="BY37" i="1"/>
  <c r="BW60" i="1"/>
  <c r="AV65" i="1"/>
  <c r="K130" i="1"/>
  <c r="K129" i="1"/>
  <c r="K128" i="1"/>
  <c r="K72" i="1"/>
  <c r="R130" i="1"/>
  <c r="R129" i="1"/>
  <c r="R128" i="1"/>
  <c r="AL130" i="1"/>
  <c r="AL129" i="1"/>
  <c r="AL128" i="1"/>
  <c r="AL72" i="1"/>
  <c r="AW127" i="1"/>
  <c r="AW79" i="1"/>
  <c r="AW66" i="1"/>
  <c r="M80" i="1"/>
  <c r="M65" i="1"/>
  <c r="AG80" i="1"/>
  <c r="AG65" i="1"/>
  <c r="AU80" i="1"/>
  <c r="AU65" i="1"/>
  <c r="AU16" i="1"/>
  <c r="AW14" i="1"/>
  <c r="BE81" i="1"/>
  <c r="BE73" i="1"/>
  <c r="BX130" i="1"/>
  <c r="BX129" i="1"/>
  <c r="BX128" i="1"/>
  <c r="BX72" i="1"/>
  <c r="AI79" i="1"/>
  <c r="AI75" i="1"/>
  <c r="AK127" i="1"/>
  <c r="AK75" i="1"/>
  <c r="AK79" i="1"/>
  <c r="AK73" i="1"/>
  <c r="AP79" i="1"/>
  <c r="W130" i="1"/>
  <c r="W129" i="1"/>
  <c r="W128" i="1"/>
  <c r="W72" i="1"/>
  <c r="Y79" i="1"/>
  <c r="Y81" i="1"/>
  <c r="Y73" i="1"/>
  <c r="AD81" i="1"/>
  <c r="L16" i="1"/>
  <c r="BY67" i="1"/>
  <c r="BY59" i="1"/>
  <c r="BI81" i="1"/>
  <c r="BI73" i="1"/>
  <c r="AX12" i="1"/>
  <c r="AX72" i="1" s="1"/>
  <c r="BH15" i="1"/>
  <c r="S81" i="1"/>
  <c r="AH11" i="1"/>
  <c r="AH81" i="1"/>
  <c r="AS79" i="1"/>
  <c r="AS81" i="1"/>
  <c r="AS73" i="1"/>
  <c r="BG75" i="1"/>
  <c r="BK75" i="1"/>
  <c r="BZ75" i="1"/>
  <c r="BZ21" i="1"/>
  <c r="CE21" i="1"/>
  <c r="CB11" i="1"/>
  <c r="CB73" i="1" s="1"/>
  <c r="CB79" i="1"/>
  <c r="CB81" i="1"/>
  <c r="BR35" i="1"/>
  <c r="BR36" i="1"/>
  <c r="BN37" i="1"/>
  <c r="CM152" i="1"/>
  <c r="CW56" i="1"/>
  <c r="BX67" i="1"/>
  <c r="BX79" i="1"/>
  <c r="CY56" i="1"/>
  <c r="BB107" i="1"/>
  <c r="BC96" i="1"/>
  <c r="BC107" i="1" s="1"/>
  <c r="BT192" i="1"/>
  <c r="BT107" i="1"/>
  <c r="CM100" i="1"/>
  <c r="CN100" i="1" s="1"/>
  <c r="CO100" i="1" s="1"/>
  <c r="CP100" i="1" s="1"/>
  <c r="BI102" i="1"/>
  <c r="BI192" i="1" s="1"/>
  <c r="BI107" i="1"/>
  <c r="Y127" i="1"/>
  <c r="AI127" i="1"/>
  <c r="AQ107" i="1"/>
  <c r="BG107" i="1"/>
  <c r="CL112" i="1"/>
  <c r="AU193" i="1"/>
  <c r="AU117" i="1"/>
  <c r="CL116" i="1"/>
  <c r="AV124" i="1"/>
  <c r="AG135" i="1"/>
  <c r="AG133" i="1"/>
  <c r="G135" i="1"/>
  <c r="G133" i="1"/>
  <c r="BD135" i="1"/>
  <c r="BD133" i="1"/>
  <c r="BM122" i="1"/>
  <c r="BL123" i="1"/>
  <c r="BQ135" i="1"/>
  <c r="BQ133" i="1"/>
  <c r="BV135" i="1"/>
  <c r="BV133" i="1"/>
  <c r="AR107" i="1"/>
  <c r="AS96" i="1"/>
  <c r="BJ107" i="1"/>
  <c r="BJ125" i="1" s="1"/>
  <c r="BX107" i="1"/>
  <c r="BM102" i="1"/>
  <c r="BA102" i="1"/>
  <c r="BA192" i="1" s="1"/>
  <c r="BA107" i="1"/>
  <c r="BE102" i="1"/>
  <c r="BE192" i="1" s="1"/>
  <c r="BE107" i="1"/>
  <c r="BE125" i="1" s="1"/>
  <c r="AD107" i="1"/>
  <c r="BU107" i="1"/>
  <c r="CM106" i="1"/>
  <c r="CN106" i="1" s="1"/>
  <c r="CO106" i="1" s="1"/>
  <c r="CP106" i="1" s="1"/>
  <c r="CL106" i="1"/>
  <c r="BK107" i="1"/>
  <c r="CC135" i="1"/>
  <c r="CC133" i="1"/>
  <c r="H135" i="1"/>
  <c r="H133" i="1"/>
  <c r="R135" i="1"/>
  <c r="R133" i="1"/>
  <c r="W135" i="1"/>
  <c r="W133" i="1"/>
  <c r="AZ135" i="1"/>
  <c r="AZ133" i="1"/>
  <c r="BE135" i="1"/>
  <c r="BE133" i="1"/>
  <c r="BX135" i="1"/>
  <c r="BX133" i="1"/>
  <c r="CG122" i="1"/>
  <c r="CG123" i="1" s="1"/>
  <c r="CF123" i="1"/>
  <c r="BF135" i="1"/>
  <c r="BF133" i="1"/>
  <c r="BN135" i="1"/>
  <c r="BN133" i="1"/>
  <c r="AT107" i="1"/>
  <c r="AW102" i="1"/>
  <c r="AW192" i="1" s="1"/>
  <c r="AX192" i="1" s="1"/>
  <c r="AX100" i="1"/>
  <c r="AW107" i="1"/>
  <c r="BR127" i="1"/>
  <c r="CB127" i="1"/>
  <c r="AN113" i="1"/>
  <c r="AN117" i="1" s="1"/>
  <c r="AN124" i="1" s="1"/>
  <c r="AM117" i="1"/>
  <c r="BN193" i="1"/>
  <c r="BN117" i="1"/>
  <c r="BN124" i="1" s="1"/>
  <c r="BN125" i="1" s="1"/>
  <c r="AV135" i="1"/>
  <c r="AV133" i="1"/>
  <c r="BA135" i="1"/>
  <c r="BA133" i="1"/>
  <c r="CH135" i="1"/>
  <c r="CH133" i="1"/>
  <c r="AO107" i="1"/>
  <c r="BS192" i="1"/>
  <c r="AM107" i="1"/>
  <c r="BS107" i="1"/>
  <c r="AI129" i="1"/>
  <c r="AS130" i="1"/>
  <c r="BM130" i="1"/>
  <c r="BW117" i="1"/>
  <c r="BL117" i="1"/>
  <c r="BL124" i="1" s="1"/>
  <c r="Q135" i="1"/>
  <c r="Q133" i="1"/>
  <c r="F135" i="1"/>
  <c r="F133" i="1"/>
  <c r="AR123" i="1"/>
  <c r="AS122" i="1"/>
  <c r="BP135" i="1"/>
  <c r="BP133" i="1"/>
  <c r="BU135" i="1"/>
  <c r="BU133" i="1"/>
  <c r="CD135" i="1"/>
  <c r="CD133" i="1"/>
  <c r="BA124" i="1"/>
  <c r="T127" i="1"/>
  <c r="AD127" i="1"/>
  <c r="AN127" i="1"/>
  <c r="BW127" i="1"/>
  <c r="BF102" i="1"/>
  <c r="BN102" i="1"/>
  <c r="BN192" i="1" s="1"/>
  <c r="CD102" i="1"/>
  <c r="BW105" i="1"/>
  <c r="Q107" i="1"/>
  <c r="Q125" i="1" s="1"/>
  <c r="AC107" i="1"/>
  <c r="Y129" i="1"/>
  <c r="AX129" i="1"/>
  <c r="BK193" i="1"/>
  <c r="O130" i="1"/>
  <c r="T129" i="1"/>
  <c r="AD129" i="1"/>
  <c r="BH130" i="1"/>
  <c r="F124" i="1"/>
  <c r="J117" i="1"/>
  <c r="R124" i="1"/>
  <c r="AH117" i="1"/>
  <c r="AH124" i="1" s="1"/>
  <c r="AT117" i="1"/>
  <c r="AT124" i="1"/>
  <c r="BF124" i="1"/>
  <c r="BR117" i="1"/>
  <c r="AE135" i="1"/>
  <c r="AE133" i="1"/>
  <c r="AJ123" i="1"/>
  <c r="AJ124" i="1" s="1"/>
  <c r="O123" i="1"/>
  <c r="P135" i="1"/>
  <c r="P133" i="1"/>
  <c r="U135" i="1"/>
  <c r="U133" i="1"/>
  <c r="AP135" i="1"/>
  <c r="AP133" i="1"/>
  <c r="AT135" i="1"/>
  <c r="AT133" i="1"/>
  <c r="AX122" i="1"/>
  <c r="BR122" i="1"/>
  <c r="BR123" i="1" s="1"/>
  <c r="AS127" i="1"/>
  <c r="AX127" i="1"/>
  <c r="BC127" i="1"/>
  <c r="BH127" i="1"/>
  <c r="BM127" i="1"/>
  <c r="AV192" i="1"/>
  <c r="BH100" i="1"/>
  <c r="BH102" i="1" s="1"/>
  <c r="BP192" i="1"/>
  <c r="AM102" i="1"/>
  <c r="AY102" i="1"/>
  <c r="AY192" i="1" s="1"/>
  <c r="BG102" i="1"/>
  <c r="BG192" i="1" s="1"/>
  <c r="BH192" i="1" s="1"/>
  <c r="BO102" i="1"/>
  <c r="BO192" i="1" s="1"/>
  <c r="Y130" i="1"/>
  <c r="AS129" i="1"/>
  <c r="AX130" i="1"/>
  <c r="BM129" i="1"/>
  <c r="J135" i="1"/>
  <c r="T130" i="1"/>
  <c r="AD130" i="1"/>
  <c r="AX113" i="1"/>
  <c r="AX117" i="1" s="1"/>
  <c r="BM113" i="1"/>
  <c r="G124" i="1"/>
  <c r="W124" i="1"/>
  <c r="AQ117" i="1"/>
  <c r="AQ124" i="1" s="1"/>
  <c r="BK117" i="1"/>
  <c r="BO117" i="1"/>
  <c r="BO124" i="1" s="1"/>
  <c r="AF123" i="1"/>
  <c r="AF124" i="1"/>
  <c r="AM123" i="1"/>
  <c r="Y123" i="1"/>
  <c r="AI120" i="1"/>
  <c r="AI123" i="1"/>
  <c r="AI133" i="1" s="1"/>
  <c r="AQ123" i="1"/>
  <c r="AQ135" i="1"/>
  <c r="CG135" i="1"/>
  <c r="L135" i="1"/>
  <c r="L133" i="1"/>
  <c r="V135" i="1"/>
  <c r="V133" i="1"/>
  <c r="AA135" i="1"/>
  <c r="AA133" i="1"/>
  <c r="BF192" i="1"/>
  <c r="CG127" i="1"/>
  <c r="Y105" i="1"/>
  <c r="AV107" i="1"/>
  <c r="AV125" i="1" s="1"/>
  <c r="AZ107" i="1"/>
  <c r="AZ125" i="1" s="1"/>
  <c r="BD107" i="1"/>
  <c r="BL107" i="1"/>
  <c r="BP107" i="1"/>
  <c r="BP125" i="1" s="1"/>
  <c r="AI130" i="1"/>
  <c r="BJ193" i="1"/>
  <c r="BJ135" i="1"/>
  <c r="BJ133" i="1"/>
  <c r="O129" i="1"/>
  <c r="BC129" i="1"/>
  <c r="BH129" i="1"/>
  <c r="AG124" i="1"/>
  <c r="AS117" i="1"/>
  <c r="AW117" i="1"/>
  <c r="BM117" i="1"/>
  <c r="BQ117" i="1"/>
  <c r="BQ124" i="1" s="1"/>
  <c r="AC135" i="1"/>
  <c r="AC133" i="1"/>
  <c r="AH135" i="1"/>
  <c r="AH133" i="1"/>
  <c r="AD120" i="1"/>
  <c r="AN123" i="1"/>
  <c r="AN135" i="1" s="1"/>
  <c r="AS123" i="1"/>
  <c r="E135" i="1"/>
  <c r="E133" i="1"/>
  <c r="AK135" i="1"/>
  <c r="AK133" i="1"/>
  <c r="AY135" i="1"/>
  <c r="AY133" i="1"/>
  <c r="BC123" i="1"/>
  <c r="BG135" i="1"/>
  <c r="BG133" i="1"/>
  <c r="BO135" i="1"/>
  <c r="BO133" i="1"/>
  <c r="BS123" i="1"/>
  <c r="CA135" i="1"/>
  <c r="CA133" i="1"/>
  <c r="CE123" i="1"/>
  <c r="N135" i="1"/>
  <c r="N133" i="1"/>
  <c r="AF165" i="1"/>
  <c r="AG141" i="1"/>
  <c r="S135" i="1"/>
  <c r="S133" i="1"/>
  <c r="CD171" i="1"/>
  <c r="CD178" i="1"/>
  <c r="AS141" i="1"/>
  <c r="CB178" i="1"/>
  <c r="CB171" i="1"/>
  <c r="CB173" i="1" s="1"/>
  <c r="CB175" i="1" s="1"/>
  <c r="X133" i="1"/>
  <c r="I142" i="1"/>
  <c r="I133" i="1"/>
  <c r="AC141" i="1"/>
  <c r="BZ140" i="1"/>
  <c r="CA140" i="1" s="1"/>
  <c r="CF139" i="1"/>
  <c r="M140" i="1"/>
  <c r="N140" i="1" s="1"/>
  <c r="AZ141" i="1"/>
  <c r="BP141" i="1"/>
  <c r="BT141" i="1"/>
  <c r="BU141" i="1" s="1"/>
  <c r="AZ142" i="1"/>
  <c r="BA142" i="1" s="1"/>
  <c r="BY142" i="1"/>
  <c r="BX143" i="1"/>
  <c r="Q148" i="1"/>
  <c r="AZ172" i="1"/>
  <c r="AZ164" i="1"/>
  <c r="BA145" i="1"/>
  <c r="BB145" i="1" s="1"/>
  <c r="BK148" i="1"/>
  <c r="BY172" i="1"/>
  <c r="BY164" i="1"/>
  <c r="BZ145" i="1"/>
  <c r="BY148" i="1"/>
  <c r="CN172" i="1"/>
  <c r="CN164" i="1"/>
  <c r="AA147" i="1"/>
  <c r="AA148" i="1" s="1"/>
  <c r="AB147" i="1"/>
  <c r="AZ148" i="1"/>
  <c r="AM150" i="1"/>
  <c r="AN150" i="1" s="1"/>
  <c r="AL150" i="1"/>
  <c r="W151" i="1"/>
  <c r="V154" i="1"/>
  <c r="AC156" i="1"/>
  <c r="AD156" i="1" s="1"/>
  <c r="CC165" i="1"/>
  <c r="CC143" i="1"/>
  <c r="CG165" i="1"/>
  <c r="CG143" i="1"/>
  <c r="BV70" i="66" s="1"/>
  <c r="S145" i="1"/>
  <c r="V172" i="1"/>
  <c r="V164" i="1"/>
  <c r="V148" i="1"/>
  <c r="W145" i="1"/>
  <c r="AA172" i="1"/>
  <c r="AA164" i="1"/>
  <c r="AB145" i="1"/>
  <c r="AF172" i="1"/>
  <c r="AF164" i="1"/>
  <c r="AG145" i="1"/>
  <c r="AK172" i="1"/>
  <c r="AK164" i="1"/>
  <c r="AL145" i="1"/>
  <c r="AK148" i="1"/>
  <c r="AQ172" i="1"/>
  <c r="AQ148" i="1"/>
  <c r="BE172" i="1"/>
  <c r="BG145" i="1"/>
  <c r="BG172" i="1" s="1"/>
  <c r="BE148" i="1"/>
  <c r="BE164" i="1"/>
  <c r="CD172" i="1"/>
  <c r="CD164" i="1"/>
  <c r="CD148" i="1"/>
  <c r="CF145" i="1"/>
  <c r="AL151" i="1"/>
  <c r="AM151" i="1" s="1"/>
  <c r="AN151" i="1" s="1"/>
  <c r="CF151" i="1"/>
  <c r="BF164" i="1"/>
  <c r="BP164" i="1"/>
  <c r="BP172" i="1"/>
  <c r="CE172" i="1"/>
  <c r="CE164" i="1"/>
  <c r="CF147" i="1"/>
  <c r="BB150" i="1"/>
  <c r="AV152" i="1"/>
  <c r="CH143" i="1"/>
  <c r="CH158" i="1" s="1"/>
  <c r="N147" i="1"/>
  <c r="N148" i="1" s="1"/>
  <c r="BQ145" i="1"/>
  <c r="CS172" i="1"/>
  <c r="CS148" i="1"/>
  <c r="L148" i="1"/>
  <c r="S150" i="1"/>
  <c r="T150" i="1" s="1"/>
  <c r="AP172" i="1"/>
  <c r="AP164" i="1"/>
  <c r="AV145" i="1"/>
  <c r="BJ172" i="1"/>
  <c r="BJ164" i="1"/>
  <c r="BO172" i="1"/>
  <c r="BO164" i="1"/>
  <c r="BT172" i="1"/>
  <c r="BT164" i="1"/>
  <c r="CM172" i="1"/>
  <c r="CM164" i="1"/>
  <c r="CR145" i="1"/>
  <c r="CW145" i="1" s="1"/>
  <c r="BO147" i="1"/>
  <c r="CM148" i="1"/>
  <c r="I150" i="1"/>
  <c r="AB150" i="1"/>
  <c r="AR150" i="1"/>
  <c r="BZ150" i="1"/>
  <c r="AQ151" i="1"/>
  <c r="AR151" i="1"/>
  <c r="BO151" i="1"/>
  <c r="BP151" i="1"/>
  <c r="BQ151" i="1" s="1"/>
  <c r="BR151" i="1" s="1"/>
  <c r="I153" i="1"/>
  <c r="AQ152" i="1"/>
  <c r="AR152" i="1"/>
  <c r="AS152" i="1" s="1"/>
  <c r="CF150" i="1"/>
  <c r="Q154" i="1"/>
  <c r="U154" i="1"/>
  <c r="AO154" i="1"/>
  <c r="AT154" i="1"/>
  <c r="BE154" i="1"/>
  <c r="BO154" i="1"/>
  <c r="AN156" i="1"/>
  <c r="AR157" i="1"/>
  <c r="AS157" i="1"/>
  <c r="AF154" i="1"/>
  <c r="BL150" i="1"/>
  <c r="AU154" i="1"/>
  <c r="BW156" i="1"/>
  <c r="M150" i="1"/>
  <c r="M151" i="1"/>
  <c r="X150" i="1"/>
  <c r="AG150" i="1"/>
  <c r="AV150" i="1"/>
  <c r="BA152" i="1"/>
  <c r="BF150" i="1"/>
  <c r="BT150" i="1"/>
  <c r="H151" i="1"/>
  <c r="L152" i="1"/>
  <c r="BZ152" i="1"/>
  <c r="CA152" i="1" s="1"/>
  <c r="CD152" i="1"/>
  <c r="M153" i="1"/>
  <c r="G154" i="1"/>
  <c r="K154" i="1"/>
  <c r="CC154" i="1"/>
  <c r="H156" i="1"/>
  <c r="I156" i="1" s="1"/>
  <c r="W156" i="1"/>
  <c r="AV156" i="1"/>
  <c r="AW156" i="1" s="1"/>
  <c r="AX156" i="1" s="1"/>
  <c r="AU172" i="1"/>
  <c r="AU164" i="1"/>
  <c r="AP148" i="1"/>
  <c r="BJ148" i="1"/>
  <c r="N150" i="1"/>
  <c r="AZ154" i="1"/>
  <c r="BA156" i="1"/>
  <c r="BR157" i="1"/>
  <c r="BZ156" i="1"/>
  <c r="CA156" i="1" s="1"/>
  <c r="AI156" i="1"/>
  <c r="CS152" i="1"/>
  <c r="CB130" i="1"/>
  <c r="CB129" i="1"/>
  <c r="BZ142" i="1"/>
  <c r="AH141" i="1"/>
  <c r="AS133" i="1"/>
  <c r="AQ133" i="1"/>
  <c r="BL135" i="1"/>
  <c r="BL133" i="1"/>
  <c r="AM79" i="1"/>
  <c r="AU83" i="1"/>
  <c r="AU21" i="1"/>
  <c r="AT167" i="1"/>
  <c r="AT59" i="1"/>
  <c r="AT62" i="1" s="1"/>
  <c r="AT21" i="1"/>
  <c r="CR127" i="1"/>
  <c r="CW127" i="1" s="1"/>
  <c r="DB127" i="1" s="1"/>
  <c r="O80" i="1"/>
  <c r="O65" i="1"/>
  <c r="O16" i="1"/>
  <c r="BW79" i="1"/>
  <c r="BC72" i="1"/>
  <c r="CC128" i="1"/>
  <c r="CC130" i="1"/>
  <c r="CC129" i="1"/>
  <c r="CC72" i="1"/>
  <c r="BS80" i="1"/>
  <c r="BX80" i="1"/>
  <c r="BS65" i="1"/>
  <c r="BS16" i="1"/>
  <c r="BR79" i="1"/>
  <c r="AL80" i="1"/>
  <c r="AL65" i="1"/>
  <c r="AL16" i="1"/>
  <c r="U80" i="1"/>
  <c r="U65" i="1"/>
  <c r="U16" i="1"/>
  <c r="Z83" i="1" s="1"/>
  <c r="Q65" i="1"/>
  <c r="CO76" i="1"/>
  <c r="CP76" i="1" s="1"/>
  <c r="X75" i="1"/>
  <c r="X128" i="1"/>
  <c r="X130" i="1"/>
  <c r="X129" i="1"/>
  <c r="X72" i="1"/>
  <c r="CO127" i="1"/>
  <c r="CT127" i="1" s="1"/>
  <c r="BM72" i="1"/>
  <c r="BM13" i="1"/>
  <c r="AF16" i="1"/>
  <c r="BW73" i="1"/>
  <c r="BM79" i="1"/>
  <c r="BM14" i="1"/>
  <c r="BC81" i="1"/>
  <c r="BC73" i="1"/>
  <c r="BQ67" i="1"/>
  <c r="BQ59" i="1"/>
  <c r="BQ62" i="1" s="1"/>
  <c r="BQ21" i="1"/>
  <c r="T76" i="1"/>
  <c r="T68" i="1"/>
  <c r="T25" i="1"/>
  <c r="P59" i="1"/>
  <c r="P62" i="1" s="1"/>
  <c r="P21" i="1"/>
  <c r="P67" i="1"/>
  <c r="BZ172" i="1"/>
  <c r="BZ164" i="1"/>
  <c r="BZ148" i="1"/>
  <c r="AD141" i="1"/>
  <c r="AB154" i="1"/>
  <c r="AC150" i="1"/>
  <c r="BQ172" i="1"/>
  <c r="BR145" i="1"/>
  <c r="BQ164" i="1"/>
  <c r="AQ154" i="1"/>
  <c r="I151" i="1"/>
  <c r="BG164" i="1"/>
  <c r="BH145" i="1"/>
  <c r="BB172" i="1"/>
  <c r="BB164" i="1"/>
  <c r="BC145" i="1"/>
  <c r="CE135" i="1"/>
  <c r="CE133" i="1"/>
  <c r="CF135" i="1"/>
  <c r="CF133" i="1"/>
  <c r="CE124" i="1"/>
  <c r="BC124" i="1"/>
  <c r="BH73" i="1"/>
  <c r="BH81" i="1"/>
  <c r="BY61" i="1"/>
  <c r="L59" i="1"/>
  <c r="L62" i="1" s="1"/>
  <c r="L67" i="1"/>
  <c r="L21" i="1"/>
  <c r="N130" i="1"/>
  <c r="N128" i="1"/>
  <c r="X127" i="1"/>
  <c r="X79" i="1"/>
  <c r="X14" i="1"/>
  <c r="AM16" i="1"/>
  <c r="CA84" i="1"/>
  <c r="CA25" i="1"/>
  <c r="BG65" i="1"/>
  <c r="BG16" i="1"/>
  <c r="BR73" i="1"/>
  <c r="BR81" i="1"/>
  <c r="BN65" i="1"/>
  <c r="BN16" i="1"/>
  <c r="BN80" i="1"/>
  <c r="BK80" i="1"/>
  <c r="BK65" i="1"/>
  <c r="BK16" i="1"/>
  <c r="AA80" i="1"/>
  <c r="AA65" i="1"/>
  <c r="AA16" i="1"/>
  <c r="X73" i="1"/>
  <c r="BM81" i="1"/>
  <c r="BM73" i="1"/>
  <c r="BV130" i="1"/>
  <c r="BV129" i="1"/>
  <c r="BV128" i="1"/>
  <c r="BW128" i="1" s="1"/>
  <c r="BV72" i="1"/>
  <c r="BP80" i="1"/>
  <c r="BP65" i="1"/>
  <c r="BP16" i="1"/>
  <c r="CF72" i="1"/>
  <c r="BW81" i="1"/>
  <c r="CB75" i="1"/>
  <c r="AN128" i="1"/>
  <c r="AP59" i="1"/>
  <c r="AP62" i="1" s="1"/>
  <c r="BT80" i="1"/>
  <c r="BT65" i="1"/>
  <c r="BI65" i="1"/>
  <c r="BD80" i="1"/>
  <c r="BD16" i="1"/>
  <c r="BD65" i="1"/>
  <c r="BC79" i="1"/>
  <c r="BC14" i="1"/>
  <c r="AB80" i="1"/>
  <c r="AB16" i="1"/>
  <c r="AB65" i="1"/>
  <c r="BX28" i="1"/>
  <c r="BX69" i="1"/>
  <c r="BF65" i="1"/>
  <c r="BF80" i="1"/>
  <c r="BF16" i="1"/>
  <c r="CH76" i="1"/>
  <c r="CH25" i="1"/>
  <c r="CH68" i="1"/>
  <c r="Y150" i="1"/>
  <c r="AS150" i="1"/>
  <c r="AL172" i="1"/>
  <c r="AL164" i="1"/>
  <c r="CG178" i="1"/>
  <c r="CG171" i="1"/>
  <c r="CG173" i="1" s="1"/>
  <c r="CG175" i="1" s="1"/>
  <c r="AV154" i="1"/>
  <c r="CA150" i="1"/>
  <c r="CR172" i="1"/>
  <c r="CR164" i="1"/>
  <c r="CR148" i="1"/>
  <c r="BB156" i="1"/>
  <c r="BC156" i="1" s="1"/>
  <c r="AW150" i="1"/>
  <c r="AM145" i="1"/>
  <c r="W172" i="1"/>
  <c r="W164" i="1"/>
  <c r="X145" i="1"/>
  <c r="T145" i="1"/>
  <c r="CC178" i="1"/>
  <c r="CC171" i="1"/>
  <c r="CC173" i="1" s="1"/>
  <c r="CC175" i="1" s="1"/>
  <c r="CC158" i="1"/>
  <c r="CA145" i="1"/>
  <c r="BA164" i="1"/>
  <c r="BA172" i="1"/>
  <c r="BA148" i="1"/>
  <c r="BX178" i="1"/>
  <c r="BX171" i="1"/>
  <c r="BX173" i="1" s="1"/>
  <c r="BX175" i="1" s="1"/>
  <c r="BX158" i="1"/>
  <c r="BT165" i="1"/>
  <c r="AZ165" i="1"/>
  <c r="BA141" i="1"/>
  <c r="CD173" i="1"/>
  <c r="CD175" i="1" s="1"/>
  <c r="AN133" i="1"/>
  <c r="CG133" i="1"/>
  <c r="CL120" i="1"/>
  <c r="CE68" i="1"/>
  <c r="AX128" i="1"/>
  <c r="AX14" i="1"/>
  <c r="I59" i="1"/>
  <c r="I62" i="1"/>
  <c r="I134" i="1" s="1"/>
  <c r="I21" i="1"/>
  <c r="AX73" i="1"/>
  <c r="AX81" i="1"/>
  <c r="AO167" i="1"/>
  <c r="AO67" i="1"/>
  <c r="AO59" i="1"/>
  <c r="AO62" i="1" s="1"/>
  <c r="AO21" i="1"/>
  <c r="AV167" i="1"/>
  <c r="AV59" i="1"/>
  <c r="AV21" i="1"/>
  <c r="AV68" i="1" s="1"/>
  <c r="AV67" i="1"/>
  <c r="CM31" i="1"/>
  <c r="CN31" i="1" s="1"/>
  <c r="CO31" i="1" s="1"/>
  <c r="CP31" i="1" s="1"/>
  <c r="BZ61" i="1"/>
  <c r="CA61" i="1"/>
  <c r="BV84" i="1"/>
  <c r="BV25" i="1"/>
  <c r="CR130" i="1"/>
  <c r="CW130" i="1" s="1"/>
  <c r="DB130" i="1" s="1"/>
  <c r="BB65" i="1"/>
  <c r="CG79" i="1"/>
  <c r="BA80" i="1"/>
  <c r="BA65" i="1"/>
  <c r="BA16" i="1"/>
  <c r="Z80" i="1"/>
  <c r="T80" i="1"/>
  <c r="CB65" i="1"/>
  <c r="AZ80" i="1"/>
  <c r="AZ65" i="1"/>
  <c r="AZ16" i="1"/>
  <c r="S127" i="1"/>
  <c r="S14" i="1"/>
  <c r="E134" i="1"/>
  <c r="E132" i="1"/>
  <c r="BU80" i="1"/>
  <c r="AJ80" i="1"/>
  <c r="AJ65" i="1"/>
  <c r="AJ16" i="1"/>
  <c r="AO83" i="1" s="1"/>
  <c r="CD130" i="1"/>
  <c r="CD129" i="1"/>
  <c r="CD128" i="1"/>
  <c r="CD72" i="1"/>
  <c r="BO80" i="1"/>
  <c r="BO65" i="1"/>
  <c r="BO16" i="1"/>
  <c r="BH14" i="1"/>
  <c r="BH79" i="1"/>
  <c r="V80" i="1"/>
  <c r="V65" i="1"/>
  <c r="V16" i="1"/>
  <c r="R65" i="1"/>
  <c r="R80" i="1"/>
  <c r="R16" i="1"/>
  <c r="CP127" i="1"/>
  <c r="CU127" i="1" s="1"/>
  <c r="CZ127" i="1" s="1"/>
  <c r="DE127" i="1" s="1"/>
  <c r="BL80" i="1"/>
  <c r="AN14" i="1"/>
  <c r="CF164" i="1"/>
  <c r="CF172" i="1"/>
  <c r="CF148" i="1"/>
  <c r="BM150" i="1"/>
  <c r="CH178" i="1"/>
  <c r="CH171" i="1"/>
  <c r="CH173" i="1" s="1"/>
  <c r="CH175" i="1" s="1"/>
  <c r="BC150" i="1"/>
  <c r="AG172" i="1"/>
  <c r="AG164" i="1"/>
  <c r="AH145" i="1"/>
  <c r="AB172" i="1"/>
  <c r="BP165" i="1"/>
  <c r="BQ141" i="1"/>
  <c r="AF135" i="1"/>
  <c r="AF133" i="1"/>
  <c r="AJ135" i="1"/>
  <c r="AJ133" i="1"/>
  <c r="CF124" i="1"/>
  <c r="AW80" i="1"/>
  <c r="AW65" i="1"/>
  <c r="AW16" i="1"/>
  <c r="AC128" i="1"/>
  <c r="AC130" i="1"/>
  <c r="AC129" i="1"/>
  <c r="CC61" i="1"/>
  <c r="BX62" i="1"/>
  <c r="BX61" i="1"/>
  <c r="BX74" i="1" s="1"/>
  <c r="AH130" i="1"/>
  <c r="AH129" i="1"/>
  <c r="AH128" i="1"/>
  <c r="M134" i="1"/>
  <c r="BZ130" i="1"/>
  <c r="BZ129" i="1"/>
  <c r="BZ128" i="1"/>
  <c r="BZ72" i="1"/>
  <c r="Z59" i="1"/>
  <c r="Z62" i="1" s="1"/>
  <c r="Z67" i="1"/>
  <c r="Z21" i="1"/>
  <c r="AS167" i="1"/>
  <c r="AS67" i="1"/>
  <c r="AS59" i="1"/>
  <c r="AS21" i="1"/>
  <c r="AC79" i="1"/>
  <c r="CA128" i="1"/>
  <c r="CB128" i="1" s="1"/>
  <c r="CA130" i="1"/>
  <c r="CA129" i="1"/>
  <c r="CA72" i="1"/>
  <c r="CA13" i="1"/>
  <c r="CE130" i="1"/>
  <c r="CE129" i="1"/>
  <c r="CE128" i="1"/>
  <c r="CE72" i="1"/>
  <c r="BE65" i="1"/>
  <c r="AD16" i="1"/>
  <c r="AD167" i="1" s="1"/>
  <c r="CL60" i="1"/>
  <c r="CM22" i="1"/>
  <c r="CM60" i="1" s="1"/>
  <c r="CN127" i="1"/>
  <c r="CS127" i="1" s="1"/>
  <c r="CX127" i="1" s="1"/>
  <c r="DC127" i="1" s="1"/>
  <c r="BJ59" i="1"/>
  <c r="BJ67" i="1"/>
  <c r="BJ21" i="1"/>
  <c r="AY80" i="1"/>
  <c r="AY65" i="1"/>
  <c r="AY16" i="1"/>
  <c r="S128" i="1"/>
  <c r="S130" i="1"/>
  <c r="S129" i="1"/>
  <c r="S72" i="1"/>
  <c r="AC73" i="1"/>
  <c r="AE83" i="1"/>
  <c r="AE67" i="1"/>
  <c r="AE21" i="1"/>
  <c r="AE59" i="1"/>
  <c r="AE62" i="1" s="1"/>
  <c r="AE132" i="1" s="1"/>
  <c r="AD21" i="1"/>
  <c r="Z25" i="1"/>
  <c r="Z68" i="1"/>
  <c r="Z76" i="1"/>
  <c r="BX13" i="1"/>
  <c r="AX65" i="1"/>
  <c r="AX80" i="1"/>
  <c r="AX16" i="1"/>
  <c r="CA164" i="1"/>
  <c r="CA172" i="1"/>
  <c r="X172" i="1"/>
  <c r="X164" i="1"/>
  <c r="Y145" i="1"/>
  <c r="AM172" i="1"/>
  <c r="AM164" i="1"/>
  <c r="AN145" i="1"/>
  <c r="BP83" i="1"/>
  <c r="BP59" i="1"/>
  <c r="BP21" i="1"/>
  <c r="BP67" i="1"/>
  <c r="L76" i="1"/>
  <c r="L68" i="1"/>
  <c r="L25" i="1"/>
  <c r="BC172" i="1"/>
  <c r="BC164" i="1"/>
  <c r="P68" i="1"/>
  <c r="P76" i="1"/>
  <c r="P25" i="1"/>
  <c r="BQ68" i="1"/>
  <c r="AF167" i="1"/>
  <c r="AF59" i="1"/>
  <c r="AF62" i="1" s="1"/>
  <c r="AF21" i="1"/>
  <c r="AF67" i="1"/>
  <c r="AL167" i="1"/>
  <c r="AL83" i="1"/>
  <c r="AL59" i="1"/>
  <c r="AL62" i="1" s="1"/>
  <c r="AL67" i="1"/>
  <c r="AL21" i="1"/>
  <c r="AQ83" i="1"/>
  <c r="O83" i="1"/>
  <c r="O67" i="1"/>
  <c r="O21" i="1"/>
  <c r="O59" i="1"/>
  <c r="O62" i="1"/>
  <c r="T83" i="1"/>
  <c r="AT84" i="1"/>
  <c r="AT68" i="1"/>
  <c r="AT25" i="1"/>
  <c r="CA142" i="1"/>
  <c r="AY167" i="1"/>
  <c r="AY83" i="1"/>
  <c r="AY67" i="1"/>
  <c r="AY59" i="1"/>
  <c r="AY62" i="1" s="1"/>
  <c r="CP128" i="1"/>
  <c r="CQ128" i="1" s="1"/>
  <c r="AA67" i="1"/>
  <c r="AE76" i="1"/>
  <c r="AE84" i="1"/>
  <c r="AE68" i="1"/>
  <c r="AE25" i="1"/>
  <c r="BX163" i="1"/>
  <c r="BX166" i="1"/>
  <c r="BX134" i="1"/>
  <c r="BX132" i="1"/>
  <c r="BX66" i="1"/>
  <c r="V59" i="1"/>
  <c r="V62" i="1" s="1"/>
  <c r="V67" i="1"/>
  <c r="V21" i="1"/>
  <c r="BH80" i="1"/>
  <c r="BH16" i="1"/>
  <c r="BH65" i="1"/>
  <c r="CN130" i="1"/>
  <c r="BA167" i="1"/>
  <c r="BA83" i="1"/>
  <c r="BA67" i="1"/>
  <c r="BA59" i="1"/>
  <c r="AO76" i="1"/>
  <c r="AO68" i="1"/>
  <c r="AO25" i="1"/>
  <c r="I132" i="1"/>
  <c r="BA165" i="1"/>
  <c r="BA166" i="1" s="1"/>
  <c r="BA168" i="1" s="1"/>
  <c r="BB141" i="1"/>
  <c r="BF83" i="1"/>
  <c r="CA28" i="1"/>
  <c r="AM67" i="1"/>
  <c r="BH172" i="1"/>
  <c r="BH164" i="1"/>
  <c r="BQ132" i="1"/>
  <c r="U83" i="1"/>
  <c r="U67" i="1"/>
  <c r="U59" i="1"/>
  <c r="U62" i="1" s="1"/>
  <c r="U21" i="1"/>
  <c r="BS83" i="1"/>
  <c r="BS67" i="1"/>
  <c r="BS59" i="1"/>
  <c r="BS21" i="1"/>
  <c r="BX83" i="1"/>
  <c r="AS68" i="1"/>
  <c r="AS25" i="1"/>
  <c r="AS76" i="1"/>
  <c r="BV69" i="1"/>
  <c r="BU165" i="1"/>
  <c r="BV141" i="1"/>
  <c r="BD167" i="1"/>
  <c r="BD83" i="1"/>
  <c r="BD59" i="1"/>
  <c r="BD62" i="1"/>
  <c r="BD67" i="1"/>
  <c r="T69" i="1"/>
  <c r="T28" i="1"/>
  <c r="Z132" i="1"/>
  <c r="AW67" i="1"/>
  <c r="AH172" i="1"/>
  <c r="AH164" i="1"/>
  <c r="AI145" i="1"/>
  <c r="AN80" i="1"/>
  <c r="R83" i="1"/>
  <c r="R59" i="1"/>
  <c r="R62" i="1" s="1"/>
  <c r="R67" i="1"/>
  <c r="R21" i="1"/>
  <c r="BO83" i="1"/>
  <c r="BO67" i="1"/>
  <c r="BO21" i="1"/>
  <c r="BO59" i="1"/>
  <c r="AJ167" i="1"/>
  <c r="AJ83" i="1"/>
  <c r="AJ59" i="1"/>
  <c r="AJ21" i="1"/>
  <c r="S65" i="1"/>
  <c r="S16" i="1"/>
  <c r="AO66" i="1"/>
  <c r="BX160" i="1"/>
  <c r="CH28" i="1"/>
  <c r="AB167" i="1"/>
  <c r="AB59" i="1"/>
  <c r="AB62" i="1"/>
  <c r="AB67" i="1"/>
  <c r="AB21" i="1"/>
  <c r="AG83" i="1"/>
  <c r="CU130" i="1"/>
  <c r="CZ130" i="1" s="1"/>
  <c r="DE130" i="1" s="1"/>
  <c r="BK67" i="1"/>
  <c r="BK21" i="1"/>
  <c r="BK59" i="1"/>
  <c r="BN59" i="1"/>
  <c r="BN67" i="1"/>
  <c r="BN21" i="1"/>
  <c r="BN68" i="1" s="1"/>
  <c r="BG67" i="1"/>
  <c r="BG59" i="1"/>
  <c r="L134" i="1"/>
  <c r="L132" i="1"/>
  <c r="L66" i="1"/>
  <c r="BR172" i="1"/>
  <c r="BR164" i="1"/>
  <c r="AC154" i="1"/>
  <c r="AD150" i="1"/>
  <c r="AD154" i="1" s="1"/>
  <c r="BM80" i="1"/>
  <c r="BM65" i="1"/>
  <c r="BM16" i="1"/>
  <c r="AT132" i="1"/>
  <c r="AU68" i="1"/>
  <c r="AI141" i="1"/>
  <c r="AO69" i="1"/>
  <c r="AO28" i="1"/>
  <c r="BH167" i="1"/>
  <c r="BH59" i="1"/>
  <c r="BH67" i="1"/>
  <c r="CL128" i="1"/>
  <c r="P131" i="1"/>
  <c r="P69" i="1"/>
  <c r="P28" i="1"/>
  <c r="P39" i="1"/>
  <c r="P139" i="1" s="1"/>
  <c r="P143" i="1" s="1"/>
  <c r="AX167" i="1"/>
  <c r="AX83" i="1"/>
  <c r="AX59" i="1"/>
  <c r="AX67" i="1"/>
  <c r="AB68" i="1"/>
  <c r="AB25" i="1"/>
  <c r="AB76" i="1"/>
  <c r="R134" i="1"/>
  <c r="CS130" i="1"/>
  <c r="CX130" i="1" s="1"/>
  <c r="DC130" i="1" s="1"/>
  <c r="AF25" i="1"/>
  <c r="BP84" i="1"/>
  <c r="BP68" i="1"/>
  <c r="Z28" i="1"/>
  <c r="AS131" i="1"/>
  <c r="AS69" i="1"/>
  <c r="AS28" i="1"/>
  <c r="V163" i="1"/>
  <c r="V134" i="1"/>
  <c r="V132" i="1"/>
  <c r="V66" i="1"/>
  <c r="O68" i="1"/>
  <c r="O25" i="1"/>
  <c r="O76" i="1"/>
  <c r="T84" i="1"/>
  <c r="BK68" i="1"/>
  <c r="BK25" i="1"/>
  <c r="BK76" i="1"/>
  <c r="AJ84" i="1"/>
  <c r="AJ68" i="1"/>
  <c r="AJ25" i="1"/>
  <c r="AJ76" i="1"/>
  <c r="CT130" i="1"/>
  <c r="CY130" i="1" s="1"/>
  <c r="DD130" i="1" s="1"/>
  <c r="BD163" i="1"/>
  <c r="BD166" i="1" s="1"/>
  <c r="BD134" i="1"/>
  <c r="BD132" i="1"/>
  <c r="BD66" i="1"/>
  <c r="BS61" i="1"/>
  <c r="BS74" i="1" s="1"/>
  <c r="U84" i="1"/>
  <c r="U68" i="1"/>
  <c r="U25" i="1"/>
  <c r="U76" i="1"/>
  <c r="V25" i="1"/>
  <c r="V68" i="1"/>
  <c r="V76" i="1"/>
  <c r="AY132" i="1"/>
  <c r="AL134" i="1"/>
  <c r="AF163" i="1"/>
  <c r="AF134" i="1"/>
  <c r="AF132" i="1"/>
  <c r="AF66" i="1"/>
  <c r="AN172" i="1"/>
  <c r="Z84" i="1"/>
  <c r="CR76" i="1"/>
  <c r="BV165" i="1"/>
  <c r="BW141" i="1"/>
  <c r="BW165" i="1" s="1"/>
  <c r="AE69" i="1"/>
  <c r="AE28" i="1"/>
  <c r="AE86" i="1" s="1"/>
  <c r="AL25" i="1"/>
  <c r="AL68" i="1"/>
  <c r="AL76" i="1"/>
  <c r="BM83" i="1"/>
  <c r="BM67" i="1"/>
  <c r="BM59" i="1"/>
  <c r="AB163" i="1"/>
  <c r="S67" i="1"/>
  <c r="S21" i="1"/>
  <c r="S59" i="1"/>
  <c r="R76" i="1"/>
  <c r="R68" i="1"/>
  <c r="R25" i="1"/>
  <c r="AI172" i="1"/>
  <c r="AI164" i="1"/>
  <c r="U163" i="1"/>
  <c r="U134" i="1"/>
  <c r="U132" i="1"/>
  <c r="U82" i="1"/>
  <c r="U66" i="1"/>
  <c r="BB165" i="1"/>
  <c r="BB166" i="1"/>
  <c r="BC141" i="1"/>
  <c r="BC165" i="1" s="1"/>
  <c r="AO84" i="1"/>
  <c r="O66" i="1"/>
  <c r="L69" i="1"/>
  <c r="L28" i="1"/>
  <c r="Y172" i="1"/>
  <c r="Y164" i="1"/>
  <c r="AD76" i="1"/>
  <c r="V131" i="1"/>
  <c r="V69" i="1"/>
  <c r="V28" i="1"/>
  <c r="AJ131" i="1"/>
  <c r="AJ85" i="1"/>
  <c r="AJ69" i="1"/>
  <c r="AJ28" i="1"/>
  <c r="AF28" i="1"/>
  <c r="AB69" i="1"/>
  <c r="AB28" i="1"/>
  <c r="CV128" i="1"/>
  <c r="AO85" i="1"/>
  <c r="AL69" i="1"/>
  <c r="AL28" i="1"/>
  <c r="O69" i="1"/>
  <c r="CS76" i="1"/>
  <c r="CT76" i="1" s="1"/>
  <c r="CU76" i="1" s="1"/>
  <c r="CW76" i="1" s="1"/>
  <c r="CX76" i="1" s="1"/>
  <c r="CY76" i="1" s="1"/>
  <c r="CZ76" i="1" s="1"/>
  <c r="DB76" i="1" s="1"/>
  <c r="DC76" i="1" s="1"/>
  <c r="DD76" i="1" s="1"/>
  <c r="DE76" i="1" s="1"/>
  <c r="BS13" i="1"/>
  <c r="S68" i="1"/>
  <c r="S25" i="1"/>
  <c r="S76" i="1"/>
  <c r="U85" i="1"/>
  <c r="U69" i="1"/>
  <c r="U28" i="1"/>
  <c r="U86" i="1" s="1"/>
  <c r="BS62" i="1"/>
  <c r="BK69" i="1"/>
  <c r="BK28" i="1"/>
  <c r="BK39" i="1"/>
  <c r="BK139" i="1" s="1"/>
  <c r="BS163" i="1"/>
  <c r="BS166" i="1" s="1"/>
  <c r="BS134" i="1"/>
  <c r="BS132" i="1"/>
  <c r="BS66" i="1"/>
  <c r="BX82" i="1"/>
  <c r="BA24" i="33"/>
  <c r="BA23" i="33" s="1"/>
  <c r="BO70" i="66"/>
  <c r="BO55" i="66" s="1"/>
  <c r="BP70" i="66"/>
  <c r="BR70" i="66" s="1"/>
  <c r="BO66" i="66"/>
  <c r="BO44" i="66" s="1"/>
  <c r="BO68" i="66"/>
  <c r="BO69" i="66"/>
  <c r="BO53" i="66" s="1"/>
  <c r="CZ25" i="59"/>
  <c r="CY25" i="59"/>
  <c r="BV27" i="57"/>
  <c r="BV22" i="57"/>
  <c r="BV5" i="57"/>
  <c r="BV26" i="57"/>
  <c r="BV28" i="57"/>
  <c r="AS24" i="33"/>
  <c r="AX24" i="33" s="1"/>
  <c r="CK11" i="57"/>
  <c r="CK10" i="57" s="1"/>
  <c r="BA25" i="33"/>
  <c r="BO42" i="66"/>
  <c r="BP69" i="66"/>
  <c r="BQ69" i="66" s="1"/>
  <c r="BP66" i="66"/>
  <c r="BR66" i="66" s="1"/>
  <c r="BN72" i="66"/>
  <c r="BM72" i="66"/>
  <c r="BJ69" i="66"/>
  <c r="BK69" i="66" s="1"/>
  <c r="BJ66" i="66"/>
  <c r="BK66" i="66" s="1"/>
  <c r="BO52" i="66"/>
  <c r="BO48" i="66"/>
  <c r="AS60" i="33"/>
  <c r="AX60" i="33" s="1"/>
  <c r="AX61" i="33" s="1"/>
  <c r="AS39" i="33"/>
  <c r="AS34" i="33"/>
  <c r="AS18" i="33"/>
  <c r="AS13" i="33"/>
  <c r="AQ13" i="33"/>
  <c r="AQ18" i="33"/>
  <c r="AQ24" i="33"/>
  <c r="AQ34" i="33"/>
  <c r="AQ39" i="33"/>
  <c r="AQ60" i="33"/>
  <c r="CH42" i="5"/>
  <c r="CH21" i="59"/>
  <c r="CH46" i="59" s="1"/>
  <c r="CH43" i="56"/>
  <c r="CH42" i="56"/>
  <c r="CF43" i="56"/>
  <c r="CE43" i="56"/>
  <c r="CD43" i="56"/>
  <c r="CC43" i="56"/>
  <c r="CF42" i="56"/>
  <c r="CE42" i="56"/>
  <c r="CD42" i="56"/>
  <c r="CC42" i="56"/>
  <c r="CA43" i="56"/>
  <c r="BZ43" i="56"/>
  <c r="BY43" i="56"/>
  <c r="BX43" i="56"/>
  <c r="CA42" i="56"/>
  <c r="BZ42" i="56"/>
  <c r="BY42" i="56"/>
  <c r="BX42" i="56"/>
  <c r="BV43" i="56"/>
  <c r="BV42" i="56"/>
  <c r="CH12" i="56"/>
  <c r="CH198" i="56"/>
  <c r="CH200" i="56"/>
  <c r="CH199" i="56"/>
  <c r="CH73" i="56"/>
  <c r="CH132" i="56"/>
  <c r="CH153" i="56"/>
  <c r="CH180" i="56" s="1"/>
  <c r="CH11" i="59" s="1"/>
  <c r="CH37" i="59" s="1"/>
  <c r="CH133" i="56"/>
  <c r="CH147" i="56"/>
  <c r="CH154" i="56"/>
  <c r="CM154" i="56" s="1"/>
  <c r="CR154" i="56" s="1"/>
  <c r="CW154" i="56" s="1"/>
  <c r="DB154" i="56" s="1"/>
  <c r="CH137" i="56"/>
  <c r="CH187" i="56"/>
  <c r="CH186" i="56"/>
  <c r="CH138" i="56"/>
  <c r="CH155" i="56"/>
  <c r="CC133" i="56"/>
  <c r="CC132" i="56"/>
  <c r="CH139" i="56"/>
  <c r="CH134" i="56"/>
  <c r="CH143" i="56"/>
  <c r="CH128" i="56"/>
  <c r="CH126" i="56"/>
  <c r="CH125" i="56"/>
  <c r="CG132" i="56"/>
  <c r="CG133" i="56"/>
  <c r="CG121" i="56"/>
  <c r="CH123" i="56"/>
  <c r="CH122" i="56"/>
  <c r="CG67" i="56"/>
  <c r="CH119" i="56"/>
  <c r="CH77" i="56"/>
  <c r="CH114" i="56"/>
  <c r="CH112" i="56"/>
  <c r="CH111" i="56"/>
  <c r="CH110" i="56"/>
  <c r="CH108" i="56"/>
  <c r="CH106" i="56"/>
  <c r="CC77" i="56"/>
  <c r="CH103" i="56"/>
  <c r="CH97" i="56"/>
  <c r="CH95" i="56"/>
  <c r="CH63" i="56"/>
  <c r="CH62" i="56"/>
  <c r="CH61" i="56"/>
  <c r="CH45" i="56"/>
  <c r="CH39" i="56"/>
  <c r="BQ200" i="56"/>
  <c r="BL198" i="56"/>
  <c r="BN200" i="56"/>
  <c r="BQ198" i="56"/>
  <c r="BO198" i="56"/>
  <c r="BU200" i="56"/>
  <c r="BS198" i="56"/>
  <c r="BV198" i="56"/>
  <c r="BV200" i="56"/>
  <c r="BZ200" i="56"/>
  <c r="BY200" i="56"/>
  <c r="BX200" i="56"/>
  <c r="CE200" i="56"/>
  <c r="CC198" i="56"/>
  <c r="CD200" i="56"/>
  <c r="BX198" i="56"/>
  <c r="BO200" i="56"/>
  <c r="BP200" i="56"/>
  <c r="CC200" i="56"/>
  <c r="BT200" i="56"/>
  <c r="BJ198" i="56"/>
  <c r="BL200" i="56"/>
  <c r="BS200" i="56"/>
  <c r="CA198" i="56"/>
  <c r="CF198" i="56"/>
  <c r="CF200" i="56"/>
  <c r="CA200" i="56"/>
  <c r="BK200" i="56"/>
  <c r="BJ200" i="56"/>
  <c r="CV5" i="14"/>
  <c r="CU5" i="14"/>
  <c r="CT5" i="14"/>
  <c r="CS5" i="14"/>
  <c r="CR5" i="14"/>
  <c r="CR4" i="14"/>
  <c r="CU24" i="7"/>
  <c r="CU112" i="1"/>
  <c r="CV112" i="1"/>
  <c r="CV24" i="7"/>
  <c r="CV5" i="7"/>
  <c r="CU5" i="7"/>
  <c r="CT5" i="7"/>
  <c r="CS5" i="7"/>
  <c r="CS25" i="59"/>
  <c r="AX24" i="57"/>
  <c r="AW24" i="57"/>
  <c r="AV24" i="57"/>
  <c r="AU24" i="57"/>
  <c r="AT24" i="57"/>
  <c r="AS24" i="57"/>
  <c r="AR24" i="57"/>
  <c r="AQ24" i="57"/>
  <c r="AP24" i="57"/>
  <c r="AO24" i="57"/>
  <c r="AN24" i="57"/>
  <c r="AM24" i="57"/>
  <c r="AL24" i="57"/>
  <c r="AK24" i="57"/>
  <c r="AJ24" i="57"/>
  <c r="AI24" i="57"/>
  <c r="AH24" i="57"/>
  <c r="AG24" i="57"/>
  <c r="AF24" i="57"/>
  <c r="AE24" i="57"/>
  <c r="AD24" i="57"/>
  <c r="AC24" i="57"/>
  <c r="AB24" i="57"/>
  <c r="AA24" i="57"/>
  <c r="Z24" i="57"/>
  <c r="Y24" i="57"/>
  <c r="X24" i="57"/>
  <c r="W24" i="57"/>
  <c r="V24" i="57"/>
  <c r="U24" i="57"/>
  <c r="T24" i="57"/>
  <c r="S24" i="57"/>
  <c r="CU30" i="59"/>
  <c r="CZ30" i="59" s="1"/>
  <c r="DE30" i="59" s="1"/>
  <c r="CR30" i="59"/>
  <c r="CW30" i="59" s="1"/>
  <c r="DB30" i="59" s="1"/>
  <c r="CU26" i="59"/>
  <c r="CZ26" i="59" s="1"/>
  <c r="DE26" i="59" s="1"/>
  <c r="CT26" i="59"/>
  <c r="CY26" i="59" s="1"/>
  <c r="DD26" i="59" s="1"/>
  <c r="CS26" i="59"/>
  <c r="CX26" i="59" s="1"/>
  <c r="DC26" i="59" s="1"/>
  <c r="CU25" i="59"/>
  <c r="CV8" i="59"/>
  <c r="CU8" i="59"/>
  <c r="CT8" i="59"/>
  <c r="CS8" i="59"/>
  <c r="CR8" i="59"/>
  <c r="CR7" i="59"/>
  <c r="CU6" i="59"/>
  <c r="CT6" i="59"/>
  <c r="CS6" i="59"/>
  <c r="CR6" i="59"/>
  <c r="CF14" i="5"/>
  <c r="CC14" i="5"/>
  <c r="CH14" i="5" s="1"/>
  <c r="CD14" i="5"/>
  <c r="CI14" i="5" s="1"/>
  <c r="CN14" i="5" s="1"/>
  <c r="CE14" i="5"/>
  <c r="CJ14" i="5" s="1"/>
  <c r="CO14" i="5" s="1"/>
  <c r="BS13" i="5"/>
  <c r="BX13" i="5" s="1"/>
  <c r="BV13" i="5"/>
  <c r="CA13" i="5" s="1"/>
  <c r="BU13" i="5"/>
  <c r="BW13" i="5" s="1"/>
  <c r="BT13" i="5"/>
  <c r="BY13" i="5" s="1"/>
  <c r="CV6" i="5"/>
  <c r="CU6" i="5"/>
  <c r="CT6" i="5"/>
  <c r="CS6" i="5"/>
  <c r="CR6" i="5"/>
  <c r="CR5" i="5"/>
  <c r="CU4" i="5"/>
  <c r="CT4" i="5"/>
  <c r="CS4" i="5"/>
  <c r="CR4" i="5"/>
  <c r="CV5" i="11"/>
  <c r="CU5" i="11"/>
  <c r="CT5" i="11"/>
  <c r="CS5" i="11"/>
  <c r="CR5" i="11"/>
  <c r="CR4" i="11"/>
  <c r="CV8" i="56"/>
  <c r="CU8" i="56"/>
  <c r="BF7" i="33" s="1"/>
  <c r="BF28" i="33" s="1"/>
  <c r="BF54" i="33" s="1"/>
  <c r="CT8" i="56"/>
  <c r="BE7" i="33" s="1"/>
  <c r="CS8" i="56"/>
  <c r="BD7" i="33" s="1"/>
  <c r="CA27" i="57"/>
  <c r="CF27" i="57" s="1"/>
  <c r="CA26" i="57"/>
  <c r="CF26" i="57" s="1"/>
  <c r="CK26" i="57" s="1"/>
  <c r="CP26" i="57" s="1"/>
  <c r="CI11" i="57"/>
  <c r="CI10" i="57" s="1"/>
  <c r="CJ4" i="57"/>
  <c r="CI4" i="57"/>
  <c r="CH4" i="57"/>
  <c r="CG4" i="57"/>
  <c r="CF4" i="57"/>
  <c r="CF3" i="57"/>
  <c r="CS39" i="56"/>
  <c r="CT39" i="56"/>
  <c r="CU39" i="56"/>
  <c r="CV27" i="56"/>
  <c r="CR8" i="56"/>
  <c r="BC7" i="33" s="1"/>
  <c r="CR7" i="56"/>
  <c r="BG7" i="33"/>
  <c r="CF95" i="56"/>
  <c r="BS148" i="56"/>
  <c r="BT148" i="56"/>
  <c r="BU148" i="56"/>
  <c r="BV148" i="56"/>
  <c r="BX148" i="56"/>
  <c r="BY148" i="56"/>
  <c r="BZ148" i="56"/>
  <c r="CA148" i="56"/>
  <c r="CC148" i="56"/>
  <c r="CD148" i="56"/>
  <c r="CE148" i="56"/>
  <c r="CF148" i="56"/>
  <c r="CV350" i="7"/>
  <c r="CV349" i="7"/>
  <c r="CR349" i="7"/>
  <c r="CR351" i="7"/>
  <c r="CS348" i="7"/>
  <c r="CR348" i="7"/>
  <c r="CV342" i="7"/>
  <c r="CV341" i="7"/>
  <c r="CV343" i="7"/>
  <c r="CR341" i="7"/>
  <c r="CR343" i="7"/>
  <c r="CS340" i="7"/>
  <c r="CR340" i="7"/>
  <c r="CU339" i="7"/>
  <c r="CT339" i="7"/>
  <c r="CS339" i="7"/>
  <c r="CR339" i="7"/>
  <c r="CV334" i="7"/>
  <c r="CV333" i="7"/>
  <c r="CV335" i="7"/>
  <c r="CR333" i="7"/>
  <c r="CR335" i="7"/>
  <c r="CS325" i="7"/>
  <c r="CT325" i="7"/>
  <c r="CU325" i="7"/>
  <c r="CR325" i="7"/>
  <c r="CR324" i="7"/>
  <c r="CR326" i="7"/>
  <c r="CS324" i="7"/>
  <c r="CS326" i="7"/>
  <c r="CT324" i="7"/>
  <c r="CT326" i="7"/>
  <c r="CU324" i="7"/>
  <c r="CU326" i="7"/>
  <c r="CS323" i="7"/>
  <c r="CR323" i="7"/>
  <c r="CS322" i="7"/>
  <c r="CR322" i="7"/>
  <c r="CR328" i="7"/>
  <c r="CS321" i="7"/>
  <c r="CR321" i="7"/>
  <c r="CS314" i="7"/>
  <c r="CT314" i="7"/>
  <c r="CU314" i="7"/>
  <c r="CR314" i="7"/>
  <c r="CR313" i="7"/>
  <c r="CR315" i="7"/>
  <c r="CS313" i="7"/>
  <c r="CS315" i="7"/>
  <c r="CT313" i="7"/>
  <c r="CS312" i="7"/>
  <c r="CR312" i="7"/>
  <c r="CR316" i="7"/>
  <c r="CS311" i="7"/>
  <c r="CS317" i="7"/>
  <c r="CR311" i="7"/>
  <c r="CR317" i="7"/>
  <c r="CS310" i="7"/>
  <c r="CR310" i="7"/>
  <c r="CR318" i="7"/>
  <c r="CS303" i="7"/>
  <c r="CT303" i="7"/>
  <c r="CU303" i="7"/>
  <c r="CR303" i="7"/>
  <c r="CR302" i="7"/>
  <c r="CR304" i="7"/>
  <c r="CS302" i="7"/>
  <c r="CS304" i="7"/>
  <c r="CT302" i="7"/>
  <c r="CS301" i="7"/>
  <c r="CS305" i="7"/>
  <c r="CR301" i="7"/>
  <c r="CR305" i="7"/>
  <c r="CR300" i="7"/>
  <c r="CS300" i="7"/>
  <c r="CR299" i="7"/>
  <c r="CS299" i="7"/>
  <c r="CR292" i="7"/>
  <c r="CS292" i="7"/>
  <c r="CT292" i="7"/>
  <c r="CU292" i="7"/>
  <c r="CR291" i="7"/>
  <c r="CR293" i="7"/>
  <c r="CS291" i="7"/>
  <c r="CS293" i="7"/>
  <c r="CT291" i="7"/>
  <c r="CT293" i="7"/>
  <c r="CU291" i="7"/>
  <c r="CU293" i="7"/>
  <c r="CR290" i="7"/>
  <c r="CS290" i="7"/>
  <c r="CR289" i="7"/>
  <c r="CS289" i="7"/>
  <c r="CR288" i="7"/>
  <c r="CS288" i="7"/>
  <c r="CV283" i="7"/>
  <c r="CV282" i="7"/>
  <c r="CV284" i="7"/>
  <c r="CR282" i="7"/>
  <c r="CR284" i="7"/>
  <c r="CS282" i="7"/>
  <c r="CS284" i="7"/>
  <c r="CT282" i="7"/>
  <c r="CT284" i="7"/>
  <c r="CU282" i="7"/>
  <c r="CU284" i="7"/>
  <c r="CR281" i="7"/>
  <c r="CS281" i="7"/>
  <c r="CT281" i="7"/>
  <c r="CU281" i="7"/>
  <c r="CR280" i="7"/>
  <c r="CS280" i="7"/>
  <c r="CR273" i="7"/>
  <c r="CS273" i="7"/>
  <c r="CT273" i="7"/>
  <c r="CU273" i="7"/>
  <c r="CR272" i="7"/>
  <c r="CR274" i="7"/>
  <c r="CS272" i="7"/>
  <c r="CS274" i="7"/>
  <c r="CT272" i="7"/>
  <c r="CT274" i="7"/>
  <c r="CU272" i="7"/>
  <c r="CU274" i="7"/>
  <c r="CR271" i="7"/>
  <c r="CS271" i="7"/>
  <c r="CR270" i="7"/>
  <c r="CS270" i="7"/>
  <c r="CR269" i="7"/>
  <c r="CS269" i="7"/>
  <c r="CR262" i="7"/>
  <c r="CS262" i="7"/>
  <c r="CT262" i="7"/>
  <c r="CU262" i="7"/>
  <c r="CR261" i="7"/>
  <c r="CR263" i="7"/>
  <c r="CS261" i="7"/>
  <c r="CR260" i="7"/>
  <c r="CS260" i="7"/>
  <c r="CR259" i="7"/>
  <c r="CS259" i="7"/>
  <c r="CR258" i="7"/>
  <c r="CS258" i="7"/>
  <c r="CS251" i="7"/>
  <c r="CT251" i="7"/>
  <c r="CU251" i="7"/>
  <c r="CR251" i="7"/>
  <c r="CR250" i="7"/>
  <c r="CR252" i="7"/>
  <c r="CS249" i="7"/>
  <c r="CR249" i="7"/>
  <c r="CR253" i="7"/>
  <c r="CS248" i="7"/>
  <c r="CR248" i="7"/>
  <c r="CS247" i="7"/>
  <c r="CR247" i="7"/>
  <c r="CR255" i="7"/>
  <c r="CS240" i="7"/>
  <c r="CT240" i="7"/>
  <c r="CU240" i="7"/>
  <c r="CR240" i="7"/>
  <c r="CR239" i="7"/>
  <c r="CR241" i="7"/>
  <c r="CS239" i="7"/>
  <c r="CS241" i="7"/>
  <c r="CT239" i="7"/>
  <c r="CS238" i="7"/>
  <c r="CT238" i="7"/>
  <c r="CR238" i="7"/>
  <c r="CR242" i="7"/>
  <c r="CS237" i="7"/>
  <c r="CT237" i="7"/>
  <c r="CR237" i="7"/>
  <c r="CR243" i="7"/>
  <c r="CS236" i="7"/>
  <c r="CT236" i="7"/>
  <c r="CR236" i="7"/>
  <c r="CR244" i="7"/>
  <c r="CS229" i="7"/>
  <c r="CT229" i="7"/>
  <c r="CU229" i="7"/>
  <c r="CR229" i="7"/>
  <c r="CR228" i="7"/>
  <c r="CR230" i="7"/>
  <c r="CS228" i="7"/>
  <c r="CS230" i="7"/>
  <c r="CT228" i="7"/>
  <c r="CT230" i="7"/>
  <c r="CU228" i="7"/>
  <c r="CU230" i="7"/>
  <c r="CS227" i="7"/>
  <c r="CT227" i="7"/>
  <c r="CR227" i="7"/>
  <c r="CS226" i="7"/>
  <c r="CT226" i="7"/>
  <c r="CR226" i="7"/>
  <c r="CR232" i="7"/>
  <c r="CR225" i="7"/>
  <c r="CS225" i="7"/>
  <c r="CV220" i="7"/>
  <c r="CV219" i="7"/>
  <c r="CV221" i="7"/>
  <c r="CR219" i="7"/>
  <c r="CR221" i="7"/>
  <c r="CR218" i="7"/>
  <c r="CS218" i="7"/>
  <c r="CT218" i="7"/>
  <c r="CU218" i="7"/>
  <c r="CR217" i="7"/>
  <c r="CS217" i="7"/>
  <c r="CR210" i="7"/>
  <c r="CR209" i="7"/>
  <c r="CR211" i="7"/>
  <c r="CS209" i="7"/>
  <c r="CR208" i="7"/>
  <c r="CS208" i="7"/>
  <c r="CR207" i="7"/>
  <c r="CS207" i="7"/>
  <c r="CR206" i="7"/>
  <c r="CS206" i="7"/>
  <c r="CR199" i="7"/>
  <c r="CU199" i="7"/>
  <c r="CR198" i="7"/>
  <c r="CR200" i="7"/>
  <c r="CS198" i="7"/>
  <c r="CS200" i="7"/>
  <c r="CT198" i="7"/>
  <c r="CT200" i="7"/>
  <c r="CU198" i="7"/>
  <c r="CU200" i="7"/>
  <c r="CR197" i="7"/>
  <c r="CS197" i="7"/>
  <c r="CR196" i="7"/>
  <c r="CS196" i="7"/>
  <c r="CR195" i="7"/>
  <c r="CS195" i="7"/>
  <c r="CV189" i="7"/>
  <c r="CR189" i="7"/>
  <c r="CS188" i="7"/>
  <c r="CT188" i="7"/>
  <c r="CU188" i="7"/>
  <c r="CR188" i="7"/>
  <c r="CR187" i="7"/>
  <c r="CR179" i="7"/>
  <c r="CR181" i="7"/>
  <c r="CS179" i="7"/>
  <c r="CS181" i="7"/>
  <c r="CT179" i="7"/>
  <c r="CT181" i="7"/>
  <c r="CU179" i="7"/>
  <c r="CU181" i="7"/>
  <c r="CR178" i="7"/>
  <c r="CR182" i="7"/>
  <c r="CR177" i="7"/>
  <c r="CR183" i="7"/>
  <c r="CR176" i="7"/>
  <c r="CR184" i="7"/>
  <c r="CR170" i="7"/>
  <c r="CS168" i="7"/>
  <c r="CS170" i="7"/>
  <c r="CT168" i="7"/>
  <c r="CT170" i="7"/>
  <c r="CU168" i="7"/>
  <c r="CT169" i="7"/>
  <c r="CU169" i="7"/>
  <c r="CR168" i="7"/>
  <c r="CR167" i="7"/>
  <c r="CR171" i="7"/>
  <c r="CR166" i="7"/>
  <c r="CR172" i="7"/>
  <c r="CR165" i="7"/>
  <c r="CR158" i="7"/>
  <c r="CS158" i="7"/>
  <c r="CT158" i="7"/>
  <c r="CU158" i="7"/>
  <c r="CR157" i="7"/>
  <c r="CR159" i="7"/>
  <c r="CS157" i="7"/>
  <c r="CR156" i="7"/>
  <c r="CR160" i="7"/>
  <c r="CR155" i="7"/>
  <c r="CR161" i="7"/>
  <c r="CR154" i="7"/>
  <c r="CR162" i="7"/>
  <c r="CR148" i="7"/>
  <c r="CR149" i="7"/>
  <c r="CU147" i="7"/>
  <c r="CS147" i="7"/>
  <c r="CR147" i="7"/>
  <c r="CS146" i="7"/>
  <c r="CS148" i="7"/>
  <c r="CT146" i="7"/>
  <c r="CT148" i="7"/>
  <c r="CU146" i="7"/>
  <c r="CU148" i="7"/>
  <c r="CR146" i="7"/>
  <c r="CS145" i="7"/>
  <c r="CR145" i="7"/>
  <c r="CS144" i="7"/>
  <c r="CS150" i="7"/>
  <c r="CR144" i="7"/>
  <c r="CR150" i="7"/>
  <c r="CS143" i="7"/>
  <c r="CR143" i="7"/>
  <c r="CT136" i="7"/>
  <c r="CU136" i="7"/>
  <c r="CR135" i="7"/>
  <c r="CR137" i="7"/>
  <c r="CS135" i="7"/>
  <c r="CS137" i="7"/>
  <c r="CT135" i="7"/>
  <c r="CT137" i="7"/>
  <c r="CU135" i="7"/>
  <c r="CR134" i="7"/>
  <c r="CR133" i="7"/>
  <c r="CR139" i="7"/>
  <c r="CR132" i="7"/>
  <c r="CV126" i="7"/>
  <c r="CR126" i="7"/>
  <c r="CR128" i="7"/>
  <c r="CS126" i="7"/>
  <c r="CS128" i="7"/>
  <c r="CT126" i="7"/>
  <c r="CT128" i="7"/>
  <c r="CU126" i="7"/>
  <c r="CR125" i="7"/>
  <c r="CS125" i="7"/>
  <c r="CT125" i="7"/>
  <c r="CU125" i="7"/>
  <c r="CR124" i="7"/>
  <c r="CR129" i="7"/>
  <c r="CR118" i="7"/>
  <c r="CR120" i="7"/>
  <c r="CS117" i="7"/>
  <c r="CT117" i="7"/>
  <c r="CU117" i="7"/>
  <c r="CR116" i="7"/>
  <c r="CR115" i="7"/>
  <c r="CS115" i="7"/>
  <c r="CR114" i="7"/>
  <c r="CS114" i="7"/>
  <c r="CR113" i="7"/>
  <c r="CS113" i="7"/>
  <c r="CV104" i="7"/>
  <c r="CV103" i="7"/>
  <c r="CV105" i="7"/>
  <c r="CR103" i="7"/>
  <c r="CR105" i="7"/>
  <c r="CR102" i="7"/>
  <c r="CS102" i="7"/>
  <c r="CT102" i="7"/>
  <c r="CU102" i="7"/>
  <c r="CU101" i="7"/>
  <c r="CT101" i="7"/>
  <c r="CS101" i="7"/>
  <c r="CR101" i="7"/>
  <c r="CV96" i="7"/>
  <c r="CR95" i="7"/>
  <c r="CR97" i="7"/>
  <c r="CS95" i="7"/>
  <c r="CS97" i="7"/>
  <c r="CT95" i="7"/>
  <c r="CT97" i="7"/>
  <c r="CU95" i="7"/>
  <c r="CR94" i="7"/>
  <c r="CU93" i="7"/>
  <c r="CT93" i="7"/>
  <c r="CS93" i="7"/>
  <c r="CS98" i="7"/>
  <c r="CR93" i="7"/>
  <c r="CR84" i="7"/>
  <c r="CR86" i="7"/>
  <c r="CT83" i="7"/>
  <c r="CU83" i="7"/>
  <c r="CR82" i="7"/>
  <c r="CR81" i="7"/>
  <c r="CS81" i="7"/>
  <c r="CR80" i="7"/>
  <c r="CS80" i="7"/>
  <c r="CR79" i="7"/>
  <c r="CS79" i="7"/>
  <c r="CT72" i="7"/>
  <c r="CU72" i="7"/>
  <c r="CS72" i="7"/>
  <c r="CR71" i="7"/>
  <c r="CR73" i="7"/>
  <c r="CS71" i="7"/>
  <c r="CS73" i="7"/>
  <c r="CT71" i="7"/>
  <c r="CT73" i="7"/>
  <c r="CU71" i="7"/>
  <c r="CS70" i="7"/>
  <c r="CR70" i="7"/>
  <c r="CR74" i="7"/>
  <c r="CS69" i="7"/>
  <c r="CR69" i="7"/>
  <c r="CR75" i="7"/>
  <c r="CS68" i="7"/>
  <c r="CR68" i="7"/>
  <c r="CR76" i="7"/>
  <c r="CT61" i="7"/>
  <c r="CR58" i="7"/>
  <c r="CR57" i="7"/>
  <c r="CV50" i="7"/>
  <c r="CV49" i="7"/>
  <c r="CV51" i="7"/>
  <c r="CR49" i="7"/>
  <c r="CR51" i="7"/>
  <c r="CR48" i="7"/>
  <c r="CR47" i="7"/>
  <c r="CS47" i="7"/>
  <c r="CT47" i="7"/>
  <c r="CU47" i="7"/>
  <c r="CR46" i="7"/>
  <c r="CS46" i="7"/>
  <c r="CV39" i="7"/>
  <c r="CV38" i="7"/>
  <c r="CV40" i="7"/>
  <c r="CR38" i="7"/>
  <c r="CR40" i="7"/>
  <c r="CS38" i="7"/>
  <c r="CS40" i="7"/>
  <c r="CT38" i="7"/>
  <c r="CT40" i="7"/>
  <c r="CU38" i="7"/>
  <c r="CU40" i="7"/>
  <c r="CU42" i="7"/>
  <c r="CR37" i="7"/>
  <c r="CR36" i="7"/>
  <c r="CR35" i="7"/>
  <c r="CS35" i="7"/>
  <c r="CR5" i="7"/>
  <c r="CR4" i="7"/>
  <c r="BU25" i="7"/>
  <c r="BV25" i="7"/>
  <c r="BX25" i="7"/>
  <c r="BY25" i="7"/>
  <c r="BZ25" i="7"/>
  <c r="CA25" i="7"/>
  <c r="BL18" i="5"/>
  <c r="BK18" i="5"/>
  <c r="BK41" i="5" s="1"/>
  <c r="BJ18" i="5"/>
  <c r="BI18" i="5"/>
  <c r="BI41" i="5"/>
  <c r="BP18" i="5"/>
  <c r="BU38" i="5" s="1"/>
  <c r="BU18" i="5"/>
  <c r="BT18" i="5"/>
  <c r="BZ18" i="5"/>
  <c r="BY18" i="5"/>
  <c r="BY41" i="5" s="1"/>
  <c r="BX18" i="5"/>
  <c r="BX41" i="5" s="1"/>
  <c r="CF18" i="5"/>
  <c r="CK38" i="5" s="1"/>
  <c r="CE18" i="5"/>
  <c r="CJ38" i="5" s="1"/>
  <c r="CD18" i="5"/>
  <c r="CC18" i="5"/>
  <c r="CF7" i="11"/>
  <c r="CK22" i="11" s="1"/>
  <c r="CF138" i="56"/>
  <c r="CE138" i="56"/>
  <c r="CD138" i="56"/>
  <c r="CC138" i="56"/>
  <c r="CG138" i="56"/>
  <c r="CF137" i="56"/>
  <c r="CF139" i="56"/>
  <c r="CE137" i="56"/>
  <c r="CE139" i="56"/>
  <c r="CD137" i="56"/>
  <c r="CC137" i="56"/>
  <c r="CG137" i="56"/>
  <c r="CA138" i="56"/>
  <c r="BZ138" i="56"/>
  <c r="BY138" i="56"/>
  <c r="BX138" i="56"/>
  <c r="CB138" i="56"/>
  <c r="CA137" i="56"/>
  <c r="CA139" i="56"/>
  <c r="BZ137" i="56"/>
  <c r="BY137" i="56"/>
  <c r="BY139" i="56"/>
  <c r="BX137" i="56"/>
  <c r="CB137" i="56"/>
  <c r="BI141" i="56"/>
  <c r="BG141" i="56"/>
  <c r="BF141" i="56"/>
  <c r="BB141" i="56"/>
  <c r="BA141" i="56"/>
  <c r="AW141" i="56"/>
  <c r="AV141" i="56"/>
  <c r="AU141" i="56"/>
  <c r="AT141" i="56"/>
  <c r="S141" i="56"/>
  <c r="R141" i="56"/>
  <c r="Q141" i="56"/>
  <c r="P141" i="56"/>
  <c r="S138" i="56"/>
  <c r="R138" i="56"/>
  <c r="Q138" i="56"/>
  <c r="P138" i="56"/>
  <c r="T138" i="56"/>
  <c r="S137" i="56"/>
  <c r="S139" i="56"/>
  <c r="S143" i="56"/>
  <c r="R137" i="56"/>
  <c r="R139" i="56"/>
  <c r="R143" i="56"/>
  <c r="Q137" i="56"/>
  <c r="P137" i="56"/>
  <c r="T137" i="56"/>
  <c r="X141" i="56"/>
  <c r="W141" i="56"/>
  <c r="V141" i="56"/>
  <c r="U141" i="56"/>
  <c r="X138" i="56"/>
  <c r="W138" i="56"/>
  <c r="V138" i="56"/>
  <c r="U138" i="56"/>
  <c r="Y138" i="56"/>
  <c r="X137" i="56"/>
  <c r="X139" i="56"/>
  <c r="X143" i="56"/>
  <c r="W137" i="56"/>
  <c r="W139" i="56"/>
  <c r="W143" i="56"/>
  <c r="V137" i="56"/>
  <c r="U137" i="56"/>
  <c r="Y137" i="56"/>
  <c r="AC141" i="56"/>
  <c r="AB141" i="56"/>
  <c r="AA141" i="56"/>
  <c r="Z141" i="56"/>
  <c r="AD141" i="56"/>
  <c r="AC138" i="56"/>
  <c r="AB138" i="56"/>
  <c r="AA138" i="56"/>
  <c r="Z138" i="56"/>
  <c r="AD138" i="56"/>
  <c r="AC137" i="56"/>
  <c r="AC139" i="56"/>
  <c r="AC143" i="56"/>
  <c r="AB137" i="56"/>
  <c r="AB139" i="56"/>
  <c r="AB143" i="56"/>
  <c r="AA137" i="56"/>
  <c r="Z137" i="56"/>
  <c r="AD137" i="56"/>
  <c r="AH141" i="56"/>
  <c r="AG141" i="56"/>
  <c r="AF141" i="56"/>
  <c r="AE141" i="56"/>
  <c r="AI141" i="56"/>
  <c r="AH138" i="56"/>
  <c r="AG138" i="56"/>
  <c r="AF138" i="56"/>
  <c r="AE138" i="56"/>
  <c r="AH137" i="56"/>
  <c r="AH139" i="56"/>
  <c r="AH143" i="56"/>
  <c r="AG137" i="56"/>
  <c r="AG139" i="56"/>
  <c r="AG143" i="56"/>
  <c r="AF137" i="56"/>
  <c r="AE137" i="56"/>
  <c r="AM141" i="56"/>
  <c r="AL141" i="56"/>
  <c r="AK141" i="56"/>
  <c r="AJ141" i="56"/>
  <c r="AM138" i="56"/>
  <c r="AL138" i="56"/>
  <c r="AK138" i="56"/>
  <c r="AJ138" i="56"/>
  <c r="AM137" i="56"/>
  <c r="AM139" i="56"/>
  <c r="AM143" i="56"/>
  <c r="AL137" i="56"/>
  <c r="AL139" i="56"/>
  <c r="AL143" i="56"/>
  <c r="AK137" i="56"/>
  <c r="AJ137" i="56"/>
  <c r="AN137" i="56"/>
  <c r="BX132" i="56"/>
  <c r="AW85" i="56"/>
  <c r="AW71" i="56"/>
  <c r="AV85" i="56"/>
  <c r="AV71" i="56"/>
  <c r="BB85" i="56"/>
  <c r="BB71" i="56"/>
  <c r="BA85" i="56"/>
  <c r="BA71" i="56"/>
  <c r="AZ85" i="56"/>
  <c r="AZ71" i="56"/>
  <c r="AY85" i="56"/>
  <c r="AY71" i="56"/>
  <c r="BG85" i="56"/>
  <c r="BG71" i="56"/>
  <c r="BF85" i="56"/>
  <c r="BF71" i="56"/>
  <c r="BE85" i="56"/>
  <c r="BE71" i="56"/>
  <c r="BD85" i="56"/>
  <c r="BD71" i="56"/>
  <c r="BL85" i="56"/>
  <c r="BL71" i="56"/>
  <c r="BI85" i="56"/>
  <c r="BI71" i="56"/>
  <c r="BP85" i="56"/>
  <c r="BP71" i="56"/>
  <c r="BO85" i="56"/>
  <c r="BO71" i="56"/>
  <c r="BN85" i="56"/>
  <c r="BN71" i="56"/>
  <c r="BQ85" i="56"/>
  <c r="BQ71" i="56"/>
  <c r="CA81" i="56"/>
  <c r="AX141" i="56"/>
  <c r="BF138" i="56"/>
  <c r="BF137" i="56"/>
  <c r="BF139" i="56"/>
  <c r="BA138" i="56"/>
  <c r="BA137" i="56"/>
  <c r="BA77" i="56"/>
  <c r="BN138" i="56"/>
  <c r="BN137" i="56"/>
  <c r="BB138" i="56"/>
  <c r="BB137" i="56"/>
  <c r="BB77" i="56"/>
  <c r="BQ138" i="56"/>
  <c r="BQ137" i="56"/>
  <c r="BL138" i="56"/>
  <c r="BL137" i="56"/>
  <c r="BL139" i="56"/>
  <c r="BO138" i="56"/>
  <c r="BO137" i="56"/>
  <c r="BD138" i="56"/>
  <c r="BD137" i="56"/>
  <c r="AY77" i="56"/>
  <c r="AY138" i="56"/>
  <c r="AY139" i="56"/>
  <c r="AY137" i="56"/>
  <c r="AV138" i="56"/>
  <c r="AV137" i="56"/>
  <c r="AV77" i="56"/>
  <c r="BI138" i="56"/>
  <c r="BI137" i="56"/>
  <c r="BG138" i="56"/>
  <c r="BG137" i="56"/>
  <c r="BG139" i="56"/>
  <c r="BP138" i="56"/>
  <c r="BP137" i="56"/>
  <c r="BE138" i="56"/>
  <c r="BE137" i="56"/>
  <c r="AZ138" i="56"/>
  <c r="AZ137" i="56"/>
  <c r="AZ77" i="56"/>
  <c r="AW138" i="56"/>
  <c r="AW137" i="56"/>
  <c r="AW77" i="56"/>
  <c r="AF139" i="56"/>
  <c r="AF143" i="56"/>
  <c r="Z139" i="56"/>
  <c r="Z143" i="56"/>
  <c r="AA139" i="56"/>
  <c r="AA143" i="56"/>
  <c r="U139" i="56"/>
  <c r="U143" i="56"/>
  <c r="CC139" i="56"/>
  <c r="AN138" i="56"/>
  <c r="AJ139" i="56"/>
  <c r="AJ143" i="56"/>
  <c r="V139" i="56"/>
  <c r="Y141" i="56"/>
  <c r="P139" i="56"/>
  <c r="P143" i="56"/>
  <c r="BZ139" i="56"/>
  <c r="CD139" i="56"/>
  <c r="AK139" i="56"/>
  <c r="AK143" i="56"/>
  <c r="AN141" i="56"/>
  <c r="AI137" i="56"/>
  <c r="AI138" i="56"/>
  <c r="AE139" i="56"/>
  <c r="AE143" i="56"/>
  <c r="Q139" i="56"/>
  <c r="Q143" i="56"/>
  <c r="T141" i="56"/>
  <c r="CT35" i="7"/>
  <c r="CR52" i="7"/>
  <c r="CS74" i="7"/>
  <c r="CS76" i="7"/>
  <c r="CT79" i="7"/>
  <c r="CT98" i="7"/>
  <c r="CR151" i="7"/>
  <c r="CR42" i="7"/>
  <c r="CR53" i="7"/>
  <c r="CS49" i="7"/>
  <c r="CS51" i="7"/>
  <c r="CU73" i="7"/>
  <c r="CT80" i="7"/>
  <c r="CS86" i="7"/>
  <c r="CT113" i="7"/>
  <c r="CU128" i="7"/>
  <c r="CU127" i="7"/>
  <c r="CV127" i="7"/>
  <c r="CR138" i="7"/>
  <c r="CS149" i="7"/>
  <c r="CS151" i="7"/>
  <c r="CR41" i="7"/>
  <c r="CT46" i="7"/>
  <c r="CS75" i="7"/>
  <c r="CT81" i="7"/>
  <c r="CR98" i="7"/>
  <c r="CR109" i="7"/>
  <c r="CR106" i="7"/>
  <c r="CS103" i="7"/>
  <c r="CS105" i="7"/>
  <c r="CT103" i="7"/>
  <c r="CT105" i="7"/>
  <c r="CU103" i="7"/>
  <c r="CU105" i="7"/>
  <c r="CU106" i="7"/>
  <c r="CT114" i="7"/>
  <c r="CV128" i="7"/>
  <c r="CU137" i="7"/>
  <c r="CU97" i="7"/>
  <c r="CU98" i="7"/>
  <c r="CV95" i="7"/>
  <c r="CV97" i="7"/>
  <c r="CT106" i="7"/>
  <c r="CT115" i="7"/>
  <c r="CR140" i="7"/>
  <c r="CR43" i="7"/>
  <c r="CR54" i="7"/>
  <c r="CT68" i="7"/>
  <c r="CT69" i="7"/>
  <c r="CT70" i="7"/>
  <c r="CS94" i="7"/>
  <c r="CS124" i="7"/>
  <c r="CT143" i="7"/>
  <c r="CT144" i="7"/>
  <c r="CT145" i="7"/>
  <c r="CT195" i="7"/>
  <c r="CS203" i="7"/>
  <c r="CR222" i="7"/>
  <c r="CS219" i="7"/>
  <c r="CS221" i="7"/>
  <c r="CT219" i="7"/>
  <c r="CT221" i="7"/>
  <c r="CU219" i="7"/>
  <c r="CU221" i="7"/>
  <c r="CU236" i="7"/>
  <c r="CU238" i="7"/>
  <c r="CS36" i="7"/>
  <c r="CS37" i="7"/>
  <c r="CS48" i="7"/>
  <c r="CS57" i="7"/>
  <c r="CS58" i="7"/>
  <c r="CS116" i="7"/>
  <c r="CS118" i="7"/>
  <c r="CT116" i="7"/>
  <c r="CT118" i="7"/>
  <c r="CU116" i="7"/>
  <c r="CU118" i="7"/>
  <c r="CS132" i="7"/>
  <c r="CS133" i="7"/>
  <c r="CS134" i="7"/>
  <c r="CS159" i="7"/>
  <c r="CT157" i="7"/>
  <c r="CT159" i="7"/>
  <c r="CU157" i="7"/>
  <c r="CU159" i="7"/>
  <c r="CR173" i="7"/>
  <c r="CT196" i="7"/>
  <c r="CS202" i="7"/>
  <c r="CT206" i="7"/>
  <c r="CU226" i="7"/>
  <c r="CU232" i="7"/>
  <c r="CT232" i="7"/>
  <c r="CT241" i="7"/>
  <c r="CU239" i="7"/>
  <c r="CU241" i="7"/>
  <c r="CU61" i="7"/>
  <c r="CS82" i="7"/>
  <c r="CS84" i="7"/>
  <c r="CT82" i="7"/>
  <c r="CT84" i="7"/>
  <c r="CU82" i="7"/>
  <c r="CU84" i="7"/>
  <c r="CS154" i="7"/>
  <c r="CS155" i="7"/>
  <c r="CS156" i="7"/>
  <c r="CU170" i="7"/>
  <c r="CR191" i="7"/>
  <c r="CS189" i="7"/>
  <c r="CS191" i="7"/>
  <c r="CT189" i="7"/>
  <c r="CT191" i="7"/>
  <c r="CU189" i="7"/>
  <c r="CU191" i="7"/>
  <c r="CT197" i="7"/>
  <c r="CS201" i="7"/>
  <c r="CT207" i="7"/>
  <c r="CT217" i="7"/>
  <c r="CS222" i="7"/>
  <c r="CR231" i="7"/>
  <c r="CU237" i="7"/>
  <c r="CU243" i="7"/>
  <c r="CR254" i="7"/>
  <c r="CS250" i="7"/>
  <c r="CS252" i="7"/>
  <c r="CT250" i="7"/>
  <c r="CT252" i="7"/>
  <c r="CU250" i="7"/>
  <c r="CU252" i="7"/>
  <c r="CR85" i="7"/>
  <c r="CR87" i="7"/>
  <c r="CR119" i="7"/>
  <c r="CR121" i="7"/>
  <c r="CT208" i="7"/>
  <c r="CT225" i="7"/>
  <c r="CU227" i="7"/>
  <c r="CU231" i="7"/>
  <c r="CT231" i="7"/>
  <c r="CS176" i="7"/>
  <c r="CS177" i="7"/>
  <c r="CS178" i="7"/>
  <c r="CS187" i="7"/>
  <c r="CR190" i="7"/>
  <c r="CR201" i="7"/>
  <c r="CR203" i="7"/>
  <c r="CR202" i="7"/>
  <c r="CR212" i="7"/>
  <c r="CR214" i="7"/>
  <c r="CR213" i="7"/>
  <c r="CR233" i="7"/>
  <c r="CS263" i="7"/>
  <c r="CT261" i="7"/>
  <c r="CT263" i="7"/>
  <c r="CU261" i="7"/>
  <c r="CU263" i="7"/>
  <c r="CS275" i="7"/>
  <c r="CS277" i="7"/>
  <c r="CT271" i="7"/>
  <c r="CT288" i="7"/>
  <c r="CS328" i="7"/>
  <c r="CS349" i="7"/>
  <c r="CS351" i="7"/>
  <c r="CT349" i="7"/>
  <c r="CT351" i="7"/>
  <c r="CU349" i="7"/>
  <c r="CU351" i="7"/>
  <c r="CV351" i="7"/>
  <c r="CR352" i="7"/>
  <c r="CS231" i="7"/>
  <c r="CS233" i="7"/>
  <c r="CS232" i="7"/>
  <c r="CS242" i="7"/>
  <c r="CS244" i="7"/>
  <c r="CS243" i="7"/>
  <c r="CS254" i="7"/>
  <c r="CT258" i="7"/>
  <c r="CS295" i="7"/>
  <c r="CT289" i="7"/>
  <c r="CS307" i="7"/>
  <c r="CT299" i="7"/>
  <c r="CT304" i="7"/>
  <c r="CU302" i="7"/>
  <c r="CU304" i="7"/>
  <c r="CS316" i="7"/>
  <c r="CS318" i="7"/>
  <c r="CR327" i="7"/>
  <c r="CR329" i="7"/>
  <c r="CS165" i="7"/>
  <c r="CS166" i="7"/>
  <c r="CS167" i="7"/>
  <c r="CT247" i="7"/>
  <c r="CT248" i="7"/>
  <c r="CT249" i="7"/>
  <c r="CS265" i="7"/>
  <c r="CT259" i="7"/>
  <c r="CT269" i="7"/>
  <c r="CS294" i="7"/>
  <c r="CS296" i="7"/>
  <c r="CT290" i="7"/>
  <c r="CS306" i="7"/>
  <c r="CT300" i="7"/>
  <c r="CT315" i="7"/>
  <c r="CU313" i="7"/>
  <c r="CU315" i="7"/>
  <c r="CS329" i="7"/>
  <c r="CS327" i="7"/>
  <c r="CS333" i="7"/>
  <c r="CS335" i="7"/>
  <c r="CR336" i="7"/>
  <c r="CS264" i="7"/>
  <c r="CS266" i="7"/>
  <c r="CT260" i="7"/>
  <c r="CS276" i="7"/>
  <c r="CT270" i="7"/>
  <c r="CS285" i="7"/>
  <c r="CT280" i="7"/>
  <c r="CS341" i="7"/>
  <c r="CS343" i="7"/>
  <c r="CT341" i="7"/>
  <c r="CT343" i="7"/>
  <c r="CR345" i="7"/>
  <c r="CR344" i="7"/>
  <c r="CS352" i="7"/>
  <c r="CT301" i="7"/>
  <c r="CT310" i="7"/>
  <c r="CT311" i="7"/>
  <c r="CT312" i="7"/>
  <c r="CT321" i="7"/>
  <c r="CT322" i="7"/>
  <c r="CT323" i="7"/>
  <c r="CT340" i="7"/>
  <c r="CT348" i="7"/>
  <c r="CR285" i="7"/>
  <c r="CR264" i="7"/>
  <c r="CR265" i="7"/>
  <c r="CR266" i="7"/>
  <c r="CR275" i="7"/>
  <c r="CR276" i="7"/>
  <c r="CR277" i="7"/>
  <c r="CR294" i="7"/>
  <c r="CR296" i="7"/>
  <c r="CR295" i="7"/>
  <c r="CR306" i="7"/>
  <c r="CR307" i="7"/>
  <c r="CG139" i="56"/>
  <c r="BX139" i="56"/>
  <c r="T139" i="56"/>
  <c r="T143" i="56"/>
  <c r="V143" i="56"/>
  <c r="Y139" i="56"/>
  <c r="Y143" i="56"/>
  <c r="AI139" i="56"/>
  <c r="AI143" i="56"/>
  <c r="AN139" i="56"/>
  <c r="AN143" i="56"/>
  <c r="AU67" i="56"/>
  <c r="AT67" i="56"/>
  <c r="AS67" i="56"/>
  <c r="AP67" i="56"/>
  <c r="AN67" i="56"/>
  <c r="BU67" i="56"/>
  <c r="BP67" i="56"/>
  <c r="BT67" i="56"/>
  <c r="BO67" i="56"/>
  <c r="BS67" i="56"/>
  <c r="BN67" i="56"/>
  <c r="CF81" i="56"/>
  <c r="BV67" i="56"/>
  <c r="BQ67" i="56"/>
  <c r="CA77" i="56"/>
  <c r="BZ77" i="56"/>
  <c r="BY77" i="56"/>
  <c r="BX77" i="56"/>
  <c r="CB77" i="56"/>
  <c r="CF22" i="56"/>
  <c r="CF21" i="56"/>
  <c r="CF17" i="56"/>
  <c r="AD139" i="56"/>
  <c r="AD143" i="56"/>
  <c r="BE139" i="56"/>
  <c r="BA139" i="56"/>
  <c r="BC137" i="56"/>
  <c r="BJ67" i="56"/>
  <c r="BO77" i="56"/>
  <c r="BK67" i="56"/>
  <c r="BP77" i="56"/>
  <c r="BL67" i="56"/>
  <c r="BQ77" i="56"/>
  <c r="BN77" i="56"/>
  <c r="BI67" i="56"/>
  <c r="AW139" i="56"/>
  <c r="BI139" i="56"/>
  <c r="AV139" i="56"/>
  <c r="BQ139" i="56"/>
  <c r="BH137" i="56"/>
  <c r="BD139" i="56"/>
  <c r="BR137" i="56"/>
  <c r="BN139" i="56"/>
  <c r="BH138" i="56"/>
  <c r="BR138" i="56"/>
  <c r="AZ139" i="56"/>
  <c r="BP139" i="56"/>
  <c r="BC138" i="56"/>
  <c r="BO139" i="56"/>
  <c r="BB139" i="56"/>
  <c r="CS345" i="7"/>
  <c r="CT178" i="7"/>
  <c r="CS182" i="7"/>
  <c r="CU323" i="7"/>
  <c r="CU327" i="7"/>
  <c r="CT327" i="7"/>
  <c r="CU311" i="7"/>
  <c r="CU317" i="7"/>
  <c r="CT317" i="7"/>
  <c r="CT285" i="7"/>
  <c r="CU280" i="7"/>
  <c r="CU285" i="7"/>
  <c r="CU260" i="7"/>
  <c r="CU264" i="7"/>
  <c r="CT264" i="7"/>
  <c r="CT167" i="7"/>
  <c r="CS171" i="7"/>
  <c r="CU299" i="7"/>
  <c r="CU258" i="7"/>
  <c r="CU266" i="7"/>
  <c r="CT266" i="7"/>
  <c r="CU288" i="7"/>
  <c r="CT177" i="7"/>
  <c r="CS183" i="7"/>
  <c r="CU207" i="7"/>
  <c r="CU206" i="7"/>
  <c r="CT48" i="7"/>
  <c r="CS52" i="7"/>
  <c r="CS54" i="7"/>
  <c r="CT242" i="7"/>
  <c r="CT244" i="7"/>
  <c r="CU195" i="7"/>
  <c r="CT124" i="7"/>
  <c r="CS129" i="7"/>
  <c r="CU68" i="7"/>
  <c r="CV106" i="7"/>
  <c r="CS85" i="7"/>
  <c r="CS87" i="7"/>
  <c r="CU46" i="7"/>
  <c r="CT86" i="7"/>
  <c r="CU80" i="7"/>
  <c r="CU86" i="7"/>
  <c r="CT49" i="7"/>
  <c r="CT51" i="7"/>
  <c r="CS53" i="7"/>
  <c r="CU35" i="7"/>
  <c r="CT344" i="7"/>
  <c r="CU340" i="7"/>
  <c r="CU259" i="7"/>
  <c r="CU265" i="7"/>
  <c r="CT265" i="7"/>
  <c r="CU322" i="7"/>
  <c r="CU328" i="7"/>
  <c r="CT328" i="7"/>
  <c r="CU310" i="7"/>
  <c r="CU318" i="7"/>
  <c r="CS336" i="7"/>
  <c r="CT333" i="7"/>
  <c r="CT335" i="7"/>
  <c r="CU300" i="7"/>
  <c r="CU306" i="7"/>
  <c r="CT306" i="7"/>
  <c r="CU269" i="7"/>
  <c r="CU249" i="7"/>
  <c r="CU253" i="7"/>
  <c r="CT253" i="7"/>
  <c r="CT166" i="7"/>
  <c r="CS172" i="7"/>
  <c r="CV190" i="7"/>
  <c r="CV191" i="7"/>
  <c r="CT176" i="7"/>
  <c r="CS184" i="7"/>
  <c r="CU225" i="7"/>
  <c r="CU233" i="7"/>
  <c r="CT233" i="7"/>
  <c r="CR192" i="7"/>
  <c r="CS160" i="7"/>
  <c r="CT156" i="7"/>
  <c r="CS138" i="7"/>
  <c r="CT134" i="7"/>
  <c r="CU242" i="7"/>
  <c r="CV222" i="7"/>
  <c r="CT149" i="7"/>
  <c r="CU145" i="7"/>
  <c r="CU149" i="7"/>
  <c r="CS109" i="7"/>
  <c r="CT94" i="7"/>
  <c r="CS119" i="7"/>
  <c r="CS121" i="7"/>
  <c r="CS120" i="7"/>
  <c r="CS106" i="7"/>
  <c r="CT85" i="7"/>
  <c r="CU81" i="7"/>
  <c r="CU85" i="7"/>
  <c r="CU113" i="7"/>
  <c r="CT121" i="7"/>
  <c r="CU312" i="7"/>
  <c r="CU316" i="7"/>
  <c r="CT316" i="7"/>
  <c r="CT318" i="7"/>
  <c r="CV285" i="7"/>
  <c r="CT352" i="7"/>
  <c r="CV352" i="7"/>
  <c r="CU348" i="7"/>
  <c r="CU352" i="7"/>
  <c r="CU321" i="7"/>
  <c r="CU329" i="7"/>
  <c r="CT329" i="7"/>
  <c r="CU301" i="7"/>
  <c r="CU305" i="7"/>
  <c r="CT305" i="7"/>
  <c r="CT307" i="7"/>
  <c r="CU270" i="7"/>
  <c r="CU276" i="7"/>
  <c r="CT276" i="7"/>
  <c r="CS344" i="7"/>
  <c r="CT254" i="7"/>
  <c r="CU248" i="7"/>
  <c r="CU254" i="7"/>
  <c r="CT165" i="7"/>
  <c r="CS173" i="7"/>
  <c r="CU289" i="7"/>
  <c r="CU295" i="7"/>
  <c r="CT295" i="7"/>
  <c r="CS253" i="7"/>
  <c r="CS255" i="7"/>
  <c r="CU271" i="7"/>
  <c r="CU275" i="7"/>
  <c r="CT275" i="7"/>
  <c r="CT277" i="7"/>
  <c r="CT187" i="7"/>
  <c r="CS192" i="7"/>
  <c r="CT243" i="7"/>
  <c r="CU217" i="7"/>
  <c r="CU222" i="7"/>
  <c r="CT222" i="7"/>
  <c r="CU197" i="7"/>
  <c r="CU201" i="7"/>
  <c r="CT201" i="7"/>
  <c r="CT203" i="7"/>
  <c r="CS161" i="7"/>
  <c r="CT155" i="7"/>
  <c r="CV61" i="7"/>
  <c r="CU196" i="7"/>
  <c r="CU202" i="7"/>
  <c r="CT202" i="7"/>
  <c r="CS139" i="7"/>
  <c r="CT133" i="7"/>
  <c r="CT58" i="7"/>
  <c r="CT37" i="7"/>
  <c r="CS41" i="7"/>
  <c r="CS211" i="7"/>
  <c r="CT150" i="7"/>
  <c r="CU144" i="7"/>
  <c r="CU150" i="7"/>
  <c r="CT74" i="7"/>
  <c r="CT76" i="7"/>
  <c r="CU70" i="7"/>
  <c r="CU74" i="7"/>
  <c r="CU115" i="7"/>
  <c r="CU119" i="7"/>
  <c r="CT119" i="7"/>
  <c r="CU114" i="7"/>
  <c r="CU120" i="7"/>
  <c r="CT120" i="7"/>
  <c r="CT87" i="7"/>
  <c r="CU79" i="7"/>
  <c r="CU87" i="7"/>
  <c r="CT345" i="7"/>
  <c r="CV345" i="7"/>
  <c r="CU341" i="7"/>
  <c r="CU343" i="7"/>
  <c r="CU345" i="7"/>
  <c r="CU290" i="7"/>
  <c r="CU294" i="7"/>
  <c r="CT294" i="7"/>
  <c r="CT296" i="7"/>
  <c r="CT255" i="7"/>
  <c r="CU247" i="7"/>
  <c r="CU208" i="7"/>
  <c r="CS162" i="7"/>
  <c r="CT154" i="7"/>
  <c r="CS140" i="7"/>
  <c r="CT132" i="7"/>
  <c r="CT57" i="7"/>
  <c r="CT36" i="7"/>
  <c r="CS42" i="7"/>
  <c r="CU244" i="7"/>
  <c r="CT151" i="7"/>
  <c r="CU143" i="7"/>
  <c r="CU151" i="7"/>
  <c r="CT75" i="7"/>
  <c r="CU69" i="7"/>
  <c r="CU75" i="7"/>
  <c r="CV98" i="7"/>
  <c r="CB139" i="56"/>
  <c r="BC139" i="56"/>
  <c r="BH139" i="56"/>
  <c r="BF67" i="56"/>
  <c r="BF77" i="56"/>
  <c r="BR139" i="56"/>
  <c r="BG67" i="56"/>
  <c r="BG77" i="56"/>
  <c r="BL77" i="56"/>
  <c r="BI77" i="56"/>
  <c r="BD67" i="56"/>
  <c r="BD77" i="56"/>
  <c r="BE67" i="56"/>
  <c r="BE77" i="56"/>
  <c r="CS43" i="7"/>
  <c r="CU37" i="7"/>
  <c r="CU41" i="7"/>
  <c r="CT41" i="7"/>
  <c r="CU121" i="7"/>
  <c r="CT336" i="7"/>
  <c r="CV336" i="7"/>
  <c r="CU333" i="7"/>
  <c r="CU335" i="7"/>
  <c r="CU336" i="7"/>
  <c r="CU76" i="7"/>
  <c r="CU48" i="7"/>
  <c r="CT52" i="7"/>
  <c r="CT54" i="7"/>
  <c r="CU296" i="7"/>
  <c r="CU178" i="7"/>
  <c r="CU182" i="7"/>
  <c r="CT182" i="7"/>
  <c r="CU57" i="7"/>
  <c r="CU133" i="7"/>
  <c r="CU139" i="7"/>
  <c r="CT139" i="7"/>
  <c r="CU132" i="7"/>
  <c r="CU140" i="7"/>
  <c r="CU154" i="7"/>
  <c r="CU255" i="7"/>
  <c r="CU58" i="7"/>
  <c r="CT161" i="7"/>
  <c r="CU155" i="7"/>
  <c r="CU161" i="7"/>
  <c r="CU187" i="7"/>
  <c r="CU192" i="7"/>
  <c r="CT192" i="7"/>
  <c r="CU210" i="7"/>
  <c r="CU134" i="7"/>
  <c r="CU138" i="7"/>
  <c r="CT138" i="7"/>
  <c r="CT140" i="7"/>
  <c r="CV192" i="7"/>
  <c r="CU176" i="7"/>
  <c r="CU184" i="7"/>
  <c r="CT184" i="7"/>
  <c r="CT172" i="7"/>
  <c r="CU166" i="7"/>
  <c r="CU172" i="7"/>
  <c r="CU277" i="7"/>
  <c r="CU43" i="7"/>
  <c r="CU49" i="7"/>
  <c r="CU51" i="7"/>
  <c r="CT53" i="7"/>
  <c r="CU203" i="7"/>
  <c r="CU307" i="7"/>
  <c r="CU36" i="7"/>
  <c r="CT42" i="7"/>
  <c r="CV42" i="7"/>
  <c r="CT209" i="7"/>
  <c r="CT211" i="7"/>
  <c r="CS213" i="7"/>
  <c r="CS212" i="7"/>
  <c r="CS214" i="7"/>
  <c r="CU165" i="7"/>
  <c r="CU344" i="7"/>
  <c r="CU177" i="7"/>
  <c r="CU183" i="7"/>
  <c r="CT183" i="7"/>
  <c r="CV362" i="7"/>
  <c r="CT109" i="7"/>
  <c r="CU94" i="7"/>
  <c r="CT160" i="7"/>
  <c r="CT162" i="7"/>
  <c r="CU156" i="7"/>
  <c r="CU160" i="7"/>
  <c r="CU124" i="7"/>
  <c r="CU129" i="7"/>
  <c r="CT129" i="7"/>
  <c r="CT171" i="7"/>
  <c r="CT173" i="7"/>
  <c r="CU167" i="7"/>
  <c r="CU171" i="7"/>
  <c r="CU173" i="7"/>
  <c r="CU162" i="7"/>
  <c r="CU209" i="7"/>
  <c r="CU211" i="7"/>
  <c r="CT213" i="7"/>
  <c r="CT212" i="7"/>
  <c r="CT214" i="7"/>
  <c r="CV53" i="7"/>
  <c r="CU52" i="7"/>
  <c r="CU54" i="7"/>
  <c r="CU109" i="7"/>
  <c r="CV94" i="7"/>
  <c r="CV129" i="7"/>
  <c r="CU53" i="7"/>
  <c r="CT43" i="7"/>
  <c r="BW78" i="56"/>
  <c r="CF77" i="56"/>
  <c r="CB92" i="56"/>
  <c r="BW92" i="56"/>
  <c r="BR92" i="56"/>
  <c r="BK92" i="56"/>
  <c r="BJ92" i="56"/>
  <c r="BJ85" i="56"/>
  <c r="BJ71" i="56"/>
  <c r="BH92" i="56"/>
  <c r="BC92" i="56"/>
  <c r="AX92" i="56"/>
  <c r="AS92" i="56"/>
  <c r="AN92" i="56"/>
  <c r="Y92" i="56"/>
  <c r="CE91" i="56"/>
  <c r="CD91" i="56"/>
  <c r="CC91" i="56"/>
  <c r="CA91" i="56"/>
  <c r="BG91" i="56"/>
  <c r="BF91" i="56"/>
  <c r="AW91" i="56"/>
  <c r="AV91" i="56"/>
  <c r="AN91" i="56"/>
  <c r="BG90" i="56"/>
  <c r="BF90" i="56"/>
  <c r="AW90" i="56"/>
  <c r="AV90" i="56"/>
  <c r="AN90" i="56"/>
  <c r="BM88" i="56"/>
  <c r="BH88" i="56"/>
  <c r="AX88" i="56"/>
  <c r="AS88" i="56"/>
  <c r="CF87" i="56"/>
  <c r="CE87" i="56"/>
  <c r="CE90" i="56"/>
  <c r="CD87" i="56"/>
  <c r="CD90" i="56"/>
  <c r="CC87" i="56"/>
  <c r="CC90" i="56"/>
  <c r="CA87" i="56"/>
  <c r="CA90" i="56" s="1"/>
  <c r="BZ87" i="56"/>
  <c r="BZ91" i="56" s="1"/>
  <c r="CB91" i="56" s="1"/>
  <c r="BY87" i="56"/>
  <c r="BY91" i="56" s="1"/>
  <c r="BX87" i="56"/>
  <c r="BX91" i="56"/>
  <c r="BV87" i="56"/>
  <c r="BV83" i="56" s="1"/>
  <c r="BU87" i="56"/>
  <c r="BU83" i="56"/>
  <c r="BU90" i="56" s="1"/>
  <c r="BT87" i="56"/>
  <c r="BS87" i="56"/>
  <c r="BS83" i="56" s="1"/>
  <c r="BQ87" i="56"/>
  <c r="BQ83" i="56" s="1"/>
  <c r="BP87" i="56"/>
  <c r="BO87" i="56"/>
  <c r="BN87" i="56"/>
  <c r="BN83" i="56" s="1"/>
  <c r="BL87" i="56"/>
  <c r="BL83" i="56" s="1"/>
  <c r="BK87" i="56"/>
  <c r="BJ87" i="56"/>
  <c r="BJ83" i="56" s="1"/>
  <c r="BD87" i="56"/>
  <c r="BD91" i="56"/>
  <c r="AX87" i="56"/>
  <c r="CG85" i="56"/>
  <c r="BZ85" i="56"/>
  <c r="BY85" i="56"/>
  <c r="BX85" i="56"/>
  <c r="AR85" i="56"/>
  <c r="AQ85" i="56"/>
  <c r="AP85" i="56"/>
  <c r="AO85" i="56"/>
  <c r="AN85" i="56"/>
  <c r="CG83" i="56"/>
  <c r="CB83" i="56"/>
  <c r="BI83" i="56"/>
  <c r="BH83" i="56"/>
  <c r="BC83" i="56"/>
  <c r="AX83" i="56"/>
  <c r="AS83" i="56"/>
  <c r="AN83" i="56"/>
  <c r="AI83" i="56"/>
  <c r="AD83" i="56"/>
  <c r="Y83" i="56"/>
  <c r="T83" i="56"/>
  <c r="O83" i="56"/>
  <c r="CB81" i="56"/>
  <c r="BW81" i="56"/>
  <c r="BR81" i="56"/>
  <c r="BM81" i="56"/>
  <c r="BH81" i="56"/>
  <c r="BC81" i="56"/>
  <c r="AU81" i="56"/>
  <c r="AT81" i="56"/>
  <c r="AP81" i="56"/>
  <c r="AN81" i="56"/>
  <c r="BM92" i="56"/>
  <c r="BK85" i="56"/>
  <c r="BK71" i="56"/>
  <c r="AT91" i="56"/>
  <c r="AT85" i="56"/>
  <c r="AT71" i="56"/>
  <c r="AU91" i="56"/>
  <c r="AX91" i="56"/>
  <c r="AU85" i="56"/>
  <c r="AU71" i="56"/>
  <c r="BJ138" i="56"/>
  <c r="BJ137" i="56"/>
  <c r="BJ77" i="56"/>
  <c r="CU213" i="7"/>
  <c r="CU212" i="7"/>
  <c r="CU214" i="7"/>
  <c r="AS81" i="56"/>
  <c r="AS85" i="56"/>
  <c r="BH85" i="56"/>
  <c r="BC85" i="56"/>
  <c r="CB85" i="56"/>
  <c r="BE87" i="56"/>
  <c r="BH87" i="56"/>
  <c r="AX81" i="56"/>
  <c r="BE90" i="56"/>
  <c r="BI90" i="56"/>
  <c r="BE91" i="56"/>
  <c r="BH91" i="56"/>
  <c r="BI91" i="56"/>
  <c r="AT90" i="56"/>
  <c r="BZ90" i="56"/>
  <c r="AU90" i="56"/>
  <c r="BD90" i="56"/>
  <c r="CF123" i="56"/>
  <c r="CF126" i="56"/>
  <c r="CF97" i="56"/>
  <c r="BJ139" i="56"/>
  <c r="AT138" i="56"/>
  <c r="AT137" i="56"/>
  <c r="AT77" i="56"/>
  <c r="AU138" i="56"/>
  <c r="AU137" i="56"/>
  <c r="AU77" i="56"/>
  <c r="BK138" i="56"/>
  <c r="BM138" i="56"/>
  <c r="BK137" i="56"/>
  <c r="BK139" i="56"/>
  <c r="BK77" i="56"/>
  <c r="AX85" i="56"/>
  <c r="BH90" i="56"/>
  <c r="AX90" i="56"/>
  <c r="BM85" i="56"/>
  <c r="BR85" i="56"/>
  <c r="AX137" i="56"/>
  <c r="AT139" i="56"/>
  <c r="AU139" i="56"/>
  <c r="AX138" i="56"/>
  <c r="BM137" i="56"/>
  <c r="BM139" i="56"/>
  <c r="AX139" i="56"/>
  <c r="BI73" i="66"/>
  <c r="CF252" i="7"/>
  <c r="CB12" i="56"/>
  <c r="CB199" i="56" s="1"/>
  <c r="BY132" i="56"/>
  <c r="CA106" i="56"/>
  <c r="BI53" i="66"/>
  <c r="BI47" i="66"/>
  <c r="BI46" i="66"/>
  <c r="BI44" i="66"/>
  <c r="BI42" i="66"/>
  <c r="BI55" i="66"/>
  <c r="BI52" i="66"/>
  <c r="BI48" i="66"/>
  <c r="AP13" i="33"/>
  <c r="AP18" i="33"/>
  <c r="AP24" i="33"/>
  <c r="CE6" i="11"/>
  <c r="CJ21" i="11" s="1"/>
  <c r="CE24" i="11"/>
  <c r="CE22" i="11"/>
  <c r="CE12" i="56"/>
  <c r="CE186" i="56"/>
  <c r="CE21" i="59"/>
  <c r="CE46" i="59" s="1"/>
  <c r="CE75" i="59" s="1"/>
  <c r="CE133" i="56"/>
  <c r="CE132" i="56"/>
  <c r="CE128" i="56"/>
  <c r="CE126" i="56"/>
  <c r="CE125" i="56"/>
  <c r="CE123" i="56"/>
  <c r="CE122" i="56"/>
  <c r="CE120" i="56"/>
  <c r="CE119" i="56"/>
  <c r="CE103" i="56"/>
  <c r="CE97" i="56"/>
  <c r="AP39" i="33"/>
  <c r="CE95" i="56"/>
  <c r="AP34" i="33"/>
  <c r="CE77" i="56"/>
  <c r="CE110" i="56"/>
  <c r="CE39" i="56"/>
  <c r="CE24" i="56"/>
  <c r="CE63" i="56"/>
  <c r="CE111" i="56"/>
  <c r="AP60" i="33"/>
  <c r="BE83" i="66"/>
  <c r="BD83" i="66"/>
  <c r="BF83" i="66" s="1"/>
  <c r="CD27" i="7"/>
  <c r="CC27" i="7"/>
  <c r="CI325" i="7"/>
  <c r="CJ325" i="7"/>
  <c r="CK325" i="7"/>
  <c r="CM325" i="7"/>
  <c r="CN325" i="7"/>
  <c r="CO325" i="7"/>
  <c r="CP325" i="7"/>
  <c r="CI314" i="7"/>
  <c r="CJ314" i="7"/>
  <c r="CK314" i="7"/>
  <c r="CM314" i="7"/>
  <c r="CN314" i="7"/>
  <c r="CO314" i="7"/>
  <c r="CP314" i="7"/>
  <c r="CC302" i="7"/>
  <c r="CC304" i="7"/>
  <c r="CD302" i="7"/>
  <c r="CI303" i="7"/>
  <c r="CJ303" i="7"/>
  <c r="CK303" i="7"/>
  <c r="CM303" i="7"/>
  <c r="CN303" i="7"/>
  <c r="CO303" i="7"/>
  <c r="CP303" i="7"/>
  <c r="CC303" i="7"/>
  <c r="CD303" i="7"/>
  <c r="CC324" i="7"/>
  <c r="CC326" i="7"/>
  <c r="CD324" i="7"/>
  <c r="CD326" i="7"/>
  <c r="CE324" i="7"/>
  <c r="CE326" i="7"/>
  <c r="CC325" i="7"/>
  <c r="CD325" i="7"/>
  <c r="CC313" i="7"/>
  <c r="CD304" i="7"/>
  <c r="CE304" i="7"/>
  <c r="AO13" i="33"/>
  <c r="AO18" i="33"/>
  <c r="AO24" i="33"/>
  <c r="CD6" i="11"/>
  <c r="BI66" i="66"/>
  <c r="BI68" i="66"/>
  <c r="BG72" i="66"/>
  <c r="BH72" i="66"/>
  <c r="BK42" i="66"/>
  <c r="BF53" i="66"/>
  <c r="BF44" i="66"/>
  <c r="BF42" i="66"/>
  <c r="BF55" i="66"/>
  <c r="BF52" i="66"/>
  <c r="BF48" i="66"/>
  <c r="BF47" i="66"/>
  <c r="BF46" i="66"/>
  <c r="CD77" i="56"/>
  <c r="CD111" i="56"/>
  <c r="CD12" i="56"/>
  <c r="CI33" i="56" s="1"/>
  <c r="CD186" i="56"/>
  <c r="CD21" i="59"/>
  <c r="CD46" i="59" s="1"/>
  <c r="CD75" i="59" s="1"/>
  <c r="CD133" i="56"/>
  <c r="CD132" i="56"/>
  <c r="CD128" i="56"/>
  <c r="CD126" i="56"/>
  <c r="CD125" i="56"/>
  <c r="CD123" i="56"/>
  <c r="CD122" i="56"/>
  <c r="CD119" i="56"/>
  <c r="CD103" i="56"/>
  <c r="CD97" i="56"/>
  <c r="AO39" i="33"/>
  <c r="CD95" i="56"/>
  <c r="AO34" i="33"/>
  <c r="CD39" i="56"/>
  <c r="CD24" i="56"/>
  <c r="CD187" i="56"/>
  <c r="CD62" i="56"/>
  <c r="AO60" i="33"/>
  <c r="CC311" i="7"/>
  <c r="CC312" i="7"/>
  <c r="CC301" i="7"/>
  <c r="CC323" i="7"/>
  <c r="CC322" i="7"/>
  <c r="CC328" i="7"/>
  <c r="CD312" i="7"/>
  <c r="CD311" i="7"/>
  <c r="CD301" i="7"/>
  <c r="CD323" i="7"/>
  <c r="CD322" i="7"/>
  <c r="CD328" i="7"/>
  <c r="CC300" i="7"/>
  <c r="CC321" i="7"/>
  <c r="CE323" i="7"/>
  <c r="CE327" i="7"/>
  <c r="CC310" i="7"/>
  <c r="CF311" i="7"/>
  <c r="CC299" i="7"/>
  <c r="CD299" i="7"/>
  <c r="CD300" i="7"/>
  <c r="CF322" i="7"/>
  <c r="CF323" i="7"/>
  <c r="CD321" i="7"/>
  <c r="CE321" i="7"/>
  <c r="CD310" i="7"/>
  <c r="CH311" i="7"/>
  <c r="CH323" i="7"/>
  <c r="CH322" i="7"/>
  <c r="CI311" i="7"/>
  <c r="CE310" i="7"/>
  <c r="CF300" i="7"/>
  <c r="CF310" i="7"/>
  <c r="CJ311" i="7"/>
  <c r="BH78" i="56"/>
  <c r="BH41" i="14"/>
  <c r="AT41" i="14"/>
  <c r="AU41" i="14"/>
  <c r="AV41" i="14"/>
  <c r="AW41" i="14"/>
  <c r="AY41" i="14"/>
  <c r="AZ41" i="14"/>
  <c r="BA41" i="14"/>
  <c r="BB41" i="14"/>
  <c r="BD41" i="14"/>
  <c r="BE41" i="14"/>
  <c r="BF41" i="14"/>
  <c r="BG41" i="14"/>
  <c r="BI41" i="14"/>
  <c r="BL41" i="14"/>
  <c r="BN41" i="14"/>
  <c r="BO41" i="14"/>
  <c r="BP41" i="14"/>
  <c r="BQ41" i="14"/>
  <c r="BS41" i="14"/>
  <c r="BT41" i="14"/>
  <c r="BU41" i="14"/>
  <c r="BV41" i="14"/>
  <c r="BV42" i="14" s="1"/>
  <c r="BX41" i="14"/>
  <c r="BY41" i="14"/>
  <c r="BZ41" i="14"/>
  <c r="CA41" i="14"/>
  <c r="CA42" i="14" s="1"/>
  <c r="CA43" i="14" s="1"/>
  <c r="CC41" i="14"/>
  <c r="BS40" i="14"/>
  <c r="BT40" i="14"/>
  <c r="BU40" i="14"/>
  <c r="BV40" i="14"/>
  <c r="BX40" i="14"/>
  <c r="BY40" i="14"/>
  <c r="BZ40" i="14"/>
  <c r="CA40" i="14"/>
  <c r="CC40" i="14"/>
  <c r="CH310" i="7"/>
  <c r="CI310" i="7"/>
  <c r="BC58" i="66"/>
  <c r="BC59" i="66"/>
  <c r="CC30" i="59"/>
  <c r="AN18" i="33"/>
  <c r="AN13" i="33"/>
  <c r="CC39" i="56"/>
  <c r="BZ39" i="56"/>
  <c r="BY39" i="56"/>
  <c r="BX39" i="56"/>
  <c r="CC6" i="11"/>
  <c r="CH21" i="11" s="1"/>
  <c r="CC24" i="11"/>
  <c r="CC22" i="11"/>
  <c r="BC53" i="66"/>
  <c r="BC42" i="66"/>
  <c r="BC55" i="66"/>
  <c r="BC52" i="66"/>
  <c r="BC48" i="66"/>
  <c r="BC47" i="66"/>
  <c r="BC46" i="66"/>
  <c r="BC44" i="66"/>
  <c r="CC12" i="56"/>
  <c r="CC154" i="56" s="1"/>
  <c r="CC186" i="56"/>
  <c r="CC21" i="59"/>
  <c r="CC134" i="56"/>
  <c r="CC143" i="56"/>
  <c r="CC128" i="56"/>
  <c r="CC125" i="56"/>
  <c r="CC122" i="56"/>
  <c r="CC120" i="56"/>
  <c r="CC119" i="56"/>
  <c r="CC103" i="56"/>
  <c r="CC97" i="56"/>
  <c r="AN39" i="33"/>
  <c r="CC95" i="56"/>
  <c r="AN34" i="33"/>
  <c r="CC24" i="56"/>
  <c r="CC187" i="56"/>
  <c r="CC62" i="56"/>
  <c r="AN60" i="33"/>
  <c r="CC63" i="56"/>
  <c r="CC61" i="56"/>
  <c r="CI273" i="7"/>
  <c r="CJ273" i="7"/>
  <c r="CK273" i="7"/>
  <c r="CM273" i="7"/>
  <c r="CN273" i="7"/>
  <c r="CO273" i="7"/>
  <c r="CP273" i="7"/>
  <c r="CI240" i="7"/>
  <c r="CJ240" i="7"/>
  <c r="CK240" i="7"/>
  <c r="CM240" i="7"/>
  <c r="CN240" i="7"/>
  <c r="CO240" i="7"/>
  <c r="CP240" i="7"/>
  <c r="BY356" i="7"/>
  <c r="BZ356" i="7"/>
  <c r="BZ355" i="7"/>
  <c r="CA355" i="7"/>
  <c r="CC355" i="7"/>
  <c r="CC272" i="7"/>
  <c r="CC274" i="7"/>
  <c r="CC239" i="7"/>
  <c r="CC241" i="7"/>
  <c r="CC271" i="7"/>
  <c r="CC269" i="7"/>
  <c r="CD271" i="7"/>
  <c r="CD270" i="7"/>
  <c r="CE271" i="7"/>
  <c r="CE270" i="7"/>
  <c r="CF270" i="7"/>
  <c r="CH270" i="7"/>
  <c r="CI270" i="7"/>
  <c r="BZ24" i="11"/>
  <c r="BZ22" i="11"/>
  <c r="CA7" i="11"/>
  <c r="CA10" i="11"/>
  <c r="CA18" i="5" s="1"/>
  <c r="BZ6" i="11"/>
  <c r="BZ21" i="11" s="1"/>
  <c r="CB6" i="11"/>
  <c r="CC238" i="7"/>
  <c r="CD238" i="7"/>
  <c r="CC236" i="7"/>
  <c r="CD236" i="7"/>
  <c r="CD237" i="7"/>
  <c r="CP126" i="56"/>
  <c r="CO126" i="56"/>
  <c r="CT126" i="56" s="1"/>
  <c r="CY126" i="56" s="1"/>
  <c r="DD126" i="56" s="1"/>
  <c r="CN126" i="56"/>
  <c r="CM126" i="56"/>
  <c r="CP123" i="56"/>
  <c r="CU123" i="56" s="1"/>
  <c r="CZ123" i="56" s="1"/>
  <c r="DE123" i="56" s="1"/>
  <c r="CO123" i="56"/>
  <c r="CT123" i="56" s="1"/>
  <c r="CN123" i="56"/>
  <c r="CM123" i="56"/>
  <c r="AL13" i="33"/>
  <c r="AL18" i="33"/>
  <c r="CA128" i="56"/>
  <c r="CA126" i="56"/>
  <c r="CA125" i="56"/>
  <c r="CA123" i="56"/>
  <c r="CA122" i="56"/>
  <c r="CA120" i="56"/>
  <c r="CA103" i="56"/>
  <c r="CA95" i="56"/>
  <c r="AL34" i="33"/>
  <c r="CA22" i="56"/>
  <c r="CA21" i="56"/>
  <c r="CA17" i="56"/>
  <c r="BR78" i="56"/>
  <c r="BN93" i="56"/>
  <c r="CB41" i="14"/>
  <c r="CU9" i="66"/>
  <c r="CP13" i="66"/>
  <c r="CP9" i="66"/>
  <c r="CQ5" i="14"/>
  <c r="CP5" i="14"/>
  <c r="CO5" i="14"/>
  <c r="CN5" i="14"/>
  <c r="CM5" i="14"/>
  <c r="CM4" i="14"/>
  <c r="CM357" i="7"/>
  <c r="CN357" i="7"/>
  <c r="CQ350" i="7"/>
  <c r="CQ342" i="7"/>
  <c r="CP339" i="7"/>
  <c r="CO339" i="7"/>
  <c r="CN339" i="7"/>
  <c r="CM339" i="7"/>
  <c r="CQ334" i="7"/>
  <c r="CQ283" i="7"/>
  <c r="CQ220" i="7"/>
  <c r="CO169" i="7"/>
  <c r="CP169" i="7"/>
  <c r="CP147" i="7"/>
  <c r="CO136" i="7"/>
  <c r="CP136" i="7"/>
  <c r="CN117" i="7"/>
  <c r="CO117" i="7"/>
  <c r="CQ104" i="7"/>
  <c r="CP101" i="7"/>
  <c r="CO101" i="7"/>
  <c r="CN101" i="7"/>
  <c r="CM101" i="7"/>
  <c r="CQ96" i="7"/>
  <c r="CP93" i="7"/>
  <c r="CO93" i="7"/>
  <c r="CN93" i="7"/>
  <c r="CM93" i="7"/>
  <c r="CO83" i="7"/>
  <c r="CP83" i="7"/>
  <c r="CN72" i="7"/>
  <c r="CO72" i="7"/>
  <c r="CP72" i="7"/>
  <c r="CO61" i="7"/>
  <c r="CP61" i="7"/>
  <c r="CM58" i="7"/>
  <c r="CQ50" i="7"/>
  <c r="CQ39" i="7"/>
  <c r="CM36" i="7"/>
  <c r="CN36" i="7"/>
  <c r="CO36" i="7"/>
  <c r="CP36" i="7"/>
  <c r="CQ5" i="7"/>
  <c r="CP5" i="7"/>
  <c r="CO5" i="7"/>
  <c r="CN5" i="7"/>
  <c r="CM5" i="7"/>
  <c r="CM4" i="7"/>
  <c r="CP3" i="7"/>
  <c r="CO3" i="7"/>
  <c r="CN3" i="7"/>
  <c r="CM3" i="7"/>
  <c r="CE4" i="57"/>
  <c r="CD4" i="57"/>
  <c r="CC4" i="57"/>
  <c r="CB4" i="57"/>
  <c r="CA4" i="57"/>
  <c r="CA3" i="57"/>
  <c r="CQ5" i="11"/>
  <c r="CP5" i="11"/>
  <c r="CO5" i="11"/>
  <c r="CN5" i="11"/>
  <c r="CM5" i="11"/>
  <c r="CM4" i="11"/>
  <c r="CQ6" i="5"/>
  <c r="CP6" i="5"/>
  <c r="CO6" i="5"/>
  <c r="CN6" i="5"/>
  <c r="CM6" i="5"/>
  <c r="CM5" i="5"/>
  <c r="CP4" i="5"/>
  <c r="CO4" i="5"/>
  <c r="CN4" i="5"/>
  <c r="CM4" i="5"/>
  <c r="CQ1" i="5"/>
  <c r="CP1" i="5"/>
  <c r="CO1" i="5"/>
  <c r="CN1" i="5"/>
  <c r="CM1" i="5"/>
  <c r="CQ8" i="59"/>
  <c r="CP8" i="59"/>
  <c r="CO8" i="59"/>
  <c r="CN8" i="59"/>
  <c r="CM8" i="59"/>
  <c r="CM7" i="59"/>
  <c r="CP6" i="59"/>
  <c r="CO6" i="59"/>
  <c r="CN6" i="59"/>
  <c r="CM6" i="59"/>
  <c r="CQ27" i="56"/>
  <c r="CQ8" i="56"/>
  <c r="BB7" i="33" s="1"/>
  <c r="CP8" i="56"/>
  <c r="BA7" i="33" s="1"/>
  <c r="CO8" i="56"/>
  <c r="AZ7" i="33" s="1"/>
  <c r="CN8" i="56"/>
  <c r="AY7" i="33"/>
  <c r="CM8" i="56"/>
  <c r="AX7" i="33" s="1"/>
  <c r="CM7" i="56"/>
  <c r="CQ1" i="56"/>
  <c r="CP1" i="56"/>
  <c r="CO1" i="56"/>
  <c r="CN1" i="56"/>
  <c r="CM1" i="56"/>
  <c r="AK24" i="33"/>
  <c r="AJ24" i="33"/>
  <c r="AI24" i="33"/>
  <c r="AG24" i="33"/>
  <c r="AF24" i="33"/>
  <c r="AE24" i="33"/>
  <c r="AD24" i="33"/>
  <c r="AK18" i="33"/>
  <c r="AJ18" i="33"/>
  <c r="AI18" i="33"/>
  <c r="AG18" i="33"/>
  <c r="AF18" i="33"/>
  <c r="AE18" i="33"/>
  <c r="AD18" i="33"/>
  <c r="AB18" i="33"/>
  <c r="AA18" i="33"/>
  <c r="Z18" i="33"/>
  <c r="Y18" i="33"/>
  <c r="W18" i="33"/>
  <c r="V18" i="33"/>
  <c r="U18" i="33"/>
  <c r="T18" i="33"/>
  <c r="R18" i="33"/>
  <c r="Q18" i="33"/>
  <c r="P18" i="33"/>
  <c r="O18" i="33"/>
  <c r="M18" i="33"/>
  <c r="L18" i="33"/>
  <c r="K18" i="33"/>
  <c r="J18" i="33"/>
  <c r="H18" i="33"/>
  <c r="G18" i="33"/>
  <c r="F18" i="33"/>
  <c r="E18" i="33"/>
  <c r="BA22" i="57"/>
  <c r="AZ58" i="66"/>
  <c r="AZ59" i="66"/>
  <c r="AZ55" i="66"/>
  <c r="AZ53" i="66"/>
  <c r="AZ47" i="66"/>
  <c r="AZ46" i="66"/>
  <c r="AZ44" i="66"/>
  <c r="AZ42" i="66"/>
  <c r="AZ52" i="66"/>
  <c r="M50" i="66"/>
  <c r="Q50" i="66"/>
  <c r="AZ48" i="66"/>
  <c r="AS44" i="66"/>
  <c r="AN36" i="14"/>
  <c r="AM36" i="14"/>
  <c r="AL36" i="14"/>
  <c r="AK36" i="14"/>
  <c r="AJ36" i="14"/>
  <c r="AI36" i="14"/>
  <c r="AH36" i="14"/>
  <c r="AG36" i="14"/>
  <c r="AF36" i="14"/>
  <c r="AE36" i="14"/>
  <c r="AD36" i="14"/>
  <c r="AC36" i="14"/>
  <c r="AB36" i="14"/>
  <c r="AA36" i="14"/>
  <c r="Z36" i="14"/>
  <c r="Y36" i="14"/>
  <c r="X36" i="14"/>
  <c r="W36" i="14"/>
  <c r="V36" i="14"/>
  <c r="U36" i="14"/>
  <c r="T36" i="14"/>
  <c r="S36" i="14"/>
  <c r="R36" i="14"/>
  <c r="Q36" i="14"/>
  <c r="P36" i="14"/>
  <c r="AN35" i="14"/>
  <c r="AM35" i="14"/>
  <c r="AL35" i="14"/>
  <c r="AK35" i="14"/>
  <c r="AJ35" i="14"/>
  <c r="AI35" i="14"/>
  <c r="AH35" i="14"/>
  <c r="AG35" i="14"/>
  <c r="AF35" i="14"/>
  <c r="AE35" i="14"/>
  <c r="AD35" i="14"/>
  <c r="AC35" i="14"/>
  <c r="AB35" i="14"/>
  <c r="AA35" i="14"/>
  <c r="Z35" i="14"/>
  <c r="Y35" i="14"/>
  <c r="X35" i="14"/>
  <c r="W35" i="14"/>
  <c r="V35" i="14"/>
  <c r="U35" i="14"/>
  <c r="T35" i="14"/>
  <c r="S35" i="14"/>
  <c r="R35" i="14"/>
  <c r="Q35" i="14"/>
  <c r="P35" i="14"/>
  <c r="AN33" i="14"/>
  <c r="AM33" i="14"/>
  <c r="AL33" i="14"/>
  <c r="AK33" i="14"/>
  <c r="AJ33" i="14"/>
  <c r="AI33" i="14"/>
  <c r="AH33" i="14"/>
  <c r="AG33" i="14"/>
  <c r="AF33" i="14"/>
  <c r="AE33" i="14"/>
  <c r="AD33" i="14"/>
  <c r="AC33" i="14"/>
  <c r="AB33" i="14"/>
  <c r="AA33" i="14"/>
  <c r="Z33" i="14"/>
  <c r="Y33" i="14"/>
  <c r="X33" i="14"/>
  <c r="W33" i="14"/>
  <c r="V33" i="14"/>
  <c r="U33" i="14"/>
  <c r="T33" i="14"/>
  <c r="S33" i="14"/>
  <c r="R33" i="14"/>
  <c r="Q33" i="14"/>
  <c r="P33" i="14"/>
  <c r="AN32" i="14"/>
  <c r="AM32" i="14"/>
  <c r="AL32" i="14"/>
  <c r="AK32" i="14"/>
  <c r="AJ32" i="14"/>
  <c r="AI32" i="14"/>
  <c r="AH32" i="14"/>
  <c r="AG32" i="14"/>
  <c r="AF32" i="14"/>
  <c r="AE32" i="14"/>
  <c r="AD32" i="14"/>
  <c r="AC32" i="14"/>
  <c r="AB32" i="14"/>
  <c r="AA32" i="14"/>
  <c r="Z32" i="14"/>
  <c r="Y32" i="14"/>
  <c r="X32" i="14"/>
  <c r="W32" i="14"/>
  <c r="V32" i="14"/>
  <c r="U32" i="14"/>
  <c r="T32" i="14"/>
  <c r="S32" i="14"/>
  <c r="R32" i="14"/>
  <c r="Q32" i="14"/>
  <c r="P32" i="14"/>
  <c r="BG27" i="14"/>
  <c r="BF27" i="14"/>
  <c r="AR21" i="14"/>
  <c r="AQ21" i="14"/>
  <c r="AP21" i="14"/>
  <c r="AO21" i="14"/>
  <c r="AV18" i="14"/>
  <c r="AR18" i="14"/>
  <c r="AI18" i="14"/>
  <c r="AH18" i="14"/>
  <c r="AG18" i="14"/>
  <c r="AF18" i="14"/>
  <c r="AE18" i="14"/>
  <c r="AD18" i="14"/>
  <c r="AC18" i="14"/>
  <c r="AB18" i="14"/>
  <c r="AA18" i="14"/>
  <c r="Z18" i="14"/>
  <c r="Y18" i="14"/>
  <c r="X18" i="14"/>
  <c r="W18" i="14"/>
  <c r="V18" i="14"/>
  <c r="U18" i="14"/>
  <c r="T18" i="14"/>
  <c r="S18" i="14"/>
  <c r="R18" i="14"/>
  <c r="Q18" i="14"/>
  <c r="P18" i="14"/>
  <c r="O18" i="14"/>
  <c r="N18" i="14"/>
  <c r="M18" i="14"/>
  <c r="L18" i="14"/>
  <c r="K18" i="14"/>
  <c r="AV15" i="14"/>
  <c r="AU15" i="14"/>
  <c r="AT15" i="14"/>
  <c r="AR15" i="14"/>
  <c r="AQ15" i="14"/>
  <c r="AP15" i="14"/>
  <c r="AO15" i="14"/>
  <c r="AM15" i="14"/>
  <c r="AL15" i="14"/>
  <c r="AK15" i="14"/>
  <c r="AJ15" i="14"/>
  <c r="AH15" i="14"/>
  <c r="AG15" i="14"/>
  <c r="AF15" i="14"/>
  <c r="AE15" i="14"/>
  <c r="AC15" i="14"/>
  <c r="AB15" i="14"/>
  <c r="AA15" i="14"/>
  <c r="Z15" i="14"/>
  <c r="X15" i="14"/>
  <c r="W15" i="14"/>
  <c r="V15" i="14"/>
  <c r="U15" i="14"/>
  <c r="S15" i="14"/>
  <c r="R15" i="14"/>
  <c r="Q15" i="14"/>
  <c r="P15" i="14"/>
  <c r="AR11" i="14"/>
  <c r="AQ11" i="14"/>
  <c r="AP11" i="14"/>
  <c r="AO11" i="14"/>
  <c r="AM11" i="14"/>
  <c r="AL11" i="14"/>
  <c r="AK11" i="14"/>
  <c r="AJ11" i="14"/>
  <c r="AH11" i="14"/>
  <c r="AG11" i="14"/>
  <c r="AF11" i="14"/>
  <c r="AE11" i="14"/>
  <c r="AC11" i="14"/>
  <c r="AB11" i="14"/>
  <c r="AA11" i="14"/>
  <c r="Z11" i="14"/>
  <c r="X11" i="14"/>
  <c r="W11" i="14"/>
  <c r="V11" i="14"/>
  <c r="U11" i="14"/>
  <c r="S11" i="14"/>
  <c r="R11" i="14"/>
  <c r="Q11" i="14"/>
  <c r="P11" i="14"/>
  <c r="AI7" i="14"/>
  <c r="AH7" i="14"/>
  <c r="AG7" i="14"/>
  <c r="AF7" i="14"/>
  <c r="AE7" i="14"/>
  <c r="AD7" i="14"/>
  <c r="AC7" i="14"/>
  <c r="AH8" i="14" s="1"/>
  <c r="AB7" i="14"/>
  <c r="AA7" i="14"/>
  <c r="AF8" i="14" s="1"/>
  <c r="Z7" i="14"/>
  <c r="Y7" i="14"/>
  <c r="AD8" i="14" s="1"/>
  <c r="X7" i="14"/>
  <c r="W7" i="14"/>
  <c r="AB8" i="14" s="1"/>
  <c r="V7" i="14"/>
  <c r="U7" i="14"/>
  <c r="Z8" i="14" s="1"/>
  <c r="T7" i="14"/>
  <c r="S7" i="14"/>
  <c r="S8" i="14" s="1"/>
  <c r="R7" i="14"/>
  <c r="Q7" i="14"/>
  <c r="P7" i="14"/>
  <c r="O7" i="14"/>
  <c r="T8" i="14" s="1"/>
  <c r="N7" i="14"/>
  <c r="M7" i="14"/>
  <c r="R8" i="14" s="1"/>
  <c r="L7" i="14"/>
  <c r="K7" i="14"/>
  <c r="P8" i="14" s="1"/>
  <c r="CL5" i="14"/>
  <c r="CK5" i="14"/>
  <c r="CJ5" i="14"/>
  <c r="CI5" i="14"/>
  <c r="CH5" i="14"/>
  <c r="CG5" i="14"/>
  <c r="CF5" i="14"/>
  <c r="CE5" i="14"/>
  <c r="CD5" i="14"/>
  <c r="CC5" i="14"/>
  <c r="CB5" i="14"/>
  <c r="CA5" i="14"/>
  <c r="BZ5" i="14"/>
  <c r="BY5" i="14"/>
  <c r="BX5" i="14"/>
  <c r="BW5" i="14"/>
  <c r="BV5" i="14"/>
  <c r="BU5" i="14"/>
  <c r="BT5" i="14"/>
  <c r="BS5" i="14"/>
  <c r="BR5" i="14"/>
  <c r="BQ5" i="14"/>
  <c r="BP5" i="14"/>
  <c r="BO5" i="14"/>
  <c r="BN5" i="14"/>
  <c r="BM5" i="14"/>
  <c r="BL5" i="14"/>
  <c r="BK5" i="14"/>
  <c r="BJ5" i="14"/>
  <c r="BI5" i="14"/>
  <c r="BH5" i="14"/>
  <c r="BG5" i="14"/>
  <c r="BF5" i="14"/>
  <c r="BE5" i="14"/>
  <c r="BD5" i="14"/>
  <c r="BC5" i="14"/>
  <c r="BB5" i="14"/>
  <c r="BA5" i="14"/>
  <c r="AZ5" i="14"/>
  <c r="AY5" i="14"/>
  <c r="AX5" i="14"/>
  <c r="AW5" i="14"/>
  <c r="AV5" i="14"/>
  <c r="AU5" i="14"/>
  <c r="AT5" i="14"/>
  <c r="AS5" i="14"/>
  <c r="AR5" i="14"/>
  <c r="AQ5" i="14"/>
  <c r="AP5" i="14"/>
  <c r="AO5" i="14"/>
  <c r="AN5" i="14"/>
  <c r="AM5" i="14"/>
  <c r="AL5" i="14"/>
  <c r="AK5" i="14"/>
  <c r="AJ5" i="14"/>
  <c r="AI5" i="14"/>
  <c r="AH5" i="14"/>
  <c r="AG5" i="14"/>
  <c r="AF5" i="14"/>
  <c r="AE5" i="14"/>
  <c r="AD5" i="14"/>
  <c r="AC5" i="14"/>
  <c r="AB5" i="14"/>
  <c r="AA5" i="14"/>
  <c r="Z5" i="14"/>
  <c r="Y5" i="14"/>
  <c r="X5" i="14"/>
  <c r="W5" i="14"/>
  <c r="V5" i="14"/>
  <c r="U5" i="14"/>
  <c r="T5" i="14"/>
  <c r="S5" i="14"/>
  <c r="R5" i="14"/>
  <c r="Q5" i="14"/>
  <c r="P5" i="14"/>
  <c r="O5" i="14"/>
  <c r="N5" i="14"/>
  <c r="M5" i="14"/>
  <c r="L5" i="14"/>
  <c r="K5" i="14"/>
  <c r="J5" i="14"/>
  <c r="I5" i="14"/>
  <c r="H5" i="14"/>
  <c r="G5" i="14"/>
  <c r="F5" i="14"/>
  <c r="E5" i="14"/>
  <c r="D5" i="14"/>
  <c r="CH4" i="14"/>
  <c r="CC4" i="14"/>
  <c r="B1" i="14"/>
  <c r="S362" i="7"/>
  <c r="BF362" i="7"/>
  <c r="AT362" i="7"/>
  <c r="AR362" i="7"/>
  <c r="AQ362" i="7"/>
  <c r="AP362" i="7"/>
  <c r="AO362" i="7"/>
  <c r="AL362" i="7"/>
  <c r="AJ362" i="7"/>
  <c r="AG362" i="7"/>
  <c r="AC362" i="7"/>
  <c r="AB362" i="7"/>
  <c r="AA362" i="7"/>
  <c r="X362" i="7"/>
  <c r="W362" i="7"/>
  <c r="V362" i="7"/>
  <c r="U362" i="7"/>
  <c r="W361" i="7"/>
  <c r="V361" i="7"/>
  <c r="U361" i="7"/>
  <c r="BJ358" i="7"/>
  <c r="X358" i="7"/>
  <c r="X359" i="7"/>
  <c r="T358" i="7"/>
  <c r="U356" i="7"/>
  <c r="U358" i="7"/>
  <c r="AF356" i="7"/>
  <c r="AF357" i="7"/>
  <c r="AD357" i="7"/>
  <c r="Y357" i="7"/>
  <c r="Y356" i="7"/>
  <c r="BT356" i="7"/>
  <c r="BM356" i="7"/>
  <c r="AG356" i="7"/>
  <c r="AG358" i="7"/>
  <c r="BN351" i="7"/>
  <c r="BO349" i="7"/>
  <c r="BO351" i="7"/>
  <c r="BP349" i="7"/>
  <c r="BP351" i="7"/>
  <c r="BQ349" i="7"/>
  <c r="X351" i="7"/>
  <c r="X352" i="7"/>
  <c r="T351" i="7"/>
  <c r="U349" i="7"/>
  <c r="U351" i="7"/>
  <c r="CL350" i="7"/>
  <c r="CG350" i="7"/>
  <c r="CB350" i="7"/>
  <c r="BW350" i="7"/>
  <c r="BR350" i="7"/>
  <c r="BC350" i="7"/>
  <c r="AW350" i="7"/>
  <c r="AV350" i="7"/>
  <c r="AN350" i="7"/>
  <c r="AF349" i="7"/>
  <c r="AF352" i="7"/>
  <c r="AD350" i="7"/>
  <c r="Y350" i="7"/>
  <c r="Y349" i="7"/>
  <c r="AG349" i="7"/>
  <c r="AG351" i="7"/>
  <c r="BN348" i="7"/>
  <c r="AO348" i="7"/>
  <c r="AC343" i="7"/>
  <c r="AC345" i="7"/>
  <c r="CL342" i="7"/>
  <c r="CG342" i="7"/>
  <c r="CB342" i="7"/>
  <c r="BW342" i="7"/>
  <c r="BO339" i="7"/>
  <c r="BM342" i="7"/>
  <c r="BH342" i="7"/>
  <c r="BC342" i="7"/>
  <c r="AX342" i="7"/>
  <c r="AS342" i="7"/>
  <c r="AM342" i="7"/>
  <c r="AN342" i="7"/>
  <c r="AI342" i="7"/>
  <c r="AD342" i="7"/>
  <c r="Y342" i="7"/>
  <c r="Y341" i="7"/>
  <c r="BN339" i="7"/>
  <c r="U341" i="7"/>
  <c r="U343" i="7"/>
  <c r="Z340" i="7"/>
  <c r="CK339" i="7"/>
  <c r="CJ339" i="7"/>
  <c r="CI339" i="7"/>
  <c r="CH339" i="7"/>
  <c r="CF339" i="7"/>
  <c r="CE339" i="7"/>
  <c r="CD339" i="7"/>
  <c r="CC339" i="7"/>
  <c r="BX339" i="7"/>
  <c r="BV339" i="7"/>
  <c r="BU339" i="7"/>
  <c r="BT339" i="7"/>
  <c r="BS339" i="7"/>
  <c r="BQ339" i="7"/>
  <c r="BP339" i="7"/>
  <c r="BL339" i="7"/>
  <c r="BK339" i="7"/>
  <c r="BJ339" i="7"/>
  <c r="BI339" i="7"/>
  <c r="BF339" i="7"/>
  <c r="BE339" i="7"/>
  <c r="BB339" i="7"/>
  <c r="BA339" i="7"/>
  <c r="AZ339" i="7"/>
  <c r="AY339" i="7"/>
  <c r="AW339" i="7"/>
  <c r="AR339" i="7"/>
  <c r="AQ339" i="7"/>
  <c r="AP339" i="7"/>
  <c r="AO339" i="7"/>
  <c r="AM339" i="7"/>
  <c r="AL339" i="7"/>
  <c r="AJ339" i="7"/>
  <c r="AE339" i="7"/>
  <c r="T335" i="7"/>
  <c r="U333" i="7"/>
  <c r="U335" i="7"/>
  <c r="CL334" i="7"/>
  <c r="CG334" i="7"/>
  <c r="CB334" i="7"/>
  <c r="BW334" i="7"/>
  <c r="BR334" i="7"/>
  <c r="BH334" i="7"/>
  <c r="BC334" i="7"/>
  <c r="AX334" i="7"/>
  <c r="AS334" i="7"/>
  <c r="AJ334" i="7"/>
  <c r="AN334" i="7"/>
  <c r="AE334" i="7"/>
  <c r="Y334" i="7"/>
  <c r="BG291" i="7"/>
  <c r="BG293" i="7"/>
  <c r="BX291" i="7"/>
  <c r="BX292" i="7"/>
  <c r="BY292" i="7"/>
  <c r="BZ292" i="7"/>
  <c r="CA292" i="7"/>
  <c r="CC292" i="7"/>
  <c r="CD292" i="7"/>
  <c r="CH292" i="7"/>
  <c r="CI292" i="7"/>
  <c r="CJ292" i="7"/>
  <c r="CK292" i="7"/>
  <c r="CM292" i="7"/>
  <c r="CN292" i="7"/>
  <c r="CO292" i="7"/>
  <c r="CP292" i="7"/>
  <c r="BV291" i="7"/>
  <c r="BV292" i="7"/>
  <c r="BU291" i="7"/>
  <c r="BU292" i="7"/>
  <c r="BT291" i="7"/>
  <c r="BT292" i="7"/>
  <c r="BO292" i="7"/>
  <c r="BP292" i="7"/>
  <c r="BI290" i="7"/>
  <c r="BI289" i="7"/>
  <c r="BJ289" i="7"/>
  <c r="BK289" i="7"/>
  <c r="BL289" i="7"/>
  <c r="BG288" i="7"/>
  <c r="BI288" i="7"/>
  <c r="BJ288" i="7"/>
  <c r="AM284" i="7"/>
  <c r="AM285" i="7"/>
  <c r="AL284" i="7"/>
  <c r="AL285" i="7"/>
  <c r="AK284" i="7"/>
  <c r="AK285" i="7"/>
  <c r="AJ284" i="7"/>
  <c r="AJ285" i="7"/>
  <c r="AN285" i="7"/>
  <c r="AH284" i="7"/>
  <c r="AH285" i="7"/>
  <c r="AG284" i="7"/>
  <c r="AG285" i="7"/>
  <c r="AF284" i="7"/>
  <c r="AF285" i="7"/>
  <c r="AE284" i="7"/>
  <c r="AE285" i="7"/>
  <c r="AI285" i="7"/>
  <c r="AC284" i="7"/>
  <c r="AC285" i="7"/>
  <c r="AB284" i="7"/>
  <c r="AB285" i="7"/>
  <c r="AA284" i="7"/>
  <c r="AA285" i="7"/>
  <c r="Z284" i="7"/>
  <c r="Z285" i="7"/>
  <c r="AD285" i="7"/>
  <c r="X284" i="7"/>
  <c r="X285" i="7"/>
  <c r="T284" i="7"/>
  <c r="U282" i="7"/>
  <c r="U284" i="7"/>
  <c r="V282" i="7"/>
  <c r="CL283" i="7"/>
  <c r="CG283" i="7"/>
  <c r="CB283" i="7"/>
  <c r="BW283" i="7"/>
  <c r="BH283" i="7"/>
  <c r="BC283" i="7"/>
  <c r="AX283" i="7"/>
  <c r="AS283" i="7"/>
  <c r="AN283" i="7"/>
  <c r="AI283" i="7"/>
  <c r="AD283" i="7"/>
  <c r="Y282" i="7"/>
  <c r="Y284" i="7"/>
  <c r="AD282" i="7"/>
  <c r="AO281" i="7"/>
  <c r="AP281" i="7"/>
  <c r="AQ281" i="7"/>
  <c r="AR281" i="7"/>
  <c r="AT281" i="7"/>
  <c r="AU281" i="7"/>
  <c r="AV281" i="7"/>
  <c r="AW281" i="7"/>
  <c r="AY281" i="7"/>
  <c r="AZ281" i="7"/>
  <c r="BA281" i="7"/>
  <c r="BB281" i="7"/>
  <c r="BD281" i="7"/>
  <c r="BE281" i="7"/>
  <c r="BF281" i="7"/>
  <c r="BG281" i="7"/>
  <c r="BI281" i="7"/>
  <c r="BJ281" i="7"/>
  <c r="BK281" i="7"/>
  <c r="BL281" i="7"/>
  <c r="BN281" i="7"/>
  <c r="BO281" i="7"/>
  <c r="BP281" i="7"/>
  <c r="BQ281" i="7"/>
  <c r="BS281" i="7"/>
  <c r="BT281" i="7"/>
  <c r="BU281" i="7"/>
  <c r="BV281" i="7"/>
  <c r="BX281" i="7"/>
  <c r="BY281" i="7"/>
  <c r="BZ281" i="7"/>
  <c r="CA281" i="7"/>
  <c r="CC281" i="7"/>
  <c r="CD281" i="7"/>
  <c r="CE281" i="7"/>
  <c r="CF281" i="7"/>
  <c r="CH281" i="7"/>
  <c r="CI281" i="7"/>
  <c r="CJ281" i="7"/>
  <c r="CK281" i="7"/>
  <c r="CM281" i="7"/>
  <c r="CN281" i="7"/>
  <c r="CO281" i="7"/>
  <c r="CP281" i="7"/>
  <c r="AO280" i="7"/>
  <c r="AP280" i="7"/>
  <c r="AQ280" i="7"/>
  <c r="AR280" i="7"/>
  <c r="AT280" i="7"/>
  <c r="AU280" i="7"/>
  <c r="AV280" i="7"/>
  <c r="AW280" i="7"/>
  <c r="BT263" i="7"/>
  <c r="BT264" i="7"/>
  <c r="BT266" i="7"/>
  <c r="CA262" i="7"/>
  <c r="CC262" i="7"/>
  <c r="CD262" i="7"/>
  <c r="CI262" i="7"/>
  <c r="CJ262" i="7"/>
  <c r="CK262" i="7"/>
  <c r="CM262" i="7"/>
  <c r="CN262" i="7"/>
  <c r="CO262" i="7"/>
  <c r="CP262" i="7"/>
  <c r="BX261" i="7"/>
  <c r="BX262" i="7"/>
  <c r="BS262" i="7"/>
  <c r="BS261" i="7"/>
  <c r="BS265" i="7"/>
  <c r="BS260" i="7"/>
  <c r="BS264" i="7"/>
  <c r="BS266" i="7"/>
  <c r="BV261" i="7"/>
  <c r="BV262" i="7"/>
  <c r="BU260" i="7"/>
  <c r="BU259" i="7"/>
  <c r="BU258" i="7"/>
  <c r="BV258" i="7"/>
  <c r="BX258" i="7"/>
  <c r="BY258" i="7"/>
  <c r="BZ258" i="7"/>
  <c r="BG251" i="7"/>
  <c r="BG252" i="7"/>
  <c r="BG250" i="7"/>
  <c r="BG249" i="7"/>
  <c r="BG248" i="7"/>
  <c r="BG247" i="7"/>
  <c r="BJ249" i="7"/>
  <c r="BK249" i="7"/>
  <c r="BL249" i="7"/>
  <c r="BN249" i="7"/>
  <c r="BO249" i="7"/>
  <c r="BP249" i="7"/>
  <c r="BQ249" i="7"/>
  <c r="BS249" i="7"/>
  <c r="BS253" i="7"/>
  <c r="BJ248" i="7"/>
  <c r="BK248" i="7"/>
  <c r="BL248" i="7"/>
  <c r="BN248" i="7"/>
  <c r="BO248" i="7"/>
  <c r="BP248" i="7"/>
  <c r="BQ248" i="7"/>
  <c r="BS248" i="7"/>
  <c r="BT248" i="7"/>
  <c r="BX250" i="7"/>
  <c r="BX251" i="7"/>
  <c r="BY251" i="7"/>
  <c r="BZ251" i="7"/>
  <c r="CA251" i="7"/>
  <c r="CC251" i="7"/>
  <c r="CD251" i="7"/>
  <c r="CI251" i="7"/>
  <c r="CJ251" i="7"/>
  <c r="CK251" i="7"/>
  <c r="CM251" i="7"/>
  <c r="CN251" i="7"/>
  <c r="CO251" i="7"/>
  <c r="CP251" i="7"/>
  <c r="BV250" i="7"/>
  <c r="BV251" i="7"/>
  <c r="BU250" i="7"/>
  <c r="BU251" i="7"/>
  <c r="BT250" i="7"/>
  <c r="BT251" i="7"/>
  <c r="BS230" i="7"/>
  <c r="BT228" i="7"/>
  <c r="BT229" i="7"/>
  <c r="CA229" i="7"/>
  <c r="CC229" i="7"/>
  <c r="CD229" i="7"/>
  <c r="BX228" i="7"/>
  <c r="BX229" i="7"/>
  <c r="BX230" i="7"/>
  <c r="BG228" i="7"/>
  <c r="BG230" i="7"/>
  <c r="BI228" i="7"/>
  <c r="BI230" i="7"/>
  <c r="BV228" i="7"/>
  <c r="BV229" i="7"/>
  <c r="BU228" i="7"/>
  <c r="BU229" i="7"/>
  <c r="BI227" i="7"/>
  <c r="BJ227" i="7"/>
  <c r="BI226" i="7"/>
  <c r="BJ226" i="7"/>
  <c r="BG225" i="7"/>
  <c r="BI225" i="7"/>
  <c r="BJ225" i="7"/>
  <c r="BA221" i="7"/>
  <c r="CL220" i="7"/>
  <c r="CG220" i="7"/>
  <c r="BH220" i="7"/>
  <c r="BC220" i="7"/>
  <c r="BC219" i="7"/>
  <c r="BV219" i="7"/>
  <c r="BV220" i="7"/>
  <c r="BU219" i="7"/>
  <c r="BU220" i="7"/>
  <c r="BT219" i="7"/>
  <c r="BT220" i="7"/>
  <c r="BB219" i="7"/>
  <c r="BB221" i="7"/>
  <c r="BB222" i="7"/>
  <c r="BC222" i="7"/>
  <c r="BB218" i="7"/>
  <c r="BD218" i="7"/>
  <c r="BE218" i="7"/>
  <c r="BF218" i="7"/>
  <c r="BG218" i="7"/>
  <c r="BI218" i="7"/>
  <c r="BJ218" i="7"/>
  <c r="BK218" i="7"/>
  <c r="BL218" i="7"/>
  <c r="BN218" i="7"/>
  <c r="BO218" i="7"/>
  <c r="BP218" i="7"/>
  <c r="BQ218" i="7"/>
  <c r="BS218" i="7"/>
  <c r="BT218" i="7"/>
  <c r="BU218" i="7"/>
  <c r="BV218" i="7"/>
  <c r="BX218" i="7"/>
  <c r="BY218" i="7"/>
  <c r="BZ218" i="7"/>
  <c r="CA218" i="7"/>
  <c r="CC218" i="7"/>
  <c r="CD218" i="7"/>
  <c r="CE218" i="7"/>
  <c r="CF218" i="7"/>
  <c r="CH218" i="7"/>
  <c r="CI218" i="7"/>
  <c r="CJ218" i="7"/>
  <c r="CK218" i="7"/>
  <c r="CM218" i="7"/>
  <c r="CN218" i="7"/>
  <c r="CO218" i="7"/>
  <c r="CP218" i="7"/>
  <c r="BA217" i="7"/>
  <c r="BA222" i="7"/>
  <c r="AU211" i="7"/>
  <c r="BG210" i="7"/>
  <c r="BI210" i="7"/>
  <c r="BB210" i="7"/>
  <c r="AY210" i="7"/>
  <c r="BX209" i="7"/>
  <c r="BT210" i="7"/>
  <c r="BV209" i="7"/>
  <c r="BV210" i="7"/>
  <c r="BU209" i="7"/>
  <c r="BU210" i="7"/>
  <c r="BT209" i="7"/>
  <c r="AV208" i="7"/>
  <c r="AV207" i="7"/>
  <c r="AW207" i="7"/>
  <c r="AY207" i="7"/>
  <c r="AZ207" i="7"/>
  <c r="BA207" i="7"/>
  <c r="BB207" i="7"/>
  <c r="AV206" i="7"/>
  <c r="AW206" i="7"/>
  <c r="BT200" i="7"/>
  <c r="BS199" i="7"/>
  <c r="BS198" i="7"/>
  <c r="BS202" i="7"/>
  <c r="BS197" i="7"/>
  <c r="BS201" i="7"/>
  <c r="BS203" i="7"/>
  <c r="BX198" i="7"/>
  <c r="BV198" i="7"/>
  <c r="BV199" i="7"/>
  <c r="BU197" i="7"/>
  <c r="BU201" i="7"/>
  <c r="BU203" i="7"/>
  <c r="BU196" i="7"/>
  <c r="BV196" i="7"/>
  <c r="BU195" i="7"/>
  <c r="BV195" i="7"/>
  <c r="BT191" i="7"/>
  <c r="BT189" i="7"/>
  <c r="AM191" i="7"/>
  <c r="AM192" i="7"/>
  <c r="AL191" i="7"/>
  <c r="AL192" i="7"/>
  <c r="AK191" i="7"/>
  <c r="AK192" i="7"/>
  <c r="AJ191" i="7"/>
  <c r="AJ192" i="7"/>
  <c r="AH191" i="7"/>
  <c r="AH192" i="7"/>
  <c r="AG191" i="7"/>
  <c r="AG192" i="7"/>
  <c r="AF191" i="7"/>
  <c r="AF192" i="7"/>
  <c r="AE191" i="7"/>
  <c r="AE192" i="7"/>
  <c r="AC191" i="7"/>
  <c r="AC192" i="7"/>
  <c r="AB191" i="7"/>
  <c r="AB192" i="7"/>
  <c r="AA191" i="7"/>
  <c r="AA192" i="7"/>
  <c r="Z191" i="7"/>
  <c r="Z192" i="7"/>
  <c r="X191" i="7"/>
  <c r="X192" i="7"/>
  <c r="T191" i="7"/>
  <c r="Y189" i="7"/>
  <c r="Y191" i="7"/>
  <c r="AD189" i="7"/>
  <c r="AD191" i="7"/>
  <c r="AI189" i="7"/>
  <c r="AI191" i="7"/>
  <c r="AN189" i="7"/>
  <c r="AN191" i="7"/>
  <c r="CL190" i="7"/>
  <c r="CG190" i="7"/>
  <c r="BH190" i="7"/>
  <c r="BC190" i="7"/>
  <c r="AX190" i="7"/>
  <c r="AS190" i="7"/>
  <c r="AN190" i="7"/>
  <c r="AI190" i="7"/>
  <c r="AD190" i="7"/>
  <c r="BV189" i="7"/>
  <c r="BV190" i="7"/>
  <c r="AO188" i="7"/>
  <c r="AP188" i="7"/>
  <c r="AQ188" i="7"/>
  <c r="AR188" i="7"/>
  <c r="AT188" i="7"/>
  <c r="AU188" i="7"/>
  <c r="AV188" i="7"/>
  <c r="AW188" i="7"/>
  <c r="AY188" i="7"/>
  <c r="AZ188" i="7"/>
  <c r="BA188" i="7"/>
  <c r="BB188" i="7"/>
  <c r="BD188" i="7"/>
  <c r="BE188" i="7"/>
  <c r="BF188" i="7"/>
  <c r="BG188" i="7"/>
  <c r="BI188" i="7"/>
  <c r="BJ188" i="7"/>
  <c r="BK188" i="7"/>
  <c r="BL188" i="7"/>
  <c r="BN188" i="7"/>
  <c r="BO188" i="7"/>
  <c r="BP188" i="7"/>
  <c r="BQ188" i="7"/>
  <c r="BS188" i="7"/>
  <c r="BT188" i="7"/>
  <c r="BU188" i="7"/>
  <c r="BV188" i="7"/>
  <c r="BX188" i="7"/>
  <c r="BY188" i="7"/>
  <c r="BZ188" i="7"/>
  <c r="CA188" i="7"/>
  <c r="CC188" i="7"/>
  <c r="CD188" i="7"/>
  <c r="CE188" i="7"/>
  <c r="CF188" i="7"/>
  <c r="CH188" i="7"/>
  <c r="CI188" i="7"/>
  <c r="CJ188" i="7"/>
  <c r="CK188" i="7"/>
  <c r="CM188" i="7"/>
  <c r="CN188" i="7"/>
  <c r="CO188" i="7"/>
  <c r="CP188" i="7"/>
  <c r="AO187" i="7"/>
  <c r="AP187" i="7"/>
  <c r="AQ187" i="7"/>
  <c r="AR187" i="7"/>
  <c r="AT187" i="7"/>
  <c r="AU187" i="7"/>
  <c r="AV187" i="7"/>
  <c r="BG180" i="7"/>
  <c r="BG179" i="7"/>
  <c r="BG181" i="7"/>
  <c r="BG182" i="7"/>
  <c r="BG184" i="7"/>
  <c r="BG178" i="7"/>
  <c r="BG177" i="7"/>
  <c r="BG176" i="7"/>
  <c r="BV179" i="7"/>
  <c r="BV181" i="7"/>
  <c r="BX179" i="7"/>
  <c r="BJ178" i="7"/>
  <c r="BK178" i="7"/>
  <c r="BL178" i="7"/>
  <c r="BN178" i="7"/>
  <c r="BO178" i="7"/>
  <c r="BP178" i="7"/>
  <c r="BJ177" i="7"/>
  <c r="BK177" i="7"/>
  <c r="BU179" i="7"/>
  <c r="BU180" i="7"/>
  <c r="BV180" i="7"/>
  <c r="BT172" i="7"/>
  <c r="BT171" i="7"/>
  <c r="BT173" i="7"/>
  <c r="BX168" i="7"/>
  <c r="BT169" i="7"/>
  <c r="BS169" i="7"/>
  <c r="BS168" i="7"/>
  <c r="BS172" i="7"/>
  <c r="BS167" i="7"/>
  <c r="BS171" i="7"/>
  <c r="BS173" i="7"/>
  <c r="CK169" i="7"/>
  <c r="CD169" i="7"/>
  <c r="BV168" i="7"/>
  <c r="BV169" i="7"/>
  <c r="BU168" i="7"/>
  <c r="BU169" i="7"/>
  <c r="BU167" i="7"/>
  <c r="BV167" i="7"/>
  <c r="BU166" i="7"/>
  <c r="BV166" i="7"/>
  <c r="BU165" i="7"/>
  <c r="BV165" i="7"/>
  <c r="BS159" i="7"/>
  <c r="BT157" i="7"/>
  <c r="BT158" i="7"/>
  <c r="BI156" i="7"/>
  <c r="BJ156" i="7"/>
  <c r="BK156" i="7"/>
  <c r="BL156" i="7"/>
  <c r="BN156" i="7"/>
  <c r="BO156" i="7"/>
  <c r="BP156" i="7"/>
  <c r="BQ156" i="7"/>
  <c r="BS156" i="7"/>
  <c r="BI155" i="7"/>
  <c r="BJ155" i="7"/>
  <c r="BG157" i="7"/>
  <c r="BG159" i="7"/>
  <c r="BG160" i="7"/>
  <c r="BX158" i="7"/>
  <c r="BY158" i="7"/>
  <c r="BZ158" i="7"/>
  <c r="CA158" i="7"/>
  <c r="CC158" i="7"/>
  <c r="CD158" i="7"/>
  <c r="CE158" i="7"/>
  <c r="CF158" i="7"/>
  <c r="CH158" i="7"/>
  <c r="CI158" i="7"/>
  <c r="CJ158" i="7"/>
  <c r="CK158" i="7"/>
  <c r="CM158" i="7"/>
  <c r="CN158" i="7"/>
  <c r="BU157" i="7"/>
  <c r="BU159" i="7"/>
  <c r="BV157" i="7"/>
  <c r="BV159" i="7"/>
  <c r="BX157" i="7"/>
  <c r="BJ158" i="7"/>
  <c r="BG154" i="7"/>
  <c r="BE148" i="7"/>
  <c r="CK147" i="7"/>
  <c r="CM147" i="7"/>
  <c r="CN147" i="7"/>
  <c r="CF147" i="7"/>
  <c r="CH147" i="7"/>
  <c r="CI147" i="7"/>
  <c r="BG147" i="7"/>
  <c r="BI147" i="7"/>
  <c r="BF145" i="7"/>
  <c r="BG145" i="7"/>
  <c r="BI145" i="7"/>
  <c r="BJ145" i="7"/>
  <c r="BK145" i="7"/>
  <c r="BF144" i="7"/>
  <c r="BG144" i="7"/>
  <c r="BF143" i="7"/>
  <c r="BG143" i="7"/>
  <c r="BI143" i="7"/>
  <c r="BJ143" i="7"/>
  <c r="BK143" i="7"/>
  <c r="BL143" i="7"/>
  <c r="BN143" i="7"/>
  <c r="BO143" i="7"/>
  <c r="BP143" i="7"/>
  <c r="BQ143" i="7"/>
  <c r="BS143" i="7"/>
  <c r="BT143" i="7"/>
  <c r="BX146" i="7"/>
  <c r="BV146" i="7"/>
  <c r="BV147" i="7"/>
  <c r="BU146" i="7"/>
  <c r="BU147" i="7"/>
  <c r="BT146" i="7"/>
  <c r="BT147" i="7"/>
  <c r="BO147" i="7"/>
  <c r="BK147" i="7"/>
  <c r="BG136" i="7"/>
  <c r="BG135" i="7"/>
  <c r="BG137" i="7"/>
  <c r="BG134" i="7"/>
  <c r="BG133" i="7"/>
  <c r="BG132" i="7"/>
  <c r="BJ134" i="7"/>
  <c r="BJ133" i="7"/>
  <c r="BK133" i="7"/>
  <c r="BL133" i="7"/>
  <c r="BN133" i="7"/>
  <c r="BO133" i="7"/>
  <c r="BP133" i="7"/>
  <c r="BQ133" i="7"/>
  <c r="BS133" i="7"/>
  <c r="BT133" i="7"/>
  <c r="CJ136" i="7"/>
  <c r="CK136" i="7"/>
  <c r="CE136" i="7"/>
  <c r="CF136" i="7"/>
  <c r="BZ136" i="7"/>
  <c r="CA136" i="7"/>
  <c r="BX135" i="7"/>
  <c r="BX137" i="7"/>
  <c r="BY135" i="7"/>
  <c r="BY137" i="7"/>
  <c r="BZ135" i="7"/>
  <c r="BZ137" i="7"/>
  <c r="CA135" i="7"/>
  <c r="CA137" i="7"/>
  <c r="CC135" i="7"/>
  <c r="CC137" i="7"/>
  <c r="CD135" i="7"/>
  <c r="CD137" i="7"/>
  <c r="BV135" i="7"/>
  <c r="BV136" i="7"/>
  <c r="BU135" i="7"/>
  <c r="BU136" i="7"/>
  <c r="BT135" i="7"/>
  <c r="BT136" i="7"/>
  <c r="BA128" i="7"/>
  <c r="BB126" i="7"/>
  <c r="BB128" i="7"/>
  <c r="BH127" i="7"/>
  <c r="BC127" i="7"/>
  <c r="BC126" i="7"/>
  <c r="BV126" i="7"/>
  <c r="BV127" i="7"/>
  <c r="BU126" i="7"/>
  <c r="BU127" i="7"/>
  <c r="BT126" i="7"/>
  <c r="BT127" i="7"/>
  <c r="BA125" i="7"/>
  <c r="BB125" i="7"/>
  <c r="BD125" i="7"/>
  <c r="BE125" i="7"/>
  <c r="BF125" i="7"/>
  <c r="BG125" i="7"/>
  <c r="BI125" i="7"/>
  <c r="BJ125" i="7"/>
  <c r="BK125" i="7"/>
  <c r="BL125" i="7"/>
  <c r="BN125" i="7"/>
  <c r="BO125" i="7"/>
  <c r="BP125" i="7"/>
  <c r="BQ125" i="7"/>
  <c r="BS125" i="7"/>
  <c r="BT125" i="7"/>
  <c r="BU125" i="7"/>
  <c r="BV125" i="7"/>
  <c r="BX125" i="7"/>
  <c r="BY125" i="7"/>
  <c r="BZ125" i="7"/>
  <c r="CA125" i="7"/>
  <c r="CC125" i="7"/>
  <c r="CD125" i="7"/>
  <c r="CE125" i="7"/>
  <c r="CF125" i="7"/>
  <c r="CH125" i="7"/>
  <c r="CI125" i="7"/>
  <c r="CJ125" i="7"/>
  <c r="CK125" i="7"/>
  <c r="CM125" i="7"/>
  <c r="CN125" i="7"/>
  <c r="CO125" i="7"/>
  <c r="CP125" i="7"/>
  <c r="BA124" i="7"/>
  <c r="BV116" i="7"/>
  <c r="BS118" i="7"/>
  <c r="BI115" i="7"/>
  <c r="BJ115" i="7"/>
  <c r="BK115" i="7"/>
  <c r="BL115" i="7"/>
  <c r="BN115" i="7"/>
  <c r="BO115" i="7"/>
  <c r="BP115" i="7"/>
  <c r="BQ115" i="7"/>
  <c r="BS115" i="7"/>
  <c r="BI114" i="7"/>
  <c r="BJ114" i="7"/>
  <c r="BG116" i="7"/>
  <c r="BG118" i="7"/>
  <c r="BI116" i="7"/>
  <c r="BI118" i="7"/>
  <c r="BI120" i="7"/>
  <c r="CI117" i="7"/>
  <c r="CD117" i="7"/>
  <c r="CE117" i="7"/>
  <c r="BY117" i="7"/>
  <c r="BZ117" i="7"/>
  <c r="CA117" i="7"/>
  <c r="BU116" i="7"/>
  <c r="BU117" i="7"/>
  <c r="BJ117" i="7"/>
  <c r="BG113" i="7"/>
  <c r="BI113" i="7"/>
  <c r="AB111" i="7"/>
  <c r="AC109" i="7"/>
  <c r="AC111" i="7"/>
  <c r="X105" i="7"/>
  <c r="T105" i="7"/>
  <c r="Y103" i="7"/>
  <c r="Y105" i="7"/>
  <c r="CL104" i="7"/>
  <c r="CG104" i="7"/>
  <c r="CB104" i="7"/>
  <c r="BW104" i="7"/>
  <c r="BR104" i="7"/>
  <c r="BM104" i="7"/>
  <c r="BH104" i="7"/>
  <c r="BC104" i="7"/>
  <c r="AX104" i="7"/>
  <c r="AS104" i="7"/>
  <c r="AG104" i="7"/>
  <c r="AF104" i="7"/>
  <c r="AM102" i="7"/>
  <c r="AO102" i="7"/>
  <c r="AP102" i="7"/>
  <c r="AE102" i="7"/>
  <c r="AF102" i="7"/>
  <c r="AG102" i="7"/>
  <c r="AH102" i="7"/>
  <c r="AJ102" i="7"/>
  <c r="CK101" i="7"/>
  <c r="CJ101" i="7"/>
  <c r="CI101" i="7"/>
  <c r="CH101" i="7"/>
  <c r="CF101" i="7"/>
  <c r="CE101" i="7"/>
  <c r="CD101" i="7"/>
  <c r="CC101" i="7"/>
  <c r="BX101" i="7"/>
  <c r="BV101" i="7"/>
  <c r="BU101" i="7"/>
  <c r="BT101" i="7"/>
  <c r="BS101" i="7"/>
  <c r="BQ101" i="7"/>
  <c r="BP101" i="7"/>
  <c r="BO101" i="7"/>
  <c r="BN101" i="7"/>
  <c r="BL101" i="7"/>
  <c r="BK101" i="7"/>
  <c r="BJ101" i="7"/>
  <c r="BI101" i="7"/>
  <c r="AE101" i="7"/>
  <c r="AF101" i="7"/>
  <c r="AG101" i="7"/>
  <c r="AC101" i="7"/>
  <c r="AB101" i="7"/>
  <c r="AA101" i="7"/>
  <c r="Z101" i="7"/>
  <c r="AM97" i="7"/>
  <c r="AO95" i="7"/>
  <c r="AO97" i="7"/>
  <c r="AP95" i="7"/>
  <c r="AP97" i="7"/>
  <c r="AQ95" i="7"/>
  <c r="AQ97" i="7"/>
  <c r="AR95" i="7"/>
  <c r="AL97" i="7"/>
  <c r="U97" i="7"/>
  <c r="U98" i="7"/>
  <c r="T97" i="7"/>
  <c r="Y95" i="7"/>
  <c r="CL96" i="7"/>
  <c r="CG96" i="7"/>
  <c r="CB96" i="7"/>
  <c r="BW96" i="7"/>
  <c r="BR96" i="7"/>
  <c r="BM96" i="7"/>
  <c r="BH96" i="7"/>
  <c r="BC96" i="7"/>
  <c r="AX96" i="7"/>
  <c r="AS96" i="7"/>
  <c r="AS94" i="7"/>
  <c r="AN96" i="7"/>
  <c r="AN95" i="7"/>
  <c r="AI96" i="7"/>
  <c r="AD96" i="7"/>
  <c r="Y96" i="7"/>
  <c r="AM94" i="7"/>
  <c r="AN94" i="7"/>
  <c r="CK93" i="7"/>
  <c r="CJ93" i="7"/>
  <c r="CI93" i="7"/>
  <c r="CH93" i="7"/>
  <c r="CF93" i="7"/>
  <c r="CE93" i="7"/>
  <c r="CD93" i="7"/>
  <c r="CC93" i="7"/>
  <c r="BX93" i="7"/>
  <c r="BV93" i="7"/>
  <c r="BU93" i="7"/>
  <c r="BT93" i="7"/>
  <c r="BS93" i="7"/>
  <c r="BQ93" i="7"/>
  <c r="BP93" i="7"/>
  <c r="BO93" i="7"/>
  <c r="BN93" i="7"/>
  <c r="BL93" i="7"/>
  <c r="BK93" i="7"/>
  <c r="BJ93" i="7"/>
  <c r="BI93" i="7"/>
  <c r="AV94" i="7"/>
  <c r="AW94" i="7"/>
  <c r="AX94" i="7"/>
  <c r="AY94" i="7"/>
  <c r="AZ94" i="7"/>
  <c r="BA94" i="7"/>
  <c r="BB94" i="7"/>
  <c r="BC94" i="7"/>
  <c r="BD94" i="7"/>
  <c r="BE94" i="7"/>
  <c r="BF94" i="7"/>
  <c r="BG94" i="7"/>
  <c r="BH94" i="7"/>
  <c r="BI94" i="7"/>
  <c r="BJ94" i="7"/>
  <c r="BK94" i="7"/>
  <c r="BL94" i="7"/>
  <c r="BM94" i="7"/>
  <c r="BN94" i="7"/>
  <c r="BO94" i="7"/>
  <c r="BP94" i="7"/>
  <c r="BQ94" i="7"/>
  <c r="BR94" i="7"/>
  <c r="BS94" i="7"/>
  <c r="BT94" i="7"/>
  <c r="BU94" i="7"/>
  <c r="BV94" i="7"/>
  <c r="BW94" i="7"/>
  <c r="BX94" i="7"/>
  <c r="BY94" i="7"/>
  <c r="BZ94" i="7"/>
  <c r="CA94" i="7"/>
  <c r="CB94" i="7"/>
  <c r="CC94" i="7"/>
  <c r="CD94" i="7"/>
  <c r="CE94" i="7"/>
  <c r="CF94" i="7"/>
  <c r="CG94" i="7"/>
  <c r="CH94" i="7"/>
  <c r="CI94" i="7"/>
  <c r="CJ94" i="7"/>
  <c r="CK94" i="7"/>
  <c r="CL94" i="7"/>
  <c r="CM94" i="7"/>
  <c r="CN94" i="7"/>
  <c r="CO94" i="7"/>
  <c r="AK93" i="7"/>
  <c r="AJ93" i="7"/>
  <c r="AH93" i="7"/>
  <c r="AG93" i="7"/>
  <c r="AF93" i="7"/>
  <c r="AE93" i="7"/>
  <c r="AC93" i="7"/>
  <c r="AB93" i="7"/>
  <c r="AA93" i="7"/>
  <c r="Z93" i="7"/>
  <c r="AU84" i="7"/>
  <c r="AU85" i="7"/>
  <c r="AU87" i="7"/>
  <c r="AU86" i="7"/>
  <c r="BG83" i="7"/>
  <c r="CJ83" i="7"/>
  <c r="CK83" i="7"/>
  <c r="CE83" i="7"/>
  <c r="CF83" i="7"/>
  <c r="BZ83" i="7"/>
  <c r="CA83" i="7"/>
  <c r="BS83" i="7"/>
  <c r="BT83" i="7"/>
  <c r="BU83" i="7"/>
  <c r="AZ83" i="7"/>
  <c r="BA83" i="7"/>
  <c r="AV81" i="7"/>
  <c r="AW81" i="7"/>
  <c r="AY81" i="7"/>
  <c r="AZ81" i="7"/>
  <c r="AV80" i="7"/>
  <c r="AW80" i="7"/>
  <c r="AY80" i="7"/>
  <c r="AZ80" i="7"/>
  <c r="BA80" i="7"/>
  <c r="BB80" i="7"/>
  <c r="BD80" i="7"/>
  <c r="BE80" i="7"/>
  <c r="BF80" i="7"/>
  <c r="BG80" i="7"/>
  <c r="BI80" i="7"/>
  <c r="BJ80" i="7"/>
  <c r="BK80" i="7"/>
  <c r="BL80" i="7"/>
  <c r="BN80" i="7"/>
  <c r="BO80" i="7"/>
  <c r="BP80" i="7"/>
  <c r="BQ80" i="7"/>
  <c r="BS80" i="7"/>
  <c r="BT80" i="7"/>
  <c r="BU80" i="7"/>
  <c r="AV79" i="7"/>
  <c r="AU73" i="7"/>
  <c r="AU74" i="7"/>
  <c r="AU76" i="7"/>
  <c r="BG72" i="7"/>
  <c r="CI72" i="7"/>
  <c r="CJ72" i="7"/>
  <c r="CK72" i="7"/>
  <c r="CD72" i="7"/>
  <c r="BY72" i="7"/>
  <c r="BT72" i="7"/>
  <c r="BU72" i="7"/>
  <c r="BV72" i="7"/>
  <c r="BO72" i="7"/>
  <c r="BP72" i="7"/>
  <c r="BQ72" i="7"/>
  <c r="BA72" i="7"/>
  <c r="BB72" i="7"/>
  <c r="AW70" i="7"/>
  <c r="AY70" i="7"/>
  <c r="AZ70" i="7"/>
  <c r="AV70" i="7"/>
  <c r="AV69" i="7"/>
  <c r="AW69" i="7"/>
  <c r="AV68" i="7"/>
  <c r="AW68" i="7"/>
  <c r="AC62" i="7"/>
  <c r="AC64" i="7"/>
  <c r="AD64" i="7"/>
  <c r="AG62" i="7"/>
  <c r="AG63" i="7" s="1"/>
  <c r="AF62" i="7"/>
  <c r="AE62" i="7"/>
  <c r="T62" i="7"/>
  <c r="U60" i="7"/>
  <c r="U62" i="7"/>
  <c r="CE61" i="7"/>
  <c r="BZ61" i="7"/>
  <c r="BU61" i="7"/>
  <c r="BP61" i="7"/>
  <c r="BI61" i="7"/>
  <c r="BJ61" i="7"/>
  <c r="BK61" i="7"/>
  <c r="BH61" i="7"/>
  <c r="BC61" i="7"/>
  <c r="AW61" i="7"/>
  <c r="AU61" i="7"/>
  <c r="AX61" i="7"/>
  <c r="AS61" i="7"/>
  <c r="AK61" i="7"/>
  <c r="AK362" i="7"/>
  <c r="AD61" i="7"/>
  <c r="CJ61" i="7"/>
  <c r="AD60" i="7"/>
  <c r="AE59" i="7"/>
  <c r="AF59" i="7"/>
  <c r="CH58" i="7"/>
  <c r="CI58" i="7"/>
  <c r="CJ58" i="7"/>
  <c r="CC58" i="7"/>
  <c r="CD58" i="7"/>
  <c r="CE58" i="7"/>
  <c r="CF58" i="7"/>
  <c r="BX58" i="7"/>
  <c r="BY58" i="7"/>
  <c r="BZ58" i="7"/>
  <c r="CA58" i="7"/>
  <c r="BS58" i="7"/>
  <c r="BN58" i="7"/>
  <c r="BO58" i="7"/>
  <c r="BP58" i="7"/>
  <c r="BQ58" i="7"/>
  <c r="BI58" i="7"/>
  <c r="BJ58" i="7"/>
  <c r="BK58" i="7"/>
  <c r="BL58" i="7"/>
  <c r="BE59" i="7"/>
  <c r="BF59" i="7"/>
  <c r="BG59" i="7"/>
  <c r="BI59" i="7"/>
  <c r="BJ59" i="7"/>
  <c r="BK59" i="7"/>
  <c r="BL59" i="7"/>
  <c r="BB58" i="7"/>
  <c r="BA58" i="7"/>
  <c r="AZ58" i="7"/>
  <c r="AY58" i="7"/>
  <c r="AW58" i="7"/>
  <c r="AV58" i="7"/>
  <c r="AP57" i="7"/>
  <c r="AQ57" i="7"/>
  <c r="AR57" i="7"/>
  <c r="AT57" i="7"/>
  <c r="AU57" i="7"/>
  <c r="AV57" i="7"/>
  <c r="AW57" i="7"/>
  <c r="AY57" i="7"/>
  <c r="AZ57" i="7"/>
  <c r="BA57" i="7"/>
  <c r="BB57" i="7"/>
  <c r="BD57" i="7"/>
  <c r="BE57" i="7"/>
  <c r="BF57" i="7"/>
  <c r="BG57" i="7"/>
  <c r="BI57" i="7"/>
  <c r="BJ57" i="7"/>
  <c r="BK57" i="7"/>
  <c r="BL57" i="7"/>
  <c r="BN57" i="7"/>
  <c r="BO57" i="7"/>
  <c r="BP57" i="7"/>
  <c r="BQ57" i="7"/>
  <c r="BS57" i="7"/>
  <c r="BT57" i="7"/>
  <c r="BU57" i="7"/>
  <c r="BV57" i="7"/>
  <c r="BX57" i="7"/>
  <c r="BY57" i="7"/>
  <c r="BZ57" i="7"/>
  <c r="CA57" i="7"/>
  <c r="CC57" i="7"/>
  <c r="CD57" i="7"/>
  <c r="CE57" i="7"/>
  <c r="CF57" i="7"/>
  <c r="CH57" i="7"/>
  <c r="CI57" i="7"/>
  <c r="CJ57" i="7"/>
  <c r="CK57" i="7"/>
  <c r="CM57" i="7"/>
  <c r="CN57" i="7"/>
  <c r="CO57" i="7"/>
  <c r="CP57" i="7"/>
  <c r="AE57" i="7"/>
  <c r="AF57" i="7"/>
  <c r="BN51" i="7"/>
  <c r="BN53" i="7"/>
  <c r="BJ51" i="7"/>
  <c r="BK49" i="7"/>
  <c r="BK51" i="7"/>
  <c r="BK53" i="7"/>
  <c r="BE51" i="7"/>
  <c r="BF49" i="7"/>
  <c r="BF51" i="7"/>
  <c r="T51" i="7"/>
  <c r="U49" i="7"/>
  <c r="U23" i="7"/>
  <c r="CL50" i="7"/>
  <c r="CG50" i="7"/>
  <c r="CB50" i="7"/>
  <c r="BW50" i="7"/>
  <c r="BR50" i="7"/>
  <c r="BM50" i="7"/>
  <c r="BM49" i="7"/>
  <c r="BH50" i="7"/>
  <c r="BA50" i="7"/>
  <c r="AZ50" i="7"/>
  <c r="AY50" i="7"/>
  <c r="AX50" i="7"/>
  <c r="AS50" i="7"/>
  <c r="AN50" i="7"/>
  <c r="AI50" i="7"/>
  <c r="Z50" i="7"/>
  <c r="AD50" i="7"/>
  <c r="Y50" i="7"/>
  <c r="Y51" i="7"/>
  <c r="BE47" i="7"/>
  <c r="BE53" i="7"/>
  <c r="BF47" i="7"/>
  <c r="BG47" i="7"/>
  <c r="BI47" i="7"/>
  <c r="BE46" i="7"/>
  <c r="BF46" i="7"/>
  <c r="BG46" i="7"/>
  <c r="BI46" i="7"/>
  <c r="BJ46" i="7"/>
  <c r="BK46" i="7"/>
  <c r="BL46" i="7"/>
  <c r="BN46" i="7"/>
  <c r="BO46" i="7"/>
  <c r="BP46" i="7"/>
  <c r="BQ46" i="7"/>
  <c r="BS46" i="7"/>
  <c r="BT46" i="7"/>
  <c r="BU46" i="7"/>
  <c r="BV46" i="7"/>
  <c r="BX46" i="7"/>
  <c r="BY46" i="7"/>
  <c r="BZ46" i="7"/>
  <c r="CA46" i="7"/>
  <c r="CC46" i="7"/>
  <c r="CD46" i="7"/>
  <c r="CE46" i="7"/>
  <c r="CF46" i="7"/>
  <c r="CH46" i="7"/>
  <c r="CI46" i="7"/>
  <c r="CJ46" i="7"/>
  <c r="CK46" i="7"/>
  <c r="CM46" i="7"/>
  <c r="CN46" i="7"/>
  <c r="BB48" i="7"/>
  <c r="BK47" i="7"/>
  <c r="BL47" i="7"/>
  <c r="BN47" i="7"/>
  <c r="BO47" i="7"/>
  <c r="BP47" i="7"/>
  <c r="BQ47" i="7"/>
  <c r="BS47" i="7"/>
  <c r="BT47" i="7"/>
  <c r="BU47" i="7"/>
  <c r="BV47" i="7"/>
  <c r="BX47" i="7"/>
  <c r="BY47" i="7"/>
  <c r="BZ47" i="7"/>
  <c r="CA47" i="7"/>
  <c r="CC47" i="7"/>
  <c r="CD47" i="7"/>
  <c r="CE47" i="7"/>
  <c r="CF47" i="7"/>
  <c r="CH47" i="7"/>
  <c r="CI47" i="7"/>
  <c r="CJ47" i="7"/>
  <c r="CK47" i="7"/>
  <c r="CM47" i="7"/>
  <c r="CN47" i="7"/>
  <c r="CO47" i="7"/>
  <c r="CP47" i="7"/>
  <c r="AY47" i="7"/>
  <c r="AZ47" i="7"/>
  <c r="BA47" i="7"/>
  <c r="BB47" i="7"/>
  <c r="AW47" i="7"/>
  <c r="AV47" i="7"/>
  <c r="AU47" i="7"/>
  <c r="AU46" i="7"/>
  <c r="AV46" i="7"/>
  <c r="AW46" i="7"/>
  <c r="AY46" i="7"/>
  <c r="AZ46" i="7"/>
  <c r="BA46" i="7"/>
  <c r="BB46" i="7"/>
  <c r="AP46" i="7"/>
  <c r="AQ46" i="7"/>
  <c r="AR46" i="7"/>
  <c r="AF46" i="7"/>
  <c r="AG46" i="7"/>
  <c r="AH46" i="7"/>
  <c r="AJ46" i="7"/>
  <c r="AK46" i="7"/>
  <c r="AL46" i="7"/>
  <c r="AM46" i="7"/>
  <c r="Z48" i="7"/>
  <c r="AA48" i="7"/>
  <c r="AB48" i="7"/>
  <c r="AC48" i="7"/>
  <c r="AE48" i="7"/>
  <c r="AF48" i="7"/>
  <c r="Z47" i="7"/>
  <c r="AA47" i="7"/>
  <c r="AB47" i="7"/>
  <c r="AC47" i="7"/>
  <c r="AE47" i="7"/>
  <c r="AF47" i="7"/>
  <c r="AG47" i="7"/>
  <c r="Z46" i="7"/>
  <c r="AA46" i="7"/>
  <c r="AB46" i="7"/>
  <c r="AC46" i="7"/>
  <c r="B45" i="7"/>
  <c r="T40" i="7"/>
  <c r="U38" i="7"/>
  <c r="U40" i="7"/>
  <c r="CL39" i="7"/>
  <c r="CG39" i="7"/>
  <c r="CB39" i="7"/>
  <c r="BW39" i="7"/>
  <c r="BR39" i="7"/>
  <c r="BM39" i="7"/>
  <c r="AY39" i="7"/>
  <c r="AU39" i="7"/>
  <c r="AS39" i="7"/>
  <c r="AS362" i="7"/>
  <c r="AN39" i="7"/>
  <c r="AI39" i="7"/>
  <c r="Z39" i="7"/>
  <c r="Y39" i="7"/>
  <c r="Y362" i="7"/>
  <c r="Z36" i="7"/>
  <c r="AA36" i="7"/>
  <c r="AB36" i="7"/>
  <c r="AC36" i="7"/>
  <c r="AE36" i="7"/>
  <c r="AF36" i="7"/>
  <c r="Z35" i="7"/>
  <c r="AA35" i="7"/>
  <c r="AB35" i="7"/>
  <c r="AC35" i="7"/>
  <c r="CH36" i="7"/>
  <c r="CI36" i="7"/>
  <c r="CJ36" i="7"/>
  <c r="CK36" i="7"/>
  <c r="CC36" i="7"/>
  <c r="CD36" i="7"/>
  <c r="CE36" i="7"/>
  <c r="CF36" i="7"/>
  <c r="BX36" i="7"/>
  <c r="BY36" i="7"/>
  <c r="BZ36" i="7"/>
  <c r="CA36" i="7"/>
  <c r="BS36" i="7"/>
  <c r="BT36" i="7"/>
  <c r="BU36" i="7"/>
  <c r="BV36" i="7"/>
  <c r="BN36" i="7"/>
  <c r="BO36" i="7"/>
  <c r="BP36" i="7"/>
  <c r="BI36" i="7"/>
  <c r="BJ36" i="7"/>
  <c r="BK36" i="7"/>
  <c r="BL36" i="7"/>
  <c r="BE37" i="7"/>
  <c r="BF37" i="7"/>
  <c r="BG37" i="7"/>
  <c r="BI37" i="7"/>
  <c r="BJ37" i="7"/>
  <c r="BK37" i="7"/>
  <c r="BL37" i="7"/>
  <c r="BN37" i="7"/>
  <c r="BO37" i="7"/>
  <c r="BP37" i="7"/>
  <c r="BQ37" i="7"/>
  <c r="BS37" i="7"/>
  <c r="BT37" i="7"/>
  <c r="BU37" i="7"/>
  <c r="BV37" i="7"/>
  <c r="BX37" i="7"/>
  <c r="BY37" i="7"/>
  <c r="BZ37" i="7"/>
  <c r="CA37" i="7"/>
  <c r="CC37" i="7"/>
  <c r="CD37" i="7"/>
  <c r="CE37" i="7"/>
  <c r="CF37" i="7"/>
  <c r="CH37" i="7"/>
  <c r="CI37" i="7"/>
  <c r="CJ37" i="7"/>
  <c r="CK37" i="7"/>
  <c r="CM37" i="7"/>
  <c r="CN37" i="7"/>
  <c r="CO37" i="7"/>
  <c r="CP37" i="7"/>
  <c r="BB36" i="7"/>
  <c r="BA36" i="7"/>
  <c r="AZ36" i="7"/>
  <c r="AY36" i="7"/>
  <c r="AW36" i="7"/>
  <c r="AV36" i="7"/>
  <c r="AF35" i="7"/>
  <c r="AG35" i="7"/>
  <c r="AH35" i="7"/>
  <c r="AA37" i="7"/>
  <c r="AB37" i="7"/>
  <c r="AC37" i="7"/>
  <c r="AE37" i="7"/>
  <c r="BY32" i="7"/>
  <c r="BZ32" i="7"/>
  <c r="BZ93" i="7"/>
  <c r="BG32" i="7"/>
  <c r="BG339" i="7"/>
  <c r="BD32" i="7"/>
  <c r="BD339" i="7"/>
  <c r="AK32" i="7"/>
  <c r="AK339" i="7"/>
  <c r="AF32" i="7"/>
  <c r="AF339" i="7"/>
  <c r="X27" i="7"/>
  <c r="BZ27" i="7"/>
  <c r="BY27" i="7"/>
  <c r="BX27" i="7"/>
  <c r="BV27" i="7"/>
  <c r="BU27" i="7"/>
  <c r="BT27" i="7"/>
  <c r="BS27" i="7"/>
  <c r="BQ27" i="7"/>
  <c r="BP27" i="7"/>
  <c r="BO27" i="7"/>
  <c r="BN27" i="7"/>
  <c r="BL27" i="7"/>
  <c r="BK27" i="7"/>
  <c r="BJ27" i="7"/>
  <c r="BI27" i="7"/>
  <c r="BI24" i="7"/>
  <c r="BG27" i="7"/>
  <c r="BF27" i="7"/>
  <c r="BE27" i="7"/>
  <c r="BD27" i="7"/>
  <c r="BB27" i="7"/>
  <c r="BA27" i="7"/>
  <c r="AZ27" i="7"/>
  <c r="AY27" i="7"/>
  <c r="AW27" i="7"/>
  <c r="AV27" i="7"/>
  <c r="AU27" i="7"/>
  <c r="AT27" i="7"/>
  <c r="AR27" i="7"/>
  <c r="AP27" i="7"/>
  <c r="AO27" i="7"/>
  <c r="AM27" i="7"/>
  <c r="AL27" i="7"/>
  <c r="AK27" i="7"/>
  <c r="AJ27" i="7"/>
  <c r="AH27" i="7"/>
  <c r="AG27" i="7"/>
  <c r="AF27" i="7"/>
  <c r="AE27" i="7"/>
  <c r="AC27" i="7"/>
  <c r="AB27" i="7"/>
  <c r="AB28" i="7" s="1"/>
  <c r="AA27" i="7"/>
  <c r="Z27" i="7"/>
  <c r="Z28" i="7" s="1"/>
  <c r="BZ24" i="7"/>
  <c r="BY24" i="7"/>
  <c r="BX24" i="7"/>
  <c r="BV24" i="7"/>
  <c r="BW24" i="7" s="1"/>
  <c r="BU24" i="7"/>
  <c r="BT24" i="7"/>
  <c r="BS24" i="7"/>
  <c r="BQ24" i="7"/>
  <c r="BR24" i="7" s="1"/>
  <c r="BP24" i="7"/>
  <c r="BO24" i="7"/>
  <c r="BN24" i="7"/>
  <c r="BL24" i="7"/>
  <c r="AX24" i="7"/>
  <c r="AS24" i="7"/>
  <c r="AM24" i="7"/>
  <c r="AN24" i="7" s="1"/>
  <c r="AL24" i="7"/>
  <c r="AK24" i="7"/>
  <c r="AJ24" i="7"/>
  <c r="AI24" i="7"/>
  <c r="AE24" i="7"/>
  <c r="AF24" i="7"/>
  <c r="AD24" i="7"/>
  <c r="Y24" i="7"/>
  <c r="T24" i="7"/>
  <c r="T23" i="7"/>
  <c r="BG24" i="7"/>
  <c r="BH24" i="7" s="1"/>
  <c r="BF24" i="7"/>
  <c r="BE24" i="7"/>
  <c r="BD24" i="7"/>
  <c r="BB24" i="7"/>
  <c r="BC24" i="7" s="1"/>
  <c r="BA24" i="7"/>
  <c r="S23" i="7"/>
  <c r="BY18" i="7"/>
  <c r="BY19" i="7" s="1"/>
  <c r="BX18" i="7"/>
  <c r="BV18" i="7"/>
  <c r="BU18" i="7"/>
  <c r="BT18" i="7"/>
  <c r="BS18" i="7"/>
  <c r="BQ18" i="7"/>
  <c r="BP18" i="7"/>
  <c r="BO18" i="7"/>
  <c r="BE18" i="7"/>
  <c r="BD18" i="7"/>
  <c r="BB18" i="7"/>
  <c r="BA18" i="7"/>
  <c r="AZ18" i="7"/>
  <c r="AY18" i="7"/>
  <c r="BC18" i="7" s="1"/>
  <c r="AV18" i="7"/>
  <c r="AT18" i="7"/>
  <c r="AR18" i="7"/>
  <c r="AQ18" i="7"/>
  <c r="AP18" i="7"/>
  <c r="AO18" i="7"/>
  <c r="AM18" i="7"/>
  <c r="AL18" i="7"/>
  <c r="AK18" i="7"/>
  <c r="AJ18" i="7"/>
  <c r="AG18" i="7"/>
  <c r="AF18" i="7"/>
  <c r="AE18" i="7"/>
  <c r="AB18" i="7"/>
  <c r="AB19" i="7"/>
  <c r="AA18" i="7"/>
  <c r="AA19" i="7" s="1"/>
  <c r="Z18" i="7"/>
  <c r="BG12" i="7"/>
  <c r="BL12" i="7"/>
  <c r="BK12" i="7"/>
  <c r="BJ12" i="7"/>
  <c r="BI12" i="7"/>
  <c r="BZ12" i="7"/>
  <c r="BY12" i="7"/>
  <c r="BX12" i="7"/>
  <c r="BV12" i="7"/>
  <c r="BU12" i="7"/>
  <c r="BT12" i="7"/>
  <c r="BS12" i="7"/>
  <c r="BO12" i="7"/>
  <c r="BN12" i="7"/>
  <c r="BF12" i="7"/>
  <c r="BE12" i="7"/>
  <c r="BD12" i="7"/>
  <c r="BB12" i="7"/>
  <c r="BA12" i="7"/>
  <c r="AZ12" i="7"/>
  <c r="AY12" i="7"/>
  <c r="AW12" i="7"/>
  <c r="AV12" i="7"/>
  <c r="AU12" i="7"/>
  <c r="AT12" i="7"/>
  <c r="AR12" i="7"/>
  <c r="AQ12" i="7"/>
  <c r="AP12" i="7"/>
  <c r="AO12" i="7"/>
  <c r="AM12" i="7"/>
  <c r="AL12" i="7"/>
  <c r="AK12" i="7"/>
  <c r="AJ12" i="7"/>
  <c r="AG12" i="7"/>
  <c r="AF12" i="7"/>
  <c r="AE12" i="7"/>
  <c r="AB12" i="7"/>
  <c r="AA12" i="7"/>
  <c r="Z12" i="7"/>
  <c r="BZ9" i="7"/>
  <c r="CA8" i="7" s="1"/>
  <c r="CB8" i="7" s="1"/>
  <c r="BY9" i="7"/>
  <c r="BZ8" i="7" s="1"/>
  <c r="BV9" i="7"/>
  <c r="BU9" i="7"/>
  <c r="BV8" i="7" s="1"/>
  <c r="BW8" i="7" s="1"/>
  <c r="BQ9" i="7"/>
  <c r="BP9" i="7"/>
  <c r="BQ8" i="7" s="1"/>
  <c r="BR8" i="7" s="1"/>
  <c r="BO9" i="7"/>
  <c r="BP8" i="7" s="1"/>
  <c r="BN9" i="7"/>
  <c r="BO8" i="7" s="1"/>
  <c r="BL9" i="7"/>
  <c r="BN8" i="7" s="1"/>
  <c r="BI9" i="7"/>
  <c r="BJ8" i="7" s="1"/>
  <c r="BG9" i="7"/>
  <c r="BF9" i="7"/>
  <c r="BG8" i="7" s="1"/>
  <c r="BH8" i="7" s="1"/>
  <c r="BE9" i="7"/>
  <c r="BF8" i="7" s="1"/>
  <c r="BD9" i="7"/>
  <c r="BE8" i="7" s="1"/>
  <c r="BA9" i="7"/>
  <c r="BB8" i="7" s="1"/>
  <c r="BC8" i="7" s="1"/>
  <c r="AZ9" i="7"/>
  <c r="BA8" i="7" s="1"/>
  <c r="AY9" i="7"/>
  <c r="AZ8" i="7"/>
  <c r="AW9" i="7"/>
  <c r="AX9" i="7" s="1"/>
  <c r="AV9" i="7"/>
  <c r="AW8" i="7" s="1"/>
  <c r="AL9" i="7"/>
  <c r="AM8" i="7" s="1"/>
  <c r="AK9" i="7"/>
  <c r="AL8" i="7" s="1"/>
  <c r="AJ9" i="7"/>
  <c r="AK8" i="7" s="1"/>
  <c r="AH9" i="7"/>
  <c r="AI9" i="7" s="1"/>
  <c r="AG9" i="7"/>
  <c r="AH8" i="7" s="1"/>
  <c r="AF9" i="7"/>
  <c r="AG8" i="7" s="1"/>
  <c r="AG11" i="7" s="1"/>
  <c r="AE9" i="7"/>
  <c r="AF8" i="7" s="1"/>
  <c r="AC9" i="7"/>
  <c r="AB9" i="7"/>
  <c r="AA9" i="7"/>
  <c r="Z9" i="7"/>
  <c r="AC8" i="7"/>
  <c r="AB8" i="7"/>
  <c r="AB11" i="7"/>
  <c r="AB13" i="7" s="1"/>
  <c r="AA8" i="7"/>
  <c r="Y8" i="7"/>
  <c r="CL5" i="7"/>
  <c r="CK5" i="7"/>
  <c r="CJ5" i="7"/>
  <c r="CI5" i="7"/>
  <c r="CH5" i="7"/>
  <c r="CG5" i="7"/>
  <c r="CF5" i="7"/>
  <c r="CE5" i="7"/>
  <c r="CD5" i="7"/>
  <c r="CC5" i="7"/>
  <c r="CB5" i="7"/>
  <c r="CA5" i="7"/>
  <c r="BZ5" i="7"/>
  <c r="BY5" i="7"/>
  <c r="BX5" i="7"/>
  <c r="BW5" i="7"/>
  <c r="BV5" i="7"/>
  <c r="BU5" i="7"/>
  <c r="BT5" i="7"/>
  <c r="BS5" i="7"/>
  <c r="BR5" i="7"/>
  <c r="BQ5" i="7"/>
  <c r="BP5" i="7"/>
  <c r="BO5" i="7"/>
  <c r="BN5" i="7"/>
  <c r="BM5" i="7"/>
  <c r="BL5" i="7"/>
  <c r="BK5" i="7"/>
  <c r="BJ5" i="7"/>
  <c r="BI5" i="7"/>
  <c r="BH5" i="7"/>
  <c r="BG5" i="7"/>
  <c r="BF5" i="7"/>
  <c r="BE5" i="7"/>
  <c r="BD5" i="7"/>
  <c r="BC5" i="7"/>
  <c r="BB5" i="7"/>
  <c r="BA5" i="7"/>
  <c r="AZ5" i="7"/>
  <c r="AY5" i="7"/>
  <c r="AX5" i="7"/>
  <c r="AW5" i="7"/>
  <c r="AV5" i="7"/>
  <c r="AU5" i="7"/>
  <c r="AT5" i="7"/>
  <c r="AS5" i="7"/>
  <c r="AR5" i="7"/>
  <c r="AQ5" i="7"/>
  <c r="AP5" i="7"/>
  <c r="AO5" i="7"/>
  <c r="AN5" i="7"/>
  <c r="AM5" i="7"/>
  <c r="AL5" i="7"/>
  <c r="AK5" i="7"/>
  <c r="AJ5" i="7"/>
  <c r="AI5" i="7"/>
  <c r="AH5" i="7"/>
  <c r="AG5" i="7"/>
  <c r="AF5" i="7"/>
  <c r="AE5" i="7"/>
  <c r="AD5" i="7"/>
  <c r="AC5" i="7"/>
  <c r="AB5" i="7"/>
  <c r="AA5" i="7"/>
  <c r="Z5" i="7"/>
  <c r="Y5" i="7"/>
  <c r="X5" i="7"/>
  <c r="W5" i="7"/>
  <c r="V5" i="7"/>
  <c r="U5" i="7"/>
  <c r="T5" i="7"/>
  <c r="S5" i="7"/>
  <c r="R5" i="7"/>
  <c r="Q5" i="7"/>
  <c r="P5" i="7"/>
  <c r="O5" i="7"/>
  <c r="N5" i="7"/>
  <c r="M5" i="7"/>
  <c r="L5" i="7"/>
  <c r="K5" i="7"/>
  <c r="J5" i="7"/>
  <c r="I5" i="7"/>
  <c r="H5" i="7"/>
  <c r="G5" i="7"/>
  <c r="F5" i="7"/>
  <c r="E5" i="7"/>
  <c r="D5" i="7"/>
  <c r="CH4" i="7"/>
  <c r="CH3" i="7"/>
  <c r="CC4" i="7"/>
  <c r="CC3" i="7"/>
  <c r="CK3" i="7"/>
  <c r="CJ3" i="7"/>
  <c r="CI3" i="7"/>
  <c r="CF3" i="7"/>
  <c r="CE3" i="7"/>
  <c r="CD3" i="7"/>
  <c r="CA3" i="7"/>
  <c r="BZ3" i="7"/>
  <c r="BY3" i="7"/>
  <c r="BX3" i="7"/>
  <c r="BV3" i="7"/>
  <c r="BU3" i="7"/>
  <c r="BT3" i="7"/>
  <c r="BS3" i="7"/>
  <c r="BQ3" i="7"/>
  <c r="BP3" i="7"/>
  <c r="BO3" i="7"/>
  <c r="BN3" i="7"/>
  <c r="BL3" i="7"/>
  <c r="BK3" i="7"/>
  <c r="BJ3" i="7"/>
  <c r="BI3" i="7"/>
  <c r="BG3" i="7"/>
  <c r="BF3" i="7"/>
  <c r="BE3" i="7"/>
  <c r="BD3" i="7"/>
  <c r="BB3" i="7"/>
  <c r="BA3" i="7"/>
  <c r="AZ3" i="7"/>
  <c r="AY3" i="7"/>
  <c r="AW3" i="7"/>
  <c r="AV3" i="7"/>
  <c r="AU3" i="7"/>
  <c r="AT3" i="7"/>
  <c r="AR3" i="7"/>
  <c r="AQ3" i="7"/>
  <c r="AP3" i="7"/>
  <c r="AO3" i="7"/>
  <c r="B1" i="7"/>
  <c r="AV35" i="57"/>
  <c r="AV33" i="57"/>
  <c r="AT34" i="57"/>
  <c r="AS34" i="57"/>
  <c r="AR34" i="57"/>
  <c r="AP34" i="57"/>
  <c r="AO34" i="57"/>
  <c r="AN34" i="57"/>
  <c r="AM34" i="57"/>
  <c r="AK34" i="57"/>
  <c r="AJ34" i="57"/>
  <c r="AI34" i="57"/>
  <c r="AH34" i="57"/>
  <c r="AF34" i="57"/>
  <c r="AE34" i="57"/>
  <c r="AD34" i="57"/>
  <c r="AC34" i="57"/>
  <c r="AA34" i="57"/>
  <c r="Z34" i="57"/>
  <c r="Y34" i="57"/>
  <c r="X34" i="57"/>
  <c r="V34" i="57"/>
  <c r="U34" i="57"/>
  <c r="T34" i="57"/>
  <c r="S34" i="57"/>
  <c r="Q34" i="57"/>
  <c r="P34" i="57"/>
  <c r="O34" i="57"/>
  <c r="N34" i="57"/>
  <c r="L34" i="57"/>
  <c r="K34" i="57"/>
  <c r="J34" i="57"/>
  <c r="I34" i="57"/>
  <c r="AQ33" i="57"/>
  <c r="AP33" i="57"/>
  <c r="AO33" i="57"/>
  <c r="AN33" i="57"/>
  <c r="AM33" i="57"/>
  <c r="AL33" i="57"/>
  <c r="AK33" i="57"/>
  <c r="AJ33" i="57"/>
  <c r="AI33" i="57"/>
  <c r="AH33" i="57"/>
  <c r="AG33" i="57"/>
  <c r="AF33" i="57"/>
  <c r="AE33" i="57"/>
  <c r="AD33" i="57"/>
  <c r="AC33" i="57"/>
  <c r="AB33" i="57"/>
  <c r="AA33" i="57"/>
  <c r="Z33" i="57"/>
  <c r="Y33" i="57"/>
  <c r="X33" i="57"/>
  <c r="B33" i="57"/>
  <c r="B32" i="57"/>
  <c r="AW28" i="57"/>
  <c r="AU28" i="57"/>
  <c r="AT28" i="57"/>
  <c r="AS28" i="57"/>
  <c r="AR28" i="57"/>
  <c r="AP28" i="57"/>
  <c r="AO28" i="57"/>
  <c r="AN28" i="57"/>
  <c r="AM28" i="57"/>
  <c r="AK28" i="57"/>
  <c r="AJ28" i="57"/>
  <c r="AI28" i="57"/>
  <c r="AH28" i="57"/>
  <c r="AF28" i="57"/>
  <c r="AE28" i="57"/>
  <c r="AD28" i="57"/>
  <c r="AC28" i="57"/>
  <c r="AA28" i="57"/>
  <c r="Z28" i="57"/>
  <c r="Y28" i="57"/>
  <c r="X28" i="57"/>
  <c r="V28" i="57"/>
  <c r="U28" i="57"/>
  <c r="T28" i="57"/>
  <c r="S28" i="57"/>
  <c r="Q28" i="57"/>
  <c r="P28" i="57"/>
  <c r="O28" i="57"/>
  <c r="N28" i="57"/>
  <c r="L28" i="57"/>
  <c r="K28" i="57"/>
  <c r="J28" i="57"/>
  <c r="I28" i="57"/>
  <c r="G28" i="57"/>
  <c r="F28" i="57"/>
  <c r="E28" i="57"/>
  <c r="D28" i="57"/>
  <c r="BB27" i="57"/>
  <c r="BG27" i="57"/>
  <c r="AZ27" i="57"/>
  <c r="AY27" i="57"/>
  <c r="AX27" i="57"/>
  <c r="BC27" i="57"/>
  <c r="AV27" i="57"/>
  <c r="AV28" i="57"/>
  <c r="AQ27" i="57"/>
  <c r="AL27" i="57"/>
  <c r="AG27" i="57"/>
  <c r="AB27" i="57"/>
  <c r="W27" i="57"/>
  <c r="W28" i="57"/>
  <c r="R27" i="57"/>
  <c r="M27" i="57"/>
  <c r="M34" i="57"/>
  <c r="H27" i="57"/>
  <c r="H28" i="57"/>
  <c r="BC26" i="57"/>
  <c r="BC28" i="57"/>
  <c r="BO73" i="56"/>
  <c r="BO141" i="56" s="1"/>
  <c r="BB26" i="57"/>
  <c r="BB28" i="57"/>
  <c r="BG26" i="57"/>
  <c r="BL26" i="57"/>
  <c r="AZ26" i="57"/>
  <c r="AY26" i="57"/>
  <c r="BG22" i="57"/>
  <c r="BL22" i="57"/>
  <c r="BE22" i="57"/>
  <c r="BJ22" i="57"/>
  <c r="BO22" i="57"/>
  <c r="BT22" i="57"/>
  <c r="CD22" i="57"/>
  <c r="CI22" i="57" s="1"/>
  <c r="BD22" i="57"/>
  <c r="BI22" i="57"/>
  <c r="BC22" i="57"/>
  <c r="BH22" i="57"/>
  <c r="BM22" i="57"/>
  <c r="AW20" i="57"/>
  <c r="AV20" i="57"/>
  <c r="AU20" i="57"/>
  <c r="AT20" i="57"/>
  <c r="AS20" i="57"/>
  <c r="AR20" i="57"/>
  <c r="AQ20" i="57"/>
  <c r="AP20" i="57"/>
  <c r="AO20" i="57"/>
  <c r="AN20" i="57"/>
  <c r="AM20" i="57"/>
  <c r="AL20" i="57"/>
  <c r="AK20" i="57"/>
  <c r="AJ20" i="57"/>
  <c r="AI20" i="57"/>
  <c r="AH20" i="57"/>
  <c r="AG20" i="57"/>
  <c r="AF20" i="57"/>
  <c r="AE20" i="57"/>
  <c r="AD20" i="57"/>
  <c r="AC20" i="57"/>
  <c r="AB20" i="57"/>
  <c r="AA20" i="57"/>
  <c r="Z20" i="57"/>
  <c r="Y20" i="57"/>
  <c r="X20" i="57"/>
  <c r="W20" i="57"/>
  <c r="V20" i="57"/>
  <c r="U20" i="57"/>
  <c r="T20" i="57"/>
  <c r="S20" i="57"/>
  <c r="R20" i="57"/>
  <c r="Q20" i="57"/>
  <c r="P20" i="57"/>
  <c r="O20" i="57"/>
  <c r="N20" i="57"/>
  <c r="M20" i="57"/>
  <c r="L20" i="57"/>
  <c r="K20" i="57"/>
  <c r="J20" i="57"/>
  <c r="I20" i="57"/>
  <c r="H20" i="57"/>
  <c r="G20" i="57"/>
  <c r="F20" i="57"/>
  <c r="E20" i="57"/>
  <c r="D20" i="57"/>
  <c r="AD7" i="57"/>
  <c r="AB7" i="57"/>
  <c r="AA7" i="57"/>
  <c r="Z7" i="57"/>
  <c r="Y7" i="57"/>
  <c r="X7" i="57"/>
  <c r="W7" i="57"/>
  <c r="V7" i="57"/>
  <c r="U7" i="57"/>
  <c r="T7" i="57"/>
  <c r="S7" i="57"/>
  <c r="R7" i="57"/>
  <c r="Q7" i="57"/>
  <c r="P7" i="57"/>
  <c r="O7" i="57"/>
  <c r="N7" i="57"/>
  <c r="M7" i="57"/>
  <c r="L7" i="57"/>
  <c r="K7" i="57"/>
  <c r="J7" i="57"/>
  <c r="I7" i="57"/>
  <c r="H7" i="57"/>
  <c r="G7" i="57"/>
  <c r="F7" i="57"/>
  <c r="E7" i="57"/>
  <c r="D7" i="57"/>
  <c r="AP6" i="57"/>
  <c r="AP7" i="57"/>
  <c r="AO6" i="57"/>
  <c r="AO7" i="57"/>
  <c r="AO31" i="57"/>
  <c r="AN6" i="57"/>
  <c r="AM6" i="57"/>
  <c r="AK6" i="57"/>
  <c r="AK7" i="57"/>
  <c r="AJ6" i="57"/>
  <c r="AJ7" i="57"/>
  <c r="AI6" i="57"/>
  <c r="AI7" i="57"/>
  <c r="AI31" i="57"/>
  <c r="AH6" i="57"/>
  <c r="AH7" i="57"/>
  <c r="AF6" i="57"/>
  <c r="AF7" i="57"/>
  <c r="AE6" i="57"/>
  <c r="AE7" i="57"/>
  <c r="AD6" i="57"/>
  <c r="AC6" i="57"/>
  <c r="BB5" i="57"/>
  <c r="AX5" i="57"/>
  <c r="AX20" i="57"/>
  <c r="BZ4" i="57"/>
  <c r="BY4" i="57"/>
  <c r="BX4" i="57"/>
  <c r="BW4" i="57"/>
  <c r="BV4" i="57"/>
  <c r="BU4" i="57"/>
  <c r="BT4" i="57"/>
  <c r="BS4" i="57"/>
  <c r="BR4" i="57"/>
  <c r="BQ4" i="57"/>
  <c r="BP4" i="57"/>
  <c r="BO4" i="57"/>
  <c r="BN4" i="57"/>
  <c r="BM4" i="57"/>
  <c r="BL4" i="57"/>
  <c r="BK4" i="57"/>
  <c r="BJ4" i="57"/>
  <c r="BI4" i="57"/>
  <c r="BH4" i="57"/>
  <c r="BG4" i="57"/>
  <c r="BF4" i="57"/>
  <c r="BE4" i="57"/>
  <c r="BD4" i="57"/>
  <c r="BC4" i="57"/>
  <c r="BB4" i="57"/>
  <c r="BA4" i="57"/>
  <c r="AZ4" i="57"/>
  <c r="AY4" i="57"/>
  <c r="AX4" i="57"/>
  <c r="AW4" i="57"/>
  <c r="AV4" i="57"/>
  <c r="AU4" i="57"/>
  <c r="AT4" i="57"/>
  <c r="AS4" i="57"/>
  <c r="AR4" i="57"/>
  <c r="BV3" i="57"/>
  <c r="BQ3" i="57"/>
  <c r="BY24" i="11"/>
  <c r="BU24" i="11"/>
  <c r="BP24" i="11"/>
  <c r="BL24" i="11"/>
  <c r="BK24" i="11"/>
  <c r="BJ24" i="11"/>
  <c r="BI24" i="11"/>
  <c r="BF24" i="11"/>
  <c r="BE24" i="11"/>
  <c r="BD24" i="11"/>
  <c r="BA24" i="11"/>
  <c r="AZ24" i="11"/>
  <c r="AY24" i="11"/>
  <c r="AV24" i="11"/>
  <c r="AU24" i="11"/>
  <c r="AT24" i="11"/>
  <c r="BY22" i="11"/>
  <c r="BU22" i="11"/>
  <c r="BP22" i="11"/>
  <c r="BN22" i="11"/>
  <c r="BK22" i="11"/>
  <c r="BJ22" i="11"/>
  <c r="BI22" i="11"/>
  <c r="BF22" i="11"/>
  <c r="BE22" i="11"/>
  <c r="BD22" i="11"/>
  <c r="BA22" i="11"/>
  <c r="AZ22" i="11"/>
  <c r="AY22" i="11"/>
  <c r="AV22" i="11"/>
  <c r="AU22" i="11"/>
  <c r="AT22" i="11"/>
  <c r="BY21" i="11"/>
  <c r="BU21" i="11"/>
  <c r="BT21" i="11"/>
  <c r="BS21" i="11"/>
  <c r="BC21" i="11"/>
  <c r="BB21" i="11"/>
  <c r="BA21" i="11"/>
  <c r="AZ21" i="11"/>
  <c r="AY21" i="11"/>
  <c r="AX21" i="11"/>
  <c r="AW21" i="11"/>
  <c r="AV21" i="11"/>
  <c r="AU21" i="11"/>
  <c r="AT21" i="11"/>
  <c r="BO18" i="11"/>
  <c r="BN18" i="11"/>
  <c r="BY17" i="11"/>
  <c r="BU17" i="11"/>
  <c r="BT17" i="11"/>
  <c r="BP17" i="11"/>
  <c r="BA17" i="11"/>
  <c r="AZ17" i="11"/>
  <c r="AY17" i="11"/>
  <c r="AV17" i="11"/>
  <c r="AU17" i="11"/>
  <c r="AT17" i="11"/>
  <c r="AR17" i="11"/>
  <c r="AQ17" i="11"/>
  <c r="AP17" i="11"/>
  <c r="AO17" i="11"/>
  <c r="BS16" i="11"/>
  <c r="BY15" i="11"/>
  <c r="BU15" i="11"/>
  <c r="BT15" i="11"/>
  <c r="BP15" i="11"/>
  <c r="BN15" i="11"/>
  <c r="BA15" i="11"/>
  <c r="AZ15" i="11"/>
  <c r="AY15" i="11"/>
  <c r="AV15" i="11"/>
  <c r="AU15" i="11"/>
  <c r="AT15" i="11"/>
  <c r="AR15" i="11"/>
  <c r="AQ15" i="11"/>
  <c r="AP15" i="11"/>
  <c r="AO15" i="11"/>
  <c r="BU11" i="11"/>
  <c r="BU18" i="11"/>
  <c r="BM10" i="11"/>
  <c r="BM18" i="5" s="1"/>
  <c r="BM41" i="5" s="1"/>
  <c r="BH10" i="11"/>
  <c r="AW10" i="11"/>
  <c r="AW24" i="11"/>
  <c r="AS10" i="11"/>
  <c r="AS17" i="11" s="1"/>
  <c r="BY9" i="11"/>
  <c r="BY9" i="5"/>
  <c r="BU9" i="11"/>
  <c r="BT9" i="11"/>
  <c r="BT11" i="11"/>
  <c r="BT25" i="11"/>
  <c r="BP9" i="11"/>
  <c r="BN9" i="11"/>
  <c r="BN16" i="11" s="1"/>
  <c r="BA9" i="11"/>
  <c r="AZ9" i="11"/>
  <c r="AZ11" i="11" s="1"/>
  <c r="AY9" i="11"/>
  <c r="AV9" i="11"/>
  <c r="AV11" i="11"/>
  <c r="AU9" i="11"/>
  <c r="AT9" i="11"/>
  <c r="AT11" i="11"/>
  <c r="AR9" i="11"/>
  <c r="AQ9" i="11"/>
  <c r="AP9" i="11"/>
  <c r="AP16" i="11"/>
  <c r="AO9" i="11"/>
  <c r="AO16" i="11" s="1"/>
  <c r="BM7" i="11"/>
  <c r="BM5" i="11"/>
  <c r="BG7" i="11"/>
  <c r="AW7" i="11"/>
  <c r="AW9" i="11" s="1"/>
  <c r="AS7" i="11"/>
  <c r="AS15" i="11" s="1"/>
  <c r="BX6" i="11"/>
  <c r="BV6" i="11"/>
  <c r="BW6" i="11" s="1"/>
  <c r="CB21" i="11" s="1"/>
  <c r="CL5" i="11"/>
  <c r="CK5" i="11"/>
  <c r="CJ5" i="11"/>
  <c r="CI5" i="11"/>
  <c r="CH5" i="11"/>
  <c r="CG5" i="11"/>
  <c r="CF5" i="11"/>
  <c r="CE5" i="11"/>
  <c r="CD5" i="11"/>
  <c r="CC5" i="11"/>
  <c r="CB5" i="11"/>
  <c r="CA5" i="11"/>
  <c r="BZ5" i="11"/>
  <c r="BY5" i="11"/>
  <c r="BX5" i="11"/>
  <c r="BW5" i="11"/>
  <c r="BV5" i="11"/>
  <c r="BU5" i="11"/>
  <c r="BT5" i="11"/>
  <c r="BS5" i="11"/>
  <c r="BR5" i="11"/>
  <c r="BQ5" i="11"/>
  <c r="BP5" i="11"/>
  <c r="BO5" i="11"/>
  <c r="BN5" i="11"/>
  <c r="BL5" i="11"/>
  <c r="BK5" i="11"/>
  <c r="BJ5" i="11"/>
  <c r="BI5" i="11"/>
  <c r="BH5" i="11"/>
  <c r="BG5" i="11"/>
  <c r="BF5" i="11"/>
  <c r="BE5" i="11"/>
  <c r="BD5" i="11"/>
  <c r="BC5" i="11"/>
  <c r="BB5" i="11"/>
  <c r="BA5" i="11"/>
  <c r="AZ5" i="11"/>
  <c r="AY5" i="11"/>
  <c r="AX5" i="11"/>
  <c r="AW5" i="11"/>
  <c r="AV5" i="11"/>
  <c r="AU5" i="11"/>
  <c r="AT5" i="11"/>
  <c r="AS5" i="11"/>
  <c r="AR5" i="11"/>
  <c r="AQ5" i="11"/>
  <c r="AP5" i="11"/>
  <c r="AO5" i="11"/>
  <c r="AN5" i="11"/>
  <c r="AM5" i="11"/>
  <c r="AL5" i="11"/>
  <c r="AK5" i="11"/>
  <c r="AJ5" i="11"/>
  <c r="AI5" i="11"/>
  <c r="AH5" i="11"/>
  <c r="AG5" i="11"/>
  <c r="AF5" i="11"/>
  <c r="AE5" i="11"/>
  <c r="AD5" i="11"/>
  <c r="AC5" i="11"/>
  <c r="AB5" i="11"/>
  <c r="AA5" i="11"/>
  <c r="Z5" i="11"/>
  <c r="Y5" i="11"/>
  <c r="X5" i="11"/>
  <c r="W5" i="11"/>
  <c r="V5" i="11"/>
  <c r="U5" i="11"/>
  <c r="T5" i="11"/>
  <c r="S5" i="11"/>
  <c r="R5" i="11"/>
  <c r="Q5" i="11"/>
  <c r="P5" i="11"/>
  <c r="O5" i="11"/>
  <c r="N5" i="11"/>
  <c r="M5" i="11"/>
  <c r="L5" i="11"/>
  <c r="K5" i="11"/>
  <c r="J5" i="11"/>
  <c r="I5" i="11"/>
  <c r="H5" i="11"/>
  <c r="G5" i="11"/>
  <c r="F5" i="11"/>
  <c r="E5" i="11"/>
  <c r="D5" i="11"/>
  <c r="CH4" i="11"/>
  <c r="CC4" i="11"/>
  <c r="B1" i="11"/>
  <c r="AY22" i="66"/>
  <c r="AY21" i="66"/>
  <c r="AZ21" i="66" s="1"/>
  <c r="BJ21" i="66" s="1"/>
  <c r="BL22" i="66"/>
  <c r="BL21" i="66"/>
  <c r="AZ20" i="66"/>
  <c r="AY19" i="66"/>
  <c r="AY18" i="66"/>
  <c r="BL19" i="66"/>
  <c r="BL18" i="66"/>
  <c r="AZ17" i="66"/>
  <c r="AZ16" i="66"/>
  <c r="AZ15" i="66"/>
  <c r="M16" i="66"/>
  <c r="Q16" i="66" s="1"/>
  <c r="AY14" i="66"/>
  <c r="AY13" i="66"/>
  <c r="AY12" i="66"/>
  <c r="AY11" i="66"/>
  <c r="AZ11" i="66" s="1"/>
  <c r="BL14" i="66"/>
  <c r="BL13" i="66"/>
  <c r="BL12" i="66"/>
  <c r="BL11" i="66"/>
  <c r="BL9" i="66"/>
  <c r="BZ42" i="5"/>
  <c r="BY42" i="5"/>
  <c r="BX42" i="5"/>
  <c r="BV42" i="5"/>
  <c r="BU42" i="5"/>
  <c r="BT42" i="5"/>
  <c r="BS42" i="5"/>
  <c r="BA42" i="5"/>
  <c r="BH41" i="5"/>
  <c r="BI29" i="5"/>
  <c r="BG29" i="5"/>
  <c r="BF29" i="5"/>
  <c r="BE29" i="5"/>
  <c r="BD29" i="5"/>
  <c r="BB29" i="5"/>
  <c r="BA29" i="5"/>
  <c r="AZ29" i="5"/>
  <c r="AY29" i="5"/>
  <c r="BH21" i="5"/>
  <c r="BC21" i="5"/>
  <c r="CA16" i="5"/>
  <c r="BZ16" i="5"/>
  <c r="BY16" i="5"/>
  <c r="BX16" i="5"/>
  <c r="BV16" i="5"/>
  <c r="BV21" i="5" s="1"/>
  <c r="BS16" i="5"/>
  <c r="BS21" i="5" s="1"/>
  <c r="BQ16" i="5"/>
  <c r="BR16" i="5" s="1"/>
  <c r="BR29" i="5" s="1"/>
  <c r="BP16" i="5"/>
  <c r="BP21" i="5" s="1"/>
  <c r="BO16" i="5"/>
  <c r="BN16" i="5"/>
  <c r="BQ15" i="5"/>
  <c r="BQ37" i="5" s="1"/>
  <c r="BP15" i="5"/>
  <c r="BO15" i="5"/>
  <c r="BN15" i="5"/>
  <c r="BL15" i="5"/>
  <c r="BL14" i="5"/>
  <c r="BL16" i="5" s="1"/>
  <c r="BK15" i="5"/>
  <c r="BJ15" i="5"/>
  <c r="BI15" i="5"/>
  <c r="BG15" i="5"/>
  <c r="BG18" i="5" s="1"/>
  <c r="BF15" i="5"/>
  <c r="BF18" i="5" s="1"/>
  <c r="BU14" i="5"/>
  <c r="BU16" i="5"/>
  <c r="BT14" i="5"/>
  <c r="BR14" i="5"/>
  <c r="BR13" i="5"/>
  <c r="BK14" i="5"/>
  <c r="BK16" i="5" s="1"/>
  <c r="CB14" i="5"/>
  <c r="BS12" i="5"/>
  <c r="BV9" i="5"/>
  <c r="BV50" i="59"/>
  <c r="BP9" i="5"/>
  <c r="BP12" i="5"/>
  <c r="BO9" i="5"/>
  <c r="BN9" i="5"/>
  <c r="BL9" i="5"/>
  <c r="BL50" i="59"/>
  <c r="BK9" i="5"/>
  <c r="BJ9" i="5"/>
  <c r="BI9" i="5"/>
  <c r="BG9" i="5"/>
  <c r="BG50" i="59"/>
  <c r="BF9" i="5"/>
  <c r="BF50" i="59"/>
  <c r="BE9" i="5"/>
  <c r="BE50" i="59"/>
  <c r="BD9" i="5"/>
  <c r="BD50" i="59"/>
  <c r="CL6" i="5"/>
  <c r="CK6" i="5"/>
  <c r="CJ6" i="5"/>
  <c r="CI6" i="5"/>
  <c r="CH6" i="5"/>
  <c r="CG6" i="5"/>
  <c r="CF6" i="5"/>
  <c r="CE6" i="5"/>
  <c r="CD6" i="5"/>
  <c r="CC6" i="5"/>
  <c r="CB6" i="5"/>
  <c r="CA6" i="5"/>
  <c r="BZ6" i="5"/>
  <c r="BY6" i="5"/>
  <c r="BX6" i="5"/>
  <c r="BW6" i="5"/>
  <c r="BV6" i="5"/>
  <c r="BU6" i="5"/>
  <c r="BT6" i="5"/>
  <c r="BS6" i="5"/>
  <c r="BR6" i="5"/>
  <c r="BQ6" i="5"/>
  <c r="BP6" i="5"/>
  <c r="BO6" i="5"/>
  <c r="BN6" i="5"/>
  <c r="BM6" i="5"/>
  <c r="BL6" i="5"/>
  <c r="BK6" i="5"/>
  <c r="BJ6" i="5"/>
  <c r="BI6" i="5"/>
  <c r="BH6" i="5"/>
  <c r="BG6" i="5"/>
  <c r="BF6" i="5"/>
  <c r="BE6" i="5"/>
  <c r="BD6" i="5"/>
  <c r="BC6" i="5"/>
  <c r="BB6" i="5"/>
  <c r="BA6" i="5"/>
  <c r="AZ6" i="5"/>
  <c r="AY6" i="5"/>
  <c r="AX6" i="5"/>
  <c r="AW6" i="5"/>
  <c r="AV6" i="5"/>
  <c r="AU6" i="5"/>
  <c r="AT6" i="5"/>
  <c r="AS6" i="5"/>
  <c r="AR6" i="5"/>
  <c r="AQ6" i="5"/>
  <c r="AP6" i="5"/>
  <c r="AO6" i="5"/>
  <c r="AN6" i="5"/>
  <c r="AM6" i="5"/>
  <c r="AL6" i="5"/>
  <c r="AK6" i="5"/>
  <c r="AJ6" i="5"/>
  <c r="AI6" i="5"/>
  <c r="AH6" i="5"/>
  <c r="AG6" i="5"/>
  <c r="AF6" i="5"/>
  <c r="AE6" i="5"/>
  <c r="AD6" i="5"/>
  <c r="AC6" i="5"/>
  <c r="AB6" i="5"/>
  <c r="AA6" i="5"/>
  <c r="Z6" i="5"/>
  <c r="Y6" i="5"/>
  <c r="X6" i="5"/>
  <c r="W6" i="5"/>
  <c r="V6" i="5"/>
  <c r="U6" i="5"/>
  <c r="T6" i="5"/>
  <c r="S6" i="5"/>
  <c r="R6" i="5"/>
  <c r="Q6" i="5"/>
  <c r="P6" i="5"/>
  <c r="O6" i="5"/>
  <c r="N6" i="5"/>
  <c r="M6" i="5"/>
  <c r="L6" i="5"/>
  <c r="K6" i="5"/>
  <c r="J6" i="5"/>
  <c r="I6" i="5"/>
  <c r="H6" i="5"/>
  <c r="G6" i="5"/>
  <c r="F6" i="5"/>
  <c r="E6" i="5"/>
  <c r="D6" i="5"/>
  <c r="CH5" i="5"/>
  <c r="CH4" i="5"/>
  <c r="CC5" i="5"/>
  <c r="CC4" i="5"/>
  <c r="CK4" i="5"/>
  <c r="CJ4" i="5"/>
  <c r="CI4" i="5"/>
  <c r="CF4" i="5"/>
  <c r="CE4" i="5"/>
  <c r="CD4" i="5"/>
  <c r="CA4" i="5"/>
  <c r="BZ4" i="5"/>
  <c r="BY4" i="5"/>
  <c r="BX4" i="5"/>
  <c r="BV4" i="5"/>
  <c r="BU4" i="5"/>
  <c r="BT4" i="5"/>
  <c r="BS4" i="5"/>
  <c r="BQ4" i="5"/>
  <c r="BP4" i="5"/>
  <c r="BO4" i="5"/>
  <c r="BN4" i="5"/>
  <c r="BL4" i="5"/>
  <c r="BK4" i="5"/>
  <c r="BJ4" i="5"/>
  <c r="BI4" i="5"/>
  <c r="BG4" i="5"/>
  <c r="BF4" i="5"/>
  <c r="BE4" i="5"/>
  <c r="BD4" i="5"/>
  <c r="BB4" i="5"/>
  <c r="BA4" i="5"/>
  <c r="AZ4" i="5"/>
  <c r="AY4" i="5"/>
  <c r="AW4" i="5"/>
  <c r="AV4" i="5"/>
  <c r="AU4" i="5"/>
  <c r="AT4" i="5"/>
  <c r="AR4" i="5"/>
  <c r="AQ4" i="5"/>
  <c r="AP4" i="5"/>
  <c r="AO4" i="5"/>
  <c r="B2" i="5"/>
  <c r="CL1" i="5"/>
  <c r="CK1" i="5"/>
  <c r="CJ1" i="5"/>
  <c r="AI63" i="59"/>
  <c r="AH63" i="59"/>
  <c r="AG63" i="59"/>
  <c r="AF63" i="59"/>
  <c r="AE63" i="59"/>
  <c r="AD63" i="59"/>
  <c r="AC63" i="59"/>
  <c r="AB63" i="59"/>
  <c r="AA63" i="59"/>
  <c r="Z63" i="59"/>
  <c r="AI59" i="59"/>
  <c r="AH59" i="59"/>
  <c r="AG59" i="59"/>
  <c r="AF59" i="59"/>
  <c r="AE59" i="59"/>
  <c r="AD59" i="59"/>
  <c r="AC59" i="59"/>
  <c r="AB59" i="59"/>
  <c r="AA59" i="59"/>
  <c r="Z59" i="59"/>
  <c r="Y59" i="59"/>
  <c r="X59" i="59"/>
  <c r="W59" i="59"/>
  <c r="V59" i="59"/>
  <c r="U59" i="59"/>
  <c r="AI58" i="59"/>
  <c r="AH58" i="59"/>
  <c r="AG58" i="59"/>
  <c r="AF58" i="59"/>
  <c r="AE58" i="59"/>
  <c r="AD58" i="59"/>
  <c r="AC58" i="59"/>
  <c r="AB58" i="59"/>
  <c r="AA58" i="59"/>
  <c r="Z58" i="59"/>
  <c r="Y58" i="59"/>
  <c r="X58" i="59"/>
  <c r="W58" i="59"/>
  <c r="V58" i="59"/>
  <c r="U58" i="59"/>
  <c r="AI55" i="59"/>
  <c r="AH55" i="59"/>
  <c r="AG55" i="59"/>
  <c r="AF55" i="59"/>
  <c r="AE55" i="59"/>
  <c r="AD55" i="59"/>
  <c r="AC55" i="59"/>
  <c r="AB55" i="59"/>
  <c r="AA55" i="59"/>
  <c r="Z55" i="59"/>
  <c r="Y55" i="59"/>
  <c r="X55" i="59"/>
  <c r="W55" i="59"/>
  <c r="V55" i="59"/>
  <c r="U55" i="59"/>
  <c r="AI54" i="59"/>
  <c r="AH54" i="59"/>
  <c r="AG54" i="59"/>
  <c r="AF54" i="59"/>
  <c r="AE54" i="59"/>
  <c r="AD54" i="59"/>
  <c r="AC54" i="59"/>
  <c r="AB54" i="59"/>
  <c r="AA54" i="59"/>
  <c r="Z54" i="59"/>
  <c r="Y54" i="59"/>
  <c r="X54" i="59"/>
  <c r="W54" i="59"/>
  <c r="V54" i="59"/>
  <c r="U54" i="59"/>
  <c r="BU50" i="59"/>
  <c r="BT50" i="59"/>
  <c r="BS50" i="59"/>
  <c r="BP50" i="59"/>
  <c r="BN50" i="59"/>
  <c r="BJ50" i="59"/>
  <c r="AX51" i="59"/>
  <c r="AW51" i="59"/>
  <c r="AV51" i="59"/>
  <c r="AU51" i="59"/>
  <c r="AT51" i="59"/>
  <c r="AS51" i="59"/>
  <c r="AR51" i="59"/>
  <c r="AQ51" i="59"/>
  <c r="AP51" i="59"/>
  <c r="AO51" i="59"/>
  <c r="BM44" i="59"/>
  <c r="B43" i="59"/>
  <c r="AN43" i="59"/>
  <c r="AM43" i="59"/>
  <c r="AL43" i="59"/>
  <c r="AK43" i="59"/>
  <c r="AK31" i="59"/>
  <c r="AJ43" i="59"/>
  <c r="AI43" i="59"/>
  <c r="AH43" i="59"/>
  <c r="AG43" i="59"/>
  <c r="AG61" i="59" s="1"/>
  <c r="AF43" i="59"/>
  <c r="AF31" i="59" s="1"/>
  <c r="AE43" i="59"/>
  <c r="AD43" i="59"/>
  <c r="AD61" i="59"/>
  <c r="AC43" i="59"/>
  <c r="AB43" i="59"/>
  <c r="AA43" i="59"/>
  <c r="AA61" i="59"/>
  <c r="Z43" i="59"/>
  <c r="Z61" i="59"/>
  <c r="Y43" i="59"/>
  <c r="Y61" i="59"/>
  <c r="X43" i="59"/>
  <c r="X61" i="59"/>
  <c r="W43" i="59"/>
  <c r="W61" i="59"/>
  <c r="V43" i="59"/>
  <c r="V31" i="59"/>
  <c r="U43" i="59"/>
  <c r="U61" i="59"/>
  <c r="T43" i="59"/>
  <c r="AN39" i="59"/>
  <c r="AM39" i="59"/>
  <c r="AL39" i="59"/>
  <c r="AL27" i="59" s="1"/>
  <c r="AK39" i="59"/>
  <c r="AJ39" i="59"/>
  <c r="AJ27" i="59" s="1"/>
  <c r="AI39" i="59"/>
  <c r="AI27" i="59" s="1"/>
  <c r="AH39" i="59"/>
  <c r="AH56" i="59" s="1"/>
  <c r="AG39" i="59"/>
  <c r="AG56" i="59"/>
  <c r="AF39" i="59"/>
  <c r="AE39" i="59"/>
  <c r="AE68" i="59" s="1"/>
  <c r="AD39" i="59"/>
  <c r="AD56" i="59"/>
  <c r="AC39" i="59"/>
  <c r="AC27" i="59"/>
  <c r="AB39" i="59"/>
  <c r="AA39" i="59"/>
  <c r="Z39" i="59"/>
  <c r="Z27" i="59"/>
  <c r="Y39" i="59"/>
  <c r="X39" i="59"/>
  <c r="W39" i="59"/>
  <c r="W56" i="59"/>
  <c r="V39" i="59"/>
  <c r="V56" i="59"/>
  <c r="U39" i="59"/>
  <c r="T39" i="59"/>
  <c r="B39" i="59"/>
  <c r="B38" i="59"/>
  <c r="BD34" i="59"/>
  <c r="BE34" i="59"/>
  <c r="B32" i="59"/>
  <c r="B44" i="59"/>
  <c r="B30" i="59"/>
  <c r="B42" i="59"/>
  <c r="B29" i="59"/>
  <c r="B41" i="59"/>
  <c r="CT30" i="59"/>
  <c r="CY30" i="59" s="1"/>
  <c r="DD30" i="59" s="1"/>
  <c r="CS30" i="59"/>
  <c r="CX30" i="59" s="1"/>
  <c r="DC30" i="59" s="1"/>
  <c r="B26" i="59"/>
  <c r="B25" i="59"/>
  <c r="B37" i="59"/>
  <c r="B21" i="59"/>
  <c r="B34" i="59" s="1"/>
  <c r="AN17" i="59"/>
  <c r="AM17" i="59"/>
  <c r="AM22" i="59"/>
  <c r="AL17" i="59"/>
  <c r="AK17" i="59"/>
  <c r="AJ17" i="59"/>
  <c r="AI17" i="59"/>
  <c r="AH17" i="59"/>
  <c r="AG17" i="59"/>
  <c r="AF17" i="59"/>
  <c r="AE17" i="59"/>
  <c r="AD17" i="59"/>
  <c r="AC17" i="59"/>
  <c r="AB17" i="59"/>
  <c r="AA17" i="59"/>
  <c r="AA31" i="59"/>
  <c r="Z17" i="59"/>
  <c r="Y17" i="59"/>
  <c r="Y31" i="59"/>
  <c r="X17" i="59"/>
  <c r="X31" i="59"/>
  <c r="W17" i="59"/>
  <c r="V17" i="59"/>
  <c r="U17" i="59"/>
  <c r="AN13" i="59"/>
  <c r="AM13" i="59"/>
  <c r="AL13" i="59"/>
  <c r="AL22" i="59"/>
  <c r="AK13" i="59"/>
  <c r="AK22" i="59"/>
  <c r="AJ13" i="59"/>
  <c r="AI13" i="59"/>
  <c r="AH13" i="59"/>
  <c r="AH22" i="59"/>
  <c r="AG13" i="59"/>
  <c r="AG22" i="59"/>
  <c r="AF13" i="59"/>
  <c r="AF22" i="59"/>
  <c r="AE13" i="59"/>
  <c r="AD13" i="59"/>
  <c r="AD22" i="59"/>
  <c r="AD48" i="59"/>
  <c r="AC13" i="59"/>
  <c r="AB13" i="59"/>
  <c r="AB22" i="59"/>
  <c r="AB48" i="59"/>
  <c r="AA13" i="59"/>
  <c r="AA27" i="59"/>
  <c r="Z13" i="59"/>
  <c r="Z22" i="59"/>
  <c r="Z48" i="59"/>
  <c r="Y13" i="59"/>
  <c r="X13" i="59"/>
  <c r="W13" i="59"/>
  <c r="V13" i="59"/>
  <c r="V22" i="59"/>
  <c r="V48" i="59"/>
  <c r="U13" i="59"/>
  <c r="CL8" i="59"/>
  <c r="CK8" i="59"/>
  <c r="CJ8" i="59"/>
  <c r="CI8" i="59"/>
  <c r="CH8" i="59"/>
  <c r="CG8" i="59"/>
  <c r="CF8" i="59"/>
  <c r="CE8" i="59"/>
  <c r="CD8" i="59"/>
  <c r="CC8" i="59"/>
  <c r="CB8" i="59"/>
  <c r="CA8" i="59"/>
  <c r="BZ8" i="59"/>
  <c r="BY8" i="59"/>
  <c r="BX8" i="59"/>
  <c r="BW8" i="59"/>
  <c r="BV8" i="59"/>
  <c r="BU8" i="59"/>
  <c r="BT8" i="59"/>
  <c r="BS8" i="59"/>
  <c r="BR8" i="59"/>
  <c r="BQ8" i="59"/>
  <c r="BP8" i="59"/>
  <c r="BO8" i="59"/>
  <c r="BN8" i="59"/>
  <c r="BM8" i="59"/>
  <c r="BL8" i="59"/>
  <c r="BK8" i="59"/>
  <c r="BJ8" i="59"/>
  <c r="BI8" i="59"/>
  <c r="BH8" i="59"/>
  <c r="BG8" i="59"/>
  <c r="BF8" i="59"/>
  <c r="BE8" i="59"/>
  <c r="BD8" i="59"/>
  <c r="BC8" i="59"/>
  <c r="BB8" i="59"/>
  <c r="BA8" i="59"/>
  <c r="AZ8" i="59"/>
  <c r="AY8" i="59"/>
  <c r="AX8" i="59"/>
  <c r="AW8" i="59"/>
  <c r="AV8" i="59"/>
  <c r="AU8" i="59"/>
  <c r="AT8" i="59"/>
  <c r="AS8" i="59"/>
  <c r="AR8" i="59"/>
  <c r="AQ8" i="59"/>
  <c r="AP8" i="59"/>
  <c r="AO8" i="59"/>
  <c r="AN8" i="59"/>
  <c r="AM8" i="59"/>
  <c r="AL8" i="59"/>
  <c r="AK8" i="59"/>
  <c r="AJ8" i="59"/>
  <c r="AI8" i="59"/>
  <c r="AH8" i="59"/>
  <c r="AG8" i="59"/>
  <c r="AF8" i="59"/>
  <c r="AE8" i="59"/>
  <c r="AD8" i="59"/>
  <c r="AC8" i="59"/>
  <c r="AB8" i="59"/>
  <c r="AA8" i="59"/>
  <c r="Z8" i="59"/>
  <c r="Y8" i="59"/>
  <c r="X8" i="59"/>
  <c r="W8" i="59"/>
  <c r="V8" i="59"/>
  <c r="U8" i="59"/>
  <c r="T8" i="59"/>
  <c r="S8" i="59"/>
  <c r="R8" i="59"/>
  <c r="Q8" i="59"/>
  <c r="P8" i="59"/>
  <c r="O8" i="59"/>
  <c r="N8" i="59"/>
  <c r="M8" i="59"/>
  <c r="L8" i="59"/>
  <c r="K8" i="59"/>
  <c r="J8" i="59"/>
  <c r="I8" i="59"/>
  <c r="H8" i="59"/>
  <c r="G8" i="59"/>
  <c r="F8" i="59"/>
  <c r="E8" i="59"/>
  <c r="D8" i="59"/>
  <c r="CH7" i="59"/>
  <c r="CH6" i="59"/>
  <c r="CC7" i="59"/>
  <c r="CC6" i="59"/>
  <c r="CK6" i="59"/>
  <c r="CJ6" i="59"/>
  <c r="CI6" i="59"/>
  <c r="CF6" i="59"/>
  <c r="CE6" i="59"/>
  <c r="CD6" i="59"/>
  <c r="CA6" i="59"/>
  <c r="BZ6" i="59"/>
  <c r="BY6" i="59"/>
  <c r="BX6" i="59"/>
  <c r="BV6" i="59"/>
  <c r="BU6" i="59"/>
  <c r="BT6" i="59"/>
  <c r="BS6" i="59"/>
  <c r="BQ6" i="59"/>
  <c r="BP6" i="59"/>
  <c r="BO6" i="59"/>
  <c r="BN6" i="59"/>
  <c r="BL6" i="59"/>
  <c r="BK6" i="59"/>
  <c r="BJ6" i="59"/>
  <c r="BI6" i="59"/>
  <c r="BG6" i="59"/>
  <c r="BF6" i="59"/>
  <c r="BE6" i="59"/>
  <c r="BD6" i="59"/>
  <c r="BB6" i="59"/>
  <c r="BA6" i="59"/>
  <c r="AZ6" i="59"/>
  <c r="AY6" i="59"/>
  <c r="AW6" i="59"/>
  <c r="AV6" i="59"/>
  <c r="AU6" i="59"/>
  <c r="AT6" i="59"/>
  <c r="AR6" i="59"/>
  <c r="AQ6" i="59"/>
  <c r="AP6" i="59"/>
  <c r="AO6" i="59"/>
  <c r="B4" i="59"/>
  <c r="AW194" i="56"/>
  <c r="BZ186" i="56"/>
  <c r="BZ21" i="59"/>
  <c r="BY186" i="56"/>
  <c r="BY21" i="59"/>
  <c r="BY46" i="59" s="1"/>
  <c r="BY75" i="59" s="1"/>
  <c r="BX186" i="56"/>
  <c r="BX21" i="59"/>
  <c r="BX46" i="59" s="1"/>
  <c r="BX75" i="59" s="1"/>
  <c r="BU186" i="56"/>
  <c r="BU21" i="59"/>
  <c r="BU46" i="59" s="1"/>
  <c r="BU75" i="59" s="1"/>
  <c r="BT186" i="56"/>
  <c r="BT21" i="59"/>
  <c r="BT46" i="59" s="1"/>
  <c r="BT75" i="59" s="1"/>
  <c r="BS186" i="56"/>
  <c r="BS21" i="59"/>
  <c r="BS46" i="59" s="1"/>
  <c r="BP186" i="56"/>
  <c r="BP21" i="59"/>
  <c r="BP46" i="59" s="1"/>
  <c r="BP75" i="59" s="1"/>
  <c r="BO186" i="56"/>
  <c r="BO21" i="59"/>
  <c r="BN186" i="56"/>
  <c r="BN21" i="59"/>
  <c r="BL186" i="56"/>
  <c r="BL21" i="59"/>
  <c r="BL46" i="59" s="1"/>
  <c r="BL75" i="59" s="1"/>
  <c r="BK186" i="56"/>
  <c r="BK21" i="59"/>
  <c r="BK46" i="59" s="1"/>
  <c r="BK75" i="59" s="1"/>
  <c r="BJ186" i="56"/>
  <c r="BJ21" i="59"/>
  <c r="BI186" i="56"/>
  <c r="BI21" i="59"/>
  <c r="BG186" i="56"/>
  <c r="BG21" i="59"/>
  <c r="BG46" i="59" s="1"/>
  <c r="BG75" i="59" s="1"/>
  <c r="BF186" i="56"/>
  <c r="BF21" i="59"/>
  <c r="BE186" i="56"/>
  <c r="BE21" i="59"/>
  <c r="BD186" i="56"/>
  <c r="BD21" i="59"/>
  <c r="BD46" i="59" s="1"/>
  <c r="BD75" i="59" s="1"/>
  <c r="BA186" i="56"/>
  <c r="BA21" i="59"/>
  <c r="AZ186" i="56"/>
  <c r="AZ21" i="59"/>
  <c r="AZ46" i="59" s="1"/>
  <c r="AZ75" i="59" s="1"/>
  <c r="AY186" i="56"/>
  <c r="AY21" i="59"/>
  <c r="AR161" i="56"/>
  <c r="AW161" i="56"/>
  <c r="AW185" i="56"/>
  <c r="AQ161" i="56"/>
  <c r="AP161" i="56"/>
  <c r="AU161" i="56"/>
  <c r="AZ161" i="56"/>
  <c r="AO161" i="56"/>
  <c r="AI161" i="56"/>
  <c r="AR159" i="56"/>
  <c r="AR175" i="56"/>
  <c r="AQ159" i="56"/>
  <c r="AQ175" i="56"/>
  <c r="AP159" i="56"/>
  <c r="AP175" i="56"/>
  <c r="AO159" i="56"/>
  <c r="AO175" i="56"/>
  <c r="AV155" i="56"/>
  <c r="AR155" i="56"/>
  <c r="AR169" i="56"/>
  <c r="BV149" i="56"/>
  <c r="BU149" i="56"/>
  <c r="BT149" i="56"/>
  <c r="BS149" i="56"/>
  <c r="BQ149" i="56"/>
  <c r="BP149" i="56"/>
  <c r="BO149" i="56"/>
  <c r="BN149" i="56"/>
  <c r="BL149" i="56"/>
  <c r="BK149" i="56"/>
  <c r="BJ149" i="56"/>
  <c r="BI149" i="56"/>
  <c r="BG149" i="56"/>
  <c r="BF149" i="56"/>
  <c r="BE149" i="56"/>
  <c r="BD149" i="56"/>
  <c r="BB149" i="56"/>
  <c r="BA149" i="56"/>
  <c r="AZ149" i="56"/>
  <c r="AY149" i="56"/>
  <c r="AW149" i="56"/>
  <c r="AV149" i="56"/>
  <c r="AU149" i="56"/>
  <c r="AT149" i="56"/>
  <c r="AR149" i="56"/>
  <c r="AQ149" i="56"/>
  <c r="AP149" i="56"/>
  <c r="AO149" i="56"/>
  <c r="BV147" i="56"/>
  <c r="BU147" i="56"/>
  <c r="BT147" i="56"/>
  <c r="BS147" i="56"/>
  <c r="BQ147" i="56"/>
  <c r="BP147" i="56"/>
  <c r="BO147" i="56"/>
  <c r="BN147" i="56"/>
  <c r="BL147" i="56"/>
  <c r="BK147" i="56"/>
  <c r="BJ147" i="56"/>
  <c r="BI147" i="56"/>
  <c r="BG147" i="56"/>
  <c r="BF147" i="56"/>
  <c r="BE147" i="56"/>
  <c r="BD147" i="56"/>
  <c r="BB147" i="56"/>
  <c r="BA147" i="56"/>
  <c r="AZ147" i="56"/>
  <c r="AY147" i="56"/>
  <c r="AW147" i="56"/>
  <c r="AV147" i="56"/>
  <c r="AU147" i="56"/>
  <c r="AT147" i="56"/>
  <c r="AR147" i="56"/>
  <c r="AQ147" i="56"/>
  <c r="AP147" i="56"/>
  <c r="AO147" i="56"/>
  <c r="BC124" i="56"/>
  <c r="BZ133" i="56"/>
  <c r="BY133" i="56"/>
  <c r="BY134" i="56"/>
  <c r="BY143" i="56"/>
  <c r="BX133" i="56"/>
  <c r="BV133" i="56"/>
  <c r="BU133" i="56"/>
  <c r="BT133" i="56"/>
  <c r="BS133" i="56"/>
  <c r="BQ133" i="56"/>
  <c r="BP133" i="56"/>
  <c r="BO133" i="56"/>
  <c r="BN133" i="56"/>
  <c r="BL133" i="56"/>
  <c r="BL134" i="56"/>
  <c r="BL143" i="56"/>
  <c r="BK133" i="56"/>
  <c r="BJ133" i="56"/>
  <c r="BI133" i="56"/>
  <c r="BG133" i="56"/>
  <c r="BD133" i="56"/>
  <c r="BE133" i="56"/>
  <c r="BH133" i="56"/>
  <c r="BF133" i="56"/>
  <c r="BB133" i="56"/>
  <c r="BA133" i="56"/>
  <c r="AZ133" i="56"/>
  <c r="AY133" i="56"/>
  <c r="AW133" i="56"/>
  <c r="AV133" i="56"/>
  <c r="AR133" i="56"/>
  <c r="AQ133" i="56"/>
  <c r="AO133" i="56"/>
  <c r="AO154" i="56"/>
  <c r="BZ132" i="56"/>
  <c r="BZ134" i="56"/>
  <c r="BZ143" i="56"/>
  <c r="BV132" i="56"/>
  <c r="BU132" i="56"/>
  <c r="BT132" i="56"/>
  <c r="BS132" i="56"/>
  <c r="BW132" i="56"/>
  <c r="BQ132" i="56"/>
  <c r="BP132" i="56"/>
  <c r="BO132" i="56"/>
  <c r="BN132" i="56"/>
  <c r="BL132" i="56"/>
  <c r="BK132" i="56"/>
  <c r="BJ132" i="56"/>
  <c r="BI132" i="56"/>
  <c r="BG132" i="56"/>
  <c r="BF132" i="56"/>
  <c r="BF134" i="56"/>
  <c r="BF143" i="56"/>
  <c r="BE132" i="56"/>
  <c r="BD132" i="56"/>
  <c r="BB132" i="56"/>
  <c r="BA132" i="56"/>
  <c r="AZ132" i="56"/>
  <c r="AY132" i="56"/>
  <c r="AW132" i="56"/>
  <c r="AV132" i="56"/>
  <c r="AV153" i="56"/>
  <c r="AV180" i="56"/>
  <c r="AV11" i="59"/>
  <c r="AV37" i="59" s="1"/>
  <c r="AR132" i="56"/>
  <c r="AR153" i="56"/>
  <c r="AQ132" i="56"/>
  <c r="AO132" i="56"/>
  <c r="BZ128" i="56"/>
  <c r="BY128" i="56"/>
  <c r="BX128" i="56"/>
  <c r="AN128" i="56"/>
  <c r="AM128" i="56"/>
  <c r="AL128" i="56"/>
  <c r="AK128" i="56"/>
  <c r="AJ128" i="56"/>
  <c r="AI128" i="56"/>
  <c r="AH128" i="56"/>
  <c r="AG128" i="56"/>
  <c r="AF128" i="56"/>
  <c r="AE128" i="56"/>
  <c r="AD128" i="56"/>
  <c r="AC128" i="56"/>
  <c r="AB128" i="56"/>
  <c r="AA128" i="56"/>
  <c r="Z128" i="56"/>
  <c r="Y128" i="56"/>
  <c r="X128" i="56"/>
  <c r="W128" i="56"/>
  <c r="V128" i="56"/>
  <c r="U128" i="56"/>
  <c r="T128" i="56"/>
  <c r="S128" i="56"/>
  <c r="R128" i="56"/>
  <c r="Q128" i="56"/>
  <c r="P128" i="56"/>
  <c r="O128" i="56"/>
  <c r="N128" i="56"/>
  <c r="M128" i="56"/>
  <c r="L128" i="56"/>
  <c r="K128" i="56"/>
  <c r="BZ126" i="56"/>
  <c r="BY126" i="56"/>
  <c r="BV126" i="56"/>
  <c r="BU126" i="56"/>
  <c r="BT126" i="56"/>
  <c r="BQ126" i="56"/>
  <c r="BP126" i="56"/>
  <c r="BO126" i="56"/>
  <c r="BL126" i="56"/>
  <c r="BK126" i="56"/>
  <c r="BJ126" i="56"/>
  <c r="BI126" i="56"/>
  <c r="BG126" i="56"/>
  <c r="BF126" i="56"/>
  <c r="BE126" i="56"/>
  <c r="BD126" i="56"/>
  <c r="BB126" i="56"/>
  <c r="BA126" i="56"/>
  <c r="AZ126" i="56"/>
  <c r="AY126" i="56"/>
  <c r="AW126" i="56"/>
  <c r="AV126" i="56"/>
  <c r="AU126" i="56"/>
  <c r="AT126" i="56"/>
  <c r="AR126" i="56"/>
  <c r="AQ126" i="56"/>
  <c r="AP126" i="56"/>
  <c r="AO126" i="56"/>
  <c r="N126" i="56"/>
  <c r="M126" i="56"/>
  <c r="L126" i="56"/>
  <c r="BZ125" i="56"/>
  <c r="BY125" i="56"/>
  <c r="BX125" i="56"/>
  <c r="BV125" i="56"/>
  <c r="BU125" i="56"/>
  <c r="BT125" i="56"/>
  <c r="BS125" i="56"/>
  <c r="BQ125" i="56"/>
  <c r="BP125" i="56"/>
  <c r="BO125" i="56"/>
  <c r="BN125" i="56"/>
  <c r="BL125" i="56"/>
  <c r="BK125" i="56"/>
  <c r="BJ125" i="56"/>
  <c r="BI125" i="56"/>
  <c r="BG125" i="56"/>
  <c r="BF125" i="56"/>
  <c r="BE125" i="56"/>
  <c r="BD125" i="56"/>
  <c r="BB125" i="56"/>
  <c r="BA125" i="56"/>
  <c r="AZ125" i="56"/>
  <c r="AY125" i="56"/>
  <c r="AW125" i="56"/>
  <c r="AV125" i="56"/>
  <c r="AU125" i="56"/>
  <c r="AT125" i="56"/>
  <c r="AR125" i="56"/>
  <c r="AQ125" i="56"/>
  <c r="AP125" i="56"/>
  <c r="AO125" i="56"/>
  <c r="BZ123" i="56"/>
  <c r="BY123" i="56"/>
  <c r="BV123" i="56"/>
  <c r="BU123" i="56"/>
  <c r="BT123" i="56"/>
  <c r="BQ123" i="56"/>
  <c r="BP123" i="56"/>
  <c r="BO123" i="56"/>
  <c r="BL123" i="56"/>
  <c r="BK123" i="56"/>
  <c r="BJ123" i="56"/>
  <c r="BI123" i="56"/>
  <c r="BG123" i="56"/>
  <c r="BF123" i="56"/>
  <c r="BE123" i="56"/>
  <c r="BD123" i="56"/>
  <c r="BB123" i="56"/>
  <c r="BA123" i="56"/>
  <c r="AZ123" i="56"/>
  <c r="AY123" i="56"/>
  <c r="AW123" i="56"/>
  <c r="AV123" i="56"/>
  <c r="AU123" i="56"/>
  <c r="AT123" i="56"/>
  <c r="AR123" i="56"/>
  <c r="AQ123" i="56"/>
  <c r="AP123" i="56"/>
  <c r="AO123" i="56"/>
  <c r="N123" i="56"/>
  <c r="M123" i="56"/>
  <c r="L123" i="56"/>
  <c r="BZ122" i="56"/>
  <c r="BY122" i="56"/>
  <c r="BX122" i="56"/>
  <c r="BV122" i="56"/>
  <c r="BU122" i="56"/>
  <c r="BT122" i="56"/>
  <c r="BS122" i="56"/>
  <c r="BQ122" i="56"/>
  <c r="BP122" i="56"/>
  <c r="BO122" i="56"/>
  <c r="BN122" i="56"/>
  <c r="BL122" i="56"/>
  <c r="BK122" i="56"/>
  <c r="BJ122" i="56"/>
  <c r="BI122" i="56"/>
  <c r="BG122" i="56"/>
  <c r="BF122" i="56"/>
  <c r="BE122" i="56"/>
  <c r="BD122" i="56"/>
  <c r="BB122" i="56"/>
  <c r="BA122" i="56"/>
  <c r="AZ122" i="56"/>
  <c r="AY122" i="56"/>
  <c r="AW122" i="56"/>
  <c r="AV122" i="56"/>
  <c r="AU122" i="56"/>
  <c r="AT122" i="56"/>
  <c r="AR122" i="56"/>
  <c r="AQ122" i="56"/>
  <c r="AP122" i="56"/>
  <c r="AO122" i="56"/>
  <c r="BZ120" i="56"/>
  <c r="N120" i="56"/>
  <c r="M120" i="56"/>
  <c r="L120" i="56"/>
  <c r="AM111" i="56"/>
  <c r="AL111" i="56"/>
  <c r="AK111" i="56"/>
  <c r="AJ111" i="56"/>
  <c r="AI111" i="56"/>
  <c r="AH111" i="56"/>
  <c r="AG111" i="56"/>
  <c r="AF111" i="56"/>
  <c r="AE111" i="56"/>
  <c r="AD111" i="56"/>
  <c r="AC111" i="56"/>
  <c r="AB111" i="56"/>
  <c r="AA111" i="56"/>
  <c r="Z111" i="56"/>
  <c r="X111" i="56"/>
  <c r="W111" i="56"/>
  <c r="V111" i="56"/>
  <c r="U111" i="56"/>
  <c r="T111" i="56"/>
  <c r="S111" i="56"/>
  <c r="R111" i="56"/>
  <c r="Q111" i="56"/>
  <c r="P111" i="56"/>
  <c r="O111" i="56"/>
  <c r="N111" i="56"/>
  <c r="M111" i="56"/>
  <c r="L111" i="56"/>
  <c r="K111" i="56"/>
  <c r="J111" i="56"/>
  <c r="I111" i="56"/>
  <c r="H111" i="56"/>
  <c r="G111" i="56"/>
  <c r="F111" i="56"/>
  <c r="E111" i="56"/>
  <c r="AM109" i="56"/>
  <c r="AL109" i="56"/>
  <c r="AK109" i="56"/>
  <c r="AJ109" i="56"/>
  <c r="BI111" i="56"/>
  <c r="BG111" i="56"/>
  <c r="BF111" i="56"/>
  <c r="BE111" i="56"/>
  <c r="BD111" i="56"/>
  <c r="BB111" i="56"/>
  <c r="AM106" i="56"/>
  <c r="AL106" i="56"/>
  <c r="AK106" i="56"/>
  <c r="AJ106" i="56"/>
  <c r="BZ103" i="56"/>
  <c r="BY103" i="56"/>
  <c r="BX103" i="56"/>
  <c r="BV103" i="56"/>
  <c r="BU103" i="56"/>
  <c r="BT103" i="56"/>
  <c r="BS103" i="56"/>
  <c r="BI103" i="56"/>
  <c r="AM103" i="56"/>
  <c r="AL103" i="56"/>
  <c r="AK103" i="56"/>
  <c r="AJ103" i="56"/>
  <c r="AW101" i="56"/>
  <c r="AV101" i="56"/>
  <c r="AU101" i="56"/>
  <c r="AT101" i="56"/>
  <c r="BG99" i="56"/>
  <c r="BF99" i="56"/>
  <c r="BB99" i="56"/>
  <c r="BA99" i="56"/>
  <c r="BG97" i="56"/>
  <c r="R39" i="33"/>
  <c r="BF97" i="56"/>
  <c r="BE97" i="56"/>
  <c r="P39" i="33"/>
  <c r="BD97" i="56"/>
  <c r="O39" i="33"/>
  <c r="BB97" i="56"/>
  <c r="M39" i="33"/>
  <c r="BA97" i="56"/>
  <c r="AZ97" i="56"/>
  <c r="K39" i="33"/>
  <c r="AY97" i="56"/>
  <c r="J39" i="33"/>
  <c r="AW97" i="56"/>
  <c r="AV97" i="56"/>
  <c r="AU97" i="56"/>
  <c r="F39" i="33"/>
  <c r="AT97" i="56"/>
  <c r="E39" i="33"/>
  <c r="BZ95" i="56"/>
  <c r="BY95" i="56"/>
  <c r="BX95" i="56"/>
  <c r="AI34" i="33"/>
  <c r="BV95" i="56"/>
  <c r="AG34" i="33"/>
  <c r="BU95" i="56"/>
  <c r="BT95" i="56"/>
  <c r="BS95" i="56"/>
  <c r="AD34" i="33"/>
  <c r="BQ95" i="56"/>
  <c r="AB34" i="33"/>
  <c r="BP95" i="56"/>
  <c r="BO95" i="56"/>
  <c r="BN95" i="56"/>
  <c r="Y34" i="33"/>
  <c r="BL95" i="56"/>
  <c r="W34" i="33"/>
  <c r="BK95" i="56"/>
  <c r="BJ95" i="56"/>
  <c r="U34" i="33"/>
  <c r="BI95" i="56"/>
  <c r="T34" i="33"/>
  <c r="BG95" i="56"/>
  <c r="R34" i="33"/>
  <c r="BF95" i="56"/>
  <c r="BE95" i="56"/>
  <c r="P34" i="33"/>
  <c r="BD95" i="56"/>
  <c r="O34" i="33"/>
  <c r="BB95" i="56"/>
  <c r="M34" i="33"/>
  <c r="BA95" i="56"/>
  <c r="AW95" i="56"/>
  <c r="H34" i="33"/>
  <c r="AV95" i="56"/>
  <c r="G34" i="33"/>
  <c r="AR95" i="56"/>
  <c r="AQ95" i="56"/>
  <c r="AO95" i="56"/>
  <c r="AM95" i="56"/>
  <c r="AL95" i="56"/>
  <c r="AK95" i="56"/>
  <c r="AJ95" i="56"/>
  <c r="AI95" i="56"/>
  <c r="AH95" i="56"/>
  <c r="AG95" i="56"/>
  <c r="AF95" i="56"/>
  <c r="AE95" i="56"/>
  <c r="AD95" i="56"/>
  <c r="AC95" i="56"/>
  <c r="AB95" i="56"/>
  <c r="AA95" i="56"/>
  <c r="Z95" i="56"/>
  <c r="Y95" i="56"/>
  <c r="X95" i="56"/>
  <c r="W95" i="56"/>
  <c r="V95" i="56"/>
  <c r="U95" i="56"/>
  <c r="T95" i="56"/>
  <c r="S95" i="56"/>
  <c r="R95" i="56"/>
  <c r="Q95" i="56"/>
  <c r="P95" i="56"/>
  <c r="O95" i="56"/>
  <c r="N95" i="56"/>
  <c r="M95" i="56"/>
  <c r="L95" i="56"/>
  <c r="K95" i="56"/>
  <c r="J95" i="56"/>
  <c r="BW41" i="14"/>
  <c r="BK78" i="56"/>
  <c r="BK41" i="14"/>
  <c r="BJ78" i="56"/>
  <c r="BC78" i="56"/>
  <c r="BC41" i="14"/>
  <c r="AX78" i="56"/>
  <c r="AX41" i="14"/>
  <c r="AS78" i="56"/>
  <c r="AS41" i="14"/>
  <c r="AN78" i="56"/>
  <c r="AN77" i="56"/>
  <c r="AN103" i="56"/>
  <c r="AN76" i="56"/>
  <c r="Y78" i="56"/>
  <c r="Y111" i="56"/>
  <c r="BG76" i="56"/>
  <c r="BG118" i="56"/>
  <c r="BF76" i="56"/>
  <c r="BF118" i="56"/>
  <c r="AW13" i="14"/>
  <c r="AV114" i="56"/>
  <c r="AW76" i="56"/>
  <c r="AW118" i="56"/>
  <c r="AV76" i="56"/>
  <c r="AV118" i="56"/>
  <c r="AV128" i="56"/>
  <c r="BM74" i="56"/>
  <c r="BR101" i="56"/>
  <c r="BH74" i="56"/>
  <c r="AX74" i="56"/>
  <c r="BA74" i="56"/>
  <c r="BA76" i="56"/>
  <c r="BA118" i="56"/>
  <c r="AS74" i="56"/>
  <c r="BN73" i="56"/>
  <c r="BN141" i="56" s="1"/>
  <c r="BD73" i="56"/>
  <c r="AX73" i="56"/>
  <c r="BF110" i="56"/>
  <c r="AW111" i="56"/>
  <c r="AV111" i="56"/>
  <c r="AU111" i="56"/>
  <c r="AR71" i="56"/>
  <c r="AR24" i="14"/>
  <c r="AQ71" i="56"/>
  <c r="AP71" i="56"/>
  <c r="AP111" i="56"/>
  <c r="AO71" i="56"/>
  <c r="AN71" i="56"/>
  <c r="AN111" i="56"/>
  <c r="BI69" i="56"/>
  <c r="BH69" i="56"/>
  <c r="BH97" i="56"/>
  <c r="S39" i="33"/>
  <c r="BC69" i="56"/>
  <c r="AX69" i="56"/>
  <c r="AS69" i="56"/>
  <c r="AN69" i="56"/>
  <c r="AI69" i="56"/>
  <c r="AD69" i="56"/>
  <c r="Y69" i="56"/>
  <c r="T69" i="56"/>
  <c r="O69" i="56"/>
  <c r="BW67" i="56"/>
  <c r="BR67" i="56"/>
  <c r="BM67" i="56"/>
  <c r="BH67" i="56"/>
  <c r="BC67" i="56"/>
  <c r="AT132" i="56"/>
  <c r="AI59" i="56"/>
  <c r="AH59" i="56"/>
  <c r="AG59" i="56"/>
  <c r="AF59" i="56"/>
  <c r="AE59" i="56"/>
  <c r="AD59" i="56"/>
  <c r="AC59" i="56"/>
  <c r="AB59" i="56"/>
  <c r="AA59" i="56"/>
  <c r="Z59" i="56"/>
  <c r="Y59" i="56"/>
  <c r="X59" i="56"/>
  <c r="W59" i="56"/>
  <c r="V59" i="56"/>
  <c r="U59" i="56"/>
  <c r="T59" i="56"/>
  <c r="S59" i="56"/>
  <c r="R59" i="56"/>
  <c r="Q59" i="56"/>
  <c r="P59" i="56"/>
  <c r="O59" i="56"/>
  <c r="N59" i="56"/>
  <c r="M59" i="56"/>
  <c r="L59" i="56"/>
  <c r="K59" i="56"/>
  <c r="J59" i="56"/>
  <c r="I59" i="56"/>
  <c r="H59" i="56"/>
  <c r="G59" i="56"/>
  <c r="F59" i="56"/>
  <c r="E59" i="56"/>
  <c r="AI58" i="56"/>
  <c r="AH58" i="56"/>
  <c r="AG58" i="56"/>
  <c r="AF58" i="56"/>
  <c r="AE58" i="56"/>
  <c r="AD58" i="56"/>
  <c r="AC58" i="56"/>
  <c r="AB58" i="56"/>
  <c r="AA58" i="56"/>
  <c r="Z58" i="56"/>
  <c r="Y58" i="56"/>
  <c r="X58" i="56"/>
  <c r="W58" i="56"/>
  <c r="V58" i="56"/>
  <c r="U58" i="56"/>
  <c r="T58" i="56"/>
  <c r="S58" i="56"/>
  <c r="R58" i="56"/>
  <c r="Q58" i="56"/>
  <c r="P58" i="56"/>
  <c r="O58" i="56"/>
  <c r="N58" i="56"/>
  <c r="M58" i="56"/>
  <c r="L58" i="56"/>
  <c r="K58" i="56"/>
  <c r="J58" i="56"/>
  <c r="I58" i="56"/>
  <c r="H58" i="56"/>
  <c r="G58" i="56"/>
  <c r="F58" i="56"/>
  <c r="E58" i="56"/>
  <c r="AI52" i="56"/>
  <c r="AH52" i="56"/>
  <c r="AG52" i="56"/>
  <c r="AF52" i="56"/>
  <c r="AE52" i="56"/>
  <c r="AD52" i="56"/>
  <c r="AC52" i="56"/>
  <c r="AB52" i="56"/>
  <c r="AA52" i="56"/>
  <c r="Z52" i="56"/>
  <c r="Y52" i="56"/>
  <c r="X52" i="56"/>
  <c r="W52" i="56"/>
  <c r="V52" i="56"/>
  <c r="U52" i="56"/>
  <c r="T52" i="56"/>
  <c r="S52" i="56"/>
  <c r="R52" i="56"/>
  <c r="Q52" i="56"/>
  <c r="P52" i="56"/>
  <c r="O52" i="56"/>
  <c r="N52" i="56"/>
  <c r="M52" i="56"/>
  <c r="L52" i="56"/>
  <c r="K52" i="56"/>
  <c r="J52" i="56"/>
  <c r="I52" i="56"/>
  <c r="H52" i="56"/>
  <c r="G52" i="56"/>
  <c r="F52" i="56"/>
  <c r="E52" i="56"/>
  <c r="AN47" i="56"/>
  <c r="AM47" i="56"/>
  <c r="AL47" i="56"/>
  <c r="AK47" i="56"/>
  <c r="AJ47" i="56"/>
  <c r="BU43" i="56"/>
  <c r="BT43" i="56"/>
  <c r="BS43" i="56"/>
  <c r="BP43" i="56"/>
  <c r="BO43" i="56"/>
  <c r="BN43" i="56"/>
  <c r="BK43" i="56"/>
  <c r="BJ43" i="56"/>
  <c r="BI43" i="56"/>
  <c r="BF43" i="56"/>
  <c r="BE43" i="56"/>
  <c r="BA43" i="56"/>
  <c r="AZ43" i="56"/>
  <c r="AV43" i="56"/>
  <c r="AU43" i="56"/>
  <c r="AT43" i="56"/>
  <c r="BU42" i="56"/>
  <c r="BT42" i="56"/>
  <c r="BS42" i="56"/>
  <c r="BP42" i="56"/>
  <c r="BO42" i="56"/>
  <c r="BN42" i="56"/>
  <c r="BK42" i="56"/>
  <c r="BJ42" i="56"/>
  <c r="BI42" i="56"/>
  <c r="BF42" i="56"/>
  <c r="BE42" i="56"/>
  <c r="BD42" i="56"/>
  <c r="BA42" i="56"/>
  <c r="AZ42" i="56"/>
  <c r="AY42" i="56"/>
  <c r="AV42" i="56"/>
  <c r="AU42" i="56"/>
  <c r="AT42" i="56"/>
  <c r="BU39" i="56"/>
  <c r="BT39" i="56"/>
  <c r="BS39" i="56"/>
  <c r="BP39" i="56"/>
  <c r="BO39" i="56"/>
  <c r="BN39" i="56"/>
  <c r="BL39" i="56"/>
  <c r="BK39" i="56"/>
  <c r="BJ39" i="56"/>
  <c r="BI39" i="56"/>
  <c r="BF39" i="56"/>
  <c r="BE39" i="56"/>
  <c r="BD39" i="56"/>
  <c r="AL39" i="56"/>
  <c r="AK39" i="56"/>
  <c r="AJ39" i="56"/>
  <c r="CL27" i="56"/>
  <c r="CG27" i="56"/>
  <c r="CB27" i="56"/>
  <c r="BW27" i="56"/>
  <c r="BR27" i="56"/>
  <c r="BM27" i="56"/>
  <c r="BH27" i="56"/>
  <c r="BC27" i="56"/>
  <c r="AX27" i="56"/>
  <c r="BZ24" i="56"/>
  <c r="CE45" i="56"/>
  <c r="BY24" i="56"/>
  <c r="BX24" i="56"/>
  <c r="BU24" i="56"/>
  <c r="BU63" i="56"/>
  <c r="BT24" i="56"/>
  <c r="BT61" i="56"/>
  <c r="BS24" i="56"/>
  <c r="BP24" i="56"/>
  <c r="BO24" i="56"/>
  <c r="BO61" i="56"/>
  <c r="BN24" i="56"/>
  <c r="BN187" i="56"/>
  <c r="BL24" i="56"/>
  <c r="BL6" i="11"/>
  <c r="BL15" i="11" s="1"/>
  <c r="BK24" i="56"/>
  <c r="BK62" i="56"/>
  <c r="BJ24" i="56"/>
  <c r="BJ61" i="56"/>
  <c r="BI24" i="56"/>
  <c r="BF24" i="56"/>
  <c r="BE24" i="56"/>
  <c r="BE6" i="11"/>
  <c r="BE15" i="11" s="1"/>
  <c r="BD24" i="56"/>
  <c r="BD6" i="11"/>
  <c r="BD9" i="11" s="1"/>
  <c r="BA24" i="56"/>
  <c r="BA61" i="56"/>
  <c r="AZ24" i="56"/>
  <c r="AZ187" i="56"/>
  <c r="AV24" i="56"/>
  <c r="AU24" i="56"/>
  <c r="AU62" i="56"/>
  <c r="AT24" i="56"/>
  <c r="AT187" i="56"/>
  <c r="AR24" i="56"/>
  <c r="AR61" i="56"/>
  <c r="AQ24" i="56"/>
  <c r="AQ187" i="56"/>
  <c r="AP24" i="56"/>
  <c r="AU45" i="56"/>
  <c r="AO24" i="56"/>
  <c r="AO187" i="56"/>
  <c r="BM22" i="56"/>
  <c r="BM21" i="56"/>
  <c r="AY22" i="56"/>
  <c r="AW22" i="56"/>
  <c r="AX22" i="56"/>
  <c r="AS22" i="56"/>
  <c r="AS21" i="56"/>
  <c r="BV22" i="56"/>
  <c r="BW22" i="56"/>
  <c r="BV21" i="56"/>
  <c r="BW21" i="56"/>
  <c r="BQ22" i="56"/>
  <c r="BQ43" i="56"/>
  <c r="BQ21" i="56"/>
  <c r="BG22" i="56"/>
  <c r="BL43" i="56"/>
  <c r="BG21" i="56"/>
  <c r="BB21" i="56"/>
  <c r="BC21" i="56"/>
  <c r="AW21" i="56"/>
  <c r="BV17" i="56"/>
  <c r="BV186" i="56"/>
  <c r="BV21" i="59"/>
  <c r="BQ17" i="56"/>
  <c r="BR17" i="56"/>
  <c r="BQ186" i="56"/>
  <c r="BQ21" i="59"/>
  <c r="BQ46" i="59" s="1"/>
  <c r="BQ75" i="59" s="1"/>
  <c r="BM17" i="56"/>
  <c r="BH17" i="56"/>
  <c r="BH186" i="56"/>
  <c r="BB17" i="56"/>
  <c r="AV17" i="56"/>
  <c r="AU17" i="56"/>
  <c r="AT17" i="56"/>
  <c r="AY39" i="56"/>
  <c r="AR17" i="56"/>
  <c r="AQ17" i="56"/>
  <c r="AQ39" i="56"/>
  <c r="AP17" i="56"/>
  <c r="AP39" i="56"/>
  <c r="AO17" i="56"/>
  <c r="AO39" i="56"/>
  <c r="AM17" i="56"/>
  <c r="AN17" i="56"/>
  <c r="BG14" i="56"/>
  <c r="BF14" i="56"/>
  <c r="BF157" i="56" s="1"/>
  <c r="BF183" i="56" s="1"/>
  <c r="BF15" i="59" s="1"/>
  <c r="BF41" i="59" s="1"/>
  <c r="BF70" i="59" s="1"/>
  <c r="BE14" i="56"/>
  <c r="AS14" i="56"/>
  <c r="AS159" i="56"/>
  <c r="AS175" i="56"/>
  <c r="BZ12" i="56"/>
  <c r="BY12" i="56"/>
  <c r="BY199" i="56"/>
  <c r="BX12" i="56"/>
  <c r="BX199" i="56" s="1"/>
  <c r="BU12" i="56"/>
  <c r="BT12" i="56"/>
  <c r="BS12" i="56"/>
  <c r="BS199" i="56" s="1"/>
  <c r="BP12" i="56"/>
  <c r="BP199" i="56" s="1"/>
  <c r="BO12" i="56"/>
  <c r="BN12" i="56"/>
  <c r="BL12" i="56"/>
  <c r="BL199" i="56" s="1"/>
  <c r="BK12" i="56"/>
  <c r="BJ12" i="56"/>
  <c r="BI12" i="56"/>
  <c r="BI199" i="56" s="1"/>
  <c r="BG12" i="56"/>
  <c r="BG7" i="14" s="1"/>
  <c r="BF12" i="56"/>
  <c r="BF18" i="14" s="1"/>
  <c r="BE12" i="56"/>
  <c r="BD12" i="56"/>
  <c r="BD18" i="14" s="1"/>
  <c r="BB12" i="56"/>
  <c r="BB154" i="56" s="1"/>
  <c r="BA12" i="56"/>
  <c r="AZ12" i="56"/>
  <c r="AZ18" i="14"/>
  <c r="AY12" i="56"/>
  <c r="AU12" i="56"/>
  <c r="AW12" i="56"/>
  <c r="AW33" i="56" s="1"/>
  <c r="AT12" i="56"/>
  <c r="AT155" i="56"/>
  <c r="AQ12" i="56"/>
  <c r="AQ33" i="56"/>
  <c r="AP12" i="56"/>
  <c r="AP155" i="56"/>
  <c r="AP169" i="56"/>
  <c r="AO12" i="56"/>
  <c r="AM12" i="56"/>
  <c r="AM18" i="14"/>
  <c r="AR19" i="14" s="1"/>
  <c r="AL12" i="56"/>
  <c r="AL33" i="56"/>
  <c r="AK12" i="56"/>
  <c r="AK33" i="56"/>
  <c r="AJ12" i="56"/>
  <c r="AJ18" i="14"/>
  <c r="CL8" i="56"/>
  <c r="AW7" i="33" s="1"/>
  <c r="CK8" i="56"/>
  <c r="AV7" i="33" s="1"/>
  <c r="CJ8" i="56"/>
  <c r="AU7" i="33" s="1"/>
  <c r="CI8" i="56"/>
  <c r="AT7" i="33" s="1"/>
  <c r="CH8" i="56"/>
  <c r="AS7" i="33" s="1"/>
  <c r="AS28" i="33" s="1"/>
  <c r="AS54" i="33" s="1"/>
  <c r="CG8" i="56"/>
  <c r="AR7" i="33" s="1"/>
  <c r="CF8" i="56"/>
  <c r="AQ7" i="33" s="1"/>
  <c r="AQ43" i="33" s="1"/>
  <c r="CE8" i="56"/>
  <c r="AP7" i="33"/>
  <c r="CD8" i="56"/>
  <c r="AO7" i="33" s="1"/>
  <c r="AO28" i="33" s="1"/>
  <c r="AO54" i="33" s="1"/>
  <c r="CC8" i="56"/>
  <c r="AN7" i="33" s="1"/>
  <c r="CB8" i="56"/>
  <c r="AM7" i="33" s="1"/>
  <c r="AM43" i="33" s="1"/>
  <c r="CA8" i="56"/>
  <c r="AL7" i="33" s="1"/>
  <c r="BZ8" i="56"/>
  <c r="AK7" i="33" s="1"/>
  <c r="BY8" i="56"/>
  <c r="AJ7" i="33" s="1"/>
  <c r="BX8" i="56"/>
  <c r="AI7" i="33" s="1"/>
  <c r="BW8" i="56"/>
  <c r="AH7" i="33" s="1"/>
  <c r="BV8" i="56"/>
  <c r="AG7" i="33" s="1"/>
  <c r="BU8" i="56"/>
  <c r="AF7" i="33"/>
  <c r="AF28" i="33" s="1"/>
  <c r="AF54" i="33" s="1"/>
  <c r="BT8" i="56"/>
  <c r="AE7" i="33" s="1"/>
  <c r="AE28" i="33" s="1"/>
  <c r="AE54" i="33" s="1"/>
  <c r="BS8" i="56"/>
  <c r="AD7" i="33"/>
  <c r="AD28" i="33" s="1"/>
  <c r="AD54" i="33" s="1"/>
  <c r="BR8" i="56"/>
  <c r="AC7" i="33" s="1"/>
  <c r="BQ8" i="56"/>
  <c r="AB7" i="33" s="1"/>
  <c r="BP8" i="56"/>
  <c r="AA7" i="33" s="1"/>
  <c r="BO8" i="56"/>
  <c r="Z7" i="33" s="1"/>
  <c r="BN8" i="56"/>
  <c r="Y7" i="33" s="1"/>
  <c r="BM8" i="56"/>
  <c r="X7" i="33"/>
  <c r="BL8" i="56"/>
  <c r="W7" i="33" s="1"/>
  <c r="W43" i="33" s="1"/>
  <c r="BK8" i="56"/>
  <c r="V7" i="33"/>
  <c r="BJ8" i="56"/>
  <c r="U7" i="33" s="1"/>
  <c r="BI8" i="56"/>
  <c r="T7" i="33" s="1"/>
  <c r="T43" i="33" s="1"/>
  <c r="BH8" i="56"/>
  <c r="S7" i="33" s="1"/>
  <c r="S28" i="33" s="1"/>
  <c r="S54" i="33" s="1"/>
  <c r="BG8" i="56"/>
  <c r="R7" i="33" s="1"/>
  <c r="BF8" i="56"/>
  <c r="Q7" i="33" s="1"/>
  <c r="BE8" i="56"/>
  <c r="P7" i="33" s="1"/>
  <c r="P28" i="33" s="1"/>
  <c r="BD8" i="56"/>
  <c r="O7" i="33" s="1"/>
  <c r="BC8" i="56"/>
  <c r="N7" i="33" s="1"/>
  <c r="BB8" i="56"/>
  <c r="M7" i="33" s="1"/>
  <c r="BA8" i="56"/>
  <c r="L7" i="33" s="1"/>
  <c r="AZ8" i="56"/>
  <c r="K7" i="33" s="1"/>
  <c r="AY8" i="56"/>
  <c r="J7" i="33" s="1"/>
  <c r="AX8" i="56"/>
  <c r="I7" i="33" s="1"/>
  <c r="AW8" i="56"/>
  <c r="H7" i="33"/>
  <c r="H43" i="33" s="1"/>
  <c r="AV8" i="56"/>
  <c r="G7" i="33" s="1"/>
  <c r="AU8" i="56"/>
  <c r="F7" i="33" s="1"/>
  <c r="AT8" i="56"/>
  <c r="E7" i="33" s="1"/>
  <c r="E28" i="33" s="1"/>
  <c r="AS8" i="56"/>
  <c r="AR8" i="56"/>
  <c r="AQ8" i="56"/>
  <c r="AP8" i="56"/>
  <c r="AO8" i="56"/>
  <c r="AN8" i="56"/>
  <c r="AM8" i="56"/>
  <c r="AL8" i="56"/>
  <c r="AK8" i="56"/>
  <c r="AJ8" i="56"/>
  <c r="AI8" i="56"/>
  <c r="AH8" i="56"/>
  <c r="AG8" i="56"/>
  <c r="AF8" i="56"/>
  <c r="AE8" i="56"/>
  <c r="AD8" i="56"/>
  <c r="AC8" i="56"/>
  <c r="AB8" i="56"/>
  <c r="AA8" i="56"/>
  <c r="Z8" i="56"/>
  <c r="Y8" i="56"/>
  <c r="X8" i="56"/>
  <c r="W8" i="56"/>
  <c r="V8" i="56"/>
  <c r="U8" i="56"/>
  <c r="T8" i="56"/>
  <c r="S8" i="56"/>
  <c r="R8" i="56"/>
  <c r="Q8" i="56"/>
  <c r="P8" i="56"/>
  <c r="O8" i="56"/>
  <c r="N8" i="56"/>
  <c r="M8" i="56"/>
  <c r="L8" i="56"/>
  <c r="K8" i="56"/>
  <c r="J8" i="56"/>
  <c r="I8" i="56"/>
  <c r="H8" i="56"/>
  <c r="G8" i="56"/>
  <c r="F8" i="56"/>
  <c r="E8" i="56"/>
  <c r="D8" i="56"/>
  <c r="CH7" i="56"/>
  <c r="CC7" i="56"/>
  <c r="B4" i="56"/>
  <c r="CL1" i="56"/>
  <c r="CK1" i="56"/>
  <c r="CJ1" i="56"/>
  <c r="C56" i="33"/>
  <c r="P54" i="33"/>
  <c r="Q39" i="33"/>
  <c r="N39" i="33"/>
  <c r="L39" i="33"/>
  <c r="I39" i="33"/>
  <c r="H39" i="33"/>
  <c r="G39" i="33"/>
  <c r="AK34" i="33"/>
  <c r="AJ34" i="33"/>
  <c r="AF34" i="33"/>
  <c r="AE34" i="33"/>
  <c r="AA34" i="33"/>
  <c r="Z34" i="33"/>
  <c r="V34" i="33"/>
  <c r="Q34" i="33"/>
  <c r="L34" i="33"/>
  <c r="AK13" i="33"/>
  <c r="AJ13" i="33"/>
  <c r="AI13" i="33"/>
  <c r="AG13" i="33"/>
  <c r="AF13" i="33"/>
  <c r="AE13" i="33"/>
  <c r="AD13" i="33"/>
  <c r="AB13" i="33"/>
  <c r="AA13" i="33"/>
  <c r="Z13" i="33"/>
  <c r="Y13" i="33"/>
  <c r="W13" i="33"/>
  <c r="V13" i="33"/>
  <c r="U13" i="33"/>
  <c r="T13" i="33"/>
  <c r="R13" i="33"/>
  <c r="Q13" i="33"/>
  <c r="P13" i="33"/>
  <c r="O13" i="33"/>
  <c r="M13" i="33"/>
  <c r="L13" i="33"/>
  <c r="K13" i="33"/>
  <c r="J13" i="33"/>
  <c r="H13" i="33"/>
  <c r="G13" i="33"/>
  <c r="F13" i="33"/>
  <c r="E13" i="33"/>
  <c r="B4" i="33"/>
  <c r="BY101" i="7"/>
  <c r="Y40" i="7"/>
  <c r="AD38" i="7"/>
  <c r="BT58" i="7"/>
  <c r="BU58" i="7"/>
  <c r="BV58" i="7"/>
  <c r="CA61" i="7"/>
  <c r="BD58" i="7"/>
  <c r="BE58" i="7"/>
  <c r="BF58" i="7"/>
  <c r="BG58" i="7"/>
  <c r="BT116" i="7"/>
  <c r="BT117" i="7"/>
  <c r="BX147" i="7"/>
  <c r="BX148" i="7"/>
  <c r="BY146" i="7"/>
  <c r="AV39" i="7"/>
  <c r="AV362" i="7"/>
  <c r="AZ39" i="7"/>
  <c r="BC39" i="7"/>
  <c r="AZ362" i="7"/>
  <c r="CE72" i="7"/>
  <c r="CF72" i="7"/>
  <c r="AV82" i="7"/>
  <c r="AV84" i="7"/>
  <c r="V95" i="7"/>
  <c r="V97" i="7"/>
  <c r="BV117" i="7"/>
  <c r="BF146" i="7"/>
  <c r="BF148" i="7"/>
  <c r="BE149" i="7"/>
  <c r="BE151" i="7"/>
  <c r="BI72" i="7"/>
  <c r="BE150" i="7"/>
  <c r="BX293" i="7"/>
  <c r="BY291" i="7"/>
  <c r="BY293" i="7"/>
  <c r="BZ291" i="7"/>
  <c r="BZ293" i="7"/>
  <c r="CA291" i="7"/>
  <c r="CA293" i="7"/>
  <c r="CC291" i="7"/>
  <c r="CC293" i="7"/>
  <c r="CD291" i="7"/>
  <c r="CD293" i="7"/>
  <c r="CE291" i="7"/>
  <c r="CE293" i="7"/>
  <c r="CF291" i="7"/>
  <c r="CF293" i="7"/>
  <c r="CH291" i="7"/>
  <c r="CH293" i="7"/>
  <c r="CI291" i="7"/>
  <c r="CI293" i="7"/>
  <c r="CJ291" i="7"/>
  <c r="CJ293" i="7"/>
  <c r="CK291" i="7"/>
  <c r="CK293" i="7"/>
  <c r="CM291" i="7"/>
  <c r="CM293" i="7"/>
  <c r="CN291" i="7"/>
  <c r="CN293" i="7"/>
  <c r="CO291" i="7"/>
  <c r="CO293" i="7"/>
  <c r="CP291" i="7"/>
  <c r="CP293" i="7"/>
  <c r="AA340" i="7"/>
  <c r="AB340" i="7"/>
  <c r="AC340" i="7"/>
  <c r="AC344" i="7"/>
  <c r="CD355" i="7"/>
  <c r="CE355" i="7"/>
  <c r="CF355" i="7"/>
  <c r="CI355" i="7"/>
  <c r="CJ355" i="7"/>
  <c r="CK355" i="7"/>
  <c r="CM355" i="7"/>
  <c r="CN355" i="7"/>
  <c r="CO355" i="7"/>
  <c r="CP355" i="7"/>
  <c r="CR355" i="7"/>
  <c r="CS355" i="7"/>
  <c r="CT355" i="7"/>
  <c r="CU355" i="7"/>
  <c r="AM7" i="57"/>
  <c r="AM31" i="57"/>
  <c r="R28" i="57"/>
  <c r="W34" i="57"/>
  <c r="R34" i="57"/>
  <c r="AL28" i="57"/>
  <c r="AL34" i="57"/>
  <c r="BD26" i="57"/>
  <c r="BH26" i="57"/>
  <c r="M28" i="57"/>
  <c r="AG28" i="57"/>
  <c r="BT16" i="11"/>
  <c r="BU16" i="11"/>
  <c r="BI50" i="59"/>
  <c r="BV15" i="5"/>
  <c r="AG48" i="59"/>
  <c r="AC22" i="59"/>
  <c r="AC48" i="59"/>
  <c r="AJ22" i="59"/>
  <c r="Y22" i="59"/>
  <c r="Y48" i="59"/>
  <c r="AC56" i="59"/>
  <c r="AA56" i="59"/>
  <c r="AR186" i="56"/>
  <c r="AR21" i="59"/>
  <c r="AR46" i="59" s="1"/>
  <c r="AR75" i="59" s="1"/>
  <c r="BM186" i="56"/>
  <c r="BS62" i="56"/>
  <c r="BX134" i="56"/>
  <c r="BX143" i="56"/>
  <c r="BT62" i="56"/>
  <c r="BG128" i="56"/>
  <c r="AJ19" i="56"/>
  <c r="AJ58" i="56"/>
  <c r="BG157" i="56"/>
  <c r="AU186" i="56"/>
  <c r="AU21" i="59"/>
  <c r="AU46" i="59" s="1"/>
  <c r="AU75" i="59" s="1"/>
  <c r="AZ39" i="56"/>
  <c r="CM21" i="56"/>
  <c r="AU187" i="56"/>
  <c r="AU63" i="56"/>
  <c r="AU61" i="56"/>
  <c r="BD76" i="56"/>
  <c r="BK155" i="56"/>
  <c r="BD187" i="56"/>
  <c r="BD61" i="56"/>
  <c r="BL187" i="56"/>
  <c r="BL63" i="56"/>
  <c r="BL61" i="56"/>
  <c r="BX187" i="56"/>
  <c r="BX63" i="56"/>
  <c r="BX61" i="56"/>
  <c r="AV112" i="56"/>
  <c r="AV106" i="56"/>
  <c r="AV108" i="56"/>
  <c r="AV109" i="56"/>
  <c r="BA155" i="56"/>
  <c r="BA169" i="56"/>
  <c r="AZ61" i="56"/>
  <c r="AP33" i="56"/>
  <c r="AK19" i="56"/>
  <c r="AQ63" i="56"/>
  <c r="AQ61" i="56"/>
  <c r="BA45" i="56"/>
  <c r="BP63" i="56"/>
  <c r="BP61" i="56"/>
  <c r="AR33" i="56"/>
  <c r="BL62" i="56"/>
  <c r="BI153" i="56"/>
  <c r="BT155" i="56"/>
  <c r="BA187" i="56"/>
  <c r="BA62" i="56"/>
  <c r="AT76" i="56"/>
  <c r="AX67" i="56"/>
  <c r="AY95" i="56"/>
  <c r="J34" i="33"/>
  <c r="BF114" i="56"/>
  <c r="AT95" i="56"/>
  <c r="E34" i="33"/>
  <c r="BF62" i="56"/>
  <c r="BJ187" i="56"/>
  <c r="BJ62" i="56"/>
  <c r="BZ187" i="56"/>
  <c r="BA63" i="56"/>
  <c r="AV110" i="56"/>
  <c r="AZ74" i="56"/>
  <c r="AZ101" i="56"/>
  <c r="BG108" i="56"/>
  <c r="AU133" i="56"/>
  <c r="BQ134" i="56"/>
  <c r="BQ143" i="56"/>
  <c r="AQ27" i="7"/>
  <c r="BX9" i="7"/>
  <c r="BY8" i="7" s="1"/>
  <c r="BT9" i="7"/>
  <c r="BU8" i="7" s="1"/>
  <c r="BK9" i="7"/>
  <c r="BL8" i="7" s="1"/>
  <c r="BM8" i="7" s="1"/>
  <c r="AT9" i="7"/>
  <c r="AU8" i="7" s="1"/>
  <c r="AP9" i="7"/>
  <c r="AQ8" i="7" s="1"/>
  <c r="AM9" i="7"/>
  <c r="AJ60" i="33"/>
  <c r="BN18" i="7"/>
  <c r="BL18" i="7"/>
  <c r="BJ18" i="7"/>
  <c r="BI18" i="7"/>
  <c r="BF18" i="7"/>
  <c r="AW18" i="7"/>
  <c r="AS40" i="14"/>
  <c r="AH18" i="7"/>
  <c r="AH12" i="7"/>
  <c r="AC18" i="7"/>
  <c r="AC19" i="7" s="1"/>
  <c r="BP12" i="7"/>
  <c r="AC12" i="7"/>
  <c r="BG40" i="14"/>
  <c r="BE40" i="14"/>
  <c r="BD40" i="14"/>
  <c r="AW40" i="14"/>
  <c r="AV10" i="14"/>
  <c r="AV11" i="14" s="1"/>
  <c r="AT40" i="14"/>
  <c r="BN40" i="14"/>
  <c r="BL40" i="14"/>
  <c r="BL42" i="5"/>
  <c r="BK40" i="14"/>
  <c r="BK42" i="5"/>
  <c r="BJ40" i="14"/>
  <c r="BJ42" i="5"/>
  <c r="BM42" i="5"/>
  <c r="BL72" i="59"/>
  <c r="BF10" i="14"/>
  <c r="BB40" i="14"/>
  <c r="BB42" i="5"/>
  <c r="BA40" i="14"/>
  <c r="BA13" i="5"/>
  <c r="BA15" i="5" s="1"/>
  <c r="BA18" i="5" s="1"/>
  <c r="BA41" i="5" s="1"/>
  <c r="BA43" i="5" s="1"/>
  <c r="AZ42" i="5"/>
  <c r="BA196" i="56"/>
  <c r="V72" i="59"/>
  <c r="U72" i="59"/>
  <c r="CB61" i="7"/>
  <c r="BE39" i="7"/>
  <c r="AW39" i="7"/>
  <c r="AX39" i="7"/>
  <c r="AG57" i="7"/>
  <c r="BI26" i="57"/>
  <c r="BN26" i="57"/>
  <c r="BT18" i="11"/>
  <c r="CA24" i="56"/>
  <c r="CA187" i="56"/>
  <c r="CG22" i="56"/>
  <c r="CG43" i="56"/>
  <c r="CB186" i="56"/>
  <c r="CF186" i="56"/>
  <c r="CF21" i="59"/>
  <c r="CF46" i="59" s="1"/>
  <c r="CF75" i="59" s="1"/>
  <c r="AK40" i="56"/>
  <c r="AK60" i="33"/>
  <c r="AI60" i="33"/>
  <c r="BI72" i="59"/>
  <c r="AJ70" i="59"/>
  <c r="AH57" i="7"/>
  <c r="AJ57" i="7"/>
  <c r="AK57" i="7"/>
  <c r="AL57" i="7"/>
  <c r="AM57" i="7"/>
  <c r="BQ36" i="7"/>
  <c r="AB344" i="7"/>
  <c r="AJ35" i="7"/>
  <c r="AZ110" i="56"/>
  <c r="CB24" i="56"/>
  <c r="CB62" i="56"/>
  <c r="AK35" i="7"/>
  <c r="AL35" i="7"/>
  <c r="AM35" i="7"/>
  <c r="AO35" i="7"/>
  <c r="AP35" i="7"/>
  <c r="AQ35" i="7"/>
  <c r="AR35" i="7"/>
  <c r="AT35" i="7"/>
  <c r="AU35" i="7"/>
  <c r="AV35" i="7"/>
  <c r="AW35" i="7"/>
  <c r="AY35" i="7"/>
  <c r="AZ35" i="7"/>
  <c r="BA35" i="7"/>
  <c r="BB35" i="7"/>
  <c r="BD35" i="7"/>
  <c r="BE35" i="7"/>
  <c r="BF35" i="7"/>
  <c r="BG35" i="7"/>
  <c r="BI35" i="7"/>
  <c r="BJ35" i="7"/>
  <c r="BK35" i="7"/>
  <c r="BL35" i="7"/>
  <c r="BN35" i="7"/>
  <c r="BS26" i="57"/>
  <c r="CC26" i="57"/>
  <c r="CH26" i="57" s="1"/>
  <c r="CB63" i="56"/>
  <c r="Z31" i="59"/>
  <c r="AJ73" i="59"/>
  <c r="AJ31" i="59"/>
  <c r="AF61" i="59"/>
  <c r="Y56" i="59"/>
  <c r="Y27" i="59"/>
  <c r="CQ61" i="7"/>
  <c r="CN58" i="7"/>
  <c r="CO58" i="7"/>
  <c r="CP58" i="7"/>
  <c r="BD47" i="7"/>
  <c r="BG138" i="7"/>
  <c r="AU75" i="7"/>
  <c r="AE109" i="7"/>
  <c r="AE111" i="7"/>
  <c r="BB217" i="7"/>
  <c r="BD217" i="7"/>
  <c r="BE217" i="7"/>
  <c r="BF217" i="7"/>
  <c r="BG217" i="7"/>
  <c r="BI217" i="7"/>
  <c r="BJ217" i="7"/>
  <c r="BK217" i="7"/>
  <c r="BT265" i="7"/>
  <c r="BJ290" i="7"/>
  <c r="BK290" i="7"/>
  <c r="BM24" i="11"/>
  <c r="AT23" i="11"/>
  <c r="BP11" i="11"/>
  <c r="BP18" i="11" s="1"/>
  <c r="AP11" i="11"/>
  <c r="AP18" i="11"/>
  <c r="BL22" i="11"/>
  <c r="BH7" i="11"/>
  <c r="BY23" i="11"/>
  <c r="AT16" i="11"/>
  <c r="CB67" i="56"/>
  <c r="CA132" i="56"/>
  <c r="CA133" i="56"/>
  <c r="CA134" i="56"/>
  <c r="CA143" i="56"/>
  <c r="CB69" i="56"/>
  <c r="CA18" i="7"/>
  <c r="CA19" i="7" s="1"/>
  <c r="AH61" i="59"/>
  <c r="AB31" i="59"/>
  <c r="AB61" i="59"/>
  <c r="AL60" i="33"/>
  <c r="CA12" i="7"/>
  <c r="CB42" i="5"/>
  <c r="CA42" i="5"/>
  <c r="CA9" i="7"/>
  <c r="CA24" i="7"/>
  <c r="CB24" i="7"/>
  <c r="CA27" i="7"/>
  <c r="BZ9" i="11"/>
  <c r="BZ16" i="11"/>
  <c r="CD9" i="11"/>
  <c r="CD9" i="5" s="1"/>
  <c r="CD50" i="59" s="1"/>
  <c r="BZ61" i="56"/>
  <c r="BJ63" i="56"/>
  <c r="BQ42" i="56"/>
  <c r="BJ6" i="11"/>
  <c r="BO21" i="11" s="1"/>
  <c r="BF63" i="56"/>
  <c r="BF45" i="56"/>
  <c r="BF61" i="56"/>
  <c r="BZ63" i="56"/>
  <c r="BB74" i="56"/>
  <c r="BB76" i="56"/>
  <c r="BB118" i="56"/>
  <c r="BB128" i="56"/>
  <c r="AW109" i="56"/>
  <c r="BG109" i="56"/>
  <c r="BG114" i="56"/>
  <c r="BG10" i="14"/>
  <c r="AW106" i="56"/>
  <c r="BG112" i="56"/>
  <c r="BM101" i="56"/>
  <c r="BG106" i="56"/>
  <c r="AF109" i="7"/>
  <c r="AF111" i="7"/>
  <c r="CJ117" i="7"/>
  <c r="CO158" i="7"/>
  <c r="CP158" i="7"/>
  <c r="CI229" i="7"/>
  <c r="CJ229" i="7"/>
  <c r="CK229" i="7"/>
  <c r="CM229" i="7"/>
  <c r="CN229" i="7"/>
  <c r="CO229" i="7"/>
  <c r="CP229" i="7"/>
  <c r="AD284" i="7"/>
  <c r="AI282" i="7"/>
  <c r="AI284" i="7"/>
  <c r="AN282" i="7"/>
  <c r="AN284" i="7"/>
  <c r="V333" i="7"/>
  <c r="V335" i="7"/>
  <c r="V336" i="7"/>
  <c r="U336" i="7"/>
  <c r="BG231" i="7"/>
  <c r="BG233" i="7"/>
  <c r="BD39" i="7"/>
  <c r="BH39" i="7"/>
  <c r="BH362" i="7"/>
  <c r="BX180" i="7"/>
  <c r="BY180" i="7"/>
  <c r="BZ180" i="7"/>
  <c r="CA180" i="7"/>
  <c r="CC180" i="7"/>
  <c r="AG109" i="7"/>
  <c r="AG111" i="7"/>
  <c r="BG232" i="7"/>
  <c r="AC63" i="7"/>
  <c r="AC65" i="7"/>
  <c r="CQ362" i="7"/>
  <c r="Z38" i="7"/>
  <c r="Z40" i="7"/>
  <c r="AA38" i="7"/>
  <c r="AF350" i="7"/>
  <c r="AG32" i="7"/>
  <c r="BV202" i="7"/>
  <c r="Y333" i="7"/>
  <c r="BY339" i="7"/>
  <c r="BO348" i="7"/>
  <c r="BJ53" i="7"/>
  <c r="BY93" i="7"/>
  <c r="BL49" i="7"/>
  <c r="BL51" i="7"/>
  <c r="BL53" i="7"/>
  <c r="AU362" i="7"/>
  <c r="AD62" i="7"/>
  <c r="AE60" i="7"/>
  <c r="AM27" i="59"/>
  <c r="AE56" i="59"/>
  <c r="V61" i="59"/>
  <c r="CO22" i="56"/>
  <c r="BI291" i="7"/>
  <c r="BI293" i="7"/>
  <c r="BG294" i="7"/>
  <c r="BG296" i="7"/>
  <c r="BG295" i="7"/>
  <c r="AG359" i="7"/>
  <c r="AH356" i="7"/>
  <c r="AH357" i="7"/>
  <c r="AH358" i="7"/>
  <c r="BD36" i="7"/>
  <c r="BE36" i="7"/>
  <c r="BF36" i="7"/>
  <c r="BG36" i="7"/>
  <c r="AN97" i="7"/>
  <c r="BC128" i="7"/>
  <c r="CE237" i="7"/>
  <c r="CE236" i="7"/>
  <c r="BU172" i="7"/>
  <c r="Z49" i="7"/>
  <c r="Z51" i="7"/>
  <c r="Z53" i="7"/>
  <c r="AD49" i="7"/>
  <c r="AD51" i="7"/>
  <c r="AE340" i="7"/>
  <c r="AF340" i="7"/>
  <c r="AG340" i="7"/>
  <c r="BC50" i="7"/>
  <c r="BY228" i="7"/>
  <c r="BY230" i="7"/>
  <c r="BZ228" i="7"/>
  <c r="BZ230" i="7"/>
  <c r="CA228" i="7"/>
  <c r="CA230" i="7"/>
  <c r="CC228" i="7"/>
  <c r="CC230" i="7"/>
  <c r="CD228" i="7"/>
  <c r="CD230" i="7"/>
  <c r="CE228" i="7"/>
  <c r="CE230" i="7"/>
  <c r="CF228" i="7"/>
  <c r="CF230" i="7"/>
  <c r="CH228" i="7"/>
  <c r="CH230" i="7"/>
  <c r="CI228" i="7"/>
  <c r="CI230" i="7"/>
  <c r="CJ228" i="7"/>
  <c r="CJ230" i="7"/>
  <c r="CK228" i="7"/>
  <c r="CK230" i="7"/>
  <c r="CM228" i="7"/>
  <c r="CM230" i="7"/>
  <c r="CN228" i="7"/>
  <c r="CN230" i="7"/>
  <c r="CO228" i="7"/>
  <c r="CO230" i="7"/>
  <c r="CP228" i="7"/>
  <c r="CP230" i="7"/>
  <c r="Y343" i="7"/>
  <c r="AM362" i="7"/>
  <c r="BM51" i="7"/>
  <c r="BR49" i="7"/>
  <c r="BR51" i="7"/>
  <c r="BW49" i="7"/>
  <c r="BW51" i="7"/>
  <c r="CB49" i="7"/>
  <c r="CB51" i="7"/>
  <c r="CG49" i="7"/>
  <c r="CG51" i="7"/>
  <c r="CL49" i="7"/>
  <c r="CL51" i="7"/>
  <c r="CQ49" i="7"/>
  <c r="CQ51" i="7"/>
  <c r="AX362" i="7"/>
  <c r="Y351" i="7"/>
  <c r="BI294" i="7"/>
  <c r="BI296" i="7"/>
  <c r="AD103" i="7"/>
  <c r="Z103" i="7"/>
  <c r="Z105" i="7"/>
  <c r="AA103" i="7"/>
  <c r="AA105" i="7"/>
  <c r="AB103" i="7"/>
  <c r="AG352" i="7"/>
  <c r="AH349" i="7"/>
  <c r="AH350" i="7"/>
  <c r="BQ351" i="7"/>
  <c r="BS349" i="7"/>
  <c r="BS351" i="7"/>
  <c r="BT349" i="7"/>
  <c r="BT351" i="7"/>
  <c r="BG49" i="7"/>
  <c r="BF53" i="7"/>
  <c r="V341" i="7"/>
  <c r="V343" i="7"/>
  <c r="W341" i="7"/>
  <c r="W343" i="7"/>
  <c r="W345" i="7"/>
  <c r="U345" i="7"/>
  <c r="AI357" i="7"/>
  <c r="BG146" i="7"/>
  <c r="BG148" i="7"/>
  <c r="BF149" i="7"/>
  <c r="BF151" i="7"/>
  <c r="AX350" i="7"/>
  <c r="CB362" i="7"/>
  <c r="AN61" i="7"/>
  <c r="AN362" i="7"/>
  <c r="Y97" i="7"/>
  <c r="U189" i="7"/>
  <c r="U191" i="7"/>
  <c r="U192" i="7"/>
  <c r="Y335" i="7"/>
  <c r="AF359" i="7"/>
  <c r="BY147" i="7"/>
  <c r="BZ147" i="7"/>
  <c r="CA147" i="7"/>
  <c r="U103" i="7"/>
  <c r="U105" i="7"/>
  <c r="V103" i="7"/>
  <c r="V105" i="7"/>
  <c r="W103" i="7"/>
  <c r="W105" i="7"/>
  <c r="W106" i="7"/>
  <c r="AD192" i="7"/>
  <c r="BU261" i="7"/>
  <c r="BU262" i="7"/>
  <c r="BO49" i="7"/>
  <c r="BO51" i="7"/>
  <c r="BX159" i="7"/>
  <c r="BY157" i="7"/>
  <c r="BY159" i="7"/>
  <c r="BZ157" i="7"/>
  <c r="BZ159" i="7"/>
  <c r="CA157" i="7"/>
  <c r="CA159" i="7"/>
  <c r="CC157" i="7"/>
  <c r="CC159" i="7"/>
  <c r="CD157" i="7"/>
  <c r="CD159" i="7"/>
  <c r="CE157" i="7"/>
  <c r="CE159" i="7"/>
  <c r="CF157" i="7"/>
  <c r="CF159" i="7"/>
  <c r="CH157" i="7"/>
  <c r="CH159" i="7"/>
  <c r="CI157" i="7"/>
  <c r="CI159" i="7"/>
  <c r="CJ157" i="7"/>
  <c r="CJ159" i="7"/>
  <c r="CK157" i="7"/>
  <c r="CK159" i="7"/>
  <c r="CM157" i="7"/>
  <c r="CM159" i="7"/>
  <c r="CN157" i="7"/>
  <c r="CN159" i="7"/>
  <c r="CO157" i="7"/>
  <c r="CO159" i="7"/>
  <c r="CP157" i="7"/>
  <c r="CP159" i="7"/>
  <c r="Y358" i="7"/>
  <c r="Z356" i="7"/>
  <c r="Z358" i="7"/>
  <c r="AA356" i="7"/>
  <c r="AA358" i="7"/>
  <c r="BX196" i="7"/>
  <c r="BY196" i="7"/>
  <c r="BV259" i="7"/>
  <c r="BX259" i="7"/>
  <c r="BY259" i="7"/>
  <c r="BZ259" i="7"/>
  <c r="CA259" i="7"/>
  <c r="CC259" i="7"/>
  <c r="BU171" i="7"/>
  <c r="BU173" i="7"/>
  <c r="BF150" i="7"/>
  <c r="BT249" i="7"/>
  <c r="BU249" i="7"/>
  <c r="BU253" i="7"/>
  <c r="BV197" i="7"/>
  <c r="BV201" i="7"/>
  <c r="BI144" i="7"/>
  <c r="BJ144" i="7"/>
  <c r="BK144" i="7"/>
  <c r="BL144" i="7"/>
  <c r="BG150" i="7"/>
  <c r="BV172" i="7"/>
  <c r="BX166" i="7"/>
  <c r="BY166" i="7"/>
  <c r="BZ166" i="7"/>
  <c r="CA166" i="7"/>
  <c r="CC166" i="7"/>
  <c r="CD166" i="7"/>
  <c r="CE166" i="7"/>
  <c r="CF166" i="7"/>
  <c r="CH166" i="7"/>
  <c r="CI166" i="7"/>
  <c r="CJ166" i="7"/>
  <c r="CK166" i="7"/>
  <c r="CM166" i="7"/>
  <c r="CN166" i="7"/>
  <c r="CO166" i="7"/>
  <c r="CP166" i="7"/>
  <c r="AM31" i="59"/>
  <c r="AE61" i="59"/>
  <c r="V27" i="59"/>
  <c r="BE155" i="56"/>
  <c r="BA33" i="56"/>
  <c r="BF153" i="56"/>
  <c r="BA18" i="14"/>
  <c r="BF155" i="56"/>
  <c r="AK47" i="59"/>
  <c r="AK58" i="59" s="1"/>
  <c r="W31" i="59"/>
  <c r="AD31" i="59"/>
  <c r="AM47" i="59"/>
  <c r="AM59" i="59" s="1"/>
  <c r="Z56" i="59"/>
  <c r="AD27" i="59"/>
  <c r="AJ47" i="59"/>
  <c r="AK59" i="59"/>
  <c r="AK61" i="59"/>
  <c r="AE31" i="59"/>
  <c r="CB16" i="5"/>
  <c r="CD11" i="57"/>
  <c r="CD10" i="57" s="1"/>
  <c r="BZ11" i="11"/>
  <c r="BZ25" i="11" s="1"/>
  <c r="AA49" i="7"/>
  <c r="AZ114" i="56"/>
  <c r="AZ108" i="56"/>
  <c r="AZ111" i="56"/>
  <c r="AY68" i="7"/>
  <c r="BZ72" i="7"/>
  <c r="BL177" i="7"/>
  <c r="CD22" i="11"/>
  <c r="AH351" i="7"/>
  <c r="AI351" i="7"/>
  <c r="AN349" i="7"/>
  <c r="AZ106" i="56"/>
  <c r="BK227" i="7"/>
  <c r="U352" i="7"/>
  <c r="V349" i="7"/>
  <c r="V351" i="7"/>
  <c r="W349" i="7"/>
  <c r="W351" i="7"/>
  <c r="W352" i="7"/>
  <c r="BJ359" i="7"/>
  <c r="BK356" i="7"/>
  <c r="BK357" i="7"/>
  <c r="AZ13" i="5"/>
  <c r="AZ15" i="5" s="1"/>
  <c r="AZ18" i="5" s="1"/>
  <c r="AZ41" i="5" s="1"/>
  <c r="AZ43" i="5" s="1"/>
  <c r="AY280" i="7"/>
  <c r="AZ280" i="7"/>
  <c r="AW187" i="7"/>
  <c r="CA63" i="56"/>
  <c r="CK58" i="7"/>
  <c r="BI154" i="7"/>
  <c r="AZ196" i="56"/>
  <c r="BI176" i="7"/>
  <c r="BJ176" i="7"/>
  <c r="BK176" i="7"/>
  <c r="Z52" i="7"/>
  <c r="BU143" i="7"/>
  <c r="BL145" i="7"/>
  <c r="CA258" i="7"/>
  <c r="CC258" i="7"/>
  <c r="U31" i="59"/>
  <c r="U22" i="59"/>
  <c r="U48" i="59"/>
  <c r="AH31" i="59"/>
  <c r="AH48" i="59"/>
  <c r="BA129" i="7"/>
  <c r="BB124" i="7"/>
  <c r="V68" i="59"/>
  <c r="V71" i="59"/>
  <c r="V70" i="59"/>
  <c r="V67" i="59"/>
  <c r="V73" i="59"/>
  <c r="BQ26" i="57"/>
  <c r="BK155" i="7"/>
  <c r="BL155" i="7"/>
  <c r="BL61" i="7"/>
  <c r="BM61" i="7"/>
  <c r="BM362" i="7"/>
  <c r="AO33" i="56"/>
  <c r="AO18" i="14"/>
  <c r="AO19" i="14" s="1"/>
  <c r="AO155" i="56"/>
  <c r="AO169" i="56"/>
  <c r="AO153" i="56"/>
  <c r="AO167" i="56"/>
  <c r="BG163" i="56"/>
  <c r="BX18" i="14"/>
  <c r="BE24" i="14"/>
  <c r="BE159" i="56"/>
  <c r="X27" i="59"/>
  <c r="X56" i="59"/>
  <c r="AB27" i="59"/>
  <c r="AB56" i="59"/>
  <c r="AI56" i="59"/>
  <c r="AO9" i="7"/>
  <c r="AP8" i="7"/>
  <c r="BJ113" i="7"/>
  <c r="BK134" i="7"/>
  <c r="BI135" i="7"/>
  <c r="BI137" i="7"/>
  <c r="BG139" i="7"/>
  <c r="BV260" i="7"/>
  <c r="BU264" i="7"/>
  <c r="BU266" i="7"/>
  <c r="BJ24" i="7"/>
  <c r="BM24" i="7"/>
  <c r="AJ52" i="56"/>
  <c r="AJ40" i="56"/>
  <c r="AJ59" i="56"/>
  <c r="AW42" i="56"/>
  <c r="AX21" i="56"/>
  <c r="BV24" i="56"/>
  <c r="BV187" i="56"/>
  <c r="AO61" i="56"/>
  <c r="BO187" i="56"/>
  <c r="BW95" i="56"/>
  <c r="BI76" i="56"/>
  <c r="BI97" i="56"/>
  <c r="T39" i="33"/>
  <c r="BI10" i="14"/>
  <c r="BT153" i="56"/>
  <c r="BT180" i="56" s="1"/>
  <c r="BT11" i="59" s="1"/>
  <c r="BT37" i="59" s="1"/>
  <c r="BB161" i="56"/>
  <c r="BB185" i="56"/>
  <c r="BM9" i="5"/>
  <c r="BM50" i="59"/>
  <c r="BK50" i="59"/>
  <c r="BA27" i="57"/>
  <c r="BA34" i="57"/>
  <c r="AY28" i="57"/>
  <c r="BK73" i="56"/>
  <c r="AY5" i="57"/>
  <c r="BD27" i="57"/>
  <c r="BI27" i="57"/>
  <c r="AF37" i="7"/>
  <c r="BT202" i="7"/>
  <c r="BT201" i="7"/>
  <c r="BT203" i="7"/>
  <c r="BU198" i="7"/>
  <c r="AW208" i="7"/>
  <c r="AY208" i="7"/>
  <c r="BX210" i="7"/>
  <c r="BX211" i="7"/>
  <c r="BY209" i="7"/>
  <c r="BD207" i="7"/>
  <c r="BQ12" i="7"/>
  <c r="BC17" i="56"/>
  <c r="BB186" i="56"/>
  <c r="BB21" i="59"/>
  <c r="BB46" i="59" s="1"/>
  <c r="BB75" i="59" s="1"/>
  <c r="BG39" i="56"/>
  <c r="AF48" i="59"/>
  <c r="BG28" i="57"/>
  <c r="BS73" i="56"/>
  <c r="BT190" i="7"/>
  <c r="BU189" i="7"/>
  <c r="BU190" i="7"/>
  <c r="U285" i="7"/>
  <c r="V284" i="7"/>
  <c r="AK55" i="59"/>
  <c r="BK72" i="59"/>
  <c r="AY206" i="7"/>
  <c r="AZ206" i="7"/>
  <c r="AV86" i="7"/>
  <c r="AV85" i="7"/>
  <c r="AV87" i="7"/>
  <c r="AW82" i="7"/>
  <c r="AW84" i="7"/>
  <c r="BA70" i="7"/>
  <c r="AL19" i="56"/>
  <c r="AL40" i="56"/>
  <c r="AL52" i="56"/>
  <c r="AN12" i="56"/>
  <c r="AL18" i="14"/>
  <c r="AY33" i="56"/>
  <c r="AY153" i="56"/>
  <c r="AY180" i="56" s="1"/>
  <c r="AY18" i="14"/>
  <c r="AY155" i="56"/>
  <c r="BI33" i="56"/>
  <c r="AT186" i="56"/>
  <c r="AT21" i="59"/>
  <c r="AT46" i="59" s="1"/>
  <c r="AT75" i="59" s="1"/>
  <c r="BR186" i="56"/>
  <c r="BR39" i="56"/>
  <c r="BR21" i="56"/>
  <c r="AY43" i="56"/>
  <c r="BD43" i="56"/>
  <c r="AT62" i="56"/>
  <c r="BE187" i="56"/>
  <c r="AP133" i="56"/>
  <c r="AP132" i="56"/>
  <c r="AU95" i="56"/>
  <c r="F34" i="33"/>
  <c r="AP95" i="56"/>
  <c r="AO24" i="14"/>
  <c r="AO111" i="56"/>
  <c r="BC71" i="56"/>
  <c r="U27" i="59"/>
  <c r="U56" i="59"/>
  <c r="AN27" i="59"/>
  <c r="AC31" i="59"/>
  <c r="AC61" i="59"/>
  <c r="AJ71" i="59"/>
  <c r="BT16" i="5"/>
  <c r="BW16" i="5" s="1"/>
  <c r="BW29" i="5" s="1"/>
  <c r="BW14" i="5"/>
  <c r="BT15" i="5"/>
  <c r="BA26" i="57"/>
  <c r="BA35" i="57"/>
  <c r="AQ28" i="57"/>
  <c r="AQ34" i="57"/>
  <c r="BS9" i="7"/>
  <c r="BT8" i="7" s="1"/>
  <c r="U26" i="7"/>
  <c r="U51" i="7"/>
  <c r="U64" i="7"/>
  <c r="V60" i="7"/>
  <c r="V62" i="7"/>
  <c r="BQ61" i="7"/>
  <c r="BR61" i="7"/>
  <c r="BI83" i="7"/>
  <c r="BI362" i="7"/>
  <c r="BG362" i="7"/>
  <c r="BI119" i="7"/>
  <c r="BI121" i="7"/>
  <c r="BD126" i="7"/>
  <c r="BD128" i="7"/>
  <c r="BE126" i="7"/>
  <c r="BE128" i="7"/>
  <c r="BF126" i="7"/>
  <c r="BF128" i="7"/>
  <c r="BG126" i="7"/>
  <c r="BG128" i="7"/>
  <c r="BH126" i="7"/>
  <c r="BH128" i="7"/>
  <c r="AI192" i="7"/>
  <c r="BX195" i="7"/>
  <c r="BY195" i="7"/>
  <c r="BI247" i="7"/>
  <c r="U359" i="7"/>
  <c r="V356" i="7"/>
  <c r="V358" i="7"/>
  <c r="W356" i="7"/>
  <c r="W358" i="7"/>
  <c r="W359" i="7"/>
  <c r="BB9" i="7"/>
  <c r="CA32" i="7"/>
  <c r="BZ339" i="7"/>
  <c r="BZ101" i="7"/>
  <c r="CG17" i="56"/>
  <c r="CG39" i="56"/>
  <c r="BG120" i="56"/>
  <c r="BB153" i="56"/>
  <c r="AV161" i="56"/>
  <c r="AV185" i="56"/>
  <c r="AV16" i="56"/>
  <c r="AV27" i="14"/>
  <c r="AG27" i="59"/>
  <c r="Z73" i="59"/>
  <c r="AL31" i="59"/>
  <c r="AJ66" i="59"/>
  <c r="AJ72" i="59"/>
  <c r="BV12" i="5"/>
  <c r="BW9" i="5"/>
  <c r="BW50" i="59"/>
  <c r="BS15" i="5"/>
  <c r="BS37" i="5" s="1"/>
  <c r="AR16" i="11"/>
  <c r="AG6" i="57"/>
  <c r="AG7" i="57"/>
  <c r="AC7" i="57"/>
  <c r="AH31" i="57"/>
  <c r="AP31" i="57"/>
  <c r="BE26" i="57"/>
  <c r="Z362" i="7"/>
  <c r="AD39" i="7"/>
  <c r="AY69" i="7"/>
  <c r="AW79" i="7"/>
  <c r="BG162" i="7"/>
  <c r="BG161" i="7"/>
  <c r="BI157" i="7"/>
  <c r="BI159" i="7"/>
  <c r="BX169" i="7"/>
  <c r="BX170" i="7"/>
  <c r="BY168" i="7"/>
  <c r="BY170" i="7"/>
  <c r="BX199" i="7"/>
  <c r="CI199" i="7"/>
  <c r="BC221" i="7"/>
  <c r="BX252" i="7"/>
  <c r="BY250" i="7"/>
  <c r="BX263" i="7"/>
  <c r="BY261" i="7"/>
  <c r="BY263" i="7"/>
  <c r="BZ261" i="7"/>
  <c r="BZ263" i="7"/>
  <c r="AM75" i="59"/>
  <c r="AM71" i="59"/>
  <c r="AM70" i="59"/>
  <c r="AM67" i="59"/>
  <c r="AM68" i="59"/>
  <c r="U73" i="59"/>
  <c r="U66" i="59"/>
  <c r="X18" i="7"/>
  <c r="BG18" i="7"/>
  <c r="BJ116" i="7"/>
  <c r="BJ118" i="7"/>
  <c r="BK116" i="7"/>
  <c r="BK117" i="7"/>
  <c r="AG339" i="7"/>
  <c r="AH32" i="7"/>
  <c r="AH339" i="7"/>
  <c r="AT18" i="14"/>
  <c r="AT33" i="56"/>
  <c r="AT153" i="56"/>
  <c r="BI6" i="11"/>
  <c r="BI17" i="11" s="1"/>
  <c r="BI45" i="56"/>
  <c r="BY61" i="56"/>
  <c r="BY62" i="56"/>
  <c r="BY45" i="56"/>
  <c r="BF163" i="56"/>
  <c r="BF108" i="56"/>
  <c r="BF112" i="56"/>
  <c r="BF109" i="56"/>
  <c r="BF106" i="56"/>
  <c r="AN22" i="59"/>
  <c r="AA22" i="59"/>
  <c r="AA48" i="59"/>
  <c r="AI31" i="59"/>
  <c r="AI61" i="59"/>
  <c r="AJ67" i="59"/>
  <c r="BM15" i="5"/>
  <c r="BJ14" i="5"/>
  <c r="BH27" i="57"/>
  <c r="BH5" i="57"/>
  <c r="BC5" i="57"/>
  <c r="AJ8" i="7"/>
  <c r="AJ11" i="7"/>
  <c r="AJ13" i="7" s="1"/>
  <c r="U42" i="7"/>
  <c r="V38" i="7"/>
  <c r="V40" i="7"/>
  <c r="AG59" i="7"/>
  <c r="AH59" i="7"/>
  <c r="BG119" i="7"/>
  <c r="BG121" i="7"/>
  <c r="BG120" i="7"/>
  <c r="BX165" i="7"/>
  <c r="BV171" i="7"/>
  <c r="BV173" i="7"/>
  <c r="BX167" i="7"/>
  <c r="AN192" i="7"/>
  <c r="AL7" i="14"/>
  <c r="AM33" i="56"/>
  <c r="BK33" i="56"/>
  <c r="BQ39" i="56"/>
  <c r="AX101" i="56"/>
  <c r="AG66" i="59"/>
  <c r="AG67" i="59"/>
  <c r="AG71" i="59"/>
  <c r="AG72" i="59"/>
  <c r="AV34" i="57"/>
  <c r="AX28" i="57"/>
  <c r="BJ73" i="56"/>
  <c r="AM7" i="14"/>
  <c r="BP18" i="14"/>
  <c r="AP186" i="56"/>
  <c r="AP21" i="59"/>
  <c r="AP46" i="59" s="1"/>
  <c r="AP75" i="59" s="1"/>
  <c r="AU132" i="56"/>
  <c r="BW42" i="5"/>
  <c r="AL6" i="57"/>
  <c r="AL7" i="57"/>
  <c r="AJ7" i="14"/>
  <c r="BE18" i="14"/>
  <c r="BZ18" i="7"/>
  <c r="CK117" i="7"/>
  <c r="CP117" i="7"/>
  <c r="BI250" i="7"/>
  <c r="BI252" i="7"/>
  <c r="Z42" i="7"/>
  <c r="AA40" i="7"/>
  <c r="AA41" i="7"/>
  <c r="AA43" i="7"/>
  <c r="W333" i="7"/>
  <c r="W335" i="7"/>
  <c r="BO352" i="7"/>
  <c r="BP348" i="7"/>
  <c r="BQ348" i="7"/>
  <c r="AH109" i="7"/>
  <c r="AJ109" i="7"/>
  <c r="Z23" i="7"/>
  <c r="Z26" i="7"/>
  <c r="BX181" i="7"/>
  <c r="BY179" i="7"/>
  <c r="BY181" i="7"/>
  <c r="BZ179" i="7"/>
  <c r="BZ181" i="7"/>
  <c r="CA179" i="7"/>
  <c r="CA181" i="7"/>
  <c r="CC179" i="7"/>
  <c r="AI60" i="7"/>
  <c r="BI179" i="7"/>
  <c r="BI181" i="7"/>
  <c r="BI183" i="7"/>
  <c r="BI182" i="7"/>
  <c r="BI184" i="7"/>
  <c r="BG183" i="7"/>
  <c r="CF236" i="7"/>
  <c r="CH236" i="7"/>
  <c r="CF237" i="7"/>
  <c r="AI49" i="7"/>
  <c r="AI51" i="7"/>
  <c r="AJ49" i="7"/>
  <c r="AJ51" i="7"/>
  <c r="AK49" i="7"/>
  <c r="AE49" i="7"/>
  <c r="AE51" i="7"/>
  <c r="AF49" i="7"/>
  <c r="AF51" i="7"/>
  <c r="AF53" i="7"/>
  <c r="AD341" i="7"/>
  <c r="AD343" i="7"/>
  <c r="Z341" i="7"/>
  <c r="Z343" i="7"/>
  <c r="AD349" i="7"/>
  <c r="AD351" i="7"/>
  <c r="Z349" i="7"/>
  <c r="Z351" i="7"/>
  <c r="BY148" i="7"/>
  <c r="BZ146" i="7"/>
  <c r="BZ148" i="7"/>
  <c r="CA146" i="7"/>
  <c r="CA148" i="7"/>
  <c r="CC146" i="7"/>
  <c r="CC148" i="7"/>
  <c r="BR351" i="7"/>
  <c r="BW349" i="7"/>
  <c r="V189" i="7"/>
  <c r="V191" i="7"/>
  <c r="BU265" i="7"/>
  <c r="V345" i="7"/>
  <c r="BG51" i="7"/>
  <c r="BG53" i="7"/>
  <c r="BI49" i="7"/>
  <c r="BI51" i="7"/>
  <c r="BI53" i="7"/>
  <c r="BM53" i="7"/>
  <c r="BG149" i="7"/>
  <c r="BG151" i="7"/>
  <c r="BI146" i="7"/>
  <c r="BI148" i="7"/>
  <c r="BI150" i="7"/>
  <c r="AD356" i="7"/>
  <c r="AD358" i="7"/>
  <c r="Z95" i="7"/>
  <c r="Z97" i="7"/>
  <c r="AD95" i="7"/>
  <c r="AD97" i="7"/>
  <c r="BV203" i="7"/>
  <c r="BV265" i="7"/>
  <c r="BT253" i="7"/>
  <c r="AM58" i="59"/>
  <c r="BK169" i="56"/>
  <c r="AM61" i="59"/>
  <c r="AM55" i="59"/>
  <c r="AM54" i="59"/>
  <c r="AM56" i="59"/>
  <c r="AM48" i="59"/>
  <c r="AJ55" i="59"/>
  <c r="AJ58" i="59"/>
  <c r="AJ61" i="59"/>
  <c r="AJ54" i="59"/>
  <c r="AK63" i="59"/>
  <c r="AK54" i="59"/>
  <c r="BM27" i="57"/>
  <c r="AD362" i="7"/>
  <c r="BM126" i="7"/>
  <c r="BI126" i="7"/>
  <c r="BI128" i="7"/>
  <c r="BJ126" i="7"/>
  <c r="BA28" i="57"/>
  <c r="BZ196" i="7"/>
  <c r="BX172" i="7"/>
  <c r="BA109" i="56"/>
  <c r="BA114" i="56"/>
  <c r="BA13" i="14"/>
  <c r="BB70" i="7"/>
  <c r="BX171" i="7"/>
  <c r="BY167" i="7"/>
  <c r="BB109" i="56"/>
  <c r="BY252" i="7"/>
  <c r="BI160" i="7"/>
  <c r="BJ157" i="7"/>
  <c r="BJ159" i="7"/>
  <c r="BI161" i="7"/>
  <c r="AZ69" i="7"/>
  <c r="BJ26" i="57"/>
  <c r="BK26" i="57"/>
  <c r="BF26" i="57"/>
  <c r="BA161" i="56"/>
  <c r="BA185" i="56"/>
  <c r="BA16" i="56"/>
  <c r="BA27" i="14"/>
  <c r="CA93" i="7"/>
  <c r="CA339" i="7"/>
  <c r="CA101" i="7"/>
  <c r="V64" i="7"/>
  <c r="W60" i="7"/>
  <c r="W62" i="7"/>
  <c r="W64" i="7"/>
  <c r="BT37" i="5"/>
  <c r="AP134" i="56"/>
  <c r="AL58" i="56"/>
  <c r="AL59" i="56"/>
  <c r="AY82" i="7"/>
  <c r="AY84" i="7"/>
  <c r="AW86" i="7"/>
  <c r="Z75" i="59"/>
  <c r="Z72" i="59"/>
  <c r="Z71" i="59"/>
  <c r="Z70" i="59"/>
  <c r="Z67" i="59"/>
  <c r="Z66" i="59"/>
  <c r="Z68" i="59"/>
  <c r="BC186" i="56"/>
  <c r="BJ16" i="5"/>
  <c r="BD219" i="7"/>
  <c r="BD221" i="7"/>
  <c r="BH219" i="7"/>
  <c r="BH221" i="7"/>
  <c r="BM219" i="7"/>
  <c r="AY79" i="7"/>
  <c r="AZ79" i="7"/>
  <c r="V359" i="7"/>
  <c r="Y359" i="7"/>
  <c r="BJ247" i="7"/>
  <c r="BA111" i="56"/>
  <c r="BE207" i="7"/>
  <c r="BF207" i="7"/>
  <c r="BI108" i="56"/>
  <c r="BX260" i="7"/>
  <c r="BY260" i="7"/>
  <c r="BZ260" i="7"/>
  <c r="BV264" i="7"/>
  <c r="BV266" i="7"/>
  <c r="BL134" i="7"/>
  <c r="AD68" i="59"/>
  <c r="AD70" i="59"/>
  <c r="AD67" i="59"/>
  <c r="AD66" i="59"/>
  <c r="AD10" i="14"/>
  <c r="AD73" i="59"/>
  <c r="CO46" i="7"/>
  <c r="AZ68" i="7"/>
  <c r="BA68" i="7"/>
  <c r="BB68" i="7"/>
  <c r="AG37" i="7"/>
  <c r="CB17" i="11"/>
  <c r="AA51" i="7"/>
  <c r="AA52" i="7"/>
  <c r="AA54" i="7"/>
  <c r="AA23" i="7"/>
  <c r="AA26" i="7"/>
  <c r="AA28" i="7"/>
  <c r="BD28" i="57"/>
  <c r="BP73" i="56"/>
  <c r="BP141" i="56" s="1"/>
  <c r="BD5" i="57"/>
  <c r="BI110" i="56"/>
  <c r="BK113" i="7"/>
  <c r="BL113" i="7"/>
  <c r="BV143" i="7"/>
  <c r="Z54" i="7"/>
  <c r="BJ154" i="7"/>
  <c r="AY187" i="7"/>
  <c r="BL217" i="7"/>
  <c r="BN217" i="7"/>
  <c r="BL227" i="7"/>
  <c r="AJ349" i="7"/>
  <c r="AJ351" i="7"/>
  <c r="AH352" i="7"/>
  <c r="BY210" i="7"/>
  <c r="BU202" i="7"/>
  <c r="BU199" i="7"/>
  <c r="BI112" i="56"/>
  <c r="BI114" i="56"/>
  <c r="BI109" i="56"/>
  <c r="BI106" i="56"/>
  <c r="BN145" i="7"/>
  <c r="BM357" i="7"/>
  <c r="BK358" i="7"/>
  <c r="BK359" i="7"/>
  <c r="V352" i="7"/>
  <c r="Y352" i="7"/>
  <c r="CA72" i="7"/>
  <c r="CH180" i="7"/>
  <c r="CH181" i="7"/>
  <c r="CI179" i="7"/>
  <c r="CI181" i="7"/>
  <c r="CJ179" i="7"/>
  <c r="CJ181" i="7"/>
  <c r="CK179" i="7"/>
  <c r="CK181" i="7"/>
  <c r="CM179" i="7"/>
  <c r="CM181" i="7"/>
  <c r="CN179" i="7"/>
  <c r="CN181" i="7"/>
  <c r="CO179" i="7"/>
  <c r="CO181" i="7"/>
  <c r="CP179" i="7"/>
  <c r="CP181" i="7"/>
  <c r="BP352" i="7"/>
  <c r="AB38" i="7"/>
  <c r="AB40" i="7"/>
  <c r="AA42" i="7"/>
  <c r="BI253" i="7"/>
  <c r="BJ250" i="7"/>
  <c r="BJ252" i="7"/>
  <c r="BI254" i="7"/>
  <c r="AE61" i="7"/>
  <c r="AE362" i="7"/>
  <c r="AE64" i="7"/>
  <c r="AH111" i="7"/>
  <c r="CH237" i="7"/>
  <c r="AI349" i="7"/>
  <c r="AE349" i="7"/>
  <c r="AE352" i="7"/>
  <c r="AI352" i="7"/>
  <c r="AE52" i="7"/>
  <c r="AE54" i="7"/>
  <c r="AE53" i="7"/>
  <c r="AE23" i="7"/>
  <c r="AE26" i="7"/>
  <c r="AN49" i="7"/>
  <c r="AN51" i="7"/>
  <c r="AS49" i="7"/>
  <c r="AS51" i="7"/>
  <c r="AX49" i="7"/>
  <c r="AX51" i="7"/>
  <c r="BC49" i="7"/>
  <c r="BC51" i="7"/>
  <c r="BH49" i="7"/>
  <c r="BI149" i="7"/>
  <c r="BI151" i="7"/>
  <c r="BJ146" i="7"/>
  <c r="BJ148" i="7"/>
  <c r="Z359" i="7"/>
  <c r="V192" i="7"/>
  <c r="W189" i="7"/>
  <c r="W191" i="7"/>
  <c r="W192" i="7"/>
  <c r="X341" i="7"/>
  <c r="X343" i="7"/>
  <c r="X344" i="7"/>
  <c r="BX265" i="7"/>
  <c r="BV249" i="7"/>
  <c r="BV253" i="7"/>
  <c r="CF122" i="56"/>
  <c r="CB16" i="11"/>
  <c r="BO145" i="7"/>
  <c r="BP145" i="7"/>
  <c r="BZ210" i="7"/>
  <c r="BY211" i="7"/>
  <c r="BZ209" i="7"/>
  <c r="AB49" i="7"/>
  <c r="AB51" i="7"/>
  <c r="AB52" i="7"/>
  <c r="AA53" i="7"/>
  <c r="BX143" i="7"/>
  <c r="CP94" i="7"/>
  <c r="BL356" i="7"/>
  <c r="BL358" i="7"/>
  <c r="BN227" i="7"/>
  <c r="BK154" i="7"/>
  <c r="BN27" i="57"/>
  <c r="V13" i="14"/>
  <c r="CP46" i="7"/>
  <c r="BN155" i="7"/>
  <c r="AZ82" i="7"/>
  <c r="AZ84" i="7"/>
  <c r="BA82" i="7"/>
  <c r="BZ167" i="7"/>
  <c r="BD70" i="7"/>
  <c r="BN134" i="7"/>
  <c r="BF35" i="57"/>
  <c r="BZ168" i="7"/>
  <c r="BZ170" i="7"/>
  <c r="BY265" i="7"/>
  <c r="AH37" i="7"/>
  <c r="BQ178" i="7"/>
  <c r="BS178" i="7"/>
  <c r="BT178" i="7"/>
  <c r="BU178" i="7"/>
  <c r="BI219" i="7"/>
  <c r="BI221" i="7"/>
  <c r="BJ219" i="7"/>
  <c r="BJ220" i="7"/>
  <c r="BO26" i="57"/>
  <c r="BK118" i="7"/>
  <c r="BX264" i="7"/>
  <c r="BX266" i="7"/>
  <c r="BA206" i="7"/>
  <c r="BK247" i="7"/>
  <c r="BE219" i="7"/>
  <c r="BE221" i="7"/>
  <c r="BE222" i="7"/>
  <c r="BD222" i="7"/>
  <c r="BJ41" i="5"/>
  <c r="BJ43" i="5" s="1"/>
  <c r="CG357" i="7"/>
  <c r="BA69" i="7"/>
  <c r="BZ195" i="7"/>
  <c r="BB119" i="56"/>
  <c r="BR27" i="57"/>
  <c r="BW27" i="57"/>
  <c r="AK109" i="7"/>
  <c r="AK111" i="7"/>
  <c r="AJ111" i="7"/>
  <c r="BS348" i="7"/>
  <c r="BT348" i="7"/>
  <c r="BU348" i="7"/>
  <c r="BV348" i="7"/>
  <c r="BQ352" i="7"/>
  <c r="BJ254" i="7"/>
  <c r="BJ253" i="7"/>
  <c r="BJ255" i="7"/>
  <c r="BK250" i="7"/>
  <c r="BK251" i="7"/>
  <c r="BK252" i="7"/>
  <c r="BK254" i="7"/>
  <c r="CI237" i="7"/>
  <c r="CJ237" i="7"/>
  <c r="CI236" i="7"/>
  <c r="CJ236" i="7"/>
  <c r="AK51" i="7"/>
  <c r="AJ53" i="7"/>
  <c r="AG49" i="7"/>
  <c r="AG51" i="7"/>
  <c r="AH49" i="7"/>
  <c r="X345" i="7"/>
  <c r="X106" i="7"/>
  <c r="AB356" i="7"/>
  <c r="AB358" i="7"/>
  <c r="AA359" i="7"/>
  <c r="BJ150" i="7"/>
  <c r="BJ149" i="7"/>
  <c r="BJ151" i="7"/>
  <c r="BK146" i="7"/>
  <c r="BK148" i="7"/>
  <c r="BU349" i="7"/>
  <c r="BU351" i="7"/>
  <c r="BX249" i="7"/>
  <c r="BB206" i="7"/>
  <c r="AZ86" i="7"/>
  <c r="BN113" i="7"/>
  <c r="CD259" i="7"/>
  <c r="BY143" i="7"/>
  <c r="CB15" i="11"/>
  <c r="BZ211" i="7"/>
  <c r="CA209" i="7"/>
  <c r="CA195" i="7"/>
  <c r="BB69" i="7"/>
  <c r="BT26" i="57"/>
  <c r="BA79" i="7"/>
  <c r="BE70" i="7"/>
  <c r="BN144" i="7"/>
  <c r="BL154" i="7"/>
  <c r="BM358" i="7"/>
  <c r="BR356" i="7"/>
  <c r="BL250" i="7"/>
  <c r="BL251" i="7"/>
  <c r="BK253" i="7"/>
  <c r="BK255" i="7"/>
  <c r="BK35" i="57"/>
  <c r="CL357" i="7"/>
  <c r="BF219" i="7"/>
  <c r="BF221" i="7"/>
  <c r="BG219" i="7"/>
  <c r="BG221" i="7"/>
  <c r="BG222" i="7"/>
  <c r="BL247" i="7"/>
  <c r="BY264" i="7"/>
  <c r="BY266" i="7"/>
  <c r="BJ221" i="7"/>
  <c r="BO134" i="7"/>
  <c r="CA167" i="7"/>
  <c r="BG207" i="7"/>
  <c r="BO155" i="7"/>
  <c r="BO217" i="7"/>
  <c r="BP217" i="7"/>
  <c r="BS27" i="57"/>
  <c r="BN28" i="57"/>
  <c r="BZ73" i="56"/>
  <c r="BO227" i="7"/>
  <c r="AB53" i="7"/>
  <c r="AB23" i="7"/>
  <c r="AB26" i="7"/>
  <c r="AC49" i="7"/>
  <c r="AC51" i="7"/>
  <c r="CA210" i="7"/>
  <c r="BZ362" i="7"/>
  <c r="CB18" i="11"/>
  <c r="AJ37" i="7"/>
  <c r="CA261" i="7"/>
  <c r="CA263" i="7"/>
  <c r="BZ265" i="7"/>
  <c r="CQ94" i="7"/>
  <c r="BL176" i="7"/>
  <c r="BN176" i="7"/>
  <c r="AA17" i="7"/>
  <c r="BS352" i="7"/>
  <c r="AH51" i="7"/>
  <c r="AG53" i="7"/>
  <c r="AL49" i="7"/>
  <c r="AL51" i="7"/>
  <c r="AK53" i="7"/>
  <c r="BV349" i="7"/>
  <c r="BV351" i="7"/>
  <c r="BX349" i="7"/>
  <c r="BX351" i="7"/>
  <c r="BY349" i="7"/>
  <c r="BK149" i="7"/>
  <c r="BK151" i="7"/>
  <c r="Y345" i="7"/>
  <c r="BY249" i="7"/>
  <c r="BX253" i="7"/>
  <c r="CB27" i="57"/>
  <c r="CG27" i="57" s="1"/>
  <c r="CC261" i="7"/>
  <c r="CC263" i="7"/>
  <c r="CA265" i="7"/>
  <c r="AB54" i="7"/>
  <c r="BI207" i="7"/>
  <c r="CA260" i="7"/>
  <c r="BZ264" i="7"/>
  <c r="BZ266" i="7"/>
  <c r="BQ145" i="7"/>
  <c r="BK219" i="7"/>
  <c r="BJ222" i="7"/>
  <c r="BF222" i="7"/>
  <c r="CC195" i="7"/>
  <c r="CE259" i="7"/>
  <c r="CC168" i="7"/>
  <c r="CC170" i="7"/>
  <c r="AK37" i="7"/>
  <c r="AL37" i="7"/>
  <c r="AM37" i="7"/>
  <c r="CD41" i="14"/>
  <c r="CC210" i="7"/>
  <c r="BP155" i="7"/>
  <c r="BN247" i="7"/>
  <c r="BL252" i="7"/>
  <c r="BO144" i="7"/>
  <c r="BF70" i="7"/>
  <c r="CC18" i="14"/>
  <c r="BD69" i="7"/>
  <c r="CA211" i="7"/>
  <c r="CC209" i="7"/>
  <c r="CC211" i="7"/>
  <c r="CD209" i="7"/>
  <c r="CD211" i="7"/>
  <c r="CE209" i="7"/>
  <c r="CE211" i="7"/>
  <c r="CF209" i="7"/>
  <c r="CF211" i="7"/>
  <c r="CH209" i="7"/>
  <c r="CD24" i="11"/>
  <c r="BP227" i="7"/>
  <c r="BS28" i="57"/>
  <c r="CE73" i="56"/>
  <c r="CJ99" i="56" s="1"/>
  <c r="CC167" i="7"/>
  <c r="CA171" i="7"/>
  <c r="BP134" i="7"/>
  <c r="BN154" i="7"/>
  <c r="BD68" i="7"/>
  <c r="BZ143" i="7"/>
  <c r="BO113" i="7"/>
  <c r="BD206" i="7"/>
  <c r="BT182" i="7"/>
  <c r="BT352" i="7"/>
  <c r="CK237" i="7"/>
  <c r="AH53" i="7"/>
  <c r="BW351" i="7"/>
  <c r="CB349" i="7"/>
  <c r="BH222" i="7"/>
  <c r="BZ249" i="7"/>
  <c r="CD168" i="7"/>
  <c r="CD170" i="7"/>
  <c r="CC172" i="7"/>
  <c r="CC260" i="7"/>
  <c r="CA264" i="7"/>
  <c r="CA266" i="7"/>
  <c r="CD167" i="7"/>
  <c r="CC171" i="7"/>
  <c r="BO247" i="7"/>
  <c r="BQ217" i="7"/>
  <c r="CC27" i="57"/>
  <c r="CH27" i="57" s="1"/>
  <c r="CD26" i="57"/>
  <c r="CI26" i="57" s="1"/>
  <c r="BJ207" i="7"/>
  <c r="BO176" i="7"/>
  <c r="CA143" i="7"/>
  <c r="BQ134" i="7"/>
  <c r="BP144" i="7"/>
  <c r="BQ144" i="7"/>
  <c r="BE68" i="7"/>
  <c r="BQ227" i="7"/>
  <c r="CA108" i="56"/>
  <c r="BN250" i="7"/>
  <c r="BN251" i="7"/>
  <c r="BQ155" i="7"/>
  <c r="CD210" i="7"/>
  <c r="CF259" i="7"/>
  <c r="BE206" i="7"/>
  <c r="BP113" i="7"/>
  <c r="BO154" i="7"/>
  <c r="CD195" i="7"/>
  <c r="CE195" i="7"/>
  <c r="BK220" i="7"/>
  <c r="BU352" i="7"/>
  <c r="CM237" i="7"/>
  <c r="BY351" i="7"/>
  <c r="CA249" i="7"/>
  <c r="BP154" i="7"/>
  <c r="BK221" i="7"/>
  <c r="CH259" i="7"/>
  <c r="CC143" i="7"/>
  <c r="BP176" i="7"/>
  <c r="BK207" i="7"/>
  <c r="BN252" i="7"/>
  <c r="BS227" i="7"/>
  <c r="BS231" i="7"/>
  <c r="BF68" i="7"/>
  <c r="BS217" i="7"/>
  <c r="BQ113" i="7"/>
  <c r="BS134" i="7"/>
  <c r="CD260" i="7"/>
  <c r="CC28" i="57"/>
  <c r="CO73" i="56" s="1"/>
  <c r="BP247" i="7"/>
  <c r="CE167" i="7"/>
  <c r="CE168" i="7"/>
  <c r="CE170" i="7"/>
  <c r="BZ349" i="7"/>
  <c r="BZ351" i="7"/>
  <c r="CA349" i="7"/>
  <c r="CA351" i="7"/>
  <c r="CE260" i="7"/>
  <c r="BQ247" i="7"/>
  <c r="BS247" i="7"/>
  <c r="BS138" i="7"/>
  <c r="BT134" i="7"/>
  <c r="BT227" i="7"/>
  <c r="BL219" i="7"/>
  <c r="BK222" i="7"/>
  <c r="CF167" i="7"/>
  <c r="BS113" i="7"/>
  <c r="BT113" i="7"/>
  <c r="BU113" i="7"/>
  <c r="BG68" i="7"/>
  <c r="BQ176" i="7"/>
  <c r="BQ154" i="7"/>
  <c r="BS154" i="7"/>
  <c r="BI68" i="7"/>
  <c r="CF260" i="7"/>
  <c r="CH167" i="7"/>
  <c r="BL220" i="7"/>
  <c r="BM220" i="7"/>
  <c r="BM221" i="7"/>
  <c r="BJ68" i="7"/>
  <c r="BL221" i="7"/>
  <c r="BL222" i="7"/>
  <c r="BM222" i="7"/>
  <c r="BK68" i="7"/>
  <c r="BL68" i="7"/>
  <c r="BN68" i="7"/>
  <c r="BO68" i="7"/>
  <c r="BP68" i="7"/>
  <c r="BQ68" i="7"/>
  <c r="BY358" i="7"/>
  <c r="BY359" i="7"/>
  <c r="BZ358" i="7"/>
  <c r="BZ359" i="7"/>
  <c r="CA356" i="7"/>
  <c r="CA358" i="7"/>
  <c r="CB358" i="7"/>
  <c r="CG356" i="7"/>
  <c r="CC356" i="7"/>
  <c r="CC358" i="7"/>
  <c r="CA359" i="7"/>
  <c r="CD18" i="7"/>
  <c r="CD19" i="7" s="1"/>
  <c r="CC18" i="7"/>
  <c r="CE18" i="7"/>
  <c r="AL24" i="33"/>
  <c r="BX21" i="5"/>
  <c r="BY50" i="59"/>
  <c r="BZ41" i="5"/>
  <c r="BZ43" i="5" s="1"/>
  <c r="CG24" i="7"/>
  <c r="CE27" i="7"/>
  <c r="CC12" i="7"/>
  <c r="CC42" i="5"/>
  <c r="CC10" i="14"/>
  <c r="CC9" i="7"/>
  <c r="CD8" i="7"/>
  <c r="AN24" i="33"/>
  <c r="CD12" i="7"/>
  <c r="CD42" i="5"/>
  <c r="CD10" i="14"/>
  <c r="CD40" i="14"/>
  <c r="CD9" i="7"/>
  <c r="CE8" i="7" s="1"/>
  <c r="CD18" i="14"/>
  <c r="CE12" i="7"/>
  <c r="CE42" i="5"/>
  <c r="CE40" i="14"/>
  <c r="CE9" i="7"/>
  <c r="CF8" i="7" s="1"/>
  <c r="CG8" i="7" s="1"/>
  <c r="CE18" i="14"/>
  <c r="AS1" i="5"/>
  <c r="D1" i="33"/>
  <c r="AS1" i="59"/>
  <c r="Z13" i="14"/>
  <c r="U67" i="59"/>
  <c r="CB18" i="5"/>
  <c r="CB41" i="5" s="1"/>
  <c r="CB43" i="5" s="1"/>
  <c r="CB40" i="14"/>
  <c r="AX24" i="56"/>
  <c r="AX43" i="56"/>
  <c r="AW19" i="59"/>
  <c r="AW44" i="59" s="1"/>
  <c r="AW72" i="59" s="1"/>
  <c r="AW16" i="56"/>
  <c r="AW27" i="14"/>
  <c r="CE41" i="14"/>
  <c r="BG119" i="56"/>
  <c r="BW17" i="56"/>
  <c r="BW39" i="56"/>
  <c r="AN7" i="14"/>
  <c r="BT134" i="56"/>
  <c r="BO63" i="56"/>
  <c r="BO62" i="56"/>
  <c r="AO63" i="56"/>
  <c r="AW24" i="56"/>
  <c r="AW63" i="56"/>
  <c r="BL18" i="14"/>
  <c r="BQ19" i="14" s="1"/>
  <c r="BF169" i="56"/>
  <c r="AZ155" i="56"/>
  <c r="AZ169" i="56" s="1"/>
  <c r="AN109" i="56"/>
  <c r="BP45" i="56"/>
  <c r="AW43" i="56"/>
  <c r="BK18" i="14"/>
  <c r="BK199" i="56"/>
  <c r="AO186" i="56"/>
  <c r="AO21" i="59"/>
  <c r="BF154" i="56"/>
  <c r="CC199" i="56"/>
  <c r="CE61" i="56"/>
  <c r="BA112" i="56"/>
  <c r="BF19" i="56"/>
  <c r="BB112" i="56"/>
  <c r="AR134" i="56"/>
  <c r="BI101" i="56"/>
  <c r="BT45" i="56"/>
  <c r="AO62" i="56"/>
  <c r="BL155" i="56"/>
  <c r="BF21" i="14"/>
  <c r="BE33" i="56"/>
  <c r="BO45" i="56"/>
  <c r="BF158" i="56"/>
  <c r="AQ155" i="56"/>
  <c r="AQ169" i="56"/>
  <c r="BH22" i="56"/>
  <c r="BN155" i="56"/>
  <c r="BN199" i="56"/>
  <c r="BT18" i="14"/>
  <c r="BO18" i="14"/>
  <c r="BT199" i="56"/>
  <c r="CE33" i="56"/>
  <c r="BZ199" i="56"/>
  <c r="BK153" i="56"/>
  <c r="BK167" i="56" s="1"/>
  <c r="AS133" i="56"/>
  <c r="AY134" i="56"/>
  <c r="AY143" i="56"/>
  <c r="BI134" i="56"/>
  <c r="BI143" i="56"/>
  <c r="BN134" i="56"/>
  <c r="BN143" i="56"/>
  <c r="BS134" i="56"/>
  <c r="CD155" i="56"/>
  <c r="CD169" i="56" s="1"/>
  <c r="CD199" i="56"/>
  <c r="CE155" i="56"/>
  <c r="CJ169" i="56" s="1"/>
  <c r="CE10" i="14"/>
  <c r="BH39" i="56"/>
  <c r="BG101" i="56"/>
  <c r="AZ33" i="56"/>
  <c r="BL33" i="56"/>
  <c r="BF7" i="14"/>
  <c r="BU62" i="56"/>
  <c r="BF159" i="56"/>
  <c r="BB18" i="14"/>
  <c r="BJ199" i="56"/>
  <c r="BO199" i="56"/>
  <c r="BU18" i="14"/>
  <c r="BU199" i="56"/>
  <c r="BC42" i="56"/>
  <c r="BR42" i="56"/>
  <c r="AQ62" i="56"/>
  <c r="BV134" i="56"/>
  <c r="AX187" i="56"/>
  <c r="BA19" i="59"/>
  <c r="BA44" i="59" s="1"/>
  <c r="BA72" i="59" s="1"/>
  <c r="AV19" i="59"/>
  <c r="AX42" i="56"/>
  <c r="AP154" i="56"/>
  <c r="BF101" i="56"/>
  <c r="BT33" i="56"/>
  <c r="BD134" i="56"/>
  <c r="BD143" i="56"/>
  <c r="BE62" i="56"/>
  <c r="BE63" i="56"/>
  <c r="BO153" i="56"/>
  <c r="AZ112" i="56"/>
  <c r="BJ153" i="56"/>
  <c r="BJ180" i="56" s="1"/>
  <c r="BJ11" i="59" s="1"/>
  <c r="AT45" i="56"/>
  <c r="CA62" i="56"/>
  <c r="AZ73" i="56"/>
  <c r="BZ62" i="56"/>
  <c r="AP187" i="56"/>
  <c r="BR22" i="56"/>
  <c r="AP18" i="14"/>
  <c r="AU33" i="56"/>
  <c r="AU39" i="56"/>
  <c r="AP61" i="56"/>
  <c r="BN61" i="56"/>
  <c r="BH95" i="56"/>
  <c r="S34" i="33"/>
  <c r="AQ138" i="56"/>
  <c r="AQ158" i="56"/>
  <c r="AQ172" i="56"/>
  <c r="AQ137" i="56"/>
  <c r="BE73" i="56"/>
  <c r="BD141" i="56"/>
  <c r="AZ153" i="56"/>
  <c r="AZ180" i="56" s="1"/>
  <c r="AZ11" i="59" s="1"/>
  <c r="CE112" i="56"/>
  <c r="BW43" i="56"/>
  <c r="AN33" i="56"/>
  <c r="BF180" i="56"/>
  <c r="BF11" i="59" s="1"/>
  <c r="BF37" i="59" s="1"/>
  <c r="AY167" i="56"/>
  <c r="BJ45" i="56"/>
  <c r="AT63" i="56"/>
  <c r="BQ24" i="56"/>
  <c r="BB42" i="56"/>
  <c r="CA6" i="11"/>
  <c r="CA21" i="11" s="1"/>
  <c r="CA61" i="56"/>
  <c r="AT61" i="56"/>
  <c r="BN62" i="56"/>
  <c r="BS45" i="56"/>
  <c r="AQ186" i="56"/>
  <c r="AQ21" i="59"/>
  <c r="BE45" i="56"/>
  <c r="BO155" i="56"/>
  <c r="BT63" i="56"/>
  <c r="CC33" i="56"/>
  <c r="BX153" i="56"/>
  <c r="BX180" i="56" s="1"/>
  <c r="BX11" i="59" s="1"/>
  <c r="BX155" i="56"/>
  <c r="AS24" i="56"/>
  <c r="AS62" i="56"/>
  <c r="BM24" i="56"/>
  <c r="BM187" i="56"/>
  <c r="AO138" i="56"/>
  <c r="AO137" i="56"/>
  <c r="AR111" i="56"/>
  <c r="AR137" i="56"/>
  <c r="AR138" i="56"/>
  <c r="CA186" i="56"/>
  <c r="CA21" i="59"/>
  <c r="CF39" i="56"/>
  <c r="CE114" i="56"/>
  <c r="CB43" i="56"/>
  <c r="BI118" i="56"/>
  <c r="CG186" i="56"/>
  <c r="AS21" i="14"/>
  <c r="AP63" i="56"/>
  <c r="BE61" i="56"/>
  <c r="BO154" i="56"/>
  <c r="BO181" i="56" s="1"/>
  <c r="BO12" i="59" s="1"/>
  <c r="BZ45" i="56"/>
  <c r="AP62" i="56"/>
  <c r="AM39" i="56"/>
  <c r="BT187" i="56"/>
  <c r="AT39" i="56"/>
  <c r="BV39" i="56"/>
  <c r="AP24" i="14"/>
  <c r="AP137" i="56"/>
  <c r="AS137" i="56"/>
  <c r="AP138" i="56"/>
  <c r="AQ134" i="56"/>
  <c r="AV154" i="56"/>
  <c r="AV181" i="56"/>
  <c r="AV12" i="59"/>
  <c r="AV38" i="59" s="1"/>
  <c r="BA154" i="56"/>
  <c r="BA181" i="56" s="1"/>
  <c r="BA12" i="59" s="1"/>
  <c r="BA38" i="59" s="1"/>
  <c r="BK134" i="56"/>
  <c r="BK143" i="56"/>
  <c r="BP154" i="56"/>
  <c r="CE108" i="56"/>
  <c r="CF12" i="56"/>
  <c r="CF199" i="56" s="1"/>
  <c r="BQ22" i="57"/>
  <c r="BR22" i="57"/>
  <c r="BM5" i="57"/>
  <c r="BN22" i="57"/>
  <c r="BS22" i="57"/>
  <c r="BK22" i="57"/>
  <c r="BZ76" i="56"/>
  <c r="BZ141" i="56"/>
  <c r="CC15" i="11"/>
  <c r="CE9" i="11"/>
  <c r="CJ23" i="11" s="1"/>
  <c r="CE16" i="11"/>
  <c r="CE15" i="11"/>
  <c r="CJ199" i="7"/>
  <c r="BO180" i="56"/>
  <c r="BO11" i="59" s="1"/>
  <c r="BU15" i="5"/>
  <c r="BU37" i="5" s="1"/>
  <c r="AW114" i="56"/>
  <c r="AW112" i="56"/>
  <c r="AW108" i="56"/>
  <c r="BB114" i="56"/>
  <c r="BC95" i="56"/>
  <c r="N34" i="33"/>
  <c r="BA134" i="56"/>
  <c r="BA143" i="56"/>
  <c r="BB108" i="56"/>
  <c r="BG103" i="56"/>
  <c r="BB10" i="14"/>
  <c r="BB106" i="56"/>
  <c r="BM95" i="56"/>
  <c r="X34" i="33"/>
  <c r="BK154" i="56"/>
  <c r="BK181" i="56"/>
  <c r="BK12" i="59" s="1"/>
  <c r="BR95" i="56"/>
  <c r="AC34" i="33"/>
  <c r="BM132" i="56"/>
  <c r="BP181" i="56"/>
  <c r="BP12" i="59" s="1"/>
  <c r="BP38" i="59" s="1"/>
  <c r="BP67" i="59" s="1"/>
  <c r="BR132" i="56"/>
  <c r="BO134" i="56"/>
  <c r="BO143" i="56"/>
  <c r="CD112" i="56"/>
  <c r="CE106" i="56"/>
  <c r="CB132" i="56"/>
  <c r="CB133" i="56"/>
  <c r="CB134" i="56"/>
  <c r="CB143" i="56"/>
  <c r="AT169" i="56"/>
  <c r="AO158" i="56"/>
  <c r="CD108" i="56"/>
  <c r="CD63" i="56"/>
  <c r="CD61" i="56"/>
  <c r="AY74" i="56"/>
  <c r="AZ88" i="56"/>
  <c r="AZ87" i="56"/>
  <c r="AY88" i="56"/>
  <c r="BB88" i="56"/>
  <c r="BA88" i="56"/>
  <c r="AW110" i="56"/>
  <c r="CD106" i="56"/>
  <c r="CD110" i="56"/>
  <c r="CD134" i="56"/>
  <c r="CD143" i="56"/>
  <c r="AK7" i="14"/>
  <c r="AR39" i="56"/>
  <c r="BM39" i="56"/>
  <c r="CB71" i="56"/>
  <c r="AX124" i="56"/>
  <c r="BC125" i="56"/>
  <c r="AR158" i="56"/>
  <c r="CD114" i="56"/>
  <c r="CE134" i="56"/>
  <c r="CE143" i="56"/>
  <c r="CP22" i="56"/>
  <c r="CU22" i="56" s="1"/>
  <c r="CZ22" i="56" s="1"/>
  <c r="DE22" i="56" s="1"/>
  <c r="BZ111" i="56"/>
  <c r="CF125" i="56"/>
  <c r="CA112" i="56"/>
  <c r="CA111" i="56"/>
  <c r="CA10" i="14"/>
  <c r="CA110" i="56"/>
  <c r="CA114" i="56"/>
  <c r="CT11" i="66"/>
  <c r="BF181" i="56"/>
  <c r="BF12" i="59" s="1"/>
  <c r="BO167" i="56"/>
  <c r="BZ33" i="56"/>
  <c r="BJ154" i="56"/>
  <c r="BE154" i="56"/>
  <c r="BJ168" i="56" s="1"/>
  <c r="BO33" i="56"/>
  <c r="BJ155" i="56"/>
  <c r="BO169" i="56" s="1"/>
  <c r="BU155" i="56"/>
  <c r="BS18" i="14"/>
  <c r="BN154" i="56"/>
  <c r="BN181" i="56" s="1"/>
  <c r="BU154" i="56"/>
  <c r="BU181" i="56" s="1"/>
  <c r="BU12" i="59" s="1"/>
  <c r="BU38" i="59" s="1"/>
  <c r="BU33" i="14" s="1"/>
  <c r="BN153" i="56"/>
  <c r="CA12" i="56"/>
  <c r="CA199" i="56"/>
  <c r="BG183" i="56"/>
  <c r="BG15" i="59" s="1"/>
  <c r="BG41" i="59" s="1"/>
  <c r="BG35" i="14" s="1"/>
  <c r="AA95" i="7"/>
  <c r="AA97" i="7"/>
  <c r="Z98" i="7"/>
  <c r="AG48" i="7"/>
  <c r="AF52" i="7"/>
  <c r="AF54" i="7"/>
  <c r="BB83" i="7"/>
  <c r="BA84" i="7"/>
  <c r="BA362" i="7"/>
  <c r="AR97" i="7"/>
  <c r="AT95" i="7"/>
  <c r="AT97" i="7"/>
  <c r="AU95" i="7"/>
  <c r="AU97" i="7"/>
  <c r="AV95" i="7"/>
  <c r="AV97" i="7"/>
  <c r="AW95" i="7"/>
  <c r="AS95" i="7"/>
  <c r="AS97" i="7"/>
  <c r="AB42" i="7"/>
  <c r="AC38" i="7"/>
  <c r="AC40" i="7"/>
  <c r="AB41" i="7"/>
  <c r="AZ85" i="7"/>
  <c r="AZ87" i="7"/>
  <c r="BA81" i="7"/>
  <c r="BS119" i="7"/>
  <c r="BS121" i="7"/>
  <c r="BT115" i="7"/>
  <c r="BU133" i="7"/>
  <c r="BT139" i="7"/>
  <c r="AI53" i="7"/>
  <c r="BC362" i="7"/>
  <c r="AW362" i="7"/>
  <c r="AD40" i="7"/>
  <c r="AY362" i="7"/>
  <c r="AW85" i="7"/>
  <c r="AW87" i="7"/>
  <c r="AZ109" i="56"/>
  <c r="BA110" i="56"/>
  <c r="BO35" i="7"/>
  <c r="AX132" i="56"/>
  <c r="AU153" i="56"/>
  <c r="AU180" i="56"/>
  <c r="AU11" i="59"/>
  <c r="AU134" i="56"/>
  <c r="AU143" i="56"/>
  <c r="CD356" i="7"/>
  <c r="CD358" i="7"/>
  <c r="CC359" i="7"/>
  <c r="BV80" i="7"/>
  <c r="CH260" i="7"/>
  <c r="CC349" i="7"/>
  <c r="CC351" i="7"/>
  <c r="CD349" i="7"/>
  <c r="CD351" i="7"/>
  <c r="CE349" i="7"/>
  <c r="CE351" i="7"/>
  <c r="CF349" i="7"/>
  <c r="CF351" i="7"/>
  <c r="CB351" i="7"/>
  <c r="CG349" i="7"/>
  <c r="CD143" i="7"/>
  <c r="BS144" i="7"/>
  <c r="CF195" i="7"/>
  <c r="BO53" i="7"/>
  <c r="BP49" i="7"/>
  <c r="BP51" i="7"/>
  <c r="BS68" i="7"/>
  <c r="BV113" i="7"/>
  <c r="BO250" i="7"/>
  <c r="BN253" i="7"/>
  <c r="BN255" i="7"/>
  <c r="BN254" i="7"/>
  <c r="CB106" i="56"/>
  <c r="CD261" i="7"/>
  <c r="CD263" i="7"/>
  <c r="CC265" i="7"/>
  <c r="CC264" i="7"/>
  <c r="AZ187" i="7"/>
  <c r="BN177" i="7"/>
  <c r="CD180" i="7"/>
  <c r="CD362" i="7"/>
  <c r="CC362" i="7"/>
  <c r="AO282" i="7"/>
  <c r="AO284" i="7"/>
  <c r="AS282" i="7"/>
  <c r="AS284" i="7"/>
  <c r="AD333" i="7"/>
  <c r="Z333" i="7"/>
  <c r="CI167" i="7"/>
  <c r="BU134" i="7"/>
  <c r="BT138" i="7"/>
  <c r="CF168" i="7"/>
  <c r="CF170" i="7"/>
  <c r="CE172" i="7"/>
  <c r="CE171" i="7"/>
  <c r="BT217" i="7"/>
  <c r="CC249" i="7"/>
  <c r="BG70" i="7"/>
  <c r="BS145" i="7"/>
  <c r="BS176" i="7"/>
  <c r="BT176" i="7"/>
  <c r="BL207" i="7"/>
  <c r="CI259" i="7"/>
  <c r="BS155" i="7"/>
  <c r="CD172" i="7"/>
  <c r="CD171" i="7"/>
  <c r="BL253" i="7"/>
  <c r="BL255" i="7"/>
  <c r="BL254" i="7"/>
  <c r="AL53" i="7"/>
  <c r="AM49" i="7"/>
  <c r="BX348" i="7"/>
  <c r="BV352" i="7"/>
  <c r="BK119" i="7"/>
  <c r="BK121" i="7"/>
  <c r="BL116" i="7"/>
  <c r="CA168" i="7"/>
  <c r="BZ171" i="7"/>
  <c r="BZ172" i="7"/>
  <c r="BX13" i="14"/>
  <c r="CD146" i="7"/>
  <c r="CC24" i="7"/>
  <c r="Z352" i="7"/>
  <c r="AA349" i="7"/>
  <c r="AA351" i="7"/>
  <c r="BU19" i="14"/>
  <c r="AJ59" i="7"/>
  <c r="AK59" i="7"/>
  <c r="AL59" i="7"/>
  <c r="AM59" i="7"/>
  <c r="AO59" i="7"/>
  <c r="AP59" i="7"/>
  <c r="AQ59" i="7"/>
  <c r="AR59" i="7"/>
  <c r="AT59" i="7"/>
  <c r="AU59" i="7"/>
  <c r="AV59" i="7"/>
  <c r="AW59" i="7"/>
  <c r="AY59" i="7"/>
  <c r="AZ59" i="7"/>
  <c r="BA59" i="7"/>
  <c r="BB59" i="7"/>
  <c r="BY171" i="7"/>
  <c r="BY172" i="7"/>
  <c r="BB16" i="56"/>
  <c r="BB19" i="59"/>
  <c r="BB44" i="59" s="1"/>
  <c r="BB72" i="59" s="1"/>
  <c r="AO168" i="56"/>
  <c r="AO181" i="56"/>
  <c r="BA280" i="7"/>
  <c r="BO110" i="56"/>
  <c r="BO106" i="56"/>
  <c r="BO114" i="56"/>
  <c r="BO109" i="56"/>
  <c r="BO111" i="56"/>
  <c r="BO10" i="14"/>
  <c r="BO112" i="56"/>
  <c r="AH340" i="7"/>
  <c r="BG42" i="56"/>
  <c r="BG24" i="56"/>
  <c r="BG61" i="56"/>
  <c r="BH21" i="56"/>
  <c r="BL42" i="56"/>
  <c r="CB42" i="56"/>
  <c r="BW24" i="56"/>
  <c r="BW42" i="56"/>
  <c r="CF302" i="7"/>
  <c r="CF304" i="7"/>
  <c r="CH302" i="7"/>
  <c r="CH304" i="7"/>
  <c r="CI302" i="7"/>
  <c r="CI304" i="7"/>
  <c r="CJ302" i="7"/>
  <c r="CJ304" i="7"/>
  <c r="CK302" i="7"/>
  <c r="CK304" i="7"/>
  <c r="CM302" i="7"/>
  <c r="CM304" i="7"/>
  <c r="CN302" i="7"/>
  <c r="CN304" i="7"/>
  <c r="CO302" i="7"/>
  <c r="CO304" i="7"/>
  <c r="CP302" i="7"/>
  <c r="CP304" i="7"/>
  <c r="CE306" i="7"/>
  <c r="BR219" i="7"/>
  <c r="BN219" i="7"/>
  <c r="BN221" i="7"/>
  <c r="BT154" i="7"/>
  <c r="BT231" i="7"/>
  <c r="BU227" i="7"/>
  <c r="BS255" i="7"/>
  <c r="BT247" i="7"/>
  <c r="CN237" i="7"/>
  <c r="BF206" i="7"/>
  <c r="BE69" i="7"/>
  <c r="BW352" i="7"/>
  <c r="AC53" i="7"/>
  <c r="AC23" i="7"/>
  <c r="AC52" i="7"/>
  <c r="BL146" i="7"/>
  <c r="BK150" i="7"/>
  <c r="AB359" i="7"/>
  <c r="AC356" i="7"/>
  <c r="AC358" i="7"/>
  <c r="AC359" i="7"/>
  <c r="BJ127" i="7"/>
  <c r="BJ128" i="7"/>
  <c r="BK126" i="7"/>
  <c r="BA119" i="56"/>
  <c r="BA128" i="56"/>
  <c r="BF119" i="56"/>
  <c r="BB120" i="56"/>
  <c r="CD258" i="7"/>
  <c r="CC266" i="7"/>
  <c r="CE135" i="7"/>
  <c r="CE137" i="7"/>
  <c r="CH362" i="7"/>
  <c r="CI210" i="7"/>
  <c r="CI25" i="7"/>
  <c r="CH211" i="7"/>
  <c r="CI209" i="7"/>
  <c r="CI211" i="7"/>
  <c r="CJ209" i="7"/>
  <c r="AO37" i="7"/>
  <c r="BB79" i="7"/>
  <c r="CK236" i="7"/>
  <c r="BU182" i="7"/>
  <c r="BV178" i="7"/>
  <c r="BN356" i="7"/>
  <c r="BN357" i="7"/>
  <c r="BL359" i="7"/>
  <c r="BM359" i="7"/>
  <c r="AJ352" i="7"/>
  <c r="AK349" i="7"/>
  <c r="AK351" i="7"/>
  <c r="BA37" i="56"/>
  <c r="BF37" i="56"/>
  <c r="BZ250" i="7"/>
  <c r="BZ252" i="7"/>
  <c r="BY253" i="7"/>
  <c r="CA196" i="7"/>
  <c r="CC181" i="7"/>
  <c r="CD179" i="7"/>
  <c r="CD181" i="7"/>
  <c r="CE179" i="7"/>
  <c r="CE181" i="7"/>
  <c r="CF179" i="7"/>
  <c r="CF181" i="7"/>
  <c r="W336" i="7"/>
  <c r="Y336" i="7"/>
  <c r="X333" i="7"/>
  <c r="X335" i="7"/>
  <c r="X336" i="7"/>
  <c r="BU22" i="57"/>
  <c r="CC8" i="7"/>
  <c r="CB9" i="7"/>
  <c r="CB95" i="56"/>
  <c r="CB155" i="56"/>
  <c r="CB18" i="14"/>
  <c r="X9" i="7"/>
  <c r="Y9" i="7" s="1"/>
  <c r="Z8" i="7"/>
  <c r="BM43" i="56"/>
  <c r="AF56" i="59"/>
  <c r="AF27" i="59"/>
  <c r="AQ102" i="7"/>
  <c r="CF117" i="7"/>
  <c r="CE362" i="7"/>
  <c r="BK114" i="7"/>
  <c r="BJ120" i="7"/>
  <c r="BN289" i="7"/>
  <c r="AP348" i="7"/>
  <c r="BJ161" i="7"/>
  <c r="BK157" i="7"/>
  <c r="BJ160" i="7"/>
  <c r="BJ162" i="7"/>
  <c r="AI341" i="7"/>
  <c r="AI343" i="7"/>
  <c r="AE341" i="7"/>
  <c r="AE343" i="7"/>
  <c r="V49" i="7"/>
  <c r="U53" i="7"/>
  <c r="M13" i="14"/>
  <c r="AZ208" i="7"/>
  <c r="BV62" i="56"/>
  <c r="BV45" i="56"/>
  <c r="BV63" i="56"/>
  <c r="BV61" i="56"/>
  <c r="CA45" i="56"/>
  <c r="AW61" i="56"/>
  <c r="AW62" i="56"/>
  <c r="AW187" i="56"/>
  <c r="AW45" i="56"/>
  <c r="BC40" i="14"/>
  <c r="BC42" i="5"/>
  <c r="AB104" i="7"/>
  <c r="AY40" i="14"/>
  <c r="AY42" i="5"/>
  <c r="AY13" i="5"/>
  <c r="AY15" i="5" s="1"/>
  <c r="AY18" i="5" s="1"/>
  <c r="AY41" i="5" s="1"/>
  <c r="AW10" i="14"/>
  <c r="AW11" i="14" s="1"/>
  <c r="AU40" i="14"/>
  <c r="AU42" i="14"/>
  <c r="AU43" i="14" s="1"/>
  <c r="BF40" i="14"/>
  <c r="BF42" i="5"/>
  <c r="BE157" i="56"/>
  <c r="BE183" i="56" s="1"/>
  <c r="BE15" i="59" s="1"/>
  <c r="BE21" i="14"/>
  <c r="BE19" i="56"/>
  <c r="BE54" i="56" s="1"/>
  <c r="BE158" i="56"/>
  <c r="BE184" i="56"/>
  <c r="BE16" i="59"/>
  <c r="AT161" i="56"/>
  <c r="AS161" i="56"/>
  <c r="AS173" i="56"/>
  <c r="W22" i="59"/>
  <c r="W48" i="59"/>
  <c r="W27" i="59"/>
  <c r="BK225" i="7"/>
  <c r="CJ310" i="7"/>
  <c r="AY86" i="7"/>
  <c r="AY85" i="7"/>
  <c r="AY87" i="7"/>
  <c r="AI95" i="7"/>
  <c r="AI97" i="7"/>
  <c r="AJ95" i="7"/>
  <c r="AJ97" i="7"/>
  <c r="AE95" i="7"/>
  <c r="AE97" i="7"/>
  <c r="V42" i="7"/>
  <c r="W38" i="7"/>
  <c r="W40" i="7"/>
  <c r="AW18" i="14"/>
  <c r="AW155" i="56"/>
  <c r="AX12" i="56"/>
  <c r="AW154" i="56"/>
  <c r="AW168" i="56" s="1"/>
  <c r="BB33" i="56"/>
  <c r="AW153" i="56"/>
  <c r="AW167" i="56"/>
  <c r="AX95" i="56"/>
  <c r="I34" i="33"/>
  <c r="AS95" i="56"/>
  <c r="AP153" i="56"/>
  <c r="AP167" i="56"/>
  <c r="AR167" i="56"/>
  <c r="AR180" i="56"/>
  <c r="AR11" i="59"/>
  <c r="AR37" i="59" s="1"/>
  <c r="BI139" i="7"/>
  <c r="BI138" i="7"/>
  <c r="BJ135" i="7"/>
  <c r="BJ137" i="7"/>
  <c r="AT114" i="56"/>
  <c r="AT108" i="56"/>
  <c r="AT106" i="56"/>
  <c r="AT112" i="56"/>
  <c r="AT10" i="14"/>
  <c r="AT11" i="14" s="1"/>
  <c r="AT109" i="56"/>
  <c r="BI180" i="56"/>
  <c r="CM22" i="56"/>
  <c r="CR22" i="56" s="1"/>
  <c r="AO134" i="56"/>
  <c r="AS134" i="56"/>
  <c r="AS132" i="56"/>
  <c r="AS121" i="56"/>
  <c r="AS122" i="56"/>
  <c r="AO180" i="56"/>
  <c r="AW134" i="56"/>
  <c r="AW143" i="56"/>
  <c r="AW180" i="56"/>
  <c r="AW11" i="59" s="1"/>
  <c r="BB180" i="56"/>
  <c r="BB11" i="59" s="1"/>
  <c r="BB134" i="56"/>
  <c r="BB143" i="56"/>
  <c r="BG153" i="56"/>
  <c r="BG180" i="56" s="1"/>
  <c r="BH132" i="56"/>
  <c r="BH121" i="56"/>
  <c r="BG134" i="56"/>
  <c r="BG143" i="56"/>
  <c r="AO139" i="56"/>
  <c r="AO157" i="56"/>
  <c r="CC114" i="56"/>
  <c r="CC110" i="56"/>
  <c r="CC112" i="56"/>
  <c r="CC111" i="56"/>
  <c r="CC108" i="56"/>
  <c r="CC106" i="56"/>
  <c r="BI72" i="66"/>
  <c r="BI59" i="66" s="1"/>
  <c r="CE109" i="56"/>
  <c r="CE99" i="56"/>
  <c r="CE76" i="56"/>
  <c r="BJ119" i="7"/>
  <c r="BJ121" i="7"/>
  <c r="AI356" i="7"/>
  <c r="AE356" i="7"/>
  <c r="AE359" i="7"/>
  <c r="V106" i="7"/>
  <c r="Z344" i="7"/>
  <c r="Z345" i="7"/>
  <c r="AA341" i="7"/>
  <c r="AA343" i="7"/>
  <c r="BJ69" i="56"/>
  <c r="BJ76" i="56" s="1"/>
  <c r="BY199" i="7"/>
  <c r="BZ199" i="7"/>
  <c r="CA199" i="7"/>
  <c r="CC199" i="7"/>
  <c r="CD199" i="7"/>
  <c r="BX200" i="7"/>
  <c r="BD8" i="7"/>
  <c r="BC9" i="7"/>
  <c r="T10" i="14"/>
  <c r="BI255" i="7"/>
  <c r="V285" i="7"/>
  <c r="W282" i="7"/>
  <c r="W284" i="7"/>
  <c r="W285" i="7"/>
  <c r="BI28" i="57"/>
  <c r="BU73" i="56"/>
  <c r="BU141" i="56" s="1"/>
  <c r="BI5" i="57"/>
  <c r="BD124" i="7"/>
  <c r="BB129" i="7"/>
  <c r="BC129" i="7"/>
  <c r="BK18" i="7"/>
  <c r="BN167" i="56"/>
  <c r="BF128" i="56"/>
  <c r="BU41" i="5"/>
  <c r="AH36" i="7"/>
  <c r="AG36" i="7"/>
  <c r="AS189" i="7"/>
  <c r="AS191" i="7"/>
  <c r="AO189" i="7"/>
  <c r="AO191" i="7"/>
  <c r="AU212" i="7"/>
  <c r="AU214" i="7"/>
  <c r="AV209" i="7"/>
  <c r="AV211" i="7"/>
  <c r="AU213" i="7"/>
  <c r="BU248" i="7"/>
  <c r="BT254" i="7"/>
  <c r="AL31" i="57"/>
  <c r="BI162" i="7"/>
  <c r="U106" i="7"/>
  <c r="AH359" i="7"/>
  <c r="AI358" i="7"/>
  <c r="AJ356" i="7"/>
  <c r="AJ358" i="7"/>
  <c r="AI350" i="7"/>
  <c r="BL290" i="7"/>
  <c r="CG21" i="56"/>
  <c r="CF24" i="56"/>
  <c r="CF61" i="56"/>
  <c r="U68" i="59"/>
  <c r="U71" i="59"/>
  <c r="O10" i="14"/>
  <c r="AU18" i="7"/>
  <c r="AR9" i="7"/>
  <c r="AT8" i="7" s="1"/>
  <c r="AT11" i="7" s="1"/>
  <c r="AT13" i="7" s="1"/>
  <c r="BJ9" i="7"/>
  <c r="BK8" i="7" s="1"/>
  <c r="BI155" i="56"/>
  <c r="BI18" i="14"/>
  <c r="BI154" i="56"/>
  <c r="BN33" i="56"/>
  <c r="BP153" i="56"/>
  <c r="BP155" i="56"/>
  <c r="BP169" i="56" s="1"/>
  <c r="BU33" i="56"/>
  <c r="BP33" i="56"/>
  <c r="BQ12" i="56"/>
  <c r="BQ199" i="56" s="1"/>
  <c r="BY33" i="56"/>
  <c r="BY18" i="14"/>
  <c r="BY155" i="56"/>
  <c r="CD33" i="56"/>
  <c r="AN39" i="56"/>
  <c r="AN19" i="56"/>
  <c r="BM63" i="56"/>
  <c r="BM62" i="56"/>
  <c r="BM61" i="56"/>
  <c r="BS187" i="56"/>
  <c r="BS63" i="56"/>
  <c r="BX45" i="56"/>
  <c r="BS61" i="56"/>
  <c r="CD45" i="56"/>
  <c r="BY63" i="56"/>
  <c r="BY187" i="56"/>
  <c r="AX71" i="56"/>
  <c r="AT111" i="56"/>
  <c r="AT110" i="56"/>
  <c r="BC132" i="56"/>
  <c r="BN180" i="56"/>
  <c r="BR180" i="56" s="1"/>
  <c r="BF46" i="59"/>
  <c r="BF75" i="59" s="1"/>
  <c r="BH50" i="59"/>
  <c r="AB28" i="57"/>
  <c r="AB34" i="57"/>
  <c r="AZ5" i="57"/>
  <c r="BA5" i="57"/>
  <c r="BE27" i="57"/>
  <c r="AZ28" i="57"/>
  <c r="BL73" i="56"/>
  <c r="BL141" i="56" s="1"/>
  <c r="BI132" i="7"/>
  <c r="BG140" i="7"/>
  <c r="BG254" i="7"/>
  <c r="BG253" i="7"/>
  <c r="BG255" i="7"/>
  <c r="BY165" i="7"/>
  <c r="BX173" i="7"/>
  <c r="BB110" i="56"/>
  <c r="BB103" i="56"/>
  <c r="AT167" i="56"/>
  <c r="AT180" i="56"/>
  <c r="BE28" i="57"/>
  <c r="BQ73" i="56"/>
  <c r="BA106" i="56"/>
  <c r="BA103" i="56"/>
  <c r="AJ63" i="59"/>
  <c r="AJ48" i="59"/>
  <c r="BI295" i="7"/>
  <c r="BJ291" i="7"/>
  <c r="BJ293" i="7"/>
  <c r="AG75" i="59"/>
  <c r="AG68" i="59"/>
  <c r="AG70" i="59"/>
  <c r="BD13" i="5"/>
  <c r="AK59" i="56"/>
  <c r="AK58" i="56"/>
  <c r="AK52" i="56"/>
  <c r="AV169" i="56"/>
  <c r="BD118" i="56"/>
  <c r="BH28" i="57"/>
  <c r="BT73" i="56"/>
  <c r="BM26" i="57"/>
  <c r="V98" i="7"/>
  <c r="W95" i="7"/>
  <c r="W97" i="7"/>
  <c r="AV39" i="56"/>
  <c r="AW17" i="56"/>
  <c r="AV186" i="56"/>
  <c r="AV21" i="59"/>
  <c r="BK187" i="56"/>
  <c r="BK6" i="11"/>
  <c r="BK17" i="11" s="1"/>
  <c r="BK63" i="56"/>
  <c r="BK61" i="56"/>
  <c r="BK45" i="56"/>
  <c r="AN95" i="56"/>
  <c r="AN18" i="14"/>
  <c r="AN106" i="56"/>
  <c r="AQ24" i="14"/>
  <c r="AQ111" i="56"/>
  <c r="BH71" i="56"/>
  <c r="BE76" i="56"/>
  <c r="BE7" i="14"/>
  <c r="BC133" i="56"/>
  <c r="AZ154" i="56"/>
  <c r="AZ181" i="56" s="1"/>
  <c r="BM133" i="56"/>
  <c r="BM121" i="56"/>
  <c r="BJ134" i="56"/>
  <c r="CB124" i="56"/>
  <c r="AE22" i="59"/>
  <c r="BK226" i="7"/>
  <c r="BK288" i="7"/>
  <c r="BJ179" i="7"/>
  <c r="BJ181" i="7"/>
  <c r="BB13" i="14"/>
  <c r="BA108" i="56"/>
  <c r="AJ56" i="59"/>
  <c r="AJ59" i="59"/>
  <c r="Z41" i="7"/>
  <c r="BF103" i="56"/>
  <c r="U70" i="59"/>
  <c r="AY169" i="56"/>
  <c r="BD42" i="5"/>
  <c r="BH124" i="56"/>
  <c r="BH125" i="56"/>
  <c r="AX61" i="56"/>
  <c r="CN21" i="56"/>
  <c r="CD16" i="11"/>
  <c r="CB121" i="56"/>
  <c r="AM73" i="59"/>
  <c r="AM72" i="59"/>
  <c r="AM66" i="59"/>
  <c r="BO40" i="14"/>
  <c r="BO42" i="14" s="1"/>
  <c r="BO42" i="5"/>
  <c r="AV40" i="14"/>
  <c r="AU9" i="7"/>
  <c r="AQ9" i="7"/>
  <c r="AR8" i="7" s="1"/>
  <c r="AS8" i="7" s="1"/>
  <c r="BK24" i="7"/>
  <c r="AS71" i="56"/>
  <c r="AQ18" i="14"/>
  <c r="AQ154" i="56"/>
  <c r="AQ153" i="56"/>
  <c r="AS12" i="56"/>
  <c r="AV33" i="56"/>
  <c r="BC12" i="56"/>
  <c r="AY154" i="56"/>
  <c r="AY181" i="56" s="1"/>
  <c r="AY12" i="59" s="1"/>
  <c r="AY38" i="59" s="1"/>
  <c r="CN22" i="56"/>
  <c r="CS22" i="56" s="1"/>
  <c r="CX22" i="56" s="1"/>
  <c r="DC22" i="56" s="1"/>
  <c r="AY24" i="56"/>
  <c r="AY62" i="56"/>
  <c r="AR63" i="56"/>
  <c r="AR62" i="56"/>
  <c r="AR187" i="56"/>
  <c r="AV63" i="56"/>
  <c r="AV45" i="56"/>
  <c r="AV62" i="56"/>
  <c r="AV187" i="56"/>
  <c r="AV61" i="56"/>
  <c r="BI187" i="56"/>
  <c r="BI62" i="56"/>
  <c r="BI61" i="56"/>
  <c r="BI63" i="56"/>
  <c r="BN45" i="56"/>
  <c r="BN69" i="56"/>
  <c r="BN99" i="56"/>
  <c r="AW120" i="56"/>
  <c r="AW128" i="56"/>
  <c r="BP180" i="56"/>
  <c r="BP11" i="59" s="1"/>
  <c r="BP134" i="56"/>
  <c r="BU153" i="56"/>
  <c r="BU180" i="56"/>
  <c r="BU11" i="59" s="1"/>
  <c r="BU134" i="56"/>
  <c r="BW134" i="56"/>
  <c r="AR139" i="56"/>
  <c r="AR143" i="56"/>
  <c r="AR157" i="56"/>
  <c r="AR171" i="56"/>
  <c r="AU185" i="56"/>
  <c r="AR11" i="11"/>
  <c r="AY11" i="11"/>
  <c r="AY23" i="11"/>
  <c r="AY16" i="11"/>
  <c r="CK61" i="7"/>
  <c r="AE63" i="7"/>
  <c r="AF60" i="7"/>
  <c r="BT156" i="7"/>
  <c r="BS160" i="7"/>
  <c r="BS162" i="7"/>
  <c r="BJ228" i="7"/>
  <c r="BJ230" i="7"/>
  <c r="BJ232" i="7"/>
  <c r="BI232" i="7"/>
  <c r="BI231" i="7"/>
  <c r="BI233" i="7"/>
  <c r="CC243" i="7"/>
  <c r="CD239" i="7"/>
  <c r="CD241" i="7"/>
  <c r="CI323" i="7"/>
  <c r="CD305" i="7"/>
  <c r="CE301" i="7"/>
  <c r="BX197" i="7"/>
  <c r="CB187" i="56"/>
  <c r="CB61" i="56"/>
  <c r="AJ75" i="59"/>
  <c r="BN72" i="59"/>
  <c r="AY196" i="56"/>
  <c r="BM40" i="14"/>
  <c r="BN42" i="5"/>
  <c r="BP42" i="5"/>
  <c r="BE13" i="5"/>
  <c r="BE15" i="5" s="1"/>
  <c r="BG42" i="5"/>
  <c r="BI40" i="14"/>
  <c r="BI42" i="5"/>
  <c r="BU45" i="56"/>
  <c r="BZ155" i="56"/>
  <c r="AM19" i="56"/>
  <c r="BJ18" i="14"/>
  <c r="BJ33" i="56"/>
  <c r="BN18" i="14"/>
  <c r="BZ18" i="14"/>
  <c r="BF24" i="14"/>
  <c r="AS17" i="56"/>
  <c r="AZ63" i="56"/>
  <c r="AZ45" i="56"/>
  <c r="BD62" i="56"/>
  <c r="BD63" i="56"/>
  <c r="AU76" i="56"/>
  <c r="AU118" i="56"/>
  <c r="AU155" i="56"/>
  <c r="AZ95" i="56"/>
  <c r="K34" i="33"/>
  <c r="BG110" i="56"/>
  <c r="BM78" i="56"/>
  <c r="BM41" i="14"/>
  <c r="BM42" i="14"/>
  <c r="BJ41" i="14"/>
  <c r="BJ42" i="14" s="1"/>
  <c r="BJ103" i="56"/>
  <c r="BJ111" i="56"/>
  <c r="AU154" i="56"/>
  <c r="BT154" i="56"/>
  <c r="BT181" i="56" s="1"/>
  <c r="AK31" i="57"/>
  <c r="AG34" i="57"/>
  <c r="BG5" i="57"/>
  <c r="BL27" i="57"/>
  <c r="BL28" i="57"/>
  <c r="BX73" i="56"/>
  <c r="CF61" i="7"/>
  <c r="CG61" i="7"/>
  <c r="CG362" i="7"/>
  <c r="BV118" i="7"/>
  <c r="BN352" i="7"/>
  <c r="BR352" i="7"/>
  <c r="BP40" i="14"/>
  <c r="AZ40" i="14"/>
  <c r="AZ42" i="14" s="1"/>
  <c r="CD306" i="7"/>
  <c r="CC306" i="7"/>
  <c r="CC305" i="7"/>
  <c r="CC307" i="7"/>
  <c r="CC315" i="7"/>
  <c r="BW40" i="14"/>
  <c r="AX76" i="56"/>
  <c r="AZ134" i="56"/>
  <c r="AZ143" i="56"/>
  <c r="BE134" i="56"/>
  <c r="BF184" i="56"/>
  <c r="BF16" i="59" s="1"/>
  <c r="BF42" i="59" s="1"/>
  <c r="X22" i="59"/>
  <c r="X48" i="59"/>
  <c r="AK27" i="59"/>
  <c r="CK311" i="7"/>
  <c r="CE329" i="7"/>
  <c r="CF321" i="7"/>
  <c r="CE299" i="7"/>
  <c r="CD307" i="7"/>
  <c r="CE312" i="7"/>
  <c r="CF324" i="7"/>
  <c r="CF326" i="7"/>
  <c r="CH324" i="7"/>
  <c r="CH326" i="7"/>
  <c r="CI324" i="7"/>
  <c r="CI326" i="7"/>
  <c r="CJ324" i="7"/>
  <c r="CJ326" i="7"/>
  <c r="CK324" i="7"/>
  <c r="CK326" i="7"/>
  <c r="CM324" i="7"/>
  <c r="CM326" i="7"/>
  <c r="CN324" i="7"/>
  <c r="CN326" i="7"/>
  <c r="CO324" i="7"/>
  <c r="CO326" i="7"/>
  <c r="CP324" i="7"/>
  <c r="CP326" i="7"/>
  <c r="CE328" i="7"/>
  <c r="AK48" i="59"/>
  <c r="V66" i="59"/>
  <c r="AJ68" i="59"/>
  <c r="BM22" i="11"/>
  <c r="BQ40" i="14"/>
  <c r="BQ42" i="5"/>
  <c r="AV134" i="56"/>
  <c r="AV143" i="56"/>
  <c r="BU61" i="56"/>
  <c r="BU187" i="56"/>
  <c r="AZ62" i="56"/>
  <c r="BI99" i="56"/>
  <c r="AJ33" i="56"/>
  <c r="AU18" i="14"/>
  <c r="AZ19" i="14" s="1"/>
  <c r="BA153" i="56"/>
  <c r="BF33" i="56"/>
  <c r="BE153" i="56"/>
  <c r="BG24" i="14"/>
  <c r="BF6" i="11"/>
  <c r="BF9" i="11" s="1"/>
  <c r="BF187" i="56"/>
  <c r="BN63" i="56"/>
  <c r="BP187" i="56"/>
  <c r="BP62" i="56"/>
  <c r="CC45" i="56"/>
  <c r="BX62" i="56"/>
  <c r="AT133" i="56"/>
  <c r="AT118" i="56"/>
  <c r="AT128" i="56"/>
  <c r="BR133" i="56"/>
  <c r="BW133" i="56"/>
  <c r="BW121" i="56"/>
  <c r="AR154" i="56"/>
  <c r="BQ9" i="5"/>
  <c r="BQ50" i="59"/>
  <c r="BO50" i="59"/>
  <c r="BI13" i="5"/>
  <c r="BM13" i="5"/>
  <c r="BE42" i="5"/>
  <c r="AJ31" i="57"/>
  <c r="AN7" i="57"/>
  <c r="AN31" i="57"/>
  <c r="AQ6" i="57"/>
  <c r="AQ7" i="57"/>
  <c r="AQ31" i="57"/>
  <c r="BV61" i="7"/>
  <c r="AK18" i="14"/>
  <c r="AP19" i="14" s="1"/>
  <c r="CA39" i="56"/>
  <c r="CD242" i="7"/>
  <c r="CD244" i="7"/>
  <c r="CE238" i="7"/>
  <c r="CC242" i="7"/>
  <c r="CC244" i="7"/>
  <c r="CJ270" i="7"/>
  <c r="CD269" i="7"/>
  <c r="CD272" i="7"/>
  <c r="CD274" i="7"/>
  <c r="CC275" i="7"/>
  <c r="CC277" i="7"/>
  <c r="CC276" i="7"/>
  <c r="CH300" i="7"/>
  <c r="CF306" i="7"/>
  <c r="CH328" i="7"/>
  <c r="CI322" i="7"/>
  <c r="CF327" i="7"/>
  <c r="CD327" i="7"/>
  <c r="CD329" i="7"/>
  <c r="CC317" i="7"/>
  <c r="CC21" i="11"/>
  <c r="BF22" i="57"/>
  <c r="BF32" i="57"/>
  <c r="CF271" i="7"/>
  <c r="BR41" i="14"/>
  <c r="CC327" i="7"/>
  <c r="CC329" i="7"/>
  <c r="CE187" i="56"/>
  <c r="AV71" i="7"/>
  <c r="AV73" i="7"/>
  <c r="CE62" i="56"/>
  <c r="CG69" i="56"/>
  <c r="CP25" i="59"/>
  <c r="CF133" i="56"/>
  <c r="BZ18" i="11"/>
  <c r="BZ23" i="11"/>
  <c r="BZ9" i="5"/>
  <c r="BZ50" i="59" s="1"/>
  <c r="CE21" i="11"/>
  <c r="BZ15" i="11"/>
  <c r="BZ17" i="11"/>
  <c r="BL41" i="5"/>
  <c r="BL43" i="5" s="1"/>
  <c r="AQ184" i="56"/>
  <c r="AQ16" i="59"/>
  <c r="AQ42" i="59" s="1"/>
  <c r="BN169" i="56"/>
  <c r="BP167" i="56"/>
  <c r="AX45" i="56"/>
  <c r="CB39" i="56"/>
  <c r="BW186" i="56"/>
  <c r="BF52" i="56"/>
  <c r="BF58" i="56"/>
  <c r="BF56" i="56"/>
  <c r="BF7" i="5"/>
  <c r="BF25" i="5" s="1"/>
  <c r="BF26" i="56"/>
  <c r="BF28" i="56" s="1"/>
  <c r="BF29" i="56" s="1"/>
  <c r="BF59" i="56"/>
  <c r="BF54" i="56"/>
  <c r="AO143" i="56"/>
  <c r="AS187" i="56"/>
  <c r="AS63" i="56"/>
  <c r="BB167" i="56"/>
  <c r="BK180" i="56"/>
  <c r="BK11" i="59" s="1"/>
  <c r="BK37" i="59" s="1"/>
  <c r="AX62" i="56"/>
  <c r="AX63" i="56"/>
  <c r="BH134" i="56"/>
  <c r="BH143" i="56"/>
  <c r="BE143" i="56"/>
  <c r="BM134" i="56"/>
  <c r="BM143" i="56"/>
  <c r="BJ143" i="56"/>
  <c r="AZ141" i="56"/>
  <c r="AZ185" i="56"/>
  <c r="AZ76" i="56"/>
  <c r="AZ118" i="56"/>
  <c r="AZ99" i="56"/>
  <c r="AP181" i="56"/>
  <c r="AP12" i="59"/>
  <c r="AP38" i="59" s="1"/>
  <c r="AP168" i="56"/>
  <c r="AP158" i="56"/>
  <c r="AP172" i="56"/>
  <c r="BQ6" i="11"/>
  <c r="BQ7" i="11" s="1"/>
  <c r="BQ22" i="11" s="1"/>
  <c r="BQ45" i="56"/>
  <c r="BQ63" i="56"/>
  <c r="BQ61" i="56"/>
  <c r="BQ187" i="56"/>
  <c r="BE141" i="56"/>
  <c r="BH141" i="56"/>
  <c r="BE27" i="14"/>
  <c r="BE99" i="56"/>
  <c r="BH73" i="56"/>
  <c r="AS61" i="56"/>
  <c r="CF155" i="56"/>
  <c r="AP157" i="56"/>
  <c r="AP139" i="56"/>
  <c r="AP143" i="56"/>
  <c r="AS138" i="56"/>
  <c r="AS124" i="56"/>
  <c r="BQ62" i="56"/>
  <c r="AQ157" i="56"/>
  <c r="AQ139" i="56"/>
  <c r="AQ143" i="56"/>
  <c r="BR24" i="56"/>
  <c r="BR43" i="56"/>
  <c r="BR62" i="56"/>
  <c r="BR134" i="56"/>
  <c r="BR143" i="56"/>
  <c r="BP143" i="56"/>
  <c r="BI120" i="56"/>
  <c r="BI128" i="56"/>
  <c r="CT29" i="59"/>
  <c r="CT25" i="59"/>
  <c r="BN5" i="57"/>
  <c r="BW22" i="57"/>
  <c r="BR5" i="57"/>
  <c r="BS5" i="57"/>
  <c r="BP22" i="57"/>
  <c r="BP32" i="57"/>
  <c r="CK199" i="7"/>
  <c r="BK168" i="56"/>
  <c r="BC134" i="56"/>
  <c r="BC143" i="56"/>
  <c r="BP168" i="56"/>
  <c r="BR121" i="56"/>
  <c r="BW122" i="56"/>
  <c r="AZ91" i="56"/>
  <c r="AZ90" i="56"/>
  <c r="BE168" i="56"/>
  <c r="BA91" i="56"/>
  <c r="BA90" i="56"/>
  <c r="AY73" i="56"/>
  <c r="AY141" i="56"/>
  <c r="AY101" i="56"/>
  <c r="BC74" i="56"/>
  <c r="BB91" i="56"/>
  <c r="BB90" i="56"/>
  <c r="AO184" i="56"/>
  <c r="AO16" i="59"/>
  <c r="AO42" i="59" s="1"/>
  <c r="AO172" i="56"/>
  <c r="AR172" i="56"/>
  <c r="AR184" i="56"/>
  <c r="AR16" i="59"/>
  <c r="AR42" i="59" s="1"/>
  <c r="BC88" i="56"/>
  <c r="AY87" i="56"/>
  <c r="CL22" i="56"/>
  <c r="CL43" i="56" s="1"/>
  <c r="BZ114" i="56"/>
  <c r="BZ108" i="56"/>
  <c r="BZ112" i="56"/>
  <c r="BZ110" i="56"/>
  <c r="BZ109" i="56"/>
  <c r="BZ10" i="14"/>
  <c r="BZ106" i="56"/>
  <c r="CF62" i="56"/>
  <c r="CA18" i="14"/>
  <c r="CA155" i="56"/>
  <c r="CF169" i="56" s="1"/>
  <c r="BO168" i="56"/>
  <c r="BJ181" i="56"/>
  <c r="BJ12" i="59" s="1"/>
  <c r="AB17" i="7"/>
  <c r="BU115" i="7"/>
  <c r="BT119" i="7"/>
  <c r="BT121" i="7"/>
  <c r="AB43" i="7"/>
  <c r="AB361" i="7"/>
  <c r="AX95" i="7"/>
  <c r="AX97" i="7"/>
  <c r="AW97" i="7"/>
  <c r="AY95" i="7"/>
  <c r="AY97" i="7"/>
  <c r="AZ95" i="7"/>
  <c r="AZ97" i="7"/>
  <c r="AI38" i="7"/>
  <c r="AI40" i="7"/>
  <c r="AE38" i="7"/>
  <c r="AE40" i="7"/>
  <c r="AC42" i="7"/>
  <c r="AD42" i="7"/>
  <c r="AC41" i="7"/>
  <c r="AC43" i="7"/>
  <c r="AH48" i="7"/>
  <c r="AG52" i="7"/>
  <c r="AG54" i="7"/>
  <c r="BB81" i="7"/>
  <c r="BA85" i="7"/>
  <c r="BA87" i="7"/>
  <c r="BA86" i="7"/>
  <c r="BB82" i="7"/>
  <c r="BB84" i="7"/>
  <c r="BV133" i="7"/>
  <c r="BU139" i="7"/>
  <c r="BB362" i="7"/>
  <c r="BD83" i="7"/>
  <c r="AA98" i="7"/>
  <c r="AB95" i="7"/>
  <c r="AB97" i="7"/>
  <c r="BX123" i="56"/>
  <c r="AW71" i="7"/>
  <c r="AW73" i="7"/>
  <c r="AV74" i="7"/>
  <c r="AV76" i="7"/>
  <c r="AV75" i="7"/>
  <c r="CE269" i="7"/>
  <c r="AX133" i="56"/>
  <c r="AT134" i="56"/>
  <c r="AT143" i="56"/>
  <c r="AT154" i="56"/>
  <c r="AT168" i="56"/>
  <c r="AF72" i="59"/>
  <c r="AF67" i="59"/>
  <c r="AF66" i="59"/>
  <c r="AF71" i="59"/>
  <c r="AF73" i="59"/>
  <c r="AF75" i="59"/>
  <c r="AF70" i="59"/>
  <c r="CF312" i="7"/>
  <c r="BR9" i="5"/>
  <c r="BR50" i="59"/>
  <c r="BD112" i="56"/>
  <c r="BD109" i="56"/>
  <c r="BD10" i="14"/>
  <c r="BD106" i="56"/>
  <c r="BD108" i="56"/>
  <c r="BD110" i="56"/>
  <c r="BH77" i="56"/>
  <c r="BH110" i="56"/>
  <c r="BD114" i="56"/>
  <c r="BD13" i="14"/>
  <c r="CC316" i="7"/>
  <c r="CC318" i="7"/>
  <c r="CD313" i="7"/>
  <c r="CD315" i="7"/>
  <c r="AU169" i="56"/>
  <c r="AM40" i="56"/>
  <c r="AM59" i="56"/>
  <c r="AM52" i="56"/>
  <c r="AM58" i="56"/>
  <c r="CI327" i="7"/>
  <c r="CJ323" i="7"/>
  <c r="BT160" i="7"/>
  <c r="BU156" i="7"/>
  <c r="AU16" i="56"/>
  <c r="AU19" i="59"/>
  <c r="AU44" i="59" s="1"/>
  <c r="AU72" i="59" s="1"/>
  <c r="BN112" i="56"/>
  <c r="BN111" i="56"/>
  <c r="BN114" i="56"/>
  <c r="BN106" i="56"/>
  <c r="BN10" i="14"/>
  <c r="BN103" i="56"/>
  <c r="AQ19" i="14"/>
  <c r="AV8" i="7"/>
  <c r="AW39" i="56"/>
  <c r="AW186" i="56"/>
  <c r="AW21" i="59"/>
  <c r="AW46" i="59" s="1"/>
  <c r="AW75" i="59" s="1"/>
  <c r="AX17" i="56"/>
  <c r="BD128" i="56"/>
  <c r="BI119" i="56"/>
  <c r="BD120" i="56"/>
  <c r="BJ295" i="7"/>
  <c r="BK291" i="7"/>
  <c r="BJ294" i="7"/>
  <c r="BJ296" i="7"/>
  <c r="BL99" i="56"/>
  <c r="BL69" i="56"/>
  <c r="BL108" i="56" s="1"/>
  <c r="BY169" i="56"/>
  <c r="AT189" i="7"/>
  <c r="AT191" i="7"/>
  <c r="AX189" i="7"/>
  <c r="AX191" i="7"/>
  <c r="AT13" i="14"/>
  <c r="AA345" i="7"/>
  <c r="AA106" i="7"/>
  <c r="AB341" i="7"/>
  <c r="AB345" i="7"/>
  <c r="AA344" i="7"/>
  <c r="AA361" i="7"/>
  <c r="AI359" i="7"/>
  <c r="BF59" i="66"/>
  <c r="V51" i="7"/>
  <c r="V23" i="7"/>
  <c r="V26" i="7"/>
  <c r="BK158" i="7"/>
  <c r="BK159" i="7"/>
  <c r="AF68" i="59"/>
  <c r="CA22" i="57"/>
  <c r="BZ22" i="57"/>
  <c r="BZ32" i="57" s="1"/>
  <c r="CC196" i="7"/>
  <c r="BN358" i="7"/>
  <c r="BD79" i="7"/>
  <c r="AC361" i="7"/>
  <c r="AD361" i="7"/>
  <c r="AC54" i="7"/>
  <c r="CO237" i="7"/>
  <c r="BU154" i="7"/>
  <c r="BT162" i="7"/>
  <c r="CB45" i="56"/>
  <c r="BW63" i="56"/>
  <c r="BW45" i="56"/>
  <c r="BW62" i="56"/>
  <c r="BW187" i="56"/>
  <c r="BW61" i="56"/>
  <c r="AJ340" i="7"/>
  <c r="BG37" i="56"/>
  <c r="BB27" i="14"/>
  <c r="BB37" i="56"/>
  <c r="BY348" i="7"/>
  <c r="BX352" i="7"/>
  <c r="BT184" i="7"/>
  <c r="BU176" i="7"/>
  <c r="BI70" i="7"/>
  <c r="AO285" i="7"/>
  <c r="AP282" i="7"/>
  <c r="AP284" i="7"/>
  <c r="CE261" i="7"/>
  <c r="CE263" i="7"/>
  <c r="CD265" i="7"/>
  <c r="CD264" i="7"/>
  <c r="BO251" i="7"/>
  <c r="BO252" i="7"/>
  <c r="CG351" i="7"/>
  <c r="CL349" i="7"/>
  <c r="CH349" i="7"/>
  <c r="CH351" i="7"/>
  <c r="CI349" i="7"/>
  <c r="CI351" i="7"/>
  <c r="CJ349" i="7"/>
  <c r="CJ351" i="7"/>
  <c r="CK349" i="7"/>
  <c r="CK351" i="7"/>
  <c r="BX80" i="7"/>
  <c r="AX121" i="56"/>
  <c r="CK270" i="7"/>
  <c r="BF167" i="56"/>
  <c r="BA180" i="56"/>
  <c r="BA167" i="56"/>
  <c r="BA10" i="14"/>
  <c r="AU114" i="56"/>
  <c r="AU108" i="56"/>
  <c r="AU112" i="56"/>
  <c r="AU109" i="56"/>
  <c r="AU106" i="56"/>
  <c r="AU110" i="56"/>
  <c r="AZ103" i="56"/>
  <c r="AU128" i="56"/>
  <c r="AZ119" i="56"/>
  <c r="AV120" i="56"/>
  <c r="AU120" i="56"/>
  <c r="BY197" i="7"/>
  <c r="BX201" i="7"/>
  <c r="BX203" i="7"/>
  <c r="CH327" i="7"/>
  <c r="AR18" i="11"/>
  <c r="AS155" i="56"/>
  <c r="AS169" i="56"/>
  <c r="AS33" i="56"/>
  <c r="AS18" i="14"/>
  <c r="AS111" i="56"/>
  <c r="AS24" i="14"/>
  <c r="BR40" i="14"/>
  <c r="BR42" i="5"/>
  <c r="CN61" i="56"/>
  <c r="Z43" i="7"/>
  <c r="Z17" i="7"/>
  <c r="Z19" i="7"/>
  <c r="Z361" i="7"/>
  <c r="BJ183" i="7"/>
  <c r="BK179" i="7"/>
  <c r="BJ182" i="7"/>
  <c r="BJ184" i="7"/>
  <c r="BL226" i="7"/>
  <c r="CC126" i="56"/>
  <c r="BE181" i="56"/>
  <c r="BE12" i="59" s="1"/>
  <c r="BE112" i="56"/>
  <c r="BE108" i="56"/>
  <c r="BE110" i="56"/>
  <c r="BE114" i="56"/>
  <c r="BE103" i="56"/>
  <c r="BE109" i="56"/>
  <c r="BE106" i="56"/>
  <c r="BR26" i="57"/>
  <c r="BP26" i="57"/>
  <c r="BM28" i="57"/>
  <c r="BY73" i="56"/>
  <c r="BY141" i="56"/>
  <c r="BH40" i="14"/>
  <c r="BH42" i="5"/>
  <c r="BJ72" i="59"/>
  <c r="BY173" i="7"/>
  <c r="BZ165" i="7"/>
  <c r="CF328" i="7"/>
  <c r="BE5" i="57"/>
  <c r="BF5" i="57"/>
  <c r="BJ27" i="57"/>
  <c r="BF27" i="57"/>
  <c r="AX111" i="56"/>
  <c r="AN52" i="56"/>
  <c r="AN59" i="56"/>
  <c r="AN58" i="56"/>
  <c r="AN40" i="56"/>
  <c r="W67" i="59"/>
  <c r="W70" i="59"/>
  <c r="W71" i="59"/>
  <c r="W73" i="59"/>
  <c r="W68" i="59"/>
  <c r="W72" i="59"/>
  <c r="W66" i="59"/>
  <c r="AZ10" i="14"/>
  <c r="CL21" i="56"/>
  <c r="CP21" i="56"/>
  <c r="BN290" i="7"/>
  <c r="AV213" i="7"/>
  <c r="AV212" i="7"/>
  <c r="AV214" i="7"/>
  <c r="AW209" i="7"/>
  <c r="AW211" i="7"/>
  <c r="BU69" i="56"/>
  <c r="BZ97" i="56" s="1"/>
  <c r="AK39" i="33" s="1"/>
  <c r="BY198" i="7"/>
  <c r="BY200" i="7"/>
  <c r="BX202" i="7"/>
  <c r="AD345" i="7"/>
  <c r="Z106" i="7"/>
  <c r="BI58" i="66"/>
  <c r="BF58" i="66"/>
  <c r="AO11" i="59"/>
  <c r="BI11" i="59"/>
  <c r="AP180" i="56"/>
  <c r="AP11" i="59"/>
  <c r="AF95" i="7"/>
  <c r="AF97" i="7"/>
  <c r="AE98" i="7"/>
  <c r="CK310" i="7"/>
  <c r="BL225" i="7"/>
  <c r="BE163" i="56"/>
  <c r="AL1" i="33"/>
  <c r="CA1" i="56"/>
  <c r="CT9" i="66"/>
  <c r="CA1" i="59"/>
  <c r="CA1" i="5"/>
  <c r="BK10" i="14"/>
  <c r="BK103" i="56"/>
  <c r="BK112" i="56"/>
  <c r="BK106" i="56"/>
  <c r="BK111" i="56"/>
  <c r="BK110" i="56"/>
  <c r="BK114" i="56"/>
  <c r="BA208" i="7"/>
  <c r="AE345" i="7"/>
  <c r="AE344" i="7"/>
  <c r="AF341" i="7"/>
  <c r="AF343" i="7"/>
  <c r="BO289" i="7"/>
  <c r="CI362" i="7"/>
  <c r="CJ210" i="7"/>
  <c r="CJ25" i="7"/>
  <c r="CD266" i="7"/>
  <c r="CE258" i="7"/>
  <c r="BL147" i="7"/>
  <c r="BL148" i="7"/>
  <c r="AC26" i="7"/>
  <c r="AD23" i="7"/>
  <c r="BF69" i="7"/>
  <c r="BU231" i="7"/>
  <c r="BV227" i="7"/>
  <c r="BO219" i="7"/>
  <c r="BN222" i="7"/>
  <c r="BG6" i="11"/>
  <c r="BL45" i="56"/>
  <c r="BG62" i="56"/>
  <c r="BG63" i="56"/>
  <c r="BG187" i="56"/>
  <c r="CD147" i="7"/>
  <c r="CD148" i="7"/>
  <c r="CE146" i="7"/>
  <c r="CE148" i="7"/>
  <c r="CF146" i="7"/>
  <c r="CF148" i="7"/>
  <c r="CH146" i="7"/>
  <c r="CH148" i="7"/>
  <c r="CI146" i="7"/>
  <c r="CI148" i="7"/>
  <c r="CJ146" i="7"/>
  <c r="CJ148" i="7"/>
  <c r="CK146" i="7"/>
  <c r="CK148" i="7"/>
  <c r="CM146" i="7"/>
  <c r="CM148" i="7"/>
  <c r="CN146" i="7"/>
  <c r="CN148" i="7"/>
  <c r="CO146" i="7"/>
  <c r="CO148" i="7"/>
  <c r="CP146" i="7"/>
  <c r="CP148" i="7"/>
  <c r="CA169" i="7"/>
  <c r="CA172" i="7"/>
  <c r="BT155" i="7"/>
  <c r="CJ259" i="7"/>
  <c r="BV134" i="7"/>
  <c r="BU138" i="7"/>
  <c r="Z334" i="7"/>
  <c r="Z335" i="7"/>
  <c r="BA187" i="7"/>
  <c r="BT68" i="7"/>
  <c r="CI260" i="7"/>
  <c r="CH271" i="7"/>
  <c r="CH306" i="7"/>
  <c r="CI300" i="7"/>
  <c r="AR168" i="56"/>
  <c r="AR181" i="56"/>
  <c r="AR12" i="59"/>
  <c r="AR38" i="59" s="1"/>
  <c r="BS123" i="56"/>
  <c r="BR122" i="56"/>
  <c r="CF299" i="7"/>
  <c r="CM311" i="7"/>
  <c r="BQ27" i="57"/>
  <c r="BL5" i="57"/>
  <c r="AS186" i="56"/>
  <c r="AS39" i="56"/>
  <c r="AK72" i="59"/>
  <c r="AK66" i="59"/>
  <c r="AK70" i="59"/>
  <c r="AK73" i="59"/>
  <c r="AK67" i="59"/>
  <c r="AK75" i="59"/>
  <c r="AK71" i="59"/>
  <c r="AK68" i="59"/>
  <c r="AU10" i="14"/>
  <c r="AU11" i="14" s="1"/>
  <c r="AB66" i="59"/>
  <c r="AB67" i="59"/>
  <c r="AB72" i="59"/>
  <c r="AB70" i="59"/>
  <c r="AB75" i="59"/>
  <c r="AB68" i="59"/>
  <c r="AB71" i="59"/>
  <c r="AB73" i="59"/>
  <c r="CE305" i="7"/>
  <c r="CE307" i="7"/>
  <c r="CF301" i="7"/>
  <c r="CE239" i="7"/>
  <c r="CE241" i="7"/>
  <c r="CE242" i="7"/>
  <c r="CE244" i="7"/>
  <c r="CD243" i="7"/>
  <c r="BK228" i="7"/>
  <c r="BJ231" i="7"/>
  <c r="BJ233" i="7"/>
  <c r="AR183" i="56"/>
  <c r="AR15" i="59"/>
  <c r="AY61" i="56"/>
  <c r="AY63" i="56"/>
  <c r="AY187" i="56"/>
  <c r="BD45" i="56"/>
  <c r="AY45" i="56"/>
  <c r="AQ167" i="56"/>
  <c r="AQ180" i="56"/>
  <c r="AQ11" i="59"/>
  <c r="AV167" i="56"/>
  <c r="BE10" i="14"/>
  <c r="BE11" i="14" s="1"/>
  <c r="BM72" i="59"/>
  <c r="BT41" i="5"/>
  <c r="BT43" i="5" s="1"/>
  <c r="AL73" i="59"/>
  <c r="AL67" i="59"/>
  <c r="AL75" i="59"/>
  <c r="AL66" i="59"/>
  <c r="AL70" i="59"/>
  <c r="AL71" i="59"/>
  <c r="AL72" i="59"/>
  <c r="AA72" i="59"/>
  <c r="AA66" i="59"/>
  <c r="AA75" i="59"/>
  <c r="AA71" i="59"/>
  <c r="AA73" i="59"/>
  <c r="AA70" i="59"/>
  <c r="AA68" i="59"/>
  <c r="AA67" i="59"/>
  <c r="O13" i="14"/>
  <c r="BC121" i="56"/>
  <c r="BN168" i="56"/>
  <c r="BI181" i="56"/>
  <c r="CF6" i="11"/>
  <c r="CK21" i="11" s="1"/>
  <c r="CF63" i="56"/>
  <c r="CF187" i="56"/>
  <c r="CF45" i="56"/>
  <c r="Y70" i="59"/>
  <c r="Y68" i="59"/>
  <c r="Y72" i="59"/>
  <c r="Y66" i="59"/>
  <c r="Y67" i="59"/>
  <c r="Y73" i="59"/>
  <c r="Y10" i="14"/>
  <c r="Y71" i="59"/>
  <c r="BE124" i="7"/>
  <c r="BD129" i="7"/>
  <c r="AO171" i="56"/>
  <c r="AO183" i="56"/>
  <c r="BH122" i="56"/>
  <c r="BK135" i="7"/>
  <c r="BJ139" i="7"/>
  <c r="BJ138" i="7"/>
  <c r="AX155" i="56"/>
  <c r="AX33" i="56"/>
  <c r="AX18" i="14"/>
  <c r="AJ98" i="7"/>
  <c r="AK95" i="7"/>
  <c r="AK97" i="7"/>
  <c r="AK98" i="7"/>
  <c r="AN341" i="7"/>
  <c r="AN343" i="7"/>
  <c r="AJ341" i="7"/>
  <c r="AJ343" i="7"/>
  <c r="BP114" i="56"/>
  <c r="BP10" i="14"/>
  <c r="BP111" i="56"/>
  <c r="BP106" i="56"/>
  <c r="BP112" i="56"/>
  <c r="BP103" i="56"/>
  <c r="CM236" i="7"/>
  <c r="AP37" i="7"/>
  <c r="CF135" i="7"/>
  <c r="CF137" i="7"/>
  <c r="AC17" i="7"/>
  <c r="AD53" i="7"/>
  <c r="BG206" i="7"/>
  <c r="AO12" i="59"/>
  <c r="AO38" i="59" s="1"/>
  <c r="AB349" i="7"/>
  <c r="AB351" i="7"/>
  <c r="AA352" i="7"/>
  <c r="AO49" i="7"/>
  <c r="AO51" i="7"/>
  <c r="AM51" i="7"/>
  <c r="BS149" i="7"/>
  <c r="BS151" i="7"/>
  <c r="BT145" i="7"/>
  <c r="CD249" i="7"/>
  <c r="BX113" i="7"/>
  <c r="BP53" i="7"/>
  <c r="BQ49" i="7"/>
  <c r="CH195" i="7"/>
  <c r="CE143" i="7"/>
  <c r="AU37" i="59"/>
  <c r="BP35" i="7"/>
  <c r="CJ322" i="7"/>
  <c r="CI328" i="7"/>
  <c r="CE272" i="7"/>
  <c r="CE274" i="7"/>
  <c r="CD276" i="7"/>
  <c r="CD275" i="7"/>
  <c r="CD277" i="7"/>
  <c r="CF238" i="7"/>
  <c r="BW61" i="7"/>
  <c r="BW362" i="7"/>
  <c r="BF15" i="11"/>
  <c r="BE180" i="56"/>
  <c r="BE11" i="59" s="1"/>
  <c r="BE37" i="59" s="1"/>
  <c r="BE66" i="59" s="1"/>
  <c r="BE167" i="56"/>
  <c r="BJ167" i="56"/>
  <c r="CF329" i="7"/>
  <c r="CH321" i="7"/>
  <c r="BX116" i="7"/>
  <c r="BX118" i="7"/>
  <c r="AU181" i="56"/>
  <c r="AU12" i="59"/>
  <c r="AU168" i="56"/>
  <c r="BZ169" i="56"/>
  <c r="CE169" i="56"/>
  <c r="AI75" i="59"/>
  <c r="AI67" i="59"/>
  <c r="AI70" i="59"/>
  <c r="AI66" i="59"/>
  <c r="AI72" i="59"/>
  <c r="AI10" i="14"/>
  <c r="AI73" i="59"/>
  <c r="AI68" i="59"/>
  <c r="AI71" i="59"/>
  <c r="CL61" i="7"/>
  <c r="CL362" i="7"/>
  <c r="BC33" i="56"/>
  <c r="BC18" i="14"/>
  <c r="BC19" i="14" s="1"/>
  <c r="BC155" i="56"/>
  <c r="AV168" i="56"/>
  <c r="AQ168" i="56"/>
  <c r="AQ181" i="56"/>
  <c r="AQ12" i="59"/>
  <c r="CC123" i="56"/>
  <c r="CB122" i="56"/>
  <c r="L13" i="14"/>
  <c r="BL288" i="7"/>
  <c r="AE48" i="59"/>
  <c r="AI22" i="59"/>
  <c r="AI48" i="59"/>
  <c r="BN123" i="56"/>
  <c r="BM122" i="56"/>
  <c r="AZ168" i="56"/>
  <c r="BE101" i="56"/>
  <c r="BE118" i="56"/>
  <c r="X95" i="7"/>
  <c r="X97" i="7"/>
  <c r="X98" i="7"/>
  <c r="W98" i="7"/>
  <c r="Y98" i="7"/>
  <c r="BH76" i="56"/>
  <c r="BH118" i="56"/>
  <c r="AE72" i="59"/>
  <c r="AE66" i="59"/>
  <c r="AE73" i="59"/>
  <c r="AE71" i="59"/>
  <c r="AE70" i="59"/>
  <c r="AE67" i="59"/>
  <c r="AE75" i="59"/>
  <c r="AT11" i="59"/>
  <c r="BJ132" i="7"/>
  <c r="BI140" i="7"/>
  <c r="BQ153" i="56"/>
  <c r="BQ18" i="14"/>
  <c r="BQ154" i="56"/>
  <c r="BR12" i="56"/>
  <c r="BR199" i="56" s="1"/>
  <c r="BQ155" i="56"/>
  <c r="BQ169" i="56"/>
  <c r="AS9" i="7"/>
  <c r="CG42" i="56"/>
  <c r="CG24" i="56"/>
  <c r="CG61" i="56"/>
  <c r="U13" i="14"/>
  <c r="AJ359" i="7"/>
  <c r="AK356" i="7"/>
  <c r="AK358" i="7"/>
  <c r="BK32" i="57"/>
  <c r="BV248" i="7"/>
  <c r="BU254" i="7"/>
  <c r="AP189" i="7"/>
  <c r="AP191" i="7"/>
  <c r="AO192" i="7"/>
  <c r="BJ10" i="14"/>
  <c r="BG167" i="56"/>
  <c r="CM62" i="56"/>
  <c r="AX77" i="56"/>
  <c r="AX10" i="14"/>
  <c r="AW169" i="56"/>
  <c r="W42" i="7"/>
  <c r="X38" i="7"/>
  <c r="X40" i="7"/>
  <c r="AX161" i="56"/>
  <c r="AX173" i="56"/>
  <c r="AY161" i="56"/>
  <c r="BC161" i="56"/>
  <c r="AT185" i="56"/>
  <c r="BE26" i="56"/>
  <c r="BE28" i="56" s="1"/>
  <c r="BE29" i="56" s="1"/>
  <c r="BE7" i="5"/>
  <c r="BE25" i="5" s="1"/>
  <c r="BE58" i="56"/>
  <c r="BE52" i="56"/>
  <c r="BE59" i="56"/>
  <c r="BE56" i="56"/>
  <c r="AX40" i="14"/>
  <c r="AB105" i="7"/>
  <c r="AQ348" i="7"/>
  <c r="BL114" i="7"/>
  <c r="BK120" i="7"/>
  <c r="AR102" i="7"/>
  <c r="CA250" i="7"/>
  <c r="CA252" i="7"/>
  <c r="BZ253" i="7"/>
  <c r="AK352" i="7"/>
  <c r="AL349" i="7"/>
  <c r="AL351" i="7"/>
  <c r="BX178" i="7"/>
  <c r="BV182" i="7"/>
  <c r="CJ211" i="7"/>
  <c r="CK209" i="7"/>
  <c r="BK128" i="7"/>
  <c r="BL126" i="7"/>
  <c r="BK127" i="7"/>
  <c r="AD359" i="7"/>
  <c r="BT255" i="7"/>
  <c r="BU247" i="7"/>
  <c r="BH24" i="56"/>
  <c r="BH61" i="56"/>
  <c r="BM42" i="56"/>
  <c r="BH42" i="56"/>
  <c r="BB280" i="7"/>
  <c r="BL117" i="7"/>
  <c r="BL118" i="7"/>
  <c r="BA95" i="7"/>
  <c r="BA97" i="7"/>
  <c r="BN207" i="7"/>
  <c r="BT222" i="7"/>
  <c r="BU217" i="7"/>
  <c r="CF172" i="7"/>
  <c r="CF171" i="7"/>
  <c r="CH168" i="7"/>
  <c r="CH170" i="7"/>
  <c r="CJ167" i="7"/>
  <c r="AT282" i="7"/>
  <c r="AT284" i="7"/>
  <c r="AX282" i="7"/>
  <c r="AX284" i="7"/>
  <c r="BO177" i="7"/>
  <c r="CB10" i="14"/>
  <c r="CB108" i="56"/>
  <c r="CB111" i="56"/>
  <c r="CB112" i="56"/>
  <c r="CB110" i="56"/>
  <c r="CB114" i="56"/>
  <c r="BT144" i="7"/>
  <c r="CD359" i="7"/>
  <c r="CE356" i="7"/>
  <c r="CE358" i="7"/>
  <c r="AZ167" i="56"/>
  <c r="AU167" i="56"/>
  <c r="CO29" i="59"/>
  <c r="CP29" i="59"/>
  <c r="CG124" i="56"/>
  <c r="CG125" i="56"/>
  <c r="CO25" i="59"/>
  <c r="CN29" i="59"/>
  <c r="CG95" i="56"/>
  <c r="CG97" i="56"/>
  <c r="CN25" i="59"/>
  <c r="AS125" i="56"/>
  <c r="AX125" i="56"/>
  <c r="AP184" i="56"/>
  <c r="AP16" i="59"/>
  <c r="BC141" i="56"/>
  <c r="AQ183" i="56"/>
  <c r="AQ15" i="59"/>
  <c r="AQ41" i="59" s="1"/>
  <c r="AQ171" i="56"/>
  <c r="AS184" i="56"/>
  <c r="AP171" i="56"/>
  <c r="AP183" i="56"/>
  <c r="AP15" i="59"/>
  <c r="BV21" i="11"/>
  <c r="AZ128" i="56"/>
  <c r="BA120" i="56"/>
  <c r="AS139" i="56"/>
  <c r="AS143" i="56"/>
  <c r="BR45" i="56"/>
  <c r="BR187" i="56"/>
  <c r="BR63" i="56"/>
  <c r="BR61" i="56"/>
  <c r="AZ16" i="56"/>
  <c r="AZ19" i="59"/>
  <c r="AZ44" i="59" s="1"/>
  <c r="BU32" i="57"/>
  <c r="CF22" i="57"/>
  <c r="CK22" i="57" s="1"/>
  <c r="CB22" i="57"/>
  <c r="CC22" i="57"/>
  <c r="CM199" i="7"/>
  <c r="AS180" i="56"/>
  <c r="BC87" i="56"/>
  <c r="AY91" i="56"/>
  <c r="BC91" i="56"/>
  <c r="AY90" i="56"/>
  <c r="BC90" i="56"/>
  <c r="BC101" i="56"/>
  <c r="BH101" i="56"/>
  <c r="AS181" i="56"/>
  <c r="BC73" i="56"/>
  <c r="BH99" i="56"/>
  <c r="BD99" i="56"/>
  <c r="AY76" i="56"/>
  <c r="AY99" i="56"/>
  <c r="AX169" i="56"/>
  <c r="AT181" i="56"/>
  <c r="BP110" i="56"/>
  <c r="AB98" i="7"/>
  <c r="AC95" i="7"/>
  <c r="AC97" i="7"/>
  <c r="AC98" i="7"/>
  <c r="AJ48" i="7"/>
  <c r="AH52" i="7"/>
  <c r="AH54" i="7"/>
  <c r="AJ38" i="7"/>
  <c r="AJ40" i="7"/>
  <c r="AN38" i="7"/>
  <c r="AN40" i="7"/>
  <c r="AS38" i="7"/>
  <c r="AS40" i="7"/>
  <c r="AX38" i="7"/>
  <c r="AX40" i="7"/>
  <c r="BC38" i="7"/>
  <c r="BC40" i="7"/>
  <c r="BH38" i="7"/>
  <c r="BH40" i="7"/>
  <c r="BM38" i="7"/>
  <c r="BM40" i="7"/>
  <c r="BR38" i="7"/>
  <c r="BR40" i="7"/>
  <c r="BW38" i="7"/>
  <c r="BW40" i="7"/>
  <c r="CB38" i="7"/>
  <c r="CB40" i="7"/>
  <c r="CG38" i="7"/>
  <c r="CG40" i="7"/>
  <c r="CL38" i="7"/>
  <c r="CL40" i="7"/>
  <c r="CQ38" i="7"/>
  <c r="CQ40" i="7"/>
  <c r="BX133" i="7"/>
  <c r="BV139" i="7"/>
  <c r="BD362" i="7"/>
  <c r="BE83" i="7"/>
  <c r="BE362" i="7"/>
  <c r="BB86" i="7"/>
  <c r="BD82" i="7"/>
  <c r="BD84" i="7"/>
  <c r="BB85" i="7"/>
  <c r="BB87" i="7"/>
  <c r="BD81" i="7"/>
  <c r="BV115" i="7"/>
  <c r="BU119" i="7"/>
  <c r="BU121" i="7"/>
  <c r="AE42" i="7"/>
  <c r="AF38" i="7"/>
  <c r="AF40" i="7"/>
  <c r="AE41" i="7"/>
  <c r="BL109" i="56"/>
  <c r="BH111" i="56"/>
  <c r="BH128" i="56"/>
  <c r="AA333" i="7"/>
  <c r="Z336" i="7"/>
  <c r="BL149" i="7"/>
  <c r="BL151" i="7"/>
  <c r="BL150" i="7"/>
  <c r="BN146" i="7"/>
  <c r="BN148" i="7"/>
  <c r="BQ111" i="56"/>
  <c r="BQ106" i="56"/>
  <c r="BQ114" i="56"/>
  <c r="BQ112" i="56"/>
  <c r="BR77" i="56"/>
  <c r="BQ10" i="14"/>
  <c r="BL119" i="7"/>
  <c r="BL121" i="7"/>
  <c r="BN116" i="7"/>
  <c r="CE249" i="7"/>
  <c r="CH301" i="7"/>
  <c r="CF305" i="7"/>
  <c r="CF307" i="7"/>
  <c r="BQ5" i="57"/>
  <c r="BQ28" i="57"/>
  <c r="CC73" i="56"/>
  <c r="CC141" i="56" s="1"/>
  <c r="CN311" i="7"/>
  <c r="BV231" i="7"/>
  <c r="BX227" i="7"/>
  <c r="X68" i="59"/>
  <c r="X73" i="59"/>
  <c r="X71" i="59"/>
  <c r="X67" i="59"/>
  <c r="X72" i="59"/>
  <c r="X66" i="59"/>
  <c r="X70" i="59"/>
  <c r="BW26" i="57"/>
  <c r="BU26" i="57"/>
  <c r="BR28" i="57"/>
  <c r="CD73" i="56"/>
  <c r="CI99" i="56" s="1"/>
  <c r="BY80" i="7"/>
  <c r="BO254" i="7"/>
  <c r="BP250" i="7"/>
  <c r="BO253" i="7"/>
  <c r="BO255" i="7"/>
  <c r="BB28" i="14"/>
  <c r="CJ327" i="7"/>
  <c r="CK323" i="7"/>
  <c r="CE313" i="7"/>
  <c r="CE315" i="7"/>
  <c r="CD317" i="7"/>
  <c r="CD316" i="7"/>
  <c r="CD318" i="7"/>
  <c r="BT150" i="7"/>
  <c r="BU144" i="7"/>
  <c r="CH329" i="7"/>
  <c r="CI321" i="7"/>
  <c r="BQ35" i="7"/>
  <c r="CI195" i="7"/>
  <c r="BY113" i="7"/>
  <c r="BU145" i="7"/>
  <c r="BT149" i="7"/>
  <c r="BT151" i="7"/>
  <c r="AQ37" i="7"/>
  <c r="BK229" i="7"/>
  <c r="BK230" i="7"/>
  <c r="CI271" i="7"/>
  <c r="CJ260" i="7"/>
  <c r="BU68" i="7"/>
  <c r="BV138" i="7"/>
  <c r="BX134" i="7"/>
  <c r="BT161" i="7"/>
  <c r="BU155" i="7"/>
  <c r="AD26" i="7"/>
  <c r="AC28" i="7"/>
  <c r="CK210" i="7"/>
  <c r="CK211" i="7"/>
  <c r="CM209" i="7"/>
  <c r="CJ362" i="7"/>
  <c r="BY201" i="7"/>
  <c r="BY203" i="7"/>
  <c r="BZ197" i="7"/>
  <c r="CM349" i="7"/>
  <c r="CM351" i="7"/>
  <c r="CN349" i="7"/>
  <c r="CN351" i="7"/>
  <c r="CO349" i="7"/>
  <c r="CO351" i="7"/>
  <c r="CP349" i="7"/>
  <c r="CP351" i="7"/>
  <c r="CQ351" i="7"/>
  <c r="CL351" i="7"/>
  <c r="CQ349" i="7"/>
  <c r="CE265" i="7"/>
  <c r="CE264" i="7"/>
  <c r="CF261" i="7"/>
  <c r="CF263" i="7"/>
  <c r="BJ70" i="7"/>
  <c r="BZ348" i="7"/>
  <c r="BY352" i="7"/>
  <c r="AK340" i="7"/>
  <c r="AJ344" i="7"/>
  <c r="BN359" i="7"/>
  <c r="BO356" i="7"/>
  <c r="BO357" i="7"/>
  <c r="W49" i="7"/>
  <c r="V53" i="7"/>
  <c r="BJ110" i="56"/>
  <c r="BH114" i="56"/>
  <c r="BH108" i="56"/>
  <c r="BH112" i="56"/>
  <c r="BH106" i="56"/>
  <c r="BH109" i="56"/>
  <c r="BH10" i="14"/>
  <c r="CH312" i="7"/>
  <c r="BC282" i="7"/>
  <c r="BC284" i="7"/>
  <c r="AY282" i="7"/>
  <c r="AY284" i="7"/>
  <c r="BO207" i="7"/>
  <c r="BD280" i="7"/>
  <c r="AR348" i="7"/>
  <c r="BV254" i="7"/>
  <c r="BX248" i="7"/>
  <c r="BQ181" i="56"/>
  <c r="AO53" i="7"/>
  <c r="AP49" i="7"/>
  <c r="AP51" i="7"/>
  <c r="BE129" i="7"/>
  <c r="BF124" i="7"/>
  <c r="BB187" i="7"/>
  <c r="AF344" i="7"/>
  <c r="AF345" i="7"/>
  <c r="AG341" i="7"/>
  <c r="AG343" i="7"/>
  <c r="CM310" i="7"/>
  <c r="CH9" i="5"/>
  <c r="CH50" i="59" s="1"/>
  <c r="CP237" i="7"/>
  <c r="BE79" i="7"/>
  <c r="AT192" i="7"/>
  <c r="AU189" i="7"/>
  <c r="AU191" i="7"/>
  <c r="AU27" i="14"/>
  <c r="AZ37" i="56"/>
  <c r="AT12" i="59"/>
  <c r="AT38" i="59" s="1"/>
  <c r="AT285" i="7"/>
  <c r="AU282" i="7"/>
  <c r="AU284" i="7"/>
  <c r="BH187" i="56"/>
  <c r="BH63" i="56"/>
  <c r="BM45" i="56"/>
  <c r="BH62" i="56"/>
  <c r="BV247" i="7"/>
  <c r="BU255" i="7"/>
  <c r="BY178" i="7"/>
  <c r="BX182" i="7"/>
  <c r="CC250" i="7"/>
  <c r="CC252" i="7"/>
  <c r="CA253" i="7"/>
  <c r="BN114" i="7"/>
  <c r="BL120" i="7"/>
  <c r="AT19" i="59"/>
  <c r="AX185" i="56"/>
  <c r="AT16" i="56"/>
  <c r="AX112" i="56"/>
  <c r="AX106" i="56"/>
  <c r="AX109" i="56"/>
  <c r="AX114" i="56"/>
  <c r="AX108" i="56"/>
  <c r="AQ189" i="7"/>
  <c r="AQ191" i="7"/>
  <c r="AP192" i="7"/>
  <c r="AL356" i="7"/>
  <c r="AL358" i="7"/>
  <c r="AK359" i="7"/>
  <c r="BK132" i="7"/>
  <c r="BJ140" i="7"/>
  <c r="BX1" i="5"/>
  <c r="AI1" i="33"/>
  <c r="BX1" i="56"/>
  <c r="BX1" i="59"/>
  <c r="CF272" i="7"/>
  <c r="CF274" i="7"/>
  <c r="CE276" i="7"/>
  <c r="CE275" i="7"/>
  <c r="CF143" i="7"/>
  <c r="BS49" i="7"/>
  <c r="BS51" i="7"/>
  <c r="BQ51" i="7"/>
  <c r="BQ53" i="7"/>
  <c r="BR53" i="7"/>
  <c r="AB352" i="7"/>
  <c r="AC349" i="7"/>
  <c r="AC351" i="7"/>
  <c r="AC352" i="7"/>
  <c r="CN236" i="7"/>
  <c r="AK341" i="7"/>
  <c r="AK343" i="7"/>
  <c r="AJ345" i="7"/>
  <c r="BK136" i="7"/>
  <c r="BK137" i="7"/>
  <c r="R13" i="14"/>
  <c r="BI12" i="59"/>
  <c r="BI38" i="59" s="1"/>
  <c r="BC122" i="56"/>
  <c r="BN110" i="56"/>
  <c r="CH299" i="7"/>
  <c r="CI306" i="7"/>
  <c r="CJ300" i="7"/>
  <c r="BG69" i="7"/>
  <c r="BB208" i="7"/>
  <c r="BN225" i="7"/>
  <c r="AF98" i="7"/>
  <c r="AG95" i="7"/>
  <c r="AG97" i="7"/>
  <c r="BZ198" i="7"/>
  <c r="BZ200" i="7"/>
  <c r="BY202" i="7"/>
  <c r="AX110" i="56"/>
  <c r="BF34" i="57"/>
  <c r="BF28" i="57"/>
  <c r="BZ173" i="7"/>
  <c r="CA165" i="7"/>
  <c r="BY109" i="56"/>
  <c r="BY76" i="56"/>
  <c r="BN226" i="7"/>
  <c r="BK180" i="7"/>
  <c r="BK181" i="7"/>
  <c r="AN10" i="14"/>
  <c r="AN75" i="59"/>
  <c r="AN68" i="59"/>
  <c r="AN72" i="59"/>
  <c r="AN70" i="59"/>
  <c r="AN66" i="59"/>
  <c r="AN67" i="59"/>
  <c r="AN71" i="59"/>
  <c r="CM270" i="7"/>
  <c r="AX122" i="56"/>
  <c r="AX118" i="56"/>
  <c r="AX128" i="56"/>
  <c r="AQ282" i="7"/>
  <c r="AQ284" i="7"/>
  <c r="AP285" i="7"/>
  <c r="BV176" i="7"/>
  <c r="BU184" i="7"/>
  <c r="CD196" i="7"/>
  <c r="BK161" i="7"/>
  <c r="BL157" i="7"/>
  <c r="BK160" i="7"/>
  <c r="BK162" i="7"/>
  <c r="BL111" i="56"/>
  <c r="BL114" i="56"/>
  <c r="BL103" i="56"/>
  <c r="BL106" i="56"/>
  <c r="BK292" i="7"/>
  <c r="BK293" i="7"/>
  <c r="AX39" i="56"/>
  <c r="BC39" i="56"/>
  <c r="AX186" i="56"/>
  <c r="BV156" i="7"/>
  <c r="BU160" i="7"/>
  <c r="CF269" i="7"/>
  <c r="CE277" i="7"/>
  <c r="BX108" i="56"/>
  <c r="BX112" i="56"/>
  <c r="BX10" i="14"/>
  <c r="BX110" i="56"/>
  <c r="BX106" i="56"/>
  <c r="BX114" i="56"/>
  <c r="BX111" i="56"/>
  <c r="CI168" i="7"/>
  <c r="CI170" i="7"/>
  <c r="CH172" i="7"/>
  <c r="CH171" i="7"/>
  <c r="AT102" i="7"/>
  <c r="BE10" i="5"/>
  <c r="BE21" i="5" s="1"/>
  <c r="CM63" i="56"/>
  <c r="CM187" i="56"/>
  <c r="CM6" i="11"/>
  <c r="CM21" i="11" s="1"/>
  <c r="CM45" i="56"/>
  <c r="CM61" i="56"/>
  <c r="BM77" i="56"/>
  <c r="BJ112" i="56"/>
  <c r="BJ114" i="56"/>
  <c r="BJ106" i="56"/>
  <c r="BO103" i="56"/>
  <c r="BE128" i="56"/>
  <c r="BE120" i="56"/>
  <c r="BE119" i="56"/>
  <c r="BF120" i="56"/>
  <c r="BY116" i="7"/>
  <c r="BY118" i="7"/>
  <c r="CJ328" i="7"/>
  <c r="CK322" i="7"/>
  <c r="CF356" i="7"/>
  <c r="CF358" i="7"/>
  <c r="CE359" i="7"/>
  <c r="BP177" i="7"/>
  <c r="CK167" i="7"/>
  <c r="BV217" i="7"/>
  <c r="BU222" i="7"/>
  <c r="BB95" i="7"/>
  <c r="BL127" i="7"/>
  <c r="BM127" i="7"/>
  <c r="BM128" i="7"/>
  <c r="AL352" i="7"/>
  <c r="AM349" i="7"/>
  <c r="AM351" i="7"/>
  <c r="AC103" i="7"/>
  <c r="AB106" i="7"/>
  <c r="BC173" i="56"/>
  <c r="X41" i="7"/>
  <c r="X42" i="7"/>
  <c r="Y42" i="7"/>
  <c r="CG45" i="56"/>
  <c r="CG62" i="56"/>
  <c r="CG187" i="56"/>
  <c r="CG63" i="56"/>
  <c r="BR155" i="56"/>
  <c r="BR18" i="14"/>
  <c r="BQ180" i="56"/>
  <c r="BQ11" i="59" s="1"/>
  <c r="BQ37" i="59" s="1"/>
  <c r="BN288" i="7"/>
  <c r="BC169" i="56"/>
  <c r="CH238" i="7"/>
  <c r="AM53" i="7"/>
  <c r="AN53" i="7"/>
  <c r="BI206" i="7"/>
  <c r="CH135" i="7"/>
  <c r="CH137" i="7"/>
  <c r="AO341" i="7"/>
  <c r="AO343" i="7"/>
  <c r="AS341" i="7"/>
  <c r="AS343" i="7"/>
  <c r="AO15" i="59"/>
  <c r="AS183" i="56"/>
  <c r="AS148" i="56"/>
  <c r="AS157" i="56"/>
  <c r="AS171" i="56"/>
  <c r="AR41" i="59"/>
  <c r="CF239" i="7"/>
  <c r="CF241" i="7"/>
  <c r="CE243" i="7"/>
  <c r="CK259" i="7"/>
  <c r="BO220" i="7"/>
  <c r="CE266" i="7"/>
  <c r="CF258" i="7"/>
  <c r="BP289" i="7"/>
  <c r="AS146" i="56"/>
  <c r="AW213" i="7"/>
  <c r="AY209" i="7"/>
  <c r="AY211" i="7"/>
  <c r="AW212" i="7"/>
  <c r="AW214" i="7"/>
  <c r="BO290" i="7"/>
  <c r="AY185" i="56"/>
  <c r="BO27" i="57"/>
  <c r="BJ28" i="57"/>
  <c r="BV73" i="56"/>
  <c r="BV141" i="56" s="1"/>
  <c r="BJ5" i="57"/>
  <c r="BK5" i="57"/>
  <c r="BK27" i="57"/>
  <c r="BQ110" i="56"/>
  <c r="BP35" i="57"/>
  <c r="CN45" i="56"/>
  <c r="BA11" i="59"/>
  <c r="BA37" i="59" s="1"/>
  <c r="BV154" i="7"/>
  <c r="BU162" i="7"/>
  <c r="AY189" i="7"/>
  <c r="AY191" i="7"/>
  <c r="BC189" i="7"/>
  <c r="BC191" i="7"/>
  <c r="BL76" i="56"/>
  <c r="BL118" i="56" s="1"/>
  <c r="AX134" i="56"/>
  <c r="AX143" i="56"/>
  <c r="AY71" i="7"/>
  <c r="AY73" i="7"/>
  <c r="AW75" i="7"/>
  <c r="AW74" i="7"/>
  <c r="AW76" i="7"/>
  <c r="CM124" i="56"/>
  <c r="CN124" i="56" s="1"/>
  <c r="CM121" i="56"/>
  <c r="CN121" i="56" s="1"/>
  <c r="AZ27" i="14"/>
  <c r="AZ28" i="14" s="1"/>
  <c r="BE37" i="56"/>
  <c r="CC5" i="57"/>
  <c r="CH22" i="57"/>
  <c r="CM22" i="57" s="1"/>
  <c r="CB5" i="57"/>
  <c r="CG22" i="57"/>
  <c r="CL22" i="57" s="1"/>
  <c r="CQ22" i="57" s="1"/>
  <c r="CK25" i="7"/>
  <c r="CN199" i="7"/>
  <c r="CM25" i="7"/>
  <c r="AY111" i="56"/>
  <c r="AY106" i="56"/>
  <c r="AY112" i="56"/>
  <c r="AY114" i="56"/>
  <c r="AY10" i="14"/>
  <c r="BD103" i="56"/>
  <c r="AY108" i="56"/>
  <c r="AY109" i="56"/>
  <c r="BC77" i="56"/>
  <c r="AY110" i="56"/>
  <c r="AY103" i="56"/>
  <c r="BD101" i="56"/>
  <c r="AY118" i="56"/>
  <c r="BC76" i="56"/>
  <c r="BC118" i="56"/>
  <c r="BH119" i="56"/>
  <c r="BL110" i="56"/>
  <c r="BL10" i="14"/>
  <c r="BL112" i="56"/>
  <c r="BD86" i="7"/>
  <c r="BE82" i="7"/>
  <c r="BE84" i="7"/>
  <c r="AE43" i="7"/>
  <c r="BX115" i="7"/>
  <c r="BV119" i="7"/>
  <c r="BV121" i="7"/>
  <c r="BX139" i="7"/>
  <c r="BY133" i="7"/>
  <c r="AK48" i="7"/>
  <c r="AJ52" i="7"/>
  <c r="AJ54" i="7"/>
  <c r="BL128" i="7"/>
  <c r="AF42" i="7"/>
  <c r="AF41" i="7"/>
  <c r="AF43" i="7"/>
  <c r="AG38" i="7"/>
  <c r="AG40" i="7"/>
  <c r="BD85" i="7"/>
  <c r="BD87" i="7"/>
  <c r="BE81" i="7"/>
  <c r="AK38" i="7"/>
  <c r="AK40" i="7"/>
  <c r="AJ41" i="7"/>
  <c r="AJ43" i="7"/>
  <c r="AJ42" i="7"/>
  <c r="AD98" i="7"/>
  <c r="BR71" i="56"/>
  <c r="BR111" i="56"/>
  <c r="BQ103" i="56"/>
  <c r="BR126" i="7"/>
  <c r="BN126" i="7"/>
  <c r="AZ71" i="7"/>
  <c r="AZ73" i="7"/>
  <c r="AY74" i="7"/>
  <c r="AY76" i="7"/>
  <c r="AY75" i="7"/>
  <c r="CI238" i="7"/>
  <c r="CI172" i="7"/>
  <c r="CJ168" i="7"/>
  <c r="CJ170" i="7"/>
  <c r="CI171" i="7"/>
  <c r="BL158" i="7"/>
  <c r="BL159" i="7"/>
  <c r="CD250" i="7"/>
  <c r="CD252" i="7"/>
  <c r="CC253" i="7"/>
  <c r="AT348" i="7"/>
  <c r="BO358" i="7"/>
  <c r="BV68" i="7"/>
  <c r="BL228" i="7"/>
  <c r="BK231" i="7"/>
  <c r="BK233" i="7"/>
  <c r="BK232" i="7"/>
  <c r="CJ321" i="7"/>
  <c r="CI329" i="7"/>
  <c r="BU150" i="7"/>
  <c r="BV144" i="7"/>
  <c r="CB26" i="57"/>
  <c r="CG26" i="57" s="1"/>
  <c r="BZ26" i="57"/>
  <c r="BW28" i="57"/>
  <c r="CH305" i="7"/>
  <c r="CI301" i="7"/>
  <c r="CF249" i="7"/>
  <c r="BK28" i="57"/>
  <c r="BK34" i="57"/>
  <c r="AS147" i="56"/>
  <c r="AS154" i="56"/>
  <c r="AS168" i="56"/>
  <c r="AS153" i="56"/>
  <c r="AS167" i="56"/>
  <c r="CH258" i="7"/>
  <c r="BR124" i="56"/>
  <c r="AP341" i="7"/>
  <c r="AP343" i="7"/>
  <c r="AO345" i="7"/>
  <c r="BO288" i="7"/>
  <c r="BQ177" i="7"/>
  <c r="BM112" i="56"/>
  <c r="BM114" i="56"/>
  <c r="BM106" i="56"/>
  <c r="BM103" i="56"/>
  <c r="BM10" i="14"/>
  <c r="AU102" i="7"/>
  <c r="AQ285" i="7"/>
  <c r="AR282" i="7"/>
  <c r="AR284" i="7"/>
  <c r="AR285" i="7"/>
  <c r="AS285" i="7"/>
  <c r="CA173" i="7"/>
  <c r="CC165" i="7"/>
  <c r="CA198" i="7"/>
  <c r="CA200" i="7"/>
  <c r="BZ202" i="7"/>
  <c r="BI69" i="7"/>
  <c r="BK139" i="7"/>
  <c r="BL135" i="7"/>
  <c r="BK138" i="7"/>
  <c r="BK140" i="7"/>
  <c r="CO236" i="7"/>
  <c r="BT49" i="7"/>
  <c r="BT51" i="7"/>
  <c r="BS53" i="7"/>
  <c r="AY13" i="14"/>
  <c r="AE13" i="14"/>
  <c r="AQ192" i="7"/>
  <c r="AS192" i="7"/>
  <c r="AR189" i="7"/>
  <c r="AR191" i="7"/>
  <c r="AR192" i="7"/>
  <c r="AV282" i="7"/>
  <c r="AV284" i="7"/>
  <c r="AU285" i="7"/>
  <c r="BF79" i="7"/>
  <c r="BG124" i="7"/>
  <c r="BF129" i="7"/>
  <c r="BX254" i="7"/>
  <c r="BY248" i="7"/>
  <c r="BP207" i="7"/>
  <c r="CI312" i="7"/>
  <c r="BM71" i="56"/>
  <c r="AL340" i="7"/>
  <c r="AK344" i="7"/>
  <c r="BK70" i="7"/>
  <c r="CA197" i="7"/>
  <c r="BZ201" i="7"/>
  <c r="BZ203" i="7"/>
  <c r="BY134" i="7"/>
  <c r="BX138" i="7"/>
  <c r="CK260" i="7"/>
  <c r="AR37" i="7"/>
  <c r="BZ113" i="7"/>
  <c r="BS35" i="7"/>
  <c r="CK327" i="7"/>
  <c r="CM323" i="7"/>
  <c r="BI13" i="59"/>
  <c r="AA334" i="7"/>
  <c r="AD334" i="7"/>
  <c r="AD335" i="7"/>
  <c r="BM124" i="56"/>
  <c r="BO5" i="57"/>
  <c r="BP5" i="57"/>
  <c r="BT27" i="57"/>
  <c r="BO28" i="57"/>
  <c r="CA73" i="56"/>
  <c r="CA141" i="56" s="1"/>
  <c r="BP27" i="57"/>
  <c r="AX341" i="7"/>
  <c r="AX343" i="7"/>
  <c r="AT341" i="7"/>
  <c r="AT343" i="7"/>
  <c r="X43" i="7"/>
  <c r="AG98" i="7"/>
  <c r="AH95" i="7"/>
  <c r="AH97" i="7"/>
  <c r="AH98" i="7"/>
  <c r="CH307" i="7"/>
  <c r="CI299" i="7"/>
  <c r="BX247" i="7"/>
  <c r="BV255" i="7"/>
  <c r="AP53" i="7"/>
  <c r="AQ49" i="7"/>
  <c r="AQ51" i="7"/>
  <c r="BQ12" i="59"/>
  <c r="BC185" i="56"/>
  <c r="AY19" i="59"/>
  <c r="AY16" i="56"/>
  <c r="AZ209" i="7"/>
  <c r="AZ211" i="7"/>
  <c r="AY213" i="7"/>
  <c r="AY212" i="7"/>
  <c r="AY214" i="7"/>
  <c r="CM259" i="7"/>
  <c r="CH239" i="7"/>
  <c r="CH241" i="7"/>
  <c r="CF243" i="7"/>
  <c r="AC104" i="7"/>
  <c r="AD104" i="7"/>
  <c r="AD105" i="7"/>
  <c r="BC95" i="7"/>
  <c r="BC97" i="7"/>
  <c r="BB97" i="7"/>
  <c r="BV222" i="7"/>
  <c r="BX217" i="7"/>
  <c r="BL291" i="7"/>
  <c r="BK295" i="7"/>
  <c r="BK294" i="7"/>
  <c r="BK296" i="7"/>
  <c r="CE196" i="7"/>
  <c r="BY108" i="56"/>
  <c r="BY111" i="56"/>
  <c r="BY114" i="56"/>
  <c r="BY106" i="56"/>
  <c r="BY112" i="56"/>
  <c r="BY110" i="56"/>
  <c r="BY10" i="14"/>
  <c r="BQ13" i="14"/>
  <c r="CJ306" i="7"/>
  <c r="CK300" i="7"/>
  <c r="AJ101" i="7"/>
  <c r="CH143" i="7"/>
  <c r="BO114" i="7"/>
  <c r="BY182" i="7"/>
  <c r="BZ178" i="7"/>
  <c r="AF13" i="14"/>
  <c r="CN310" i="7"/>
  <c r="BE280" i="7"/>
  <c r="AZ282" i="7"/>
  <c r="AZ284" i="7"/>
  <c r="AY285" i="7"/>
  <c r="CF265" i="7"/>
  <c r="CH261" i="7"/>
  <c r="CH263" i="7"/>
  <c r="CF264" i="7"/>
  <c r="CF266" i="7"/>
  <c r="CJ271" i="7"/>
  <c r="AL13" i="14"/>
  <c r="CJ195" i="7"/>
  <c r="BZ80" i="7"/>
  <c r="CD99" i="56"/>
  <c r="BX231" i="7"/>
  <c r="BY227" i="7"/>
  <c r="CO311" i="7"/>
  <c r="CG10" i="11"/>
  <c r="CG24" i="11"/>
  <c r="BQ289" i="7"/>
  <c r="BJ206" i="7"/>
  <c r="CH356" i="7"/>
  <c r="CH358" i="7"/>
  <c r="CG358" i="7"/>
  <c r="CL356" i="7"/>
  <c r="CF359" i="7"/>
  <c r="CG359" i="7"/>
  <c r="BZ116" i="7"/>
  <c r="BZ118" i="7"/>
  <c r="CH269" i="7"/>
  <c r="BK182" i="7"/>
  <c r="BK184" i="7"/>
  <c r="BK183" i="7"/>
  <c r="BL179" i="7"/>
  <c r="AS149" i="56"/>
  <c r="AS158" i="56"/>
  <c r="AS172" i="56"/>
  <c r="AX16" i="56"/>
  <c r="AX27" i="14"/>
  <c r="AT27" i="14"/>
  <c r="BD187" i="7"/>
  <c r="CM210" i="7"/>
  <c r="CM211" i="7"/>
  <c r="CN209" i="7"/>
  <c r="AB13" i="14"/>
  <c r="CE317" i="7"/>
  <c r="CF313" i="7"/>
  <c r="CF315" i="7"/>
  <c r="CE316" i="7"/>
  <c r="CE318" i="7"/>
  <c r="BH189" i="7"/>
  <c r="BH191" i="7"/>
  <c r="BD189" i="7"/>
  <c r="BD191" i="7"/>
  <c r="BE189" i="7"/>
  <c r="BE191" i="7"/>
  <c r="BF189" i="7"/>
  <c r="BF191" i="7"/>
  <c r="BG189" i="7"/>
  <c r="BG191" i="7"/>
  <c r="BX154" i="7"/>
  <c r="BV162" i="7"/>
  <c r="AZ189" i="7"/>
  <c r="AZ191" i="7"/>
  <c r="AY192" i="7"/>
  <c r="BV69" i="56"/>
  <c r="CA97" i="56" s="1"/>
  <c r="AL39" i="33" s="1"/>
  <c r="BV99" i="56"/>
  <c r="BW73" i="56"/>
  <c r="BP290" i="7"/>
  <c r="BO221" i="7"/>
  <c r="CI135" i="7"/>
  <c r="CI137" i="7"/>
  <c r="CF242" i="7"/>
  <c r="CF244" i="7"/>
  <c r="AN351" i="7"/>
  <c r="AS349" i="7"/>
  <c r="AM352" i="7"/>
  <c r="AN352" i="7"/>
  <c r="AO349" i="7"/>
  <c r="AO351" i="7"/>
  <c r="CM167" i="7"/>
  <c r="CK328" i="7"/>
  <c r="CM322" i="7"/>
  <c r="BE12" i="5"/>
  <c r="BV160" i="7"/>
  <c r="BX156" i="7"/>
  <c r="BX176" i="7"/>
  <c r="BV184" i="7"/>
  <c r="CN270" i="7"/>
  <c r="BO226" i="7"/>
  <c r="BO225" i="7"/>
  <c r="BD208" i="7"/>
  <c r="AL341" i="7"/>
  <c r="AL343" i="7"/>
  <c r="AK345" i="7"/>
  <c r="AK101" i="7"/>
  <c r="AD352" i="7"/>
  <c r="CH272" i="7"/>
  <c r="CH274" i="7"/>
  <c r="CF276" i="7"/>
  <c r="CF275" i="7"/>
  <c r="CF277" i="7"/>
  <c r="BL132" i="7"/>
  <c r="AL359" i="7"/>
  <c r="AM356" i="7"/>
  <c r="AM358" i="7"/>
  <c r="AM359" i="7"/>
  <c r="AU192" i="7"/>
  <c r="AV189" i="7"/>
  <c r="AV191" i="7"/>
  <c r="AG345" i="7"/>
  <c r="AH341" i="7"/>
  <c r="AH343" i="7"/>
  <c r="AG344" i="7"/>
  <c r="P13" i="14"/>
  <c r="BD282" i="7"/>
  <c r="BD284" i="7"/>
  <c r="BE282" i="7"/>
  <c r="BE284" i="7"/>
  <c r="BF282" i="7"/>
  <c r="BF284" i="7"/>
  <c r="BG282" i="7"/>
  <c r="BG284" i="7"/>
  <c r="BH282" i="7"/>
  <c r="BH284" i="7"/>
  <c r="W23" i="7"/>
  <c r="W26" i="7"/>
  <c r="W51" i="7"/>
  <c r="BZ352" i="7"/>
  <c r="CA348" i="7"/>
  <c r="BV155" i="7"/>
  <c r="BU161" i="7"/>
  <c r="BV145" i="7"/>
  <c r="BU149" i="7"/>
  <c r="BU151" i="7"/>
  <c r="BP251" i="7"/>
  <c r="BP252" i="7"/>
  <c r="BU35" i="57"/>
  <c r="CC109" i="56"/>
  <c r="CL17" i="56"/>
  <c r="CL186" i="56" s="1"/>
  <c r="BN118" i="7"/>
  <c r="BN117" i="7"/>
  <c r="BO117" i="7"/>
  <c r="BP117" i="7"/>
  <c r="BR112" i="56"/>
  <c r="BR106" i="56"/>
  <c r="BR114" i="56"/>
  <c r="BR103" i="56"/>
  <c r="BN149" i="7"/>
  <c r="BN151" i="7"/>
  <c r="BN150" i="7"/>
  <c r="BO146" i="7"/>
  <c r="BO148" i="7"/>
  <c r="BJ53" i="66"/>
  <c r="CM122" i="56"/>
  <c r="BC119" i="56"/>
  <c r="CO199" i="7"/>
  <c r="BC128" i="56"/>
  <c r="BD119" i="56"/>
  <c r="AY120" i="56"/>
  <c r="AY128" i="56"/>
  <c r="AY119" i="56"/>
  <c r="AZ120" i="56"/>
  <c r="BC108" i="56"/>
  <c r="BC110" i="56"/>
  <c r="BC10" i="14"/>
  <c r="BC106" i="56"/>
  <c r="BC112" i="56"/>
  <c r="BH103" i="56"/>
  <c r="BC109" i="56"/>
  <c r="BC114" i="56"/>
  <c r="BC103" i="56"/>
  <c r="BC111" i="56"/>
  <c r="AY11" i="14"/>
  <c r="BZ133" i="7"/>
  <c r="BY139" i="7"/>
  <c r="AG42" i="7"/>
  <c r="AG41" i="7"/>
  <c r="AH38" i="7"/>
  <c r="AH40" i="7"/>
  <c r="AI98" i="7"/>
  <c r="AK42" i="7"/>
  <c r="AK41" i="7"/>
  <c r="AK43" i="7"/>
  <c r="AL38" i="7"/>
  <c r="AL40" i="7"/>
  <c r="BE86" i="7"/>
  <c r="BF82" i="7"/>
  <c r="BF84" i="7"/>
  <c r="BE85" i="7"/>
  <c r="BE87" i="7"/>
  <c r="BF81" i="7"/>
  <c r="AL48" i="7"/>
  <c r="AK52" i="7"/>
  <c r="AK54" i="7"/>
  <c r="BY115" i="7"/>
  <c r="BX119" i="7"/>
  <c r="BX121" i="7"/>
  <c r="BR110" i="56"/>
  <c r="AI345" i="7"/>
  <c r="BN157" i="7"/>
  <c r="BL160" i="7"/>
  <c r="BL162" i="7"/>
  <c r="BL161" i="7"/>
  <c r="BX184" i="7"/>
  <c r="BY176" i="7"/>
  <c r="AP349" i="7"/>
  <c r="AP351" i="7"/>
  <c r="AO352" i="7"/>
  <c r="CH359" i="7"/>
  <c r="CH17" i="7"/>
  <c r="CI356" i="7"/>
  <c r="CI358" i="7"/>
  <c r="BY231" i="7"/>
  <c r="BZ227" i="7"/>
  <c r="CI143" i="7"/>
  <c r="CK306" i="7"/>
  <c r="CM300" i="7"/>
  <c r="CN259" i="7"/>
  <c r="CA99" i="56"/>
  <c r="CA76" i="56"/>
  <c r="CA109" i="56"/>
  <c r="CB73" i="56"/>
  <c r="CB109" i="56" s="1"/>
  <c r="CJ312" i="7"/>
  <c r="BP288" i="7"/>
  <c r="BO116" i="7"/>
  <c r="BO118" i="7"/>
  <c r="BN119" i="7"/>
  <c r="BN121" i="7"/>
  <c r="BQ250" i="7"/>
  <c r="BP254" i="7"/>
  <c r="BP253" i="7"/>
  <c r="BP255" i="7"/>
  <c r="CI272" i="7"/>
  <c r="CI274" i="7"/>
  <c r="CH276" i="7"/>
  <c r="CH275" i="7"/>
  <c r="CH277" i="7"/>
  <c r="AL345" i="7"/>
  <c r="AM341" i="7"/>
  <c r="AM343" i="7"/>
  <c r="BP225" i="7"/>
  <c r="CJ135" i="7"/>
  <c r="CJ137" i="7"/>
  <c r="BM189" i="7"/>
  <c r="BI189" i="7"/>
  <c r="BI191" i="7"/>
  <c r="BJ189" i="7"/>
  <c r="CA5" i="57"/>
  <c r="CP311" i="7"/>
  <c r="AI103" i="7"/>
  <c r="AE103" i="7"/>
  <c r="AY44" i="59"/>
  <c r="BM125" i="56"/>
  <c r="BN126" i="56"/>
  <c r="AE333" i="7"/>
  <c r="AE335" i="7"/>
  <c r="AI333" i="7"/>
  <c r="BT35" i="7"/>
  <c r="AT37" i="7"/>
  <c r="CM260" i="7"/>
  <c r="CA201" i="7"/>
  <c r="CA203" i="7"/>
  <c r="CC197" i="7"/>
  <c r="AM340" i="7"/>
  <c r="AL344" i="7"/>
  <c r="BG79" i="7"/>
  <c r="CC198" i="7"/>
  <c r="CC200" i="7"/>
  <c r="CA202" i="7"/>
  <c r="AP345" i="7"/>
  <c r="AQ341" i="7"/>
  <c r="AQ343" i="7"/>
  <c r="CI258" i="7"/>
  <c r="CB28" i="57"/>
  <c r="CN73" i="56" s="1"/>
  <c r="BL229" i="7"/>
  <c r="BL230" i="7"/>
  <c r="BO359" i="7"/>
  <c r="BP356" i="7"/>
  <c r="BP357" i="7"/>
  <c r="CJ238" i="7"/>
  <c r="BO149" i="7"/>
  <c r="BO151" i="7"/>
  <c r="BP146" i="7"/>
  <c r="BO150" i="7"/>
  <c r="BE285" i="7"/>
  <c r="BF280" i="7"/>
  <c r="BP114" i="7"/>
  <c r="BO120" i="7"/>
  <c r="BA209" i="7"/>
  <c r="BA211" i="7"/>
  <c r="AZ213" i="7"/>
  <c r="AZ212" i="7"/>
  <c r="AZ214" i="7"/>
  <c r="BZ134" i="7"/>
  <c r="BY138" i="7"/>
  <c r="AW282" i="7"/>
  <c r="AW284" i="7"/>
  <c r="AW285" i="7"/>
  <c r="AV285" i="7"/>
  <c r="CI305" i="7"/>
  <c r="CI307" i="7"/>
  <c r="CJ301" i="7"/>
  <c r="BV161" i="7"/>
  <c r="BX155" i="7"/>
  <c r="W53" i="7"/>
  <c r="X49" i="7"/>
  <c r="AH345" i="7"/>
  <c r="AH344" i="7"/>
  <c r="AW189" i="7"/>
  <c r="AW191" i="7"/>
  <c r="AW192" i="7"/>
  <c r="AV192" i="7"/>
  <c r="AX192" i="7"/>
  <c r="BN132" i="7"/>
  <c r="BS13" i="14"/>
  <c r="BX15" i="14" s="1"/>
  <c r="BE208" i="7"/>
  <c r="BP219" i="7"/>
  <c r="BO222" i="7"/>
  <c r="BV76" i="56"/>
  <c r="BA189" i="7"/>
  <c r="BA191" i="7"/>
  <c r="AZ192" i="7"/>
  <c r="CH313" i="7"/>
  <c r="CH315" i="7"/>
  <c r="CF317" i="7"/>
  <c r="CF316" i="7"/>
  <c r="CF318" i="7"/>
  <c r="CI269" i="7"/>
  <c r="BK206" i="7"/>
  <c r="CI261" i="7"/>
  <c r="CI263" i="7"/>
  <c r="CH265" i="7"/>
  <c r="CH264" i="7"/>
  <c r="CH266" i="7"/>
  <c r="BA282" i="7"/>
  <c r="BA284" i="7"/>
  <c r="AZ285" i="7"/>
  <c r="BN120" i="7"/>
  <c r="CF196" i="7"/>
  <c r="BL292" i="7"/>
  <c r="BL293" i="7"/>
  <c r="BD95" i="7"/>
  <c r="BD97" i="7"/>
  <c r="CI239" i="7"/>
  <c r="CI241" i="7"/>
  <c r="CH243" i="7"/>
  <c r="BP34" i="57"/>
  <c r="BP28" i="57"/>
  <c r="CN323" i="7"/>
  <c r="CM327" i="7"/>
  <c r="BG129" i="7"/>
  <c r="BH129" i="7"/>
  <c r="BI124" i="7"/>
  <c r="BJ124" i="7"/>
  <c r="CP236" i="7"/>
  <c r="BJ69" i="7"/>
  <c r="BK69" i="7"/>
  <c r="AV102" i="7"/>
  <c r="CE250" i="7"/>
  <c r="CE252" i="7"/>
  <c r="CD253" i="7"/>
  <c r="CH242" i="7"/>
  <c r="CH244" i="7"/>
  <c r="BY156" i="7"/>
  <c r="BX160" i="7"/>
  <c r="CN167" i="7"/>
  <c r="BQ290" i="7"/>
  <c r="BX162" i="7"/>
  <c r="BY154" i="7"/>
  <c r="CN210" i="7"/>
  <c r="CK195" i="7"/>
  <c r="CJ299" i="7"/>
  <c r="AT345" i="7"/>
  <c r="AU341" i="7"/>
  <c r="AU343" i="7"/>
  <c r="CA113" i="7"/>
  <c r="BL70" i="7"/>
  <c r="BM111" i="56"/>
  <c r="BM110" i="56"/>
  <c r="BQ207" i="7"/>
  <c r="CN39" i="56"/>
  <c r="CN17" i="56"/>
  <c r="CM17" i="56"/>
  <c r="CR17" i="56"/>
  <c r="BX68" i="7"/>
  <c r="AU348" i="7"/>
  <c r="AZ74" i="7"/>
  <c r="AZ76" i="7"/>
  <c r="AZ75" i="7"/>
  <c r="BA71" i="7"/>
  <c r="BA73" i="7"/>
  <c r="BN127" i="7"/>
  <c r="BN128" i="7"/>
  <c r="BO126" i="7"/>
  <c r="BV149" i="7"/>
  <c r="BV151" i="7"/>
  <c r="BX145" i="7"/>
  <c r="CA352" i="7"/>
  <c r="CB352" i="7"/>
  <c r="CC348" i="7"/>
  <c r="BM282" i="7"/>
  <c r="BI282" i="7"/>
  <c r="BI284" i="7"/>
  <c r="BJ282" i="7"/>
  <c r="BP226" i="7"/>
  <c r="CO270" i="7"/>
  <c r="CN322" i="7"/>
  <c r="CM328" i="7"/>
  <c r="BE187" i="7"/>
  <c r="BD192" i="7"/>
  <c r="BL180" i="7"/>
  <c r="BL181" i="7"/>
  <c r="CA116" i="7"/>
  <c r="CA118" i="7"/>
  <c r="BS289" i="7"/>
  <c r="CA80" i="7"/>
  <c r="CK271" i="7"/>
  <c r="BD285" i="7"/>
  <c r="CO310" i="7"/>
  <c r="CA178" i="7"/>
  <c r="BZ182" i="7"/>
  <c r="BY217" i="7"/>
  <c r="AC105" i="7"/>
  <c r="AC106" i="7"/>
  <c r="AD106" i="7"/>
  <c r="AY27" i="14"/>
  <c r="AY28" i="14" s="1"/>
  <c r="AY37" i="56"/>
  <c r="BC16" i="56"/>
  <c r="AQ53" i="7"/>
  <c r="AR49" i="7"/>
  <c r="BY247" i="7"/>
  <c r="BX255" i="7"/>
  <c r="AY341" i="7"/>
  <c r="AY343" i="7"/>
  <c r="BC341" i="7"/>
  <c r="BC343" i="7"/>
  <c r="BT5" i="57"/>
  <c r="BU5" i="57"/>
  <c r="BT28" i="57"/>
  <c r="CF73" i="56"/>
  <c r="BU27" i="57"/>
  <c r="AA335" i="7"/>
  <c r="BK1" i="5"/>
  <c r="V1" i="33"/>
  <c r="BK1" i="56"/>
  <c r="BK1" i="59"/>
  <c r="BZ248" i="7"/>
  <c r="BY254" i="7"/>
  <c r="BT53" i="7"/>
  <c r="BU49" i="7"/>
  <c r="BU51" i="7"/>
  <c r="BL136" i="7"/>
  <c r="BL137" i="7"/>
  <c r="CC173" i="7"/>
  <c r="CD165" i="7"/>
  <c r="BS177" i="7"/>
  <c r="BT177" i="7"/>
  <c r="BU177" i="7"/>
  <c r="AO93" i="7"/>
  <c r="AO98" i="7"/>
  <c r="AO101" i="7"/>
  <c r="BS126" i="56"/>
  <c r="BR125" i="56"/>
  <c r="CH249" i="7"/>
  <c r="BZ35" i="57"/>
  <c r="BX144" i="7"/>
  <c r="BV150" i="7"/>
  <c r="CK321" i="7"/>
  <c r="CJ329" i="7"/>
  <c r="CJ172" i="7"/>
  <c r="CK168" i="7"/>
  <c r="CK170" i="7"/>
  <c r="CJ171" i="7"/>
  <c r="CP199" i="7"/>
  <c r="BG82" i="7"/>
  <c r="BG84" i="7"/>
  <c r="BF86" i="7"/>
  <c r="AM48" i="7"/>
  <c r="AL52" i="7"/>
  <c r="AL54" i="7"/>
  <c r="BG81" i="7"/>
  <c r="BF85" i="7"/>
  <c r="BF87" i="7"/>
  <c r="AL41" i="7"/>
  <c r="AL43" i="7"/>
  <c r="AM38" i="7"/>
  <c r="AM40" i="7"/>
  <c r="AL42" i="7"/>
  <c r="AH42" i="7"/>
  <c r="AI42" i="7"/>
  <c r="AH41" i="7"/>
  <c r="AH43" i="7"/>
  <c r="CA133" i="7"/>
  <c r="BZ139" i="7"/>
  <c r="BZ115" i="7"/>
  <c r="BY119" i="7"/>
  <c r="BY121" i="7"/>
  <c r="AG43" i="7"/>
  <c r="BC192" i="7"/>
  <c r="BN135" i="7"/>
  <c r="BN137" i="7"/>
  <c r="BL139" i="7"/>
  <c r="BL138" i="7"/>
  <c r="BL140" i="7"/>
  <c r="BN179" i="7"/>
  <c r="BL182" i="7"/>
  <c r="BL184" i="7"/>
  <c r="BL183" i="7"/>
  <c r="BN228" i="7"/>
  <c r="BL231" i="7"/>
  <c r="BL233" i="7"/>
  <c r="BL232" i="7"/>
  <c r="BU34" i="57"/>
  <c r="BU28" i="57"/>
  <c r="BO127" i="7"/>
  <c r="BO128" i="7"/>
  <c r="BP126" i="7"/>
  <c r="BY68" i="7"/>
  <c r="BN291" i="7"/>
  <c r="BN293" i="7"/>
  <c r="BL295" i="7"/>
  <c r="BL294" i="7"/>
  <c r="BL296" i="7"/>
  <c r="BL206" i="7"/>
  <c r="BP147" i="7"/>
  <c r="BQ147" i="7"/>
  <c r="BS147" i="7"/>
  <c r="CK238" i="7"/>
  <c r="CJ356" i="7"/>
  <c r="CJ358" i="7"/>
  <c r="CI359" i="7"/>
  <c r="CM168" i="7"/>
  <c r="CM170" i="7"/>
  <c r="CK172" i="7"/>
  <c r="CK171" i="7"/>
  <c r="BY255" i="7"/>
  <c r="BZ247" i="7"/>
  <c r="BZ217" i="7"/>
  <c r="CP310" i="7"/>
  <c r="CC116" i="7"/>
  <c r="CC118" i="7"/>
  <c r="BF187" i="7"/>
  <c r="BE192" i="7"/>
  <c r="CN328" i="7"/>
  <c r="CO322" i="7"/>
  <c r="BJ283" i="7"/>
  <c r="BJ284" i="7"/>
  <c r="BK282" i="7"/>
  <c r="BB71" i="7"/>
  <c r="BB73" i="7"/>
  <c r="BA74" i="7"/>
  <c r="BA76" i="7"/>
  <c r="BA75" i="7"/>
  <c r="AV348" i="7"/>
  <c r="CM186" i="56"/>
  <c r="CM21" i="59"/>
  <c r="CC113" i="7"/>
  <c r="CK299" i="7"/>
  <c r="BZ154" i="7"/>
  <c r="CO167" i="7"/>
  <c r="BF208" i="7"/>
  <c r="AQ345" i="7"/>
  <c r="AR341" i="7"/>
  <c r="AR343" i="7"/>
  <c r="AR345" i="7"/>
  <c r="AU37" i="7"/>
  <c r="CK135" i="7"/>
  <c r="CK137" i="7"/>
  <c r="BQ225" i="7"/>
  <c r="BQ251" i="7"/>
  <c r="BQ252" i="7"/>
  <c r="BO119" i="7"/>
  <c r="BO121" i="7"/>
  <c r="BP116" i="7"/>
  <c r="BP118" i="7"/>
  <c r="BQ288" i="7"/>
  <c r="CK312" i="7"/>
  <c r="CJ143" i="7"/>
  <c r="BZ231" i="7"/>
  <c r="CA227" i="7"/>
  <c r="BN158" i="7"/>
  <c r="BN159" i="7"/>
  <c r="BZ254" i="7"/>
  <c r="CA248" i="7"/>
  <c r="BH341" i="7"/>
  <c r="BH343" i="7"/>
  <c r="BD341" i="7"/>
  <c r="BD343" i="7"/>
  <c r="BT289" i="7"/>
  <c r="BS290" i="7"/>
  <c r="BY160" i="7"/>
  <c r="BY162" i="7"/>
  <c r="BZ156" i="7"/>
  <c r="BP220" i="7"/>
  <c r="BF285" i="7"/>
  <c r="BG280" i="7"/>
  <c r="AE104" i="7"/>
  <c r="AE105" i="7"/>
  <c r="AM345" i="7"/>
  <c r="BY144" i="7"/>
  <c r="BX150" i="7"/>
  <c r="CI249" i="7"/>
  <c r="BV177" i="7"/>
  <c r="BU183" i="7"/>
  <c r="BV49" i="7"/>
  <c r="BU53" i="7"/>
  <c r="AA336" i="7"/>
  <c r="AB333" i="7"/>
  <c r="AB335" i="7"/>
  <c r="CD27" i="57"/>
  <c r="CI27" i="57" s="1"/>
  <c r="BZ5" i="57"/>
  <c r="BZ27" i="57"/>
  <c r="BZ28" i="57" s="1"/>
  <c r="AR51" i="7"/>
  <c r="AT49" i="7"/>
  <c r="AT51" i="7"/>
  <c r="CC80" i="7"/>
  <c r="CP270" i="7"/>
  <c r="CO17" i="56"/>
  <c r="CT17" i="56" s="1"/>
  <c r="CY17" i="56" s="1"/>
  <c r="CO210" i="7"/>
  <c r="CF250" i="7"/>
  <c r="CE253" i="7"/>
  <c r="AW102" i="7"/>
  <c r="BJ129" i="7"/>
  <c r="BK124" i="7"/>
  <c r="CJ239" i="7"/>
  <c r="CJ241" i="7"/>
  <c r="CJ242" i="7"/>
  <c r="CJ244" i="7"/>
  <c r="CI243" i="7"/>
  <c r="BE95" i="7"/>
  <c r="BE97" i="7"/>
  <c r="CH196" i="7"/>
  <c r="CH317" i="7"/>
  <c r="CI313" i="7"/>
  <c r="CI315" i="7"/>
  <c r="CH316" i="7"/>
  <c r="CH318" i="7"/>
  <c r="BO132" i="7"/>
  <c r="CJ305" i="7"/>
  <c r="CJ307" i="7"/>
  <c r="CK301" i="7"/>
  <c r="BA213" i="7"/>
  <c r="BB209" i="7"/>
  <c r="BB211" i="7"/>
  <c r="BA212" i="7"/>
  <c r="BA214" i="7"/>
  <c r="BP120" i="7"/>
  <c r="BQ114" i="7"/>
  <c r="BP358" i="7"/>
  <c r="BQ357" i="7"/>
  <c r="AP93" i="7"/>
  <c r="AP98" i="7"/>
  <c r="AP101" i="7"/>
  <c r="CD198" i="7"/>
  <c r="CD200" i="7"/>
  <c r="CC202" i="7"/>
  <c r="BI79" i="7"/>
  <c r="CH18" i="5"/>
  <c r="BJ190" i="7"/>
  <c r="BJ191" i="7"/>
  <c r="BK189" i="7"/>
  <c r="CM306" i="7"/>
  <c r="CN300" i="7"/>
  <c r="AQ349" i="7"/>
  <c r="AQ351" i="7"/>
  <c r="AP352" i="7"/>
  <c r="CN211" i="7"/>
  <c r="CO209" i="7"/>
  <c r="CO211" i="7"/>
  <c r="CP209" i="7"/>
  <c r="CC352" i="7"/>
  <c r="CD348" i="7"/>
  <c r="AU345" i="7"/>
  <c r="AV341" i="7"/>
  <c r="AV343" i="7"/>
  <c r="BL69" i="7"/>
  <c r="CO323" i="7"/>
  <c r="CN327" i="7"/>
  <c r="CJ261" i="7"/>
  <c r="CJ263" i="7"/>
  <c r="CI265" i="7"/>
  <c r="CI264" i="7"/>
  <c r="BV118" i="56"/>
  <c r="BX120" i="56" s="1"/>
  <c r="BZ138" i="7"/>
  <c r="CA134" i="7"/>
  <c r="AM344" i="7"/>
  <c r="AO340" i="7"/>
  <c r="CJ272" i="7"/>
  <c r="CJ274" i="7"/>
  <c r="CI276" i="7"/>
  <c r="CI275" i="7"/>
  <c r="CI277" i="7"/>
  <c r="BZ176" i="7"/>
  <c r="BY184" i="7"/>
  <c r="CM321" i="7"/>
  <c r="CK329" i="7"/>
  <c r="CE165" i="7"/>
  <c r="CD173" i="7"/>
  <c r="AY345" i="7"/>
  <c r="AZ341" i="7"/>
  <c r="AZ343" i="7"/>
  <c r="BC37" i="56"/>
  <c r="BC27" i="14"/>
  <c r="BC28" i="14" s="1"/>
  <c r="CC178" i="7"/>
  <c r="CA182" i="7"/>
  <c r="CM271" i="7"/>
  <c r="BQ226" i="7"/>
  <c r="BY145" i="7"/>
  <c r="BX149" i="7"/>
  <c r="BX151" i="7"/>
  <c r="BS207" i="7"/>
  <c r="AT93" i="7"/>
  <c r="AT98" i="7"/>
  <c r="AT101" i="7"/>
  <c r="CM195" i="7"/>
  <c r="BB282" i="7"/>
  <c r="BB284" i="7"/>
  <c r="BB285" i="7"/>
  <c r="BA285" i="7"/>
  <c r="BC285" i="7"/>
  <c r="CJ269" i="7"/>
  <c r="BB189" i="7"/>
  <c r="BB191" i="7"/>
  <c r="BB192" i="7"/>
  <c r="BA192" i="7"/>
  <c r="X51" i="7"/>
  <c r="X23" i="7"/>
  <c r="BY155" i="7"/>
  <c r="BX161" i="7"/>
  <c r="AX285" i="7"/>
  <c r="CI242" i="7"/>
  <c r="CI244" i="7"/>
  <c r="CJ258" i="7"/>
  <c r="CI266" i="7"/>
  <c r="CD197" i="7"/>
  <c r="CC201" i="7"/>
  <c r="CC203" i="7"/>
  <c r="CN260" i="7"/>
  <c r="BU35" i="7"/>
  <c r="AE336" i="7"/>
  <c r="AF333" i="7"/>
  <c r="AF335" i="7"/>
  <c r="AY72" i="59"/>
  <c r="AL101" i="7"/>
  <c r="AL93" i="7"/>
  <c r="AL98" i="7"/>
  <c r="CO259" i="7"/>
  <c r="CA115" i="7"/>
  <c r="BZ119" i="7"/>
  <c r="BZ121" i="7"/>
  <c r="AO48" i="7"/>
  <c r="AM52" i="7"/>
  <c r="AM54" i="7"/>
  <c r="BI81" i="7"/>
  <c r="BG85" i="7"/>
  <c r="BG87" i="7"/>
  <c r="CC133" i="7"/>
  <c r="CA139" i="7"/>
  <c r="AO38" i="7"/>
  <c r="AO40" i="7"/>
  <c r="AM42" i="7"/>
  <c r="AN42" i="7"/>
  <c r="AM41" i="7"/>
  <c r="AM43" i="7"/>
  <c r="BI82" i="7"/>
  <c r="BI84" i="7"/>
  <c r="BG86" i="7"/>
  <c r="BQ254" i="7"/>
  <c r="BS250" i="7"/>
  <c r="BQ253" i="7"/>
  <c r="BQ255" i="7"/>
  <c r="BP127" i="7"/>
  <c r="BP128" i="7"/>
  <c r="BQ126" i="7"/>
  <c r="BK191" i="7"/>
  <c r="BL189" i="7"/>
  <c r="BK190" i="7"/>
  <c r="CK258" i="7"/>
  <c r="BZ184" i="7"/>
  <c r="CA176" i="7"/>
  <c r="CE348" i="7"/>
  <c r="CD352" i="7"/>
  <c r="BS357" i="7"/>
  <c r="BB213" i="7"/>
  <c r="BD209" i="7"/>
  <c r="BD211" i="7"/>
  <c r="BB212" i="7"/>
  <c r="BB214" i="7"/>
  <c r="AB336" i="7"/>
  <c r="AD336" i="7"/>
  <c r="AC333" i="7"/>
  <c r="AC335" i="7"/>
  <c r="AC336" i="7"/>
  <c r="BE341" i="7"/>
  <c r="BE343" i="7"/>
  <c r="BD345" i="7"/>
  <c r="CK269" i="7"/>
  <c r="BS226" i="7"/>
  <c r="AZ345" i="7"/>
  <c r="BA341" i="7"/>
  <c r="BA343" i="7"/>
  <c r="CG71" i="56"/>
  <c r="BN69" i="7"/>
  <c r="AV345" i="7"/>
  <c r="AW341" i="7"/>
  <c r="AW343" i="7"/>
  <c r="AW345" i="7"/>
  <c r="CE198" i="7"/>
  <c r="CE200" i="7"/>
  <c r="CD202" i="7"/>
  <c r="CM301" i="7"/>
  <c r="CK305" i="7"/>
  <c r="CK307" i="7"/>
  <c r="BP132" i="7"/>
  <c r="CI317" i="7"/>
  <c r="CJ313" i="7"/>
  <c r="CJ315" i="7"/>
  <c r="CI316" i="7"/>
  <c r="CI318" i="7"/>
  <c r="CI196" i="7"/>
  <c r="BK129" i="7"/>
  <c r="BL124" i="7"/>
  <c r="CP210" i="7"/>
  <c r="CI41" i="14"/>
  <c r="AU49" i="7"/>
  <c r="AU51" i="7"/>
  <c r="AT53" i="7"/>
  <c r="BY150" i="7"/>
  <c r="BZ144" i="7"/>
  <c r="AF103" i="7"/>
  <c r="AF105" i="7"/>
  <c r="AE106" i="7"/>
  <c r="BZ160" i="7"/>
  <c r="CA156" i="7"/>
  <c r="CC248" i="7"/>
  <c r="CA254" i="7"/>
  <c r="BS288" i="7"/>
  <c r="CM135" i="7"/>
  <c r="CM137" i="7"/>
  <c r="AR101" i="7"/>
  <c r="AR93" i="7"/>
  <c r="AR98" i="7"/>
  <c r="BZ162" i="7"/>
  <c r="CA154" i="7"/>
  <c r="CD113" i="7"/>
  <c r="CM46" i="59"/>
  <c r="BG187" i="7"/>
  <c r="BF192" i="7"/>
  <c r="CA247" i="7"/>
  <c r="BZ255" i="7"/>
  <c r="BP148" i="7"/>
  <c r="AF336" i="7"/>
  <c r="AG333" i="7"/>
  <c r="AG335" i="7"/>
  <c r="CM329" i="7"/>
  <c r="CN321" i="7"/>
  <c r="BJ79" i="7"/>
  <c r="CJ249" i="7"/>
  <c r="CK143" i="7"/>
  <c r="CM312" i="7"/>
  <c r="BS225" i="7"/>
  <c r="AV37" i="7"/>
  <c r="CP167" i="7"/>
  <c r="BK283" i="7"/>
  <c r="BK284" i="7"/>
  <c r="BL282" i="7"/>
  <c r="CD116" i="7"/>
  <c r="CD118" i="7"/>
  <c r="BO291" i="7"/>
  <c r="BO293" i="7"/>
  <c r="BN295" i="7"/>
  <c r="BN294" i="7"/>
  <c r="BN296" i="7"/>
  <c r="CP259" i="7"/>
  <c r="BV35" i="7"/>
  <c r="CE197" i="7"/>
  <c r="CD201" i="7"/>
  <c r="CD203" i="7"/>
  <c r="BY161" i="7"/>
  <c r="BZ155" i="7"/>
  <c r="BT207" i="7"/>
  <c r="BZ145" i="7"/>
  <c r="BY149" i="7"/>
  <c r="BY151" i="7"/>
  <c r="CN271" i="7"/>
  <c r="AY101" i="7"/>
  <c r="AY93" i="7"/>
  <c r="AY98" i="7"/>
  <c r="CK272" i="7"/>
  <c r="CK274" i="7"/>
  <c r="CJ276" i="7"/>
  <c r="CJ275" i="7"/>
  <c r="CJ277" i="7"/>
  <c r="AO344" i="7"/>
  <c r="AP340" i="7"/>
  <c r="CH41" i="14"/>
  <c r="CK261" i="7"/>
  <c r="CK263" i="7"/>
  <c r="CJ265" i="7"/>
  <c r="CJ264" i="7"/>
  <c r="CJ266" i="7"/>
  <c r="AU93" i="7"/>
  <c r="AU98" i="7"/>
  <c r="AU101" i="7"/>
  <c r="CP211" i="7"/>
  <c r="BR357" i="7"/>
  <c r="CK239" i="7"/>
  <c r="CK241" i="7"/>
  <c r="CK242" i="7"/>
  <c r="CK244" i="7"/>
  <c r="CJ243" i="7"/>
  <c r="CH250" i="7"/>
  <c r="CH252" i="7"/>
  <c r="CF253" i="7"/>
  <c r="AR53" i="7"/>
  <c r="AS53" i="7"/>
  <c r="CD5" i="57"/>
  <c r="CE5" i="57" s="1"/>
  <c r="CD28" i="57"/>
  <c r="CP73" i="56" s="1"/>
  <c r="BV51" i="7"/>
  <c r="BV53" i="7"/>
  <c r="BW53" i="7"/>
  <c r="BX49" i="7"/>
  <c r="BX51" i="7"/>
  <c r="BP221" i="7"/>
  <c r="BU289" i="7"/>
  <c r="BT295" i="7"/>
  <c r="CC227" i="7"/>
  <c r="CA231" i="7"/>
  <c r="BQ116" i="7"/>
  <c r="BP119" i="7"/>
  <c r="BP121" i="7"/>
  <c r="AQ101" i="7"/>
  <c r="AQ93" i="7"/>
  <c r="AQ98" i="7"/>
  <c r="AS98" i="7"/>
  <c r="AS345" i="7"/>
  <c r="BG208" i="7"/>
  <c r="BB74" i="7"/>
  <c r="BB76" i="7"/>
  <c r="BD71" i="7"/>
  <c r="BD73" i="7"/>
  <c r="BB75" i="7"/>
  <c r="CP322" i="7"/>
  <c r="CP328" i="7"/>
  <c r="CO328" i="7"/>
  <c r="CA217" i="7"/>
  <c r="CM172" i="7"/>
  <c r="CN168" i="7"/>
  <c r="CN170" i="7"/>
  <c r="CM171" i="7"/>
  <c r="BZ68" i="7"/>
  <c r="BN229" i="7"/>
  <c r="BN230" i="7"/>
  <c r="BN180" i="7"/>
  <c r="BN181" i="7"/>
  <c r="BN139" i="7"/>
  <c r="BN138" i="7"/>
  <c r="BN140" i="7"/>
  <c r="BO135" i="7"/>
  <c r="X26" i="7"/>
  <c r="Y23" i="7"/>
  <c r="CN195" i="7"/>
  <c r="BZ34" i="57"/>
  <c r="AM101" i="7"/>
  <c r="AM93" i="7"/>
  <c r="AM98" i="7"/>
  <c r="AN98" i="7"/>
  <c r="AN345" i="7"/>
  <c r="BI280" i="7"/>
  <c r="BJ280" i="7"/>
  <c r="BG285" i="7"/>
  <c r="BH285" i="7"/>
  <c r="BO157" i="7"/>
  <c r="BN160" i="7"/>
  <c r="BN162" i="7"/>
  <c r="BN161" i="7"/>
  <c r="AW348" i="7"/>
  <c r="CO260" i="7"/>
  <c r="X52" i="7"/>
  <c r="X53" i="7"/>
  <c r="CD178" i="7"/>
  <c r="CC182" i="7"/>
  <c r="CF165" i="7"/>
  <c r="CE173" i="7"/>
  <c r="CA138" i="7"/>
  <c r="CC134" i="7"/>
  <c r="CO327" i="7"/>
  <c r="CP323" i="7"/>
  <c r="CP327" i="7"/>
  <c r="AR349" i="7"/>
  <c r="AR351" i="7"/>
  <c r="AQ352" i="7"/>
  <c r="CO300" i="7"/>
  <c r="CN306" i="7"/>
  <c r="CI18" i="5"/>
  <c r="BQ356" i="7"/>
  <c r="BQ358" i="7"/>
  <c r="BP359" i="7"/>
  <c r="BS114" i="7"/>
  <c r="BF95" i="7"/>
  <c r="BF97" i="7"/>
  <c r="AY102" i="7"/>
  <c r="CD80" i="7"/>
  <c r="BX177" i="7"/>
  <c r="BV183" i="7"/>
  <c r="BT290" i="7"/>
  <c r="BS294" i="7"/>
  <c r="BI341" i="7"/>
  <c r="BI343" i="7"/>
  <c r="BM341" i="7"/>
  <c r="BM343" i="7"/>
  <c r="CM299" i="7"/>
  <c r="CM238" i="7"/>
  <c r="BN206" i="7"/>
  <c r="CF110" i="56"/>
  <c r="CD133" i="7"/>
  <c r="CC139" i="7"/>
  <c r="AP48" i="7"/>
  <c r="AO52" i="7"/>
  <c r="AO54" i="7"/>
  <c r="AO42" i="7"/>
  <c r="AO41" i="7"/>
  <c r="AO43" i="7"/>
  <c r="AP38" i="7"/>
  <c r="AP40" i="7"/>
  <c r="BJ81" i="7"/>
  <c r="BI85" i="7"/>
  <c r="BI87" i="7"/>
  <c r="BI86" i="7"/>
  <c r="BJ82" i="7"/>
  <c r="BJ84" i="7"/>
  <c r="CC115" i="7"/>
  <c r="CA119" i="7"/>
  <c r="CA121" i="7"/>
  <c r="BR358" i="7"/>
  <c r="BW356" i="7"/>
  <c r="BQ359" i="7"/>
  <c r="BR359" i="7"/>
  <c r="BS356" i="7"/>
  <c r="BS359" i="7"/>
  <c r="BO228" i="7"/>
  <c r="BN231" i="7"/>
  <c r="BN233" i="7"/>
  <c r="BN232" i="7"/>
  <c r="BL284" i="7"/>
  <c r="BL283" i="7"/>
  <c r="AT349" i="7"/>
  <c r="AT351" i="7"/>
  <c r="AS351" i="7"/>
  <c r="AX349" i="7"/>
  <c r="AR352" i="7"/>
  <c r="AS352" i="7"/>
  <c r="CF128" i="56"/>
  <c r="CF119" i="56"/>
  <c r="CF120" i="56"/>
  <c r="BK280" i="7"/>
  <c r="BJ285" i="7"/>
  <c r="X28" i="7"/>
  <c r="Y26" i="7"/>
  <c r="BU295" i="7"/>
  <c r="BV289" i="7"/>
  <c r="CM272" i="7"/>
  <c r="CM274" i="7"/>
  <c r="CK276" i="7"/>
  <c r="CK275" i="7"/>
  <c r="BZ161" i="7"/>
  <c r="CA155" i="7"/>
  <c r="BP291" i="7"/>
  <c r="BP293" i="7"/>
  <c r="BO295" i="7"/>
  <c r="BO294" i="7"/>
  <c r="BO296" i="7"/>
  <c r="AW37" i="7"/>
  <c r="BK79" i="7"/>
  <c r="AG336" i="7"/>
  <c r="AH333" i="7"/>
  <c r="BQ146" i="7"/>
  <c r="BQ148" i="7"/>
  <c r="BP149" i="7"/>
  <c r="BP151" i="7"/>
  <c r="BP150" i="7"/>
  <c r="CA255" i="7"/>
  <c r="CC247" i="7"/>
  <c r="CA144" i="7"/>
  <c r="BZ150" i="7"/>
  <c r="BT357" i="7"/>
  <c r="BL190" i="7"/>
  <c r="BM190" i="7"/>
  <c r="BM191" i="7"/>
  <c r="BO206" i="7"/>
  <c r="CN299" i="7"/>
  <c r="BT294" i="7"/>
  <c r="BU290" i="7"/>
  <c r="CE80" i="7"/>
  <c r="AY348" i="7"/>
  <c r="CO195" i="7"/>
  <c r="BO137" i="7"/>
  <c r="BO136" i="7"/>
  <c r="CA68" i="7"/>
  <c r="CO168" i="7"/>
  <c r="CO170" i="7"/>
  <c r="CN172" i="7"/>
  <c r="CN171" i="7"/>
  <c r="BX53" i="7"/>
  <c r="BY49" i="7"/>
  <c r="BY51" i="7"/>
  <c r="CI250" i="7"/>
  <c r="CI252" i="7"/>
  <c r="CH253" i="7"/>
  <c r="BU207" i="7"/>
  <c r="BT213" i="7"/>
  <c r="BX35" i="7"/>
  <c r="BH192" i="7"/>
  <c r="CN135" i="7"/>
  <c r="CN137" i="7"/>
  <c r="CC254" i="7"/>
  <c r="CD248" i="7"/>
  <c r="CN301" i="7"/>
  <c r="CM305" i="7"/>
  <c r="CM307" i="7"/>
  <c r="AW101" i="7"/>
  <c r="AW93" i="7"/>
  <c r="AW98" i="7"/>
  <c r="BA345" i="7"/>
  <c r="BB341" i="7"/>
  <c r="BB343" i="7"/>
  <c r="BB345" i="7"/>
  <c r="BD101" i="7"/>
  <c r="BD93" i="7"/>
  <c r="BD98" i="7"/>
  <c r="BD213" i="7"/>
  <c r="BE209" i="7"/>
  <c r="BE211" i="7"/>
  <c r="BD212" i="7"/>
  <c r="BD214" i="7"/>
  <c r="CF348" i="7"/>
  <c r="CE352" i="7"/>
  <c r="BS254" i="7"/>
  <c r="BS251" i="7"/>
  <c r="BG95" i="7"/>
  <c r="CC138" i="7"/>
  <c r="CD134" i="7"/>
  <c r="X54" i="7"/>
  <c r="X361" i="7"/>
  <c r="Y361" i="7"/>
  <c r="BO179" i="7"/>
  <c r="BN182" i="7"/>
  <c r="BN184" i="7"/>
  <c r="BN183" i="7"/>
  <c r="CC217" i="7"/>
  <c r="BD74" i="7"/>
  <c r="BD76" i="7"/>
  <c r="BE71" i="7"/>
  <c r="BE73" i="7"/>
  <c r="BD75" i="7"/>
  <c r="BQ117" i="7"/>
  <c r="BQ118" i="7"/>
  <c r="CM239" i="7"/>
  <c r="CM241" i="7"/>
  <c r="CM242" i="7"/>
  <c r="CM244" i="7"/>
  <c r="CK243" i="7"/>
  <c r="AP344" i="7"/>
  <c r="AQ340" i="7"/>
  <c r="CO271" i="7"/>
  <c r="CN312" i="7"/>
  <c r="CK313" i="7"/>
  <c r="CK315" i="7"/>
  <c r="CJ317" i="7"/>
  <c r="CJ316" i="7"/>
  <c r="CJ318" i="7"/>
  <c r="CF106" i="56"/>
  <c r="CF114" i="56"/>
  <c r="CF108" i="56"/>
  <c r="CF103" i="56"/>
  <c r="CG77" i="56"/>
  <c r="CF112" i="56"/>
  <c r="CF41" i="14"/>
  <c r="BR341" i="7"/>
  <c r="BN341" i="7"/>
  <c r="BN343" i="7"/>
  <c r="BY177" i="7"/>
  <c r="BX183" i="7"/>
  <c r="AZ102" i="7"/>
  <c r="CO306" i="7"/>
  <c r="CP300" i="7"/>
  <c r="CP306" i="7"/>
  <c r="CP260" i="7"/>
  <c r="BO158" i="7"/>
  <c r="BO159" i="7"/>
  <c r="CD227" i="7"/>
  <c r="CC231" i="7"/>
  <c r="CM261" i="7"/>
  <c r="CM263" i="7"/>
  <c r="CK265" i="7"/>
  <c r="CK264" i="7"/>
  <c r="CK266" i="7"/>
  <c r="CE116" i="7"/>
  <c r="CE118" i="7"/>
  <c r="BT225" i="7"/>
  <c r="BS233" i="7"/>
  <c r="CM143" i="7"/>
  <c r="BI187" i="7"/>
  <c r="BJ187" i="7"/>
  <c r="BG192" i="7"/>
  <c r="CE113" i="7"/>
  <c r="CC156" i="7"/>
  <c r="CA160" i="7"/>
  <c r="CJ196" i="7"/>
  <c r="AV101" i="7"/>
  <c r="AV93" i="7"/>
  <c r="AV98" i="7"/>
  <c r="AX98" i="7"/>
  <c r="AX345" i="7"/>
  <c r="CG111" i="56"/>
  <c r="AZ101" i="7"/>
  <c r="AZ93" i="7"/>
  <c r="AZ98" i="7"/>
  <c r="BT226" i="7"/>
  <c r="CM269" i="7"/>
  <c r="CK277" i="7"/>
  <c r="BF341" i="7"/>
  <c r="BF343" i="7"/>
  <c r="BE345" i="7"/>
  <c r="BQ128" i="7"/>
  <c r="BQ127" i="7"/>
  <c r="BR127" i="7"/>
  <c r="BR128" i="7"/>
  <c r="CN238" i="7"/>
  <c r="BM283" i="7"/>
  <c r="BM284" i="7"/>
  <c r="BJ341" i="7"/>
  <c r="BJ343" i="7"/>
  <c r="BI345" i="7"/>
  <c r="BT114" i="7"/>
  <c r="CH165" i="7"/>
  <c r="CF173" i="7"/>
  <c r="CE178" i="7"/>
  <c r="CD182" i="7"/>
  <c r="X17" i="7"/>
  <c r="X19" i="7"/>
  <c r="Y53" i="7"/>
  <c r="BI208" i="7"/>
  <c r="BQ219" i="7"/>
  <c r="BP222" i="7"/>
  <c r="CA145" i="7"/>
  <c r="BZ149" i="7"/>
  <c r="BZ151" i="7"/>
  <c r="CF197" i="7"/>
  <c r="CE201" i="7"/>
  <c r="CE203" i="7"/>
  <c r="CK249" i="7"/>
  <c r="CN329" i="7"/>
  <c r="CO321" i="7"/>
  <c r="CC154" i="7"/>
  <c r="CA162" i="7"/>
  <c r="BT288" i="7"/>
  <c r="BS296" i="7"/>
  <c r="AF106" i="7"/>
  <c r="AG103" i="7"/>
  <c r="AG105" i="7"/>
  <c r="AU53" i="7"/>
  <c r="AV49" i="7"/>
  <c r="AV51" i="7"/>
  <c r="BN124" i="7"/>
  <c r="BL129" i="7"/>
  <c r="BM129" i="7"/>
  <c r="BQ132" i="7"/>
  <c r="CF198" i="7"/>
  <c r="CF200" i="7"/>
  <c r="CE202" i="7"/>
  <c r="BO69" i="7"/>
  <c r="CF111" i="56"/>
  <c r="CA184" i="7"/>
  <c r="CC176" i="7"/>
  <c r="CM258" i="7"/>
  <c r="CF90" i="56"/>
  <c r="CG81" i="56"/>
  <c r="CG110" i="56"/>
  <c r="CD115" i="7"/>
  <c r="CC119" i="7"/>
  <c r="CC121" i="7"/>
  <c r="BK81" i="7"/>
  <c r="BL81" i="7"/>
  <c r="BJ85" i="7"/>
  <c r="BJ87" i="7"/>
  <c r="BK82" i="7"/>
  <c r="BK83" i="7"/>
  <c r="BK84" i="7"/>
  <c r="BK86" i="7"/>
  <c r="BJ86" i="7"/>
  <c r="AP42" i="7"/>
  <c r="AQ38" i="7"/>
  <c r="AQ40" i="7"/>
  <c r="AP41" i="7"/>
  <c r="AP43" i="7"/>
  <c r="AQ48" i="7"/>
  <c r="AP52" i="7"/>
  <c r="AP54" i="7"/>
  <c r="CE133" i="7"/>
  <c r="CD139" i="7"/>
  <c r="BS116" i="7"/>
  <c r="BQ119" i="7"/>
  <c r="BQ121" i="7"/>
  <c r="BQ120" i="7"/>
  <c r="BO161" i="7"/>
  <c r="BP157" i="7"/>
  <c r="BO160" i="7"/>
  <c r="BO162" i="7"/>
  <c r="BL82" i="7"/>
  <c r="BK85" i="7"/>
  <c r="AW49" i="7"/>
  <c r="AV53" i="7"/>
  <c r="CD154" i="7"/>
  <c r="CA149" i="7"/>
  <c r="CA151" i="7"/>
  <c r="CC145" i="7"/>
  <c r="CI165" i="7"/>
  <c r="CH173" i="7"/>
  <c r="BJ345" i="7"/>
  <c r="BK341" i="7"/>
  <c r="BK343" i="7"/>
  <c r="BY35" i="7"/>
  <c r="AZ348" i="7"/>
  <c r="CN258" i="7"/>
  <c r="BN81" i="7"/>
  <c r="CH198" i="7"/>
  <c r="CH200" i="7"/>
  <c r="CF202" i="7"/>
  <c r="BO124" i="7"/>
  <c r="BN129" i="7"/>
  <c r="BU288" i="7"/>
  <c r="BT296" i="7"/>
  <c r="CO329" i="7"/>
  <c r="CP321" i="7"/>
  <c r="CP329" i="7"/>
  <c r="BT120" i="7"/>
  <c r="BU114" i="7"/>
  <c r="CO238" i="7"/>
  <c r="BU226" i="7"/>
  <c r="BT232" i="7"/>
  <c r="BZ177" i="7"/>
  <c r="BY183" i="7"/>
  <c r="CP271" i="7"/>
  <c r="CN239" i="7"/>
  <c r="CN241" i="7"/>
  <c r="CM243" i="7"/>
  <c r="BF71" i="7"/>
  <c r="BF73" i="7"/>
  <c r="BE74" i="7"/>
  <c r="BE76" i="7"/>
  <c r="BE75" i="7"/>
  <c r="BA101" i="7"/>
  <c r="BA93" i="7"/>
  <c r="BA98" i="7"/>
  <c r="BC345" i="7"/>
  <c r="CO301" i="7"/>
  <c r="CN305" i="7"/>
  <c r="CJ250" i="7"/>
  <c r="CJ252" i="7"/>
  <c r="CI253" i="7"/>
  <c r="CF80" i="7"/>
  <c r="BL191" i="7"/>
  <c r="CD247" i="7"/>
  <c r="CC255" i="7"/>
  <c r="BS146" i="7"/>
  <c r="BS150" i="7"/>
  <c r="BQ149" i="7"/>
  <c r="BQ151" i="7"/>
  <c r="BQ150" i="7"/>
  <c r="BK285" i="7"/>
  <c r="BL280" i="7"/>
  <c r="CM249" i="7"/>
  <c r="BQ220" i="7"/>
  <c r="BR220" i="7"/>
  <c r="BR221" i="7"/>
  <c r="CN143" i="7"/>
  <c r="CM313" i="7"/>
  <c r="CM315" i="7"/>
  <c r="CK317" i="7"/>
  <c r="CK316" i="7"/>
  <c r="CK318" i="7"/>
  <c r="BW126" i="7"/>
  <c r="BS126" i="7"/>
  <c r="BS127" i="7"/>
  <c r="BW127" i="7"/>
  <c r="BE213" i="7"/>
  <c r="BF209" i="7"/>
  <c r="BF211" i="7"/>
  <c r="BE212" i="7"/>
  <c r="BE214" i="7"/>
  <c r="CP195" i="7"/>
  <c r="CA150" i="7"/>
  <c r="CC144" i="7"/>
  <c r="CD176" i="7"/>
  <c r="CC184" i="7"/>
  <c r="AG106" i="7"/>
  <c r="AH103" i="7"/>
  <c r="CH197" i="7"/>
  <c r="CF201" i="7"/>
  <c r="CF203" i="7"/>
  <c r="BJ208" i="7"/>
  <c r="CF178" i="7"/>
  <c r="CE182" i="7"/>
  <c r="BE101" i="7"/>
  <c r="BE93" i="7"/>
  <c r="BE98" i="7"/>
  <c r="CK196" i="7"/>
  <c r="CC160" i="7"/>
  <c r="CC162" i="7"/>
  <c r="CD156" i="7"/>
  <c r="BU225" i="7"/>
  <c r="BT233" i="7"/>
  <c r="BN345" i="7"/>
  <c r="BO341" i="7"/>
  <c r="CO312" i="7"/>
  <c r="AQ344" i="7"/>
  <c r="AR340" i="7"/>
  <c r="CE134" i="7"/>
  <c r="CD138" i="7"/>
  <c r="CF352" i="7"/>
  <c r="CG352" i="7"/>
  <c r="CH348" i="7"/>
  <c r="CO135" i="7"/>
  <c r="CO137" i="7"/>
  <c r="BU213" i="7"/>
  <c r="BV207" i="7"/>
  <c r="BY53" i="7"/>
  <c r="BZ49" i="7"/>
  <c r="BZ51" i="7"/>
  <c r="CP168" i="7"/>
  <c r="CP170" i="7"/>
  <c r="CO172" i="7"/>
  <c r="CO171" i="7"/>
  <c r="BP135" i="7"/>
  <c r="BO138" i="7"/>
  <c r="BO140" i="7"/>
  <c r="BO139" i="7"/>
  <c r="BU294" i="7"/>
  <c r="BV290" i="7"/>
  <c r="CN307" i="7"/>
  <c r="CO299" i="7"/>
  <c r="BN189" i="7"/>
  <c r="BR189" i="7"/>
  <c r="AH334" i="7"/>
  <c r="AI334" i="7"/>
  <c r="AI335" i="7"/>
  <c r="AY37" i="7"/>
  <c r="BQ291" i="7"/>
  <c r="BP295" i="7"/>
  <c r="BP294" i="7"/>
  <c r="BP296" i="7"/>
  <c r="AU349" i="7"/>
  <c r="AU351" i="7"/>
  <c r="AT352" i="7"/>
  <c r="BO229" i="7"/>
  <c r="BO230" i="7"/>
  <c r="CF116" i="7"/>
  <c r="CF118" i="7"/>
  <c r="CD217" i="7"/>
  <c r="BB101" i="7"/>
  <c r="BB93" i="7"/>
  <c r="BB98" i="7"/>
  <c r="BL79" i="7"/>
  <c r="BK87" i="7"/>
  <c r="BP69" i="7"/>
  <c r="BS132" i="7"/>
  <c r="BR282" i="7"/>
  <c r="BN282" i="7"/>
  <c r="BN284" i="7"/>
  <c r="BO282" i="7"/>
  <c r="BO284" i="7"/>
  <c r="BP282" i="7"/>
  <c r="BP284" i="7"/>
  <c r="BQ282" i="7"/>
  <c r="BF345" i="7"/>
  <c r="BG341" i="7"/>
  <c r="BG343" i="7"/>
  <c r="CN269" i="7"/>
  <c r="CF113" i="7"/>
  <c r="BK187" i="7"/>
  <c r="BJ192" i="7"/>
  <c r="CN261" i="7"/>
  <c r="CN263" i="7"/>
  <c r="CM265" i="7"/>
  <c r="CM264" i="7"/>
  <c r="CM266" i="7"/>
  <c r="CD231" i="7"/>
  <c r="CE227" i="7"/>
  <c r="BA102" i="7"/>
  <c r="CG106" i="56"/>
  <c r="CG103" i="56"/>
  <c r="CG108" i="56"/>
  <c r="BJ44" i="66"/>
  <c r="CG114" i="56"/>
  <c r="CG41" i="14"/>
  <c r="CG112" i="56"/>
  <c r="BO180" i="7"/>
  <c r="BO181" i="7"/>
  <c r="BH95" i="7"/>
  <c r="BH97" i="7"/>
  <c r="BG97" i="7"/>
  <c r="CD254" i="7"/>
  <c r="CE248" i="7"/>
  <c r="CC68" i="7"/>
  <c r="BP206" i="7"/>
  <c r="BT358" i="7"/>
  <c r="BU357" i="7"/>
  <c r="CA161" i="7"/>
  <c r="CC155" i="7"/>
  <c r="CN272" i="7"/>
  <c r="CN274" i="7"/>
  <c r="CM276" i="7"/>
  <c r="CM275" i="7"/>
  <c r="CM277" i="7"/>
  <c r="BV295" i="7"/>
  <c r="BX289" i="7"/>
  <c r="BC98" i="7"/>
  <c r="AR48" i="7"/>
  <c r="AQ52" i="7"/>
  <c r="AQ54" i="7"/>
  <c r="CF133" i="7"/>
  <c r="CE139" i="7"/>
  <c r="AQ41" i="7"/>
  <c r="AQ43" i="7"/>
  <c r="AQ42" i="7"/>
  <c r="AR38" i="7"/>
  <c r="CE115" i="7"/>
  <c r="CD119" i="7"/>
  <c r="CD121" i="7"/>
  <c r="BP179" i="7"/>
  <c r="BO182" i="7"/>
  <c r="BO184" i="7"/>
  <c r="BO183" i="7"/>
  <c r="BB102" i="7"/>
  <c r="BQ283" i="7"/>
  <c r="BR283" i="7"/>
  <c r="BR284" i="7"/>
  <c r="BQ69" i="7"/>
  <c r="BX207" i="7"/>
  <c r="BV213" i="7"/>
  <c r="BW219" i="7"/>
  <c r="BS219" i="7"/>
  <c r="CE247" i="7"/>
  <c r="CD255" i="7"/>
  <c r="BQ206" i="7"/>
  <c r="BK192" i="7"/>
  <c r="BL187" i="7"/>
  <c r="BG345" i="7"/>
  <c r="BT132" i="7"/>
  <c r="BS140" i="7"/>
  <c r="BQ292" i="7"/>
  <c r="BQ293" i="7"/>
  <c r="AH335" i="7"/>
  <c r="AH336" i="7"/>
  <c r="AI336" i="7"/>
  <c r="BN190" i="7"/>
  <c r="BN191" i="7"/>
  <c r="BO189" i="7"/>
  <c r="BP136" i="7"/>
  <c r="BP137" i="7"/>
  <c r="CA49" i="7"/>
  <c r="BZ53" i="7"/>
  <c r="CI348" i="7"/>
  <c r="CH352" i="7"/>
  <c r="AT340" i="7"/>
  <c r="AR344" i="7"/>
  <c r="AH104" i="7"/>
  <c r="AI104" i="7"/>
  <c r="AI105" i="7"/>
  <c r="CD184" i="7"/>
  <c r="CE176" i="7"/>
  <c r="BG209" i="7"/>
  <c r="BG211" i="7"/>
  <c r="BF213" i="7"/>
  <c r="BF212" i="7"/>
  <c r="BF214" i="7"/>
  <c r="CN313" i="7"/>
  <c r="CN315" i="7"/>
  <c r="CM317" i="7"/>
  <c r="CM316" i="7"/>
  <c r="CM318" i="7"/>
  <c r="CO143" i="7"/>
  <c r="CN249" i="7"/>
  <c r="CO305" i="7"/>
  <c r="CO307" i="7"/>
  <c r="CP301" i="7"/>
  <c r="CP305" i="7"/>
  <c r="BG71" i="7"/>
  <c r="BG73" i="7"/>
  <c r="BF74" i="7"/>
  <c r="BF76" i="7"/>
  <c r="BF75" i="7"/>
  <c r="BZ183" i="7"/>
  <c r="CA177" i="7"/>
  <c r="CI198" i="7"/>
  <c r="CI200" i="7"/>
  <c r="CH202" i="7"/>
  <c r="CO258" i="7"/>
  <c r="BK345" i="7"/>
  <c r="BL341" i="7"/>
  <c r="BL343" i="7"/>
  <c r="CE154" i="7"/>
  <c r="CD162" i="7"/>
  <c r="BP158" i="7"/>
  <c r="BP159" i="7"/>
  <c r="BS117" i="7"/>
  <c r="BS120" i="7"/>
  <c r="BX295" i="7"/>
  <c r="BY289" i="7"/>
  <c r="BT359" i="7"/>
  <c r="BU356" i="7"/>
  <c r="CF227" i="7"/>
  <c r="CE231" i="7"/>
  <c r="CO261" i="7"/>
  <c r="CO263" i="7"/>
  <c r="CN265" i="7"/>
  <c r="CN264" i="7"/>
  <c r="CN266" i="7"/>
  <c r="CH113" i="7"/>
  <c r="BO231" i="7"/>
  <c r="BO233" i="7"/>
  <c r="BP228" i="7"/>
  <c r="BO232" i="7"/>
  <c r="AZ37" i="7"/>
  <c r="BV225" i="7"/>
  <c r="BU233" i="7"/>
  <c r="CO239" i="7"/>
  <c r="CO241" i="7"/>
  <c r="CO242" i="7"/>
  <c r="CO244" i="7"/>
  <c r="CN243" i="7"/>
  <c r="CO272" i="7"/>
  <c r="CO274" i="7"/>
  <c r="CN276" i="7"/>
  <c r="CN275" i="7"/>
  <c r="CN277" i="7"/>
  <c r="BV357" i="7"/>
  <c r="BU358" i="7"/>
  <c r="BU362" i="7"/>
  <c r="BW357" i="7"/>
  <c r="CD68" i="7"/>
  <c r="CF248" i="7"/>
  <c r="CE254" i="7"/>
  <c r="BF101" i="7"/>
  <c r="BF93" i="7"/>
  <c r="BF98" i="7"/>
  <c r="CH116" i="7"/>
  <c r="CH118" i="7"/>
  <c r="AV349" i="7"/>
  <c r="AV351" i="7"/>
  <c r="AU352" i="7"/>
  <c r="CP299" i="7"/>
  <c r="CP307" i="7"/>
  <c r="CP135" i="7"/>
  <c r="CP137" i="7"/>
  <c r="BK208" i="7"/>
  <c r="CD144" i="7"/>
  <c r="CC150" i="7"/>
  <c r="BQ221" i="7"/>
  <c r="BQ222" i="7"/>
  <c r="BR222" i="7"/>
  <c r="CP238" i="7"/>
  <c r="BU120" i="7"/>
  <c r="BV114" i="7"/>
  <c r="BO81" i="7"/>
  <c r="BZ35" i="7"/>
  <c r="AW51" i="7"/>
  <c r="AY49" i="7"/>
  <c r="AY51" i="7"/>
  <c r="BL83" i="7"/>
  <c r="BL84" i="7"/>
  <c r="CD155" i="7"/>
  <c r="CC161" i="7"/>
  <c r="CO269" i="7"/>
  <c r="CM196" i="7"/>
  <c r="CF182" i="7"/>
  <c r="CH178" i="7"/>
  <c r="BL285" i="7"/>
  <c r="BM285" i="7"/>
  <c r="BN280" i="7"/>
  <c r="CK250" i="7"/>
  <c r="CK252" i="7"/>
  <c r="CJ253" i="7"/>
  <c r="BV226" i="7"/>
  <c r="BU232" i="7"/>
  <c r="CN242" i="7"/>
  <c r="CN244" i="7"/>
  <c r="BO129" i="7"/>
  <c r="BP124" i="7"/>
  <c r="CD145" i="7"/>
  <c r="CC149" i="7"/>
  <c r="CC151" i="7"/>
  <c r="BI95" i="7"/>
  <c r="BI97" i="7"/>
  <c r="BN79" i="7"/>
  <c r="CE217" i="7"/>
  <c r="AN333" i="7"/>
  <c r="AN335" i="7"/>
  <c r="AJ333" i="7"/>
  <c r="AJ335" i="7"/>
  <c r="BX290" i="7"/>
  <c r="BV294" i="7"/>
  <c r="CP172" i="7"/>
  <c r="CP171" i="7"/>
  <c r="CF134" i="7"/>
  <c r="CE138" i="7"/>
  <c r="CP312" i="7"/>
  <c r="BO342" i="7"/>
  <c r="BR342" i="7"/>
  <c r="CD160" i="7"/>
  <c r="CE156" i="7"/>
  <c r="CH201" i="7"/>
  <c r="CH203" i="7"/>
  <c r="CI197" i="7"/>
  <c r="BW128" i="7"/>
  <c r="CH80" i="7"/>
  <c r="BV288" i="7"/>
  <c r="BU296" i="7"/>
  <c r="BA348" i="7"/>
  <c r="CI173" i="7"/>
  <c r="CJ165" i="7"/>
  <c r="CF115" i="7"/>
  <c r="CE119" i="7"/>
  <c r="CE121" i="7"/>
  <c r="AT48" i="7"/>
  <c r="AR52" i="7"/>
  <c r="AR54" i="7"/>
  <c r="AT38" i="7"/>
  <c r="AT40" i="7"/>
  <c r="AR40" i="7"/>
  <c r="CH133" i="7"/>
  <c r="CF139" i="7"/>
  <c r="BS291" i="7"/>
  <c r="BQ295" i="7"/>
  <c r="BQ294" i="7"/>
  <c r="BQ296" i="7"/>
  <c r="BS282" i="7"/>
  <c r="BS284" i="7"/>
  <c r="BT282" i="7"/>
  <c r="BT284" i="7"/>
  <c r="BU282" i="7"/>
  <c r="BU284" i="7"/>
  <c r="BV282" i="7"/>
  <c r="BV284" i="7"/>
  <c r="BW282" i="7"/>
  <c r="BW284" i="7"/>
  <c r="BL86" i="7"/>
  <c r="BN82" i="7"/>
  <c r="BN84" i="7"/>
  <c r="BL85" i="7"/>
  <c r="BL87" i="7"/>
  <c r="BP161" i="7"/>
  <c r="BQ157" i="7"/>
  <c r="BP160" i="7"/>
  <c r="BP162" i="7"/>
  <c r="BO190" i="7"/>
  <c r="BO191" i="7"/>
  <c r="BP189" i="7"/>
  <c r="CP272" i="7"/>
  <c r="CP274" i="7"/>
  <c r="CO276" i="7"/>
  <c r="CO275" i="7"/>
  <c r="CO277" i="7"/>
  <c r="BA37" i="7"/>
  <c r="CE184" i="7"/>
  <c r="CF176" i="7"/>
  <c r="BQ135" i="7"/>
  <c r="BP139" i="7"/>
  <c r="BP138" i="7"/>
  <c r="BP140" i="7"/>
  <c r="BX213" i="7"/>
  <c r="BY207" i="7"/>
  <c r="CK165" i="7"/>
  <c r="CJ173" i="7"/>
  <c r="CI80" i="7"/>
  <c r="CJ197" i="7"/>
  <c r="CI201" i="7"/>
  <c r="CI203" i="7"/>
  <c r="BO343" i="7"/>
  <c r="AJ336" i="7"/>
  <c r="AK333" i="7"/>
  <c r="AK335" i="7"/>
  <c r="CD149" i="7"/>
  <c r="CD151" i="7"/>
  <c r="CE145" i="7"/>
  <c r="CM250" i="7"/>
  <c r="CM252" i="7"/>
  <c r="CK253" i="7"/>
  <c r="BX114" i="7"/>
  <c r="BV120" i="7"/>
  <c r="BL208" i="7"/>
  <c r="BY295" i="7"/>
  <c r="BZ289" i="7"/>
  <c r="CJ198" i="7"/>
  <c r="CJ200" i="7"/>
  <c r="CI202" i="7"/>
  <c r="AH105" i="7"/>
  <c r="AH106" i="7"/>
  <c r="AI106" i="7"/>
  <c r="CE255" i="7"/>
  <c r="CF247" i="7"/>
  <c r="BS69" i="7"/>
  <c r="BD102" i="7"/>
  <c r="CE160" i="7"/>
  <c r="CF156" i="7"/>
  <c r="BP129" i="7"/>
  <c r="BQ124" i="7"/>
  <c r="CP269" i="7"/>
  <c r="BV356" i="7"/>
  <c r="BV358" i="7"/>
  <c r="BU359" i="7"/>
  <c r="CP258" i="7"/>
  <c r="CA183" i="7"/>
  <c r="CC177" i="7"/>
  <c r="BX288" i="7"/>
  <c r="BV296" i="7"/>
  <c r="BX126" i="7"/>
  <c r="CB126" i="7"/>
  <c r="BR362" i="7"/>
  <c r="BR343" i="7"/>
  <c r="CH134" i="7"/>
  <c r="CF138" i="7"/>
  <c r="AO333" i="7"/>
  <c r="AO335" i="7"/>
  <c r="AS333" i="7"/>
  <c r="AS335" i="7"/>
  <c r="BO79" i="7"/>
  <c r="BO280" i="7"/>
  <c r="BN285" i="7"/>
  <c r="CD161" i="7"/>
  <c r="CE155" i="7"/>
  <c r="CA35" i="7"/>
  <c r="CD150" i="7"/>
  <c r="CE144" i="7"/>
  <c r="AW349" i="7"/>
  <c r="AW351" i="7"/>
  <c r="AV352" i="7"/>
  <c r="CF254" i="7"/>
  <c r="CH248" i="7"/>
  <c r="BP229" i="7"/>
  <c r="BP230" i="7"/>
  <c r="CH227" i="7"/>
  <c r="CF231" i="7"/>
  <c r="BL345" i="7"/>
  <c r="BM345" i="7"/>
  <c r="CO249" i="7"/>
  <c r="BI209" i="7"/>
  <c r="BI211" i="7"/>
  <c r="BG213" i="7"/>
  <c r="BG212" i="7"/>
  <c r="BG214" i="7"/>
  <c r="AN103" i="7"/>
  <c r="AJ103" i="7"/>
  <c r="AT344" i="7"/>
  <c r="AU340" i="7"/>
  <c r="CA51" i="7"/>
  <c r="CA53" i="7"/>
  <c r="CB53" i="7"/>
  <c r="CC49" i="7"/>
  <c r="CC51" i="7"/>
  <c r="BN362" i="7"/>
  <c r="BG93" i="7"/>
  <c r="BG98" i="7"/>
  <c r="BH98" i="7"/>
  <c r="BG101" i="7"/>
  <c r="BH345" i="7"/>
  <c r="BS220" i="7"/>
  <c r="BW220" i="7"/>
  <c r="BW221" i="7"/>
  <c r="BS222" i="7"/>
  <c r="BW222" i="7"/>
  <c r="BQ284" i="7"/>
  <c r="BX294" i="7"/>
  <c r="BY290" i="7"/>
  <c r="BX226" i="7"/>
  <c r="BV232" i="7"/>
  <c r="CN196" i="7"/>
  <c r="AY53" i="7"/>
  <c r="AZ49" i="7"/>
  <c r="AZ51" i="7"/>
  <c r="CP239" i="7"/>
  <c r="CP241" i="7"/>
  <c r="CP243" i="7"/>
  <c r="CO243" i="7"/>
  <c r="BI71" i="7"/>
  <c r="BI73" i="7"/>
  <c r="BG74" i="7"/>
  <c r="BG76" i="7"/>
  <c r="BG75" i="7"/>
  <c r="CO313" i="7"/>
  <c r="CO315" i="7"/>
  <c r="CN317" i="7"/>
  <c r="CN316" i="7"/>
  <c r="CN318" i="7"/>
  <c r="BN187" i="7"/>
  <c r="BL192" i="7"/>
  <c r="BM192" i="7"/>
  <c r="BS206" i="7"/>
  <c r="BB348" i="7"/>
  <c r="CF217" i="7"/>
  <c r="BJ95" i="7"/>
  <c r="BJ97" i="7"/>
  <c r="CI178" i="7"/>
  <c r="CH182" i="7"/>
  <c r="AW53" i="7"/>
  <c r="AX53" i="7"/>
  <c r="BP81" i="7"/>
  <c r="CI116" i="7"/>
  <c r="CI118" i="7"/>
  <c r="CE68" i="7"/>
  <c r="BX357" i="7"/>
  <c r="BX225" i="7"/>
  <c r="BV233" i="7"/>
  <c r="CI113" i="7"/>
  <c r="CP261" i="7"/>
  <c r="CP263" i="7"/>
  <c r="CO265" i="7"/>
  <c r="CO264" i="7"/>
  <c r="CO266" i="7"/>
  <c r="CF154" i="7"/>
  <c r="CE162" i="7"/>
  <c r="CP143" i="7"/>
  <c r="CJ348" i="7"/>
  <c r="CI352" i="7"/>
  <c r="BU132" i="7"/>
  <c r="BT140" i="7"/>
  <c r="BP181" i="7"/>
  <c r="BP180" i="7"/>
  <c r="AT42" i="7"/>
  <c r="AU38" i="7"/>
  <c r="AU40" i="7"/>
  <c r="AT41" i="7"/>
  <c r="AT43" i="7"/>
  <c r="AR42" i="7"/>
  <c r="AS42" i="7"/>
  <c r="AR41" i="7"/>
  <c r="CH115" i="7"/>
  <c r="CF119" i="7"/>
  <c r="CF121" i="7"/>
  <c r="CI133" i="7"/>
  <c r="CH139" i="7"/>
  <c r="AU48" i="7"/>
  <c r="AT52" i="7"/>
  <c r="AT54" i="7"/>
  <c r="AX352" i="7"/>
  <c r="BV359" i="7"/>
  <c r="BW359" i="7"/>
  <c r="BW358" i="7"/>
  <c r="CB356" i="7"/>
  <c r="BX356" i="7"/>
  <c r="BP190" i="7"/>
  <c r="BP191" i="7"/>
  <c r="BQ189" i="7"/>
  <c r="BQ228" i="7"/>
  <c r="BP231" i="7"/>
  <c r="BP233" i="7"/>
  <c r="BP232" i="7"/>
  <c r="CB219" i="7"/>
  <c r="BX219" i="7"/>
  <c r="BU140" i="7"/>
  <c r="BV132" i="7"/>
  <c r="BN192" i="7"/>
  <c r="BO187" i="7"/>
  <c r="AO336" i="7"/>
  <c r="AP333" i="7"/>
  <c r="AP335" i="7"/>
  <c r="BY288" i="7"/>
  <c r="BX296" i="7"/>
  <c r="BQ129" i="7"/>
  <c r="BR129" i="7"/>
  <c r="BS124" i="7"/>
  <c r="CK198" i="7"/>
  <c r="CK200" i="7"/>
  <c r="CJ202" i="7"/>
  <c r="CK348" i="7"/>
  <c r="CJ352" i="7"/>
  <c r="BQ81" i="7"/>
  <c r="BD348" i="7"/>
  <c r="BT206" i="7"/>
  <c r="BJ71" i="7"/>
  <c r="BJ73" i="7"/>
  <c r="BI74" i="7"/>
  <c r="BI76" i="7"/>
  <c r="BI75" i="7"/>
  <c r="BA49" i="7"/>
  <c r="BA51" i="7"/>
  <c r="AZ53" i="7"/>
  <c r="CO196" i="7"/>
  <c r="CH231" i="7"/>
  <c r="CI227" i="7"/>
  <c r="CC35" i="7"/>
  <c r="BP280" i="7"/>
  <c r="BO285" i="7"/>
  <c r="BP79" i="7"/>
  <c r="CI134" i="7"/>
  <c r="CH138" i="7"/>
  <c r="BX127" i="7"/>
  <c r="CC183" i="7"/>
  <c r="CD177" i="7"/>
  <c r="CF160" i="7"/>
  <c r="CH156" i="7"/>
  <c r="CH247" i="7"/>
  <c r="CF255" i="7"/>
  <c r="BZ295" i="7"/>
  <c r="CA289" i="7"/>
  <c r="AK336" i="7"/>
  <c r="AL333" i="7"/>
  <c r="AL335" i="7"/>
  <c r="CK197" i="7"/>
  <c r="CJ201" i="7"/>
  <c r="CJ203" i="7"/>
  <c r="CP276" i="7"/>
  <c r="CP275" i="7"/>
  <c r="CP277" i="7"/>
  <c r="CJ116" i="7"/>
  <c r="CJ118" i="7"/>
  <c r="BK95" i="7"/>
  <c r="BK97" i="7"/>
  <c r="BX232" i="7"/>
  <c r="BY226" i="7"/>
  <c r="CE150" i="7"/>
  <c r="CF144" i="7"/>
  <c r="CF155" i="7"/>
  <c r="CE161" i="7"/>
  <c r="BN208" i="7"/>
  <c r="BQ179" i="7"/>
  <c r="BP182" i="7"/>
  <c r="BP184" i="7"/>
  <c r="BP183" i="7"/>
  <c r="CJ113" i="7"/>
  <c r="CF68" i="7"/>
  <c r="CP242" i="7"/>
  <c r="CP244" i="7"/>
  <c r="CJ178" i="7"/>
  <c r="CI182" i="7"/>
  <c r="CH217" i="7"/>
  <c r="CP313" i="7"/>
  <c r="CP315" i="7"/>
  <c r="CO317" i="7"/>
  <c r="CO316" i="7"/>
  <c r="CO318" i="7"/>
  <c r="CC53" i="7"/>
  <c r="CD49" i="7"/>
  <c r="CD51" i="7"/>
  <c r="AJ104" i="7"/>
  <c r="BJ209" i="7"/>
  <c r="BJ211" i="7"/>
  <c r="BI213" i="7"/>
  <c r="BI212" i="7"/>
  <c r="BI214" i="7"/>
  <c r="AT333" i="7"/>
  <c r="AT335" i="7"/>
  <c r="AX333" i="7"/>
  <c r="AX335" i="7"/>
  <c r="BS341" i="7"/>
  <c r="BS343" i="7"/>
  <c r="BW341" i="7"/>
  <c r="BW343" i="7"/>
  <c r="BE102" i="7"/>
  <c r="BY114" i="7"/>
  <c r="BX120" i="7"/>
  <c r="CN250" i="7"/>
  <c r="CN252" i="7"/>
  <c r="CM253" i="7"/>
  <c r="CF184" i="7"/>
  <c r="CH176" i="7"/>
  <c r="BB37" i="7"/>
  <c r="BO82" i="7"/>
  <c r="BO84" i="7"/>
  <c r="BN86" i="7"/>
  <c r="BN85" i="7"/>
  <c r="BN87" i="7"/>
  <c r="BX358" i="7"/>
  <c r="BX359" i="7"/>
  <c r="CB359" i="7"/>
  <c r="CB357" i="7"/>
  <c r="BT69" i="7"/>
  <c r="CF145" i="7"/>
  <c r="CE149" i="7"/>
  <c r="CE151" i="7"/>
  <c r="BP341" i="7"/>
  <c r="BP343" i="7"/>
  <c r="BO345" i="7"/>
  <c r="CJ80" i="7"/>
  <c r="CM165" i="7"/>
  <c r="CK173" i="7"/>
  <c r="BQ158" i="7"/>
  <c r="BS158" i="7"/>
  <c r="CH154" i="7"/>
  <c r="CF162" i="7"/>
  <c r="CP265" i="7"/>
  <c r="CP264" i="7"/>
  <c r="CP266" i="7"/>
  <c r="BX233" i="7"/>
  <c r="BY225" i="7"/>
  <c r="BZ290" i="7"/>
  <c r="BY294" i="7"/>
  <c r="AV340" i="7"/>
  <c r="AU344" i="7"/>
  <c r="CP249" i="7"/>
  <c r="CI248" i="7"/>
  <c r="CH254" i="7"/>
  <c r="AY349" i="7"/>
  <c r="AY351" i="7"/>
  <c r="AX351" i="7"/>
  <c r="BC349" i="7"/>
  <c r="AW352" i="7"/>
  <c r="BZ207" i="7"/>
  <c r="BY213" i="7"/>
  <c r="BQ136" i="7"/>
  <c r="BQ137" i="7"/>
  <c r="BX282" i="7"/>
  <c r="BX284" i="7"/>
  <c r="BY282" i="7"/>
  <c r="BY284" i="7"/>
  <c r="BZ282" i="7"/>
  <c r="BZ284" i="7"/>
  <c r="CA282" i="7"/>
  <c r="CA284" i="7"/>
  <c r="CB282" i="7"/>
  <c r="CB284" i="7"/>
  <c r="BS292" i="7"/>
  <c r="BS295" i="7"/>
  <c r="CJ133" i="7"/>
  <c r="CI139" i="7"/>
  <c r="AU41" i="7"/>
  <c r="AU43" i="7"/>
  <c r="AV38" i="7"/>
  <c r="AV40" i="7"/>
  <c r="AU42" i="7"/>
  <c r="AV48" i="7"/>
  <c r="AU52" i="7"/>
  <c r="AU54" i="7"/>
  <c r="CI115" i="7"/>
  <c r="CH119" i="7"/>
  <c r="CH121" i="7"/>
  <c r="AR43" i="7"/>
  <c r="BQ190" i="7"/>
  <c r="BQ191" i="7"/>
  <c r="CN165" i="7"/>
  <c r="CM173" i="7"/>
  <c r="BQ180" i="7"/>
  <c r="BQ181" i="7"/>
  <c r="CC282" i="7"/>
  <c r="CC284" i="7"/>
  <c r="CD282" i="7"/>
  <c r="CD284" i="7"/>
  <c r="CE282" i="7"/>
  <c r="CE284" i="7"/>
  <c r="CF282" i="7"/>
  <c r="CF284" i="7"/>
  <c r="CG282" i="7"/>
  <c r="CG284" i="7"/>
  <c r="BZ225" i="7"/>
  <c r="BY233" i="7"/>
  <c r="BS345" i="7"/>
  <c r="BT341" i="7"/>
  <c r="BT343" i="7"/>
  <c r="CK178" i="7"/>
  <c r="CJ182" i="7"/>
  <c r="BO208" i="7"/>
  <c r="CH144" i="7"/>
  <c r="CF150" i="7"/>
  <c r="CE177" i="7"/>
  <c r="CD183" i="7"/>
  <c r="CJ227" i="7"/>
  <c r="CI231" i="7"/>
  <c r="BU206" i="7"/>
  <c r="BP187" i="7"/>
  <c r="BO192" i="7"/>
  <c r="BQ139" i="7"/>
  <c r="BQ138" i="7"/>
  <c r="BQ140" i="7"/>
  <c r="BS135" i="7"/>
  <c r="AU333" i="7"/>
  <c r="AU335" i="7"/>
  <c r="AT336" i="7"/>
  <c r="CP317" i="7"/>
  <c r="CP316" i="7"/>
  <c r="CP318" i="7"/>
  <c r="CI217" i="7"/>
  <c r="CK113" i="7"/>
  <c r="BZ213" i="7"/>
  <c r="CA207" i="7"/>
  <c r="CI254" i="7"/>
  <c r="CJ248" i="7"/>
  <c r="CH162" i="7"/>
  <c r="CI154" i="7"/>
  <c r="CF149" i="7"/>
  <c r="CF151" i="7"/>
  <c r="CH145" i="7"/>
  <c r="BU69" i="7"/>
  <c r="CI176" i="7"/>
  <c r="CH184" i="7"/>
  <c r="CO250" i="7"/>
  <c r="CO252" i="7"/>
  <c r="CN253" i="7"/>
  <c r="BF102" i="7"/>
  <c r="BC333" i="7"/>
  <c r="BC335" i="7"/>
  <c r="AY333" i="7"/>
  <c r="AY335" i="7"/>
  <c r="CH68" i="7"/>
  <c r="CH255" i="7"/>
  <c r="CI247" i="7"/>
  <c r="CJ134" i="7"/>
  <c r="CI138" i="7"/>
  <c r="BP285" i="7"/>
  <c r="BQ280" i="7"/>
  <c r="CP196" i="7"/>
  <c r="BB49" i="7"/>
  <c r="BA53" i="7"/>
  <c r="BA52" i="7"/>
  <c r="BA54" i="7"/>
  <c r="BS81" i="7"/>
  <c r="CM198" i="7"/>
  <c r="CM200" i="7"/>
  <c r="CK202" i="7"/>
  <c r="BZ288" i="7"/>
  <c r="BY296" i="7"/>
  <c r="BX220" i="7"/>
  <c r="CB220" i="7"/>
  <c r="BQ229" i="7"/>
  <c r="BQ230" i="7"/>
  <c r="BO86" i="7"/>
  <c r="BP82" i="7"/>
  <c r="BP84" i="7"/>
  <c r="BO85" i="7"/>
  <c r="BO87" i="7"/>
  <c r="BK209" i="7"/>
  <c r="BJ213" i="7"/>
  <c r="BJ212" i="7"/>
  <c r="BJ214" i="7"/>
  <c r="CD53" i="7"/>
  <c r="CE49" i="7"/>
  <c r="CE51" i="7"/>
  <c r="CK116" i="7"/>
  <c r="CK118" i="7"/>
  <c r="CK201" i="7"/>
  <c r="CK203" i="7"/>
  <c r="CM197" i="7"/>
  <c r="CA295" i="7"/>
  <c r="CC289" i="7"/>
  <c r="CH160" i="7"/>
  <c r="CI156" i="7"/>
  <c r="BK71" i="7"/>
  <c r="BK73" i="7"/>
  <c r="BJ74" i="7"/>
  <c r="BJ76" i="7"/>
  <c r="BE348" i="7"/>
  <c r="BT124" i="7"/>
  <c r="BS129" i="7"/>
  <c r="AQ333" i="7"/>
  <c r="AQ335" i="7"/>
  <c r="AP336" i="7"/>
  <c r="CB221" i="7"/>
  <c r="AZ349" i="7"/>
  <c r="AZ351" i="7"/>
  <c r="AY352" i="7"/>
  <c r="AV344" i="7"/>
  <c r="AW340" i="7"/>
  <c r="CA290" i="7"/>
  <c r="BZ294" i="7"/>
  <c r="BQ159" i="7"/>
  <c r="CK80" i="7"/>
  <c r="BQ341" i="7"/>
  <c r="BQ343" i="7"/>
  <c r="BP345" i="7"/>
  <c r="BZ114" i="7"/>
  <c r="BY120" i="7"/>
  <c r="BX341" i="7"/>
  <c r="BX343" i="7"/>
  <c r="CB341" i="7"/>
  <c r="CB343" i="7"/>
  <c r="AJ105" i="7"/>
  <c r="CH155" i="7"/>
  <c r="CF161" i="7"/>
  <c r="BY232" i="7"/>
  <c r="BZ226" i="7"/>
  <c r="BL95" i="7"/>
  <c r="AL336" i="7"/>
  <c r="AN336" i="7"/>
  <c r="AM333" i="7"/>
  <c r="AM335" i="7"/>
  <c r="AM336" i="7"/>
  <c r="BX128" i="7"/>
  <c r="BY126" i="7"/>
  <c r="BY128" i="7"/>
  <c r="BZ126" i="7"/>
  <c r="BZ128" i="7"/>
  <c r="CA126" i="7"/>
  <c r="BQ79" i="7"/>
  <c r="CD35" i="7"/>
  <c r="CM348" i="7"/>
  <c r="CK352" i="7"/>
  <c r="CL352" i="7"/>
  <c r="BX132" i="7"/>
  <c r="BV140" i="7"/>
  <c r="CJ115" i="7"/>
  <c r="CI119" i="7"/>
  <c r="CI121" i="7"/>
  <c r="AV42" i="7"/>
  <c r="AW38" i="7"/>
  <c r="AV41" i="7"/>
  <c r="AV43" i="7"/>
  <c r="AW48" i="7"/>
  <c r="AV52" i="7"/>
  <c r="AV54" i="7"/>
  <c r="CK133" i="7"/>
  <c r="CJ139" i="7"/>
  <c r="BQ231" i="7"/>
  <c r="BQ233" i="7"/>
  <c r="BS228" i="7"/>
  <c r="BQ232" i="7"/>
  <c r="CG341" i="7"/>
  <c r="CG343" i="7"/>
  <c r="CC341" i="7"/>
  <c r="CC343" i="7"/>
  <c r="CM116" i="7"/>
  <c r="CM118" i="7"/>
  <c r="CI255" i="7"/>
  <c r="CJ247" i="7"/>
  <c r="AU336" i="7"/>
  <c r="AV333" i="7"/>
  <c r="AV335" i="7"/>
  <c r="BY132" i="7"/>
  <c r="BX140" i="7"/>
  <c r="BS79" i="7"/>
  <c r="BM95" i="7"/>
  <c r="BM97" i="7"/>
  <c r="BL97" i="7"/>
  <c r="BX345" i="7"/>
  <c r="BY341" i="7"/>
  <c r="BY343" i="7"/>
  <c r="CM80" i="7"/>
  <c r="AW344" i="7"/>
  <c r="AY340" i="7"/>
  <c r="BR190" i="7"/>
  <c r="BR191" i="7"/>
  <c r="CI160" i="7"/>
  <c r="CJ156" i="7"/>
  <c r="CM201" i="7"/>
  <c r="CM203" i="7"/>
  <c r="CN197" i="7"/>
  <c r="CE53" i="7"/>
  <c r="CF49" i="7"/>
  <c r="BK210" i="7"/>
  <c r="BK362" i="7"/>
  <c r="CA288" i="7"/>
  <c r="BZ296" i="7"/>
  <c r="BT81" i="7"/>
  <c r="BB51" i="7"/>
  <c r="BD49" i="7"/>
  <c r="BD51" i="7"/>
  <c r="CI68" i="7"/>
  <c r="BG102" i="7"/>
  <c r="CJ176" i="7"/>
  <c r="CI184" i="7"/>
  <c r="CM113" i="7"/>
  <c r="CE183" i="7"/>
  <c r="CF177" i="7"/>
  <c r="CH282" i="7"/>
  <c r="CH284" i="7"/>
  <c r="CI282" i="7"/>
  <c r="CI284" i="7"/>
  <c r="CJ282" i="7"/>
  <c r="CJ284" i="7"/>
  <c r="CK282" i="7"/>
  <c r="CK284" i="7"/>
  <c r="CL282" i="7"/>
  <c r="CL284" i="7"/>
  <c r="CN348" i="7"/>
  <c r="CM352" i="7"/>
  <c r="CC290" i="7"/>
  <c r="CA294" i="7"/>
  <c r="AR333" i="7"/>
  <c r="AR335" i="7"/>
  <c r="AR336" i="7"/>
  <c r="AQ336" i="7"/>
  <c r="AS336" i="7"/>
  <c r="BU341" i="7"/>
  <c r="BU343" i="7"/>
  <c r="BT345" i="7"/>
  <c r="CA127" i="7"/>
  <c r="CA128" i="7"/>
  <c r="CI155" i="7"/>
  <c r="CH161" i="7"/>
  <c r="BS157" i="7"/>
  <c r="BS161" i="7"/>
  <c r="BQ160" i="7"/>
  <c r="BQ162" i="7"/>
  <c r="BQ161" i="7"/>
  <c r="BA349" i="7"/>
  <c r="BA351" i="7"/>
  <c r="AZ352" i="7"/>
  <c r="CC219" i="7"/>
  <c r="CC221" i="7"/>
  <c r="CG219" i="7"/>
  <c r="CG221" i="7"/>
  <c r="BU124" i="7"/>
  <c r="BT129" i="7"/>
  <c r="BL71" i="7"/>
  <c r="BL73" i="7"/>
  <c r="BK74" i="7"/>
  <c r="BK76" i="7"/>
  <c r="BK75" i="7"/>
  <c r="BX221" i="7"/>
  <c r="AZ333" i="7"/>
  <c r="AZ335" i="7"/>
  <c r="AY336" i="7"/>
  <c r="BV69" i="7"/>
  <c r="CK248" i="7"/>
  <c r="CJ254" i="7"/>
  <c r="CC207" i="7"/>
  <c r="CA213" i="7"/>
  <c r="BS139" i="7"/>
  <c r="BS136" i="7"/>
  <c r="BQ187" i="7"/>
  <c r="BP192" i="7"/>
  <c r="CH150" i="7"/>
  <c r="CI144" i="7"/>
  <c r="CM178" i="7"/>
  <c r="CK182" i="7"/>
  <c r="BZ233" i="7"/>
  <c r="CA225" i="7"/>
  <c r="BF348" i="7"/>
  <c r="BQ285" i="7"/>
  <c r="BR285" i="7"/>
  <c r="BS280" i="7"/>
  <c r="CH149" i="7"/>
  <c r="CH151" i="7"/>
  <c r="CI145" i="7"/>
  <c r="CJ217" i="7"/>
  <c r="BV206" i="7"/>
  <c r="BS179" i="7"/>
  <c r="BQ182" i="7"/>
  <c r="BQ184" i="7"/>
  <c r="BQ183" i="7"/>
  <c r="CE35" i="7"/>
  <c r="BZ232" i="7"/>
  <c r="CA226" i="7"/>
  <c r="AK103" i="7"/>
  <c r="AJ106" i="7"/>
  <c r="CA114" i="7"/>
  <c r="BZ120" i="7"/>
  <c r="BQ345" i="7"/>
  <c r="BR345" i="7"/>
  <c r="CC295" i="7"/>
  <c r="CD289" i="7"/>
  <c r="BQ82" i="7"/>
  <c r="BQ84" i="7"/>
  <c r="BP86" i="7"/>
  <c r="BP85" i="7"/>
  <c r="BP87" i="7"/>
  <c r="CN198" i="7"/>
  <c r="CN200" i="7"/>
  <c r="CM202" i="7"/>
  <c r="CJ138" i="7"/>
  <c r="CK134" i="7"/>
  <c r="BD333" i="7"/>
  <c r="BD335" i="7"/>
  <c r="BH333" i="7"/>
  <c r="BH335" i="7"/>
  <c r="CP250" i="7"/>
  <c r="CP252" i="7"/>
  <c r="CP253" i="7"/>
  <c r="CO253" i="7"/>
  <c r="CJ154" i="7"/>
  <c r="CI162" i="7"/>
  <c r="CK227" i="7"/>
  <c r="CJ231" i="7"/>
  <c r="BP208" i="7"/>
  <c r="CN173" i="7"/>
  <c r="CO165" i="7"/>
  <c r="AW40" i="7"/>
  <c r="AY38" i="7"/>
  <c r="AY40" i="7"/>
  <c r="CK115" i="7"/>
  <c r="CJ119" i="7"/>
  <c r="CJ121" i="7"/>
  <c r="AY48" i="7"/>
  <c r="AW52" i="7"/>
  <c r="AW54" i="7"/>
  <c r="CM133" i="7"/>
  <c r="CK139" i="7"/>
  <c r="CK154" i="7"/>
  <c r="BS82" i="7"/>
  <c r="BS84" i="7"/>
  <c r="BQ86" i="7"/>
  <c r="BQ85" i="7"/>
  <c r="BQ87" i="7"/>
  <c r="CA232" i="7"/>
  <c r="CC226" i="7"/>
  <c r="CI149" i="7"/>
  <c r="CI151" i="7"/>
  <c r="CJ145" i="7"/>
  <c r="CM248" i="7"/>
  <c r="CK254" i="7"/>
  <c r="AZ336" i="7"/>
  <c r="BA333" i="7"/>
  <c r="BA335" i="7"/>
  <c r="BU129" i="7"/>
  <c r="BV124" i="7"/>
  <c r="BB349" i="7"/>
  <c r="BB351" i="7"/>
  <c r="BA352" i="7"/>
  <c r="CB127" i="7"/>
  <c r="CB128" i="7"/>
  <c r="BU81" i="7"/>
  <c r="BK211" i="7"/>
  <c r="CK156" i="7"/>
  <c r="CJ160" i="7"/>
  <c r="CJ162" i="7"/>
  <c r="CN80" i="7"/>
  <c r="BN95" i="7"/>
  <c r="BN97" i="7"/>
  <c r="BL98" i="7"/>
  <c r="BM98" i="7"/>
  <c r="AV336" i="7"/>
  <c r="AW333" i="7"/>
  <c r="AW335" i="7"/>
  <c r="AW336" i="7"/>
  <c r="CL341" i="7"/>
  <c r="CL343" i="7"/>
  <c r="CH341" i="7"/>
  <c r="CH343" i="7"/>
  <c r="AK104" i="7"/>
  <c r="AN104" i="7"/>
  <c r="AN105" i="7"/>
  <c r="BQ208" i="7"/>
  <c r="CO198" i="7"/>
  <c r="CO200" i="7"/>
  <c r="CN202" i="7"/>
  <c r="CA120" i="7"/>
  <c r="CC114" i="7"/>
  <c r="BG348" i="7"/>
  <c r="BX69" i="7"/>
  <c r="CL219" i="7"/>
  <c r="CL221" i="7"/>
  <c r="CH219" i="7"/>
  <c r="CH221" i="7"/>
  <c r="CN352" i="7"/>
  <c r="CO348" i="7"/>
  <c r="CN113" i="7"/>
  <c r="BI102" i="7"/>
  <c r="BD53" i="7"/>
  <c r="AY344" i="7"/>
  <c r="AZ340" i="7"/>
  <c r="BZ132" i="7"/>
  <c r="BY140" i="7"/>
  <c r="BS229" i="7"/>
  <c r="BS232" i="7"/>
  <c r="BD336" i="7"/>
  <c r="BE333" i="7"/>
  <c r="BE335" i="7"/>
  <c r="CD295" i="7"/>
  <c r="CE289" i="7"/>
  <c r="CF35" i="7"/>
  <c r="BX206" i="7"/>
  <c r="CC225" i="7"/>
  <c r="CA233" i="7"/>
  <c r="CI150" i="7"/>
  <c r="CJ144" i="7"/>
  <c r="BU345" i="7"/>
  <c r="BV341" i="7"/>
  <c r="BV343" i="7"/>
  <c r="CC294" i="7"/>
  <c r="CD290" i="7"/>
  <c r="CK176" i="7"/>
  <c r="CJ184" i="7"/>
  <c r="BW189" i="7"/>
  <c r="BW191" i="7"/>
  <c r="BS189" i="7"/>
  <c r="BS190" i="7"/>
  <c r="BW190" i="7"/>
  <c r="BT79" i="7"/>
  <c r="CC345" i="7"/>
  <c r="CD341" i="7"/>
  <c r="CD343" i="7"/>
  <c r="CP165" i="7"/>
  <c r="CP173" i="7"/>
  <c r="CO173" i="7"/>
  <c r="CK231" i="7"/>
  <c r="CM227" i="7"/>
  <c r="BI333" i="7"/>
  <c r="BI335" i="7"/>
  <c r="BJ333" i="7"/>
  <c r="BM333" i="7"/>
  <c r="CM134" i="7"/>
  <c r="CK138" i="7"/>
  <c r="CK217" i="7"/>
  <c r="BS285" i="7"/>
  <c r="BT280" i="7"/>
  <c r="CM182" i="7"/>
  <c r="CN178" i="7"/>
  <c r="BS187" i="7"/>
  <c r="BQ192" i="7"/>
  <c r="BR192" i="7"/>
  <c r="CC213" i="7"/>
  <c r="CD207" i="7"/>
  <c r="BY219" i="7"/>
  <c r="BY221" i="7"/>
  <c r="BX222" i="7"/>
  <c r="BN71" i="7"/>
  <c r="BN73" i="7"/>
  <c r="BN70" i="7"/>
  <c r="BL74" i="7"/>
  <c r="BL76" i="7"/>
  <c r="BL75" i="7"/>
  <c r="CD219" i="7"/>
  <c r="CD221" i="7"/>
  <c r="CC222" i="7"/>
  <c r="CJ155" i="7"/>
  <c r="CI161" i="7"/>
  <c r="CM282" i="7"/>
  <c r="CM284" i="7"/>
  <c r="CN282" i="7"/>
  <c r="CN284" i="7"/>
  <c r="CO282" i="7"/>
  <c r="CO284" i="7"/>
  <c r="CP282" i="7"/>
  <c r="CP284" i="7"/>
  <c r="CQ282" i="7"/>
  <c r="CQ284" i="7"/>
  <c r="CH177" i="7"/>
  <c r="CF183" i="7"/>
  <c r="CJ68" i="7"/>
  <c r="BB53" i="7"/>
  <c r="BB52" i="7"/>
  <c r="CC288" i="7"/>
  <c r="CA296" i="7"/>
  <c r="CF51" i="7"/>
  <c r="CH49" i="7"/>
  <c r="CH51" i="7"/>
  <c r="CN201" i="7"/>
  <c r="CN203" i="7"/>
  <c r="CO197" i="7"/>
  <c r="BY345" i="7"/>
  <c r="BZ341" i="7"/>
  <c r="BZ343" i="7"/>
  <c r="CJ255" i="7"/>
  <c r="CK247" i="7"/>
  <c r="CN116" i="7"/>
  <c r="CN118" i="7"/>
  <c r="CN133" i="7"/>
  <c r="CM139" i="7"/>
  <c r="CM115" i="7"/>
  <c r="CK119" i="7"/>
  <c r="CK121" i="7"/>
  <c r="AZ38" i="7"/>
  <c r="AZ40" i="7"/>
  <c r="AY42" i="7"/>
  <c r="AY41" i="7"/>
  <c r="AY43" i="7"/>
  <c r="AZ48" i="7"/>
  <c r="AZ52" i="7"/>
  <c r="AZ54" i="7"/>
  <c r="AY52" i="7"/>
  <c r="AY54" i="7"/>
  <c r="AW42" i="7"/>
  <c r="AX42" i="7"/>
  <c r="AW41" i="7"/>
  <c r="CO116" i="7"/>
  <c r="CO118" i="7"/>
  <c r="CH53" i="7"/>
  <c r="CI49" i="7"/>
  <c r="CI51" i="7"/>
  <c r="CE219" i="7"/>
  <c r="CE221" i="7"/>
  <c r="CD222" i="7"/>
  <c r="CC120" i="7"/>
  <c r="CD114" i="7"/>
  <c r="CM156" i="7"/>
  <c r="CK160" i="7"/>
  <c r="CK162" i="7"/>
  <c r="CN248" i="7"/>
  <c r="CM254" i="7"/>
  <c r="CK255" i="7"/>
  <c r="CM247" i="7"/>
  <c r="CF53" i="7"/>
  <c r="CG53" i="7"/>
  <c r="BD48" i="7"/>
  <c r="BB54" i="7"/>
  <c r="BT285" i="7"/>
  <c r="BU280" i="7"/>
  <c r="BJ334" i="7"/>
  <c r="CK144" i="7"/>
  <c r="CJ150" i="7"/>
  <c r="CF289" i="7"/>
  <c r="CE295" i="7"/>
  <c r="AZ344" i="7"/>
  <c r="BA340" i="7"/>
  <c r="CO113" i="7"/>
  <c r="CI219" i="7"/>
  <c r="CI221" i="7"/>
  <c r="CH222" i="7"/>
  <c r="AK105" i="7"/>
  <c r="AX336" i="7"/>
  <c r="BL209" i="7"/>
  <c r="BK213" i="7"/>
  <c r="BK212" i="7"/>
  <c r="BK214" i="7"/>
  <c r="BA336" i="7"/>
  <c r="BB333" i="7"/>
  <c r="BB335" i="7"/>
  <c r="BB336" i="7"/>
  <c r="CC232" i="7"/>
  <c r="CD226" i="7"/>
  <c r="BH53" i="7"/>
  <c r="AO103" i="7"/>
  <c r="AO105" i="7"/>
  <c r="AS103" i="7"/>
  <c r="AS105" i="7"/>
  <c r="BN98" i="7"/>
  <c r="BO95" i="7"/>
  <c r="BO97" i="7"/>
  <c r="CP197" i="7"/>
  <c r="CO201" i="7"/>
  <c r="CO203" i="7"/>
  <c r="BC53" i="7"/>
  <c r="CI177" i="7"/>
  <c r="CH183" i="7"/>
  <c r="CK155" i="7"/>
  <c r="CJ161" i="7"/>
  <c r="BZ219" i="7"/>
  <c r="BZ221" i="7"/>
  <c r="BY222" i="7"/>
  <c r="BS192" i="7"/>
  <c r="BT187" i="7"/>
  <c r="CM217" i="7"/>
  <c r="CN227" i="7"/>
  <c r="CM231" i="7"/>
  <c r="BU79" i="7"/>
  <c r="BY206" i="7"/>
  <c r="BJ102" i="7"/>
  <c r="CQ219" i="7"/>
  <c r="CQ221" i="7"/>
  <c r="CM219" i="7"/>
  <c r="CM221" i="7"/>
  <c r="CN219" i="7"/>
  <c r="CN221" i="7"/>
  <c r="CO219" i="7"/>
  <c r="CO221" i="7"/>
  <c r="CP219" i="7"/>
  <c r="CP221" i="7"/>
  <c r="BI348" i="7"/>
  <c r="CP198" i="7"/>
  <c r="CP200" i="7"/>
  <c r="CP202" i="7"/>
  <c r="CO202" i="7"/>
  <c r="CH345" i="7"/>
  <c r="CI341" i="7"/>
  <c r="CI343" i="7"/>
  <c r="CO80" i="7"/>
  <c r="BD349" i="7"/>
  <c r="BD351" i="7"/>
  <c r="BC351" i="7"/>
  <c r="BH349" i="7"/>
  <c r="BB352" i="7"/>
  <c r="BC352" i="7"/>
  <c r="BT82" i="7"/>
  <c r="BT84" i="7"/>
  <c r="BS86" i="7"/>
  <c r="BS85" i="7"/>
  <c r="BS87" i="7"/>
  <c r="CM154" i="7"/>
  <c r="CA341" i="7"/>
  <c r="CA343" i="7"/>
  <c r="BZ345" i="7"/>
  <c r="BO71" i="7"/>
  <c r="BO73" i="7"/>
  <c r="BN75" i="7"/>
  <c r="CB189" i="7"/>
  <c r="BX189" i="7"/>
  <c r="CE290" i="7"/>
  <c r="CD294" i="7"/>
  <c r="CD225" i="7"/>
  <c r="CC233" i="7"/>
  <c r="CH35" i="7"/>
  <c r="BZ140" i="7"/>
  <c r="CA132" i="7"/>
  <c r="BS208" i="7"/>
  <c r="CD288" i="7"/>
  <c r="CC296" i="7"/>
  <c r="CK68" i="7"/>
  <c r="BN74" i="7"/>
  <c r="BN76" i="7"/>
  <c r="BO70" i="7"/>
  <c r="CD213" i="7"/>
  <c r="CE207" i="7"/>
  <c r="CN182" i="7"/>
  <c r="CO178" i="7"/>
  <c r="CM138" i="7"/>
  <c r="CN134" i="7"/>
  <c r="CD345" i="7"/>
  <c r="CE341" i="7"/>
  <c r="CE343" i="7"/>
  <c r="CK184" i="7"/>
  <c r="CM176" i="7"/>
  <c r="BV345" i="7"/>
  <c r="BW345" i="7"/>
  <c r="BF333" i="7"/>
  <c r="BF335" i="7"/>
  <c r="BE336" i="7"/>
  <c r="CO352" i="7"/>
  <c r="CQ352" i="7"/>
  <c r="CP348" i="7"/>
  <c r="CP352" i="7"/>
  <c r="BY69" i="7"/>
  <c r="CM341" i="7"/>
  <c r="CM343" i="7"/>
  <c r="CQ341" i="7"/>
  <c r="CQ343" i="7"/>
  <c r="BV81" i="7"/>
  <c r="CG126" i="7"/>
  <c r="CC126" i="7"/>
  <c r="CC128" i="7"/>
  <c r="CD126" i="7"/>
  <c r="CD128" i="7"/>
  <c r="CE126" i="7"/>
  <c r="CE128" i="7"/>
  <c r="CF126" i="7"/>
  <c r="BX124" i="7"/>
  <c r="BV129" i="7"/>
  <c r="BW129" i="7"/>
  <c r="CJ149" i="7"/>
  <c r="CJ151" i="7"/>
  <c r="CK145" i="7"/>
  <c r="CN115" i="7"/>
  <c r="CM119" i="7"/>
  <c r="CM121" i="7"/>
  <c r="AW43" i="7"/>
  <c r="AZ42" i="7"/>
  <c r="AZ41" i="7"/>
  <c r="AZ43" i="7"/>
  <c r="BA38" i="7"/>
  <c r="CO133" i="7"/>
  <c r="CN139" i="7"/>
  <c r="CP201" i="7"/>
  <c r="CP203" i="7"/>
  <c r="BP70" i="7"/>
  <c r="BO74" i="7"/>
  <c r="BO76" i="7"/>
  <c r="CP80" i="7"/>
  <c r="BZ206" i="7"/>
  <c r="CA219" i="7"/>
  <c r="CA221" i="7"/>
  <c r="CA222" i="7"/>
  <c r="BZ222" i="7"/>
  <c r="CB222" i="7"/>
  <c r="AX103" i="7"/>
  <c r="AX105" i="7"/>
  <c r="AT103" i="7"/>
  <c r="AT105" i="7"/>
  <c r="BB340" i="7"/>
  <c r="BA344" i="7"/>
  <c r="BV280" i="7"/>
  <c r="BU285" i="7"/>
  <c r="CP116" i="7"/>
  <c r="CP118" i="7"/>
  <c r="CM145" i="7"/>
  <c r="CK149" i="7"/>
  <c r="CK151" i="7"/>
  <c r="CF127" i="7"/>
  <c r="CF128" i="7"/>
  <c r="BZ69" i="7"/>
  <c r="CF341" i="7"/>
  <c r="CF343" i="7"/>
  <c r="CE345" i="7"/>
  <c r="CF207" i="7"/>
  <c r="CE213" i="7"/>
  <c r="CE288" i="7"/>
  <c r="CD296" i="7"/>
  <c r="BT208" i="7"/>
  <c r="BS212" i="7"/>
  <c r="BS214" i="7"/>
  <c r="CJ341" i="7"/>
  <c r="CJ343" i="7"/>
  <c r="CI345" i="7"/>
  <c r="CK161" i="7"/>
  <c r="CM155" i="7"/>
  <c r="CE226" i="7"/>
  <c r="CD232" i="7"/>
  <c r="AL103" i="7"/>
  <c r="AL105" i="7"/>
  <c r="AK106" i="7"/>
  <c r="BM334" i="7"/>
  <c r="BM335" i="7"/>
  <c r="CO248" i="7"/>
  <c r="CN254" i="7"/>
  <c r="CE114" i="7"/>
  <c r="CD120" i="7"/>
  <c r="BF336" i="7"/>
  <c r="BH336" i="7"/>
  <c r="BG333" i="7"/>
  <c r="BG335" i="7"/>
  <c r="BG336" i="7"/>
  <c r="CI183" i="7"/>
  <c r="CJ177" i="7"/>
  <c r="BL210" i="7"/>
  <c r="BL362" i="7"/>
  <c r="CM345" i="7"/>
  <c r="CN341" i="7"/>
  <c r="CN343" i="7"/>
  <c r="CN176" i="7"/>
  <c r="CM184" i="7"/>
  <c r="CM68" i="7"/>
  <c r="CI35" i="7"/>
  <c r="CE294" i="7"/>
  <c r="CF290" i="7"/>
  <c r="BU82" i="7"/>
  <c r="BU84" i="7"/>
  <c r="BT86" i="7"/>
  <c r="BT85" i="7"/>
  <c r="BT87" i="7"/>
  <c r="BE349" i="7"/>
  <c r="BE351" i="7"/>
  <c r="BD352" i="7"/>
  <c r="BK102" i="7"/>
  <c r="BV79" i="7"/>
  <c r="CN217" i="7"/>
  <c r="CM222" i="7"/>
  <c r="BC336" i="7"/>
  <c r="CP113" i="7"/>
  <c r="CF295" i="7"/>
  <c r="CH289" i="7"/>
  <c r="BJ335" i="7"/>
  <c r="CN247" i="7"/>
  <c r="CM255" i="7"/>
  <c r="CF219" i="7"/>
  <c r="CF221" i="7"/>
  <c r="CF222" i="7"/>
  <c r="CE222" i="7"/>
  <c r="CG222" i="7"/>
  <c r="CN138" i="7"/>
  <c r="CO134" i="7"/>
  <c r="CO182" i="7"/>
  <c r="CP178" i="7"/>
  <c r="CP182" i="7"/>
  <c r="CA140" i="7"/>
  <c r="CC132" i="7"/>
  <c r="BX190" i="7"/>
  <c r="BP71" i="7"/>
  <c r="BP73" i="7"/>
  <c r="BO75" i="7"/>
  <c r="CN154" i="7"/>
  <c r="BE48" i="7"/>
  <c r="BD52" i="7"/>
  <c r="BD54" i="7"/>
  <c r="BX129" i="7"/>
  <c r="BY124" i="7"/>
  <c r="BX81" i="7"/>
  <c r="CE225" i="7"/>
  <c r="CD233" i="7"/>
  <c r="CA345" i="7"/>
  <c r="CB345" i="7"/>
  <c r="CN231" i="7"/>
  <c r="CO227" i="7"/>
  <c r="BU187" i="7"/>
  <c r="BT192" i="7"/>
  <c r="BO98" i="7"/>
  <c r="BP95" i="7"/>
  <c r="BP97" i="7"/>
  <c r="AP103" i="7"/>
  <c r="AP105" i="7"/>
  <c r="AO109" i="7"/>
  <c r="AO111" i="7"/>
  <c r="AO106" i="7"/>
  <c r="CJ219" i="7"/>
  <c r="CJ221" i="7"/>
  <c r="CI222" i="7"/>
  <c r="CM144" i="7"/>
  <c r="CK150" i="7"/>
  <c r="CN156" i="7"/>
  <c r="CM160" i="7"/>
  <c r="CM162" i="7"/>
  <c r="CI53" i="7"/>
  <c r="CJ49" i="7"/>
  <c r="CJ51" i="7"/>
  <c r="CP133" i="7"/>
  <c r="CP139" i="7"/>
  <c r="CO139" i="7"/>
  <c r="BA42" i="7"/>
  <c r="BA40" i="7"/>
  <c r="CO115" i="7"/>
  <c r="CN119" i="7"/>
  <c r="CN121" i="7"/>
  <c r="BQ95" i="7"/>
  <c r="BP98" i="7"/>
  <c r="CH290" i="7"/>
  <c r="CF294" i="7"/>
  <c r="AQ103" i="7"/>
  <c r="AQ105" i="7"/>
  <c r="AP109" i="7"/>
  <c r="AP111" i="7"/>
  <c r="AP106" i="7"/>
  <c r="BY81" i="7"/>
  <c r="BE52" i="7"/>
  <c r="BE54" i="7"/>
  <c r="BF48" i="7"/>
  <c r="CO154" i="7"/>
  <c r="BX362" i="7"/>
  <c r="CH295" i="7"/>
  <c r="CI289" i="7"/>
  <c r="BX79" i="7"/>
  <c r="CN345" i="7"/>
  <c r="CO341" i="7"/>
  <c r="CO343" i="7"/>
  <c r="CO254" i="7"/>
  <c r="CP248" i="7"/>
  <c r="CP254" i="7"/>
  <c r="AM103" i="7"/>
  <c r="AM105" i="7"/>
  <c r="AL109" i="7"/>
  <c r="AL111" i="7"/>
  <c r="AL106" i="7"/>
  <c r="CN155" i="7"/>
  <c r="CM161" i="7"/>
  <c r="CK341" i="7"/>
  <c r="CK343" i="7"/>
  <c r="CK345" i="7"/>
  <c r="CJ345" i="7"/>
  <c r="CF288" i="7"/>
  <c r="CE296" i="7"/>
  <c r="BC103" i="7"/>
  <c r="BC105" i="7"/>
  <c r="AY103" i="7"/>
  <c r="AY105" i="7"/>
  <c r="BQ70" i="7"/>
  <c r="BP74" i="7"/>
  <c r="BP76" i="7"/>
  <c r="CO247" i="7"/>
  <c r="CN255" i="7"/>
  <c r="BF349" i="7"/>
  <c r="BF350" i="7"/>
  <c r="BE352" i="7"/>
  <c r="BR333" i="7"/>
  <c r="BR335" i="7"/>
  <c r="BN333" i="7"/>
  <c r="BN335" i="7"/>
  <c r="BT212" i="7"/>
  <c r="BT214" i="7"/>
  <c r="BU208" i="7"/>
  <c r="CN160" i="7"/>
  <c r="CN162" i="7"/>
  <c r="CO156" i="7"/>
  <c r="CK219" i="7"/>
  <c r="CK221" i="7"/>
  <c r="CK222" i="7"/>
  <c r="CJ222" i="7"/>
  <c r="BU192" i="7"/>
  <c r="BV187" i="7"/>
  <c r="BY129" i="7"/>
  <c r="BZ124" i="7"/>
  <c r="CD132" i="7"/>
  <c r="CC140" i="7"/>
  <c r="BV82" i="7"/>
  <c r="BU86" i="7"/>
  <c r="BU85" i="7"/>
  <c r="BU87" i="7"/>
  <c r="CJ35" i="7"/>
  <c r="CF345" i="7"/>
  <c r="CG345" i="7"/>
  <c r="CG127" i="7"/>
  <c r="CG128" i="7"/>
  <c r="CF362" i="7"/>
  <c r="BB344" i="7"/>
  <c r="BD340" i="7"/>
  <c r="CJ53" i="7"/>
  <c r="CK49" i="7"/>
  <c r="CP227" i="7"/>
  <c r="CP231" i="7"/>
  <c r="CO231" i="7"/>
  <c r="CE233" i="7"/>
  <c r="CF225" i="7"/>
  <c r="BQ71" i="7"/>
  <c r="BQ73" i="7"/>
  <c r="BP75" i="7"/>
  <c r="CJ183" i="7"/>
  <c r="CK177" i="7"/>
  <c r="CF114" i="7"/>
  <c r="CE120" i="7"/>
  <c r="CE232" i="7"/>
  <c r="CF226" i="7"/>
  <c r="CH207" i="7"/>
  <c r="CF213" i="7"/>
  <c r="CA69" i="7"/>
  <c r="CN144" i="7"/>
  <c r="CM150" i="7"/>
  <c r="BX191" i="7"/>
  <c r="BY189" i="7"/>
  <c r="CP134" i="7"/>
  <c r="CP138" i="7"/>
  <c r="CO138" i="7"/>
  <c r="BJ336" i="7"/>
  <c r="BK333" i="7"/>
  <c r="BK335" i="7"/>
  <c r="CO217" i="7"/>
  <c r="CN222" i="7"/>
  <c r="BL102" i="7"/>
  <c r="CN68" i="7"/>
  <c r="CO176" i="7"/>
  <c r="CN184" i="7"/>
  <c r="BL211" i="7"/>
  <c r="CN145" i="7"/>
  <c r="CM149" i="7"/>
  <c r="CM151" i="7"/>
  <c r="BV285" i="7"/>
  <c r="BW285" i="7"/>
  <c r="BX280" i="7"/>
  <c r="AU103" i="7"/>
  <c r="AU105" i="7"/>
  <c r="AT109" i="7"/>
  <c r="AT111" i="7"/>
  <c r="AT106" i="7"/>
  <c r="CA206" i="7"/>
  <c r="CP115" i="7"/>
  <c r="CP119" i="7"/>
  <c r="CP121" i="7"/>
  <c r="CO119" i="7"/>
  <c r="CO121" i="7"/>
  <c r="BB38" i="7"/>
  <c r="BB40" i="7"/>
  <c r="BA41" i="7"/>
  <c r="CL222" i="7"/>
  <c r="BN209" i="7"/>
  <c r="BN211" i="7"/>
  <c r="BL213" i="7"/>
  <c r="BL212" i="7"/>
  <c r="BL214" i="7"/>
  <c r="CF233" i="7"/>
  <c r="CH225" i="7"/>
  <c r="BH350" i="7"/>
  <c r="BF351" i="7"/>
  <c r="BF52" i="7"/>
  <c r="BF54" i="7"/>
  <c r="BG48" i="7"/>
  <c r="BY280" i="7"/>
  <c r="BX285" i="7"/>
  <c r="CO184" i="7"/>
  <c r="CP176" i="7"/>
  <c r="CP184" i="7"/>
  <c r="CH226" i="7"/>
  <c r="CF232" i="7"/>
  <c r="CM177" i="7"/>
  <c r="CK183" i="7"/>
  <c r="CM49" i="7"/>
  <c r="CM51" i="7"/>
  <c r="CK51" i="7"/>
  <c r="CK35" i="7"/>
  <c r="BV83" i="7"/>
  <c r="BV362" i="7"/>
  <c r="BV192" i="7"/>
  <c r="BV17" i="7"/>
  <c r="BV19" i="7"/>
  <c r="BX187" i="7"/>
  <c r="BW333" i="7"/>
  <c r="BW335" i="7"/>
  <c r="BS333" i="7"/>
  <c r="BS335" i="7"/>
  <c r="CO255" i="7"/>
  <c r="CP247" i="7"/>
  <c r="CP255" i="7"/>
  <c r="BQ74" i="7"/>
  <c r="BQ76" i="7"/>
  <c r="CH288" i="7"/>
  <c r="CF296" i="7"/>
  <c r="CN161" i="7"/>
  <c r="CO155" i="7"/>
  <c r="CI295" i="7"/>
  <c r="CJ289" i="7"/>
  <c r="CP154" i="7"/>
  <c r="CP162" i="7"/>
  <c r="AR103" i="7"/>
  <c r="AR105" i="7"/>
  <c r="AQ109" i="7"/>
  <c r="AQ111" i="7"/>
  <c r="AQ106" i="7"/>
  <c r="BY190" i="7"/>
  <c r="BE340" i="7"/>
  <c r="BD344" i="7"/>
  <c r="CA124" i="7"/>
  <c r="BZ129" i="7"/>
  <c r="BH103" i="7"/>
  <c r="BH105" i="7"/>
  <c r="BD103" i="7"/>
  <c r="BD105" i="7"/>
  <c r="CO345" i="7"/>
  <c r="CP341" i="7"/>
  <c r="CP343" i="7"/>
  <c r="CP345" i="7"/>
  <c r="CC206" i="7"/>
  <c r="BK336" i="7"/>
  <c r="BL333" i="7"/>
  <c r="BL335" i="7"/>
  <c r="BL336" i="7"/>
  <c r="CO68" i="7"/>
  <c r="BN102" i="7"/>
  <c r="BM336" i="7"/>
  <c r="CC69" i="7"/>
  <c r="BS70" i="7"/>
  <c r="BS71" i="7"/>
  <c r="BS73" i="7"/>
  <c r="BQ75" i="7"/>
  <c r="CL126" i="7"/>
  <c r="CH126" i="7"/>
  <c r="CH128" i="7"/>
  <c r="CI126" i="7"/>
  <c r="CI128" i="7"/>
  <c r="CJ126" i="7"/>
  <c r="CJ128" i="7"/>
  <c r="CK126" i="7"/>
  <c r="BU17" i="7"/>
  <c r="BU19" i="7"/>
  <c r="BW192" i="7"/>
  <c r="CO160" i="7"/>
  <c r="CO162" i="7"/>
  <c r="CP156" i="7"/>
  <c r="CP160" i="7"/>
  <c r="BU212" i="7"/>
  <c r="BU214" i="7"/>
  <c r="BV208" i="7"/>
  <c r="AZ103" i="7"/>
  <c r="AZ105" i="7"/>
  <c r="AY109" i="7"/>
  <c r="AY111" i="7"/>
  <c r="AY106" i="7"/>
  <c r="CL345" i="7"/>
  <c r="BZ81" i="7"/>
  <c r="CI290" i="7"/>
  <c r="CH294" i="7"/>
  <c r="BQ97" i="7"/>
  <c r="BR95" i="7"/>
  <c r="BR97" i="7"/>
  <c r="AV103" i="7"/>
  <c r="AV105" i="7"/>
  <c r="AU109" i="7"/>
  <c r="AU111" i="7"/>
  <c r="AU106" i="7"/>
  <c r="CO145" i="7"/>
  <c r="CN149" i="7"/>
  <c r="CN151" i="7"/>
  <c r="CP217" i="7"/>
  <c r="CP222" i="7"/>
  <c r="CO222" i="7"/>
  <c r="CN150" i="7"/>
  <c r="CO144" i="7"/>
  <c r="CH213" i="7"/>
  <c r="CI207" i="7"/>
  <c r="CF120" i="7"/>
  <c r="CH114" i="7"/>
  <c r="CD140" i="7"/>
  <c r="CE132" i="7"/>
  <c r="BO333" i="7"/>
  <c r="BO335" i="7"/>
  <c r="BN336" i="7"/>
  <c r="AM109" i="7"/>
  <c r="AM111" i="7"/>
  <c r="AM106" i="7"/>
  <c r="AN106" i="7"/>
  <c r="BY79" i="7"/>
  <c r="BX147" i="56"/>
  <c r="BY147" i="56"/>
  <c r="BY154" i="56"/>
  <c r="BY168" i="56" s="1"/>
  <c r="BZ147" i="56"/>
  <c r="BZ154" i="56"/>
  <c r="CA147" i="56"/>
  <c r="BY153" i="56"/>
  <c r="BY167" i="56" s="1"/>
  <c r="BZ153" i="56"/>
  <c r="BZ180" i="56" s="1"/>
  <c r="CA153" i="56"/>
  <c r="CA180" i="56" s="1"/>
  <c r="CA11" i="59" s="1"/>
  <c r="CA154" i="56"/>
  <c r="CA181" i="56" s="1"/>
  <c r="CA12" i="59" s="1"/>
  <c r="CA38" i="59" s="1"/>
  <c r="BX154" i="56"/>
  <c r="CQ222" i="7"/>
  <c r="BA43" i="7"/>
  <c r="BB42" i="7"/>
  <c r="BC42" i="7"/>
  <c r="BD38" i="7"/>
  <c r="BD40" i="7"/>
  <c r="BB41" i="7"/>
  <c r="CI213" i="7"/>
  <c r="CJ207" i="7"/>
  <c r="BQ98" i="7"/>
  <c r="BR98" i="7"/>
  <c r="BS95" i="7"/>
  <c r="BS97" i="7"/>
  <c r="CD69" i="7"/>
  <c r="BE103" i="7"/>
  <c r="BE105" i="7"/>
  <c r="BD106" i="7"/>
  <c r="BD109" i="7"/>
  <c r="BD111" i="7"/>
  <c r="BG349" i="7"/>
  <c r="BG351" i="7"/>
  <c r="BF352" i="7"/>
  <c r="BZ79" i="7"/>
  <c r="BM103" i="7"/>
  <c r="BM105" i="7"/>
  <c r="BI103" i="7"/>
  <c r="BI105" i="7"/>
  <c r="BE344" i="7"/>
  <c r="BF340" i="7"/>
  <c r="CJ295" i="7"/>
  <c r="CK289" i="7"/>
  <c r="CM35" i="7"/>
  <c r="CM183" i="7"/>
  <c r="CN177" i="7"/>
  <c r="BZ280" i="7"/>
  <c r="BY285" i="7"/>
  <c r="CF132" i="7"/>
  <c r="CE140" i="7"/>
  <c r="CA81" i="7"/>
  <c r="BO336" i="7"/>
  <c r="BP333" i="7"/>
  <c r="BP335" i="7"/>
  <c r="CH120" i="7"/>
  <c r="CI114" i="7"/>
  <c r="CP144" i="7"/>
  <c r="CP150" i="7"/>
  <c r="CO150" i="7"/>
  <c r="AW103" i="7"/>
  <c r="AW105" i="7"/>
  <c r="AV109" i="7"/>
  <c r="AV111" i="7"/>
  <c r="AV106" i="7"/>
  <c r="CI294" i="7"/>
  <c r="CJ290" i="7"/>
  <c r="BA103" i="7"/>
  <c r="BA105" i="7"/>
  <c r="AZ109" i="7"/>
  <c r="AZ111" i="7"/>
  <c r="AZ106" i="7"/>
  <c r="BT71" i="7"/>
  <c r="BT73" i="7"/>
  <c r="BS75" i="7"/>
  <c r="BO102" i="7"/>
  <c r="CB129" i="7"/>
  <c r="BY362" i="7"/>
  <c r="AR109" i="7"/>
  <c r="AR111" i="7"/>
  <c r="AR106" i="7"/>
  <c r="AS106" i="7"/>
  <c r="CI288" i="7"/>
  <c r="CH296" i="7"/>
  <c r="BS336" i="7"/>
  <c r="BT333" i="7"/>
  <c r="BT335" i="7"/>
  <c r="CK53" i="7"/>
  <c r="CL53" i="7"/>
  <c r="BG52" i="7"/>
  <c r="BG54" i="7"/>
  <c r="BI48" i="7"/>
  <c r="CI225" i="7"/>
  <c r="CH233" i="7"/>
  <c r="CP68" i="7"/>
  <c r="CD206" i="7"/>
  <c r="BX192" i="7"/>
  <c r="BY187" i="7"/>
  <c r="BZ167" i="56"/>
  <c r="CP145" i="7"/>
  <c r="CP149" i="7"/>
  <c r="CP151" i="7"/>
  <c r="CO149" i="7"/>
  <c r="CO151" i="7"/>
  <c r="BX208" i="7"/>
  <c r="BV212" i="7"/>
  <c r="BV214" i="7"/>
  <c r="CK127" i="7"/>
  <c r="BT70" i="7"/>
  <c r="BS74" i="7"/>
  <c r="BS76" i="7"/>
  <c r="CQ345" i="7"/>
  <c r="CA129" i="7"/>
  <c r="CC124" i="7"/>
  <c r="BY191" i="7"/>
  <c r="BZ189" i="7"/>
  <c r="BZ191" i="7"/>
  <c r="CA189" i="7"/>
  <c r="CA190" i="7"/>
  <c r="CA362" i="7"/>
  <c r="CP155" i="7"/>
  <c r="CP161" i="7"/>
  <c r="CO161" i="7"/>
  <c r="BX333" i="7"/>
  <c r="BX335" i="7"/>
  <c r="CB333" i="7"/>
  <c r="CB335" i="7"/>
  <c r="BV84" i="7"/>
  <c r="CM53" i="7"/>
  <c r="CN49" i="7"/>
  <c r="CN51" i="7"/>
  <c r="CH232" i="7"/>
  <c r="CI226" i="7"/>
  <c r="BO209" i="7"/>
  <c r="BN213" i="7"/>
  <c r="BN212" i="7"/>
  <c r="BN214" i="7"/>
  <c r="BX181" i="56"/>
  <c r="BX12" i="59" s="1"/>
  <c r="BX38" i="59" s="1"/>
  <c r="BY181" i="56"/>
  <c r="CB181" i="56" s="1"/>
  <c r="BZ181" i="56"/>
  <c r="BZ12" i="59"/>
  <c r="BZ38" i="59" s="1"/>
  <c r="BZ67" i="59" s="1"/>
  <c r="CF147" i="56"/>
  <c r="CF154" i="56"/>
  <c r="CF168" i="56" s="1"/>
  <c r="BB43" i="7"/>
  <c r="BD42" i="7"/>
  <c r="BE38" i="7"/>
  <c r="BE40" i="7"/>
  <c r="BD41" i="7"/>
  <c r="CF18" i="14"/>
  <c r="CF19" i="14" s="1"/>
  <c r="BU333" i="7"/>
  <c r="BU335" i="7"/>
  <c r="BT336" i="7"/>
  <c r="CO177" i="7"/>
  <c r="CN183" i="7"/>
  <c r="CM289" i="7"/>
  <c r="CK295" i="7"/>
  <c r="CJ226" i="7"/>
  <c r="CI232" i="7"/>
  <c r="BZ187" i="7"/>
  <c r="BY192" i="7"/>
  <c r="BY17" i="7"/>
  <c r="CE206" i="7"/>
  <c r="BU71" i="7"/>
  <c r="BU73" i="7"/>
  <c r="BT75" i="7"/>
  <c r="CH132" i="7"/>
  <c r="CF140" i="7"/>
  <c r="BR103" i="7"/>
  <c r="BR105" i="7"/>
  <c r="BN103" i="7"/>
  <c r="BN105" i="7"/>
  <c r="BF103" i="7"/>
  <c r="BF105" i="7"/>
  <c r="BE106" i="7"/>
  <c r="BE109" i="7"/>
  <c r="BE111" i="7"/>
  <c r="BT95" i="7"/>
  <c r="BT97" i="7"/>
  <c r="BS98" i="7"/>
  <c r="BX336" i="7"/>
  <c r="BY333" i="7"/>
  <c r="BY335" i="7"/>
  <c r="CC129" i="7"/>
  <c r="CD124" i="7"/>
  <c r="CL127" i="7"/>
  <c r="CL128" i="7"/>
  <c r="CK362" i="7"/>
  <c r="BJ103" i="7"/>
  <c r="BJ105" i="7"/>
  <c r="BI109" i="7"/>
  <c r="BX82" i="7"/>
  <c r="BX84" i="7"/>
  <c r="BV86" i="7"/>
  <c r="BV85" i="7"/>
  <c r="BV87" i="7"/>
  <c r="BT74" i="7"/>
  <c r="BT76" i="7"/>
  <c r="BU70" i="7"/>
  <c r="BY208" i="7"/>
  <c r="BX212" i="7"/>
  <c r="BX214" i="7"/>
  <c r="BX17" i="7"/>
  <c r="CB190" i="7"/>
  <c r="CB191" i="7"/>
  <c r="CJ114" i="7"/>
  <c r="CI120" i="7"/>
  <c r="BP336" i="7"/>
  <c r="BR336" i="7"/>
  <c r="BQ333" i="7"/>
  <c r="BQ335" i="7"/>
  <c r="BQ336" i="7"/>
  <c r="BG340" i="7"/>
  <c r="BF344" i="7"/>
  <c r="BI349" i="7"/>
  <c r="BI351" i="7"/>
  <c r="BJ349" i="7"/>
  <c r="BJ350" i="7"/>
  <c r="BH351" i="7"/>
  <c r="BM349" i="7"/>
  <c r="BG352" i="7"/>
  <c r="BH352" i="7"/>
  <c r="CE69" i="7"/>
  <c r="CN53" i="7"/>
  <c r="CO49" i="7"/>
  <c r="CO51" i="7"/>
  <c r="BI52" i="7"/>
  <c r="BI54" i="7"/>
  <c r="BJ48" i="7"/>
  <c r="BB103" i="7"/>
  <c r="BB105" i="7"/>
  <c r="BA109" i="7"/>
  <c r="BA111" i="7"/>
  <c r="BA106" i="7"/>
  <c r="BO211" i="7"/>
  <c r="BO210" i="7"/>
  <c r="BO362" i="7"/>
  <c r="CG333" i="7"/>
  <c r="CG335" i="7"/>
  <c r="CC333" i="7"/>
  <c r="CC335" i="7"/>
  <c r="CK128" i="7"/>
  <c r="CJ225" i="7"/>
  <c r="CI233" i="7"/>
  <c r="CJ288" i="7"/>
  <c r="CI296" i="7"/>
  <c r="BP102" i="7"/>
  <c r="CJ294" i="7"/>
  <c r="CK290" i="7"/>
  <c r="AW109" i="7"/>
  <c r="AW111" i="7"/>
  <c r="AW106" i="7"/>
  <c r="AX106" i="7"/>
  <c r="CC81" i="7"/>
  <c r="CA280" i="7"/>
  <c r="BZ285" i="7"/>
  <c r="CN35" i="7"/>
  <c r="CA79" i="7"/>
  <c r="CK207" i="7"/>
  <c r="CJ213" i="7"/>
  <c r="CF181" i="56"/>
  <c r="CF12" i="59" s="1"/>
  <c r="CF38" i="59" s="1"/>
  <c r="CF33" i="56"/>
  <c r="BE41" i="7"/>
  <c r="BE42" i="7"/>
  <c r="BF38" i="7"/>
  <c r="BF40" i="7"/>
  <c r="BD43" i="7"/>
  <c r="CG12" i="56"/>
  <c r="CP49" i="7"/>
  <c r="CP51" i="7"/>
  <c r="CO53" i="7"/>
  <c r="BG344" i="7"/>
  <c r="BI340" i="7"/>
  <c r="BK103" i="7"/>
  <c r="BK105" i="7"/>
  <c r="BJ109" i="7"/>
  <c r="BU95" i="7"/>
  <c r="BU97" i="7"/>
  <c r="BT98" i="7"/>
  <c r="CC280" i="7"/>
  <c r="CA285" i="7"/>
  <c r="CC336" i="7"/>
  <c r="CD333" i="7"/>
  <c r="CD335" i="7"/>
  <c r="BJ52" i="7"/>
  <c r="BJ54" i="7"/>
  <c r="BK48" i="7"/>
  <c r="BX19" i="7"/>
  <c r="BV70" i="7"/>
  <c r="BV74" i="7"/>
  <c r="BV76" i="7"/>
  <c r="BU74" i="7"/>
  <c r="BU76" i="7"/>
  <c r="BY82" i="7"/>
  <c r="BY84" i="7"/>
  <c r="BX86" i="7"/>
  <c r="BX85" i="7"/>
  <c r="BX87" i="7"/>
  <c r="BY336" i="7"/>
  <c r="BZ333" i="7"/>
  <c r="BZ335" i="7"/>
  <c r="CH140" i="7"/>
  <c r="CI132" i="7"/>
  <c r="BV71" i="7"/>
  <c r="BV73" i="7"/>
  <c r="BU75" i="7"/>
  <c r="BZ192" i="7"/>
  <c r="BZ17" i="7"/>
  <c r="BZ19" i="7"/>
  <c r="CA187" i="7"/>
  <c r="CK226" i="7"/>
  <c r="CJ232" i="7"/>
  <c r="CC79" i="7"/>
  <c r="BP209" i="7"/>
  <c r="BO213" i="7"/>
  <c r="BO212" i="7"/>
  <c r="BO214" i="7"/>
  <c r="CG189" i="7"/>
  <c r="CG191" i="7"/>
  <c r="CC189" i="7"/>
  <c r="CC191" i="7"/>
  <c r="CD189" i="7"/>
  <c r="CD191" i="7"/>
  <c r="CE189" i="7"/>
  <c r="CE191" i="7"/>
  <c r="CF189" i="7"/>
  <c r="CF191" i="7"/>
  <c r="CN289" i="7"/>
  <c r="CM295" i="7"/>
  <c r="CD81" i="7"/>
  <c r="BQ102" i="7"/>
  <c r="CJ233" i="7"/>
  <c r="CK225" i="7"/>
  <c r="CH333" i="7"/>
  <c r="CH335" i="7"/>
  <c r="CL333" i="7"/>
  <c r="CL335" i="7"/>
  <c r="CF69" i="7"/>
  <c r="BJ351" i="7"/>
  <c r="BM350" i="7"/>
  <c r="BJ362" i="7"/>
  <c r="CM126" i="7"/>
  <c r="CM128" i="7"/>
  <c r="CN126" i="7"/>
  <c r="CN128" i="7"/>
  <c r="CO126" i="7"/>
  <c r="CO128" i="7"/>
  <c r="CP126" i="7"/>
  <c r="CQ126" i="7"/>
  <c r="BO103" i="7"/>
  <c r="BO105" i="7"/>
  <c r="BN106" i="7"/>
  <c r="BN109" i="7"/>
  <c r="CO183" i="7"/>
  <c r="CP177" i="7"/>
  <c r="CP183" i="7"/>
  <c r="CB285" i="7"/>
  <c r="CK288" i="7"/>
  <c r="CJ296" i="7"/>
  <c r="BB106" i="7"/>
  <c r="BC106" i="7"/>
  <c r="BB109" i="7"/>
  <c r="BB111" i="7"/>
  <c r="CK114" i="7"/>
  <c r="CJ120" i="7"/>
  <c r="BY212" i="7"/>
  <c r="BY214" i="7"/>
  <c r="BZ208" i="7"/>
  <c r="BG103" i="7"/>
  <c r="BG105" i="7"/>
  <c r="BF106" i="7"/>
  <c r="BF109" i="7"/>
  <c r="BF111" i="7"/>
  <c r="BU336" i="7"/>
  <c r="BV333" i="7"/>
  <c r="BV335" i="7"/>
  <c r="BV336" i="7"/>
  <c r="CM207" i="7"/>
  <c r="CK213" i="7"/>
  <c r="CO35" i="7"/>
  <c r="CM290" i="7"/>
  <c r="CK294" i="7"/>
  <c r="CE124" i="7"/>
  <c r="CD129" i="7"/>
  <c r="BW103" i="7"/>
  <c r="BW105" i="7"/>
  <c r="BS103" i="7"/>
  <c r="BS105" i="7"/>
  <c r="CF206" i="7"/>
  <c r="CG33" i="56"/>
  <c r="CG199" i="56"/>
  <c r="CG18" i="14"/>
  <c r="CG19" i="14" s="1"/>
  <c r="BF41" i="7"/>
  <c r="BF42" i="7"/>
  <c r="BG38" i="7"/>
  <c r="BE43" i="7"/>
  <c r="CG155" i="56"/>
  <c r="CG169" i="56" s="1"/>
  <c r="CH206" i="7"/>
  <c r="CM294" i="7"/>
  <c r="CN290" i="7"/>
  <c r="CN207" i="7"/>
  <c r="CM213" i="7"/>
  <c r="CK296" i="7"/>
  <c r="CM288" i="7"/>
  <c r="CM225" i="7"/>
  <c r="CK233" i="7"/>
  <c r="CP53" i="7"/>
  <c r="CQ53" i="7"/>
  <c r="BS106" i="7"/>
  <c r="BT103" i="7"/>
  <c r="BT105" i="7"/>
  <c r="CF124" i="7"/>
  <c r="CE129" i="7"/>
  <c r="CA208" i="7"/>
  <c r="BZ212" i="7"/>
  <c r="BZ214" i="7"/>
  <c r="BJ352" i="7"/>
  <c r="BK349" i="7"/>
  <c r="BK351" i="7"/>
  <c r="CO289" i="7"/>
  <c r="CN295" i="7"/>
  <c r="BK52" i="7"/>
  <c r="BK54" i="7"/>
  <c r="BL48" i="7"/>
  <c r="BV95" i="7"/>
  <c r="BU98" i="7"/>
  <c r="CK120" i="7"/>
  <c r="CM114" i="7"/>
  <c r="BP103" i="7"/>
  <c r="BP105" i="7"/>
  <c r="BO106" i="7"/>
  <c r="BO109" i="7"/>
  <c r="CJ132" i="7"/>
  <c r="CI140" i="7"/>
  <c r="BI344" i="7"/>
  <c r="BJ340" i="7"/>
  <c r="CB103" i="7"/>
  <c r="CB105" i="7"/>
  <c r="BX103" i="7"/>
  <c r="BX105" i="7"/>
  <c r="CP35" i="7"/>
  <c r="BG106" i="7"/>
  <c r="BH106" i="7"/>
  <c r="BG109" i="7"/>
  <c r="BG111" i="7"/>
  <c r="CH69" i="7"/>
  <c r="CQ333" i="7"/>
  <c r="CQ335" i="7"/>
  <c r="CM333" i="7"/>
  <c r="CM335" i="7"/>
  <c r="CE81" i="7"/>
  <c r="BP210" i="7"/>
  <c r="BP362" i="7"/>
  <c r="CM226" i="7"/>
  <c r="CK232" i="7"/>
  <c r="BZ336" i="7"/>
  <c r="CA333" i="7"/>
  <c r="CA335" i="7"/>
  <c r="CA336" i="7"/>
  <c r="BZ82" i="7"/>
  <c r="BZ84" i="7"/>
  <c r="BY86" i="7"/>
  <c r="BY85" i="7"/>
  <c r="BY87" i="7"/>
  <c r="CC285" i="7"/>
  <c r="CD280" i="7"/>
  <c r="CD79" i="7"/>
  <c r="BW336" i="7"/>
  <c r="CP127" i="7"/>
  <c r="CP128" i="7"/>
  <c r="CI333" i="7"/>
  <c r="CI335" i="7"/>
  <c r="CH336" i="7"/>
  <c r="BS102" i="7"/>
  <c r="CL189" i="7"/>
  <c r="CL191" i="7"/>
  <c r="CH189" i="7"/>
  <c r="CH191" i="7"/>
  <c r="CI189" i="7"/>
  <c r="CI191" i="7"/>
  <c r="CJ189" i="7"/>
  <c r="CJ191" i="7"/>
  <c r="CK189" i="7"/>
  <c r="CK191" i="7"/>
  <c r="CC187" i="7"/>
  <c r="CA192" i="7"/>
  <c r="BX71" i="7"/>
  <c r="BX73" i="7"/>
  <c r="BX70" i="7"/>
  <c r="BV75" i="7"/>
  <c r="CD336" i="7"/>
  <c r="CE333" i="7"/>
  <c r="CE335" i="7"/>
  <c r="BL103" i="7"/>
  <c r="BL105" i="7"/>
  <c r="BK109" i="7"/>
  <c r="BI38" i="7"/>
  <c r="BI40" i="7"/>
  <c r="BG40" i="7"/>
  <c r="BF43" i="7"/>
  <c r="BL349" i="7"/>
  <c r="BL351" i="7"/>
  <c r="BK352" i="7"/>
  <c r="CN213" i="7"/>
  <c r="CO207" i="7"/>
  <c r="CF333" i="7"/>
  <c r="CF335" i="7"/>
  <c r="CF336" i="7"/>
  <c r="CE336" i="7"/>
  <c r="CG336" i="7"/>
  <c r="CC192" i="7"/>
  <c r="CD187" i="7"/>
  <c r="BT102" i="7"/>
  <c r="BS109" i="7"/>
  <c r="CD285" i="7"/>
  <c r="CE280" i="7"/>
  <c r="CB336" i="7"/>
  <c r="BP211" i="7"/>
  <c r="BY103" i="7"/>
  <c r="BY105" i="7"/>
  <c r="BX106" i="7"/>
  <c r="BQ103" i="7"/>
  <c r="BQ105" i="7"/>
  <c r="BP106" i="7"/>
  <c r="BP109" i="7"/>
  <c r="CF129" i="7"/>
  <c r="CH124" i="7"/>
  <c r="CN288" i="7"/>
  <c r="CM296" i="7"/>
  <c r="CO290" i="7"/>
  <c r="CN294" i="7"/>
  <c r="BL106" i="7"/>
  <c r="BM106" i="7"/>
  <c r="BL109" i="7"/>
  <c r="CQ127" i="7"/>
  <c r="CQ128" i="7"/>
  <c r="BY70" i="7"/>
  <c r="BX74" i="7"/>
  <c r="BX76" i="7"/>
  <c r="CE79" i="7"/>
  <c r="CF81" i="7"/>
  <c r="CC103" i="7"/>
  <c r="CC105" i="7"/>
  <c r="CG103" i="7"/>
  <c r="CG105" i="7"/>
  <c r="CJ140" i="7"/>
  <c r="CK132" i="7"/>
  <c r="CN114" i="7"/>
  <c r="CM120" i="7"/>
  <c r="BU103" i="7"/>
  <c r="BU105" i="7"/>
  <c r="BT106" i="7"/>
  <c r="CI206" i="7"/>
  <c r="CA17" i="7"/>
  <c r="CB192" i="7"/>
  <c r="CN333" i="7"/>
  <c r="CN335" i="7"/>
  <c r="CM336" i="7"/>
  <c r="BL52" i="7"/>
  <c r="BL54" i="7"/>
  <c r="BN48" i="7"/>
  <c r="CM233" i="7"/>
  <c r="CN225" i="7"/>
  <c r="BY71" i="7"/>
  <c r="BY73" i="7"/>
  <c r="BX75" i="7"/>
  <c r="CM189" i="7"/>
  <c r="CQ189" i="7"/>
  <c r="CI336" i="7"/>
  <c r="CJ333" i="7"/>
  <c r="CJ335" i="7"/>
  <c r="CA82" i="7"/>
  <c r="CA84" i="7"/>
  <c r="BZ86" i="7"/>
  <c r="BZ85" i="7"/>
  <c r="BZ87" i="7"/>
  <c r="CM232" i="7"/>
  <c r="CN226" i="7"/>
  <c r="CI69" i="7"/>
  <c r="BJ344" i="7"/>
  <c r="BK340" i="7"/>
  <c r="BV97" i="7"/>
  <c r="BW95" i="7"/>
  <c r="BW97" i="7"/>
  <c r="CO295" i="7"/>
  <c r="CP289" i="7"/>
  <c r="CP295" i="7"/>
  <c r="CA212" i="7"/>
  <c r="CA214" i="7"/>
  <c r="CC208" i="7"/>
  <c r="CC147" i="56"/>
  <c r="CD147" i="56"/>
  <c r="CD154" i="56"/>
  <c r="CD181" i="56" s="1"/>
  <c r="CD12" i="59" s="1"/>
  <c r="CD38" i="59" s="1"/>
  <c r="CD67" i="59" s="1"/>
  <c r="CE147" i="56"/>
  <c r="CE154" i="56"/>
  <c r="CJ168" i="56" s="1"/>
  <c r="CD153" i="56"/>
  <c r="CD180" i="56"/>
  <c r="CD11" i="59" s="1"/>
  <c r="CE153" i="56"/>
  <c r="CJ167" i="56" s="1"/>
  <c r="BG42" i="7"/>
  <c r="BH42" i="7"/>
  <c r="BG41" i="7"/>
  <c r="BI42" i="7"/>
  <c r="BJ38" i="7"/>
  <c r="BJ40" i="7"/>
  <c r="BI41" i="7"/>
  <c r="CE167" i="56"/>
  <c r="CC82" i="7"/>
  <c r="CC84" i="7"/>
  <c r="CA86" i="7"/>
  <c r="CA85" i="7"/>
  <c r="CA87" i="7"/>
  <c r="CJ206" i="7"/>
  <c r="CK140" i="7"/>
  <c r="CM132" i="7"/>
  <c r="CF79" i="7"/>
  <c r="CD208" i="7"/>
  <c r="CC212" i="7"/>
  <c r="CC214" i="7"/>
  <c r="CJ336" i="7"/>
  <c r="CL336" i="7"/>
  <c r="CK333" i="7"/>
  <c r="CK335" i="7"/>
  <c r="CK336" i="7"/>
  <c r="CN336" i="7"/>
  <c r="CO333" i="7"/>
  <c r="CO335" i="7"/>
  <c r="CH81" i="7"/>
  <c r="CH129" i="7"/>
  <c r="CI124" i="7"/>
  <c r="CE285" i="7"/>
  <c r="CF280" i="7"/>
  <c r="CE187" i="7"/>
  <c r="CD192" i="7"/>
  <c r="CD17" i="7"/>
  <c r="CP207" i="7"/>
  <c r="CP213" i="7"/>
  <c r="CO213" i="7"/>
  <c r="BL340" i="7"/>
  <c r="BK344" i="7"/>
  <c r="BU102" i="7"/>
  <c r="BT109" i="7"/>
  <c r="BV98" i="7"/>
  <c r="BW98" i="7"/>
  <c r="BX95" i="7"/>
  <c r="BX97" i="7"/>
  <c r="CJ69" i="7"/>
  <c r="BZ71" i="7"/>
  <c r="BZ73" i="7"/>
  <c r="BY75" i="7"/>
  <c r="BO48" i="7"/>
  <c r="BN52" i="7"/>
  <c r="BN54" i="7"/>
  <c r="CH103" i="7"/>
  <c r="CH105" i="7"/>
  <c r="CL103" i="7"/>
  <c r="CL105" i="7"/>
  <c r="CO294" i="7"/>
  <c r="CP290" i="7"/>
  <c r="CP294" i="7"/>
  <c r="BY106" i="7"/>
  <c r="BZ103" i="7"/>
  <c r="BZ105" i="7"/>
  <c r="CC17" i="7"/>
  <c r="CG129" i="7"/>
  <c r="CO226" i="7"/>
  <c r="CN232" i="7"/>
  <c r="CM190" i="7"/>
  <c r="CO288" i="7"/>
  <c r="CN296" i="7"/>
  <c r="BQ106" i="7"/>
  <c r="BR106" i="7"/>
  <c r="BQ109" i="7"/>
  <c r="BM351" i="7"/>
  <c r="BR349" i="7"/>
  <c r="BL352" i="7"/>
  <c r="BM352" i="7"/>
  <c r="CO225" i="7"/>
  <c r="CN233" i="7"/>
  <c r="CB17" i="7"/>
  <c r="BU106" i="7"/>
  <c r="BV103" i="7"/>
  <c r="BV105" i="7"/>
  <c r="BV106" i="7"/>
  <c r="CN120" i="7"/>
  <c r="CO114" i="7"/>
  <c r="CD103" i="7"/>
  <c r="CD105" i="7"/>
  <c r="CC106" i="7"/>
  <c r="BY74" i="7"/>
  <c r="BY76" i="7"/>
  <c r="BZ70" i="7"/>
  <c r="BQ209" i="7"/>
  <c r="BP213" i="7"/>
  <c r="BP212" i="7"/>
  <c r="BP214" i="7"/>
  <c r="CE181" i="56"/>
  <c r="CE12" i="59" s="1"/>
  <c r="CE168" i="56"/>
  <c r="CE180" i="56"/>
  <c r="CE11" i="59" s="1"/>
  <c r="CE37" i="59" s="1"/>
  <c r="CO153" i="56"/>
  <c r="CT153" i="56" s="1"/>
  <c r="CY153" i="56" s="1"/>
  <c r="DD153" i="56" s="1"/>
  <c r="CM153" i="56"/>
  <c r="CR153" i="56" s="1"/>
  <c r="CW153" i="56" s="1"/>
  <c r="DB153" i="56" s="1"/>
  <c r="BI43" i="7"/>
  <c r="BJ41" i="7"/>
  <c r="BJ42" i="7"/>
  <c r="BK38" i="7"/>
  <c r="BK40" i="7"/>
  <c r="BG43" i="7"/>
  <c r="CI103" i="7"/>
  <c r="CI105" i="7"/>
  <c r="CH106" i="7"/>
  <c r="BY95" i="7"/>
  <c r="BY97" i="7"/>
  <c r="BX98" i="7"/>
  <c r="BV102" i="7"/>
  <c r="BU109" i="7"/>
  <c r="CI129" i="7"/>
  <c r="CJ124" i="7"/>
  <c r="CN132" i="7"/>
  <c r="CM140" i="7"/>
  <c r="BQ210" i="7"/>
  <c r="CQ190" i="7"/>
  <c r="CQ191" i="7"/>
  <c r="CM362" i="7"/>
  <c r="CA103" i="7"/>
  <c r="CA105" i="7"/>
  <c r="CA106" i="7"/>
  <c r="BZ106" i="7"/>
  <c r="BL344" i="7"/>
  <c r="BN340" i="7"/>
  <c r="CE192" i="7"/>
  <c r="CF187" i="7"/>
  <c r="CK206" i="7"/>
  <c r="CD106" i="7"/>
  <c r="CE103" i="7"/>
  <c r="CE105" i="7"/>
  <c r="BW106" i="7"/>
  <c r="CM191" i="7"/>
  <c r="CN189" i="7"/>
  <c r="CN191" i="7"/>
  <c r="CO189" i="7"/>
  <c r="CO191" i="7"/>
  <c r="CP189" i="7"/>
  <c r="CP191" i="7"/>
  <c r="CM103" i="7"/>
  <c r="CM105" i="7"/>
  <c r="CQ103" i="7"/>
  <c r="CQ105" i="7"/>
  <c r="BO52" i="7"/>
  <c r="BO54" i="7"/>
  <c r="BP48" i="7"/>
  <c r="CK69" i="7"/>
  <c r="CF285" i="7"/>
  <c r="CG285" i="7"/>
  <c r="CH280" i="7"/>
  <c r="CI81" i="7"/>
  <c r="CH79" i="7"/>
  <c r="CD82" i="7"/>
  <c r="CD84" i="7"/>
  <c r="CC86" i="7"/>
  <c r="CC85" i="7"/>
  <c r="CC87" i="7"/>
  <c r="BZ74" i="7"/>
  <c r="BZ76" i="7"/>
  <c r="CA70" i="7"/>
  <c r="CP114" i="7"/>
  <c r="CP120" i="7"/>
  <c r="CO120" i="7"/>
  <c r="CO233" i="7"/>
  <c r="CP225" i="7"/>
  <c r="CP233" i="7"/>
  <c r="CC19" i="7"/>
  <c r="CP333" i="7"/>
  <c r="CP335" i="7"/>
  <c r="CP336" i="7"/>
  <c r="CO336" i="7"/>
  <c r="CP288" i="7"/>
  <c r="CP296" i="7"/>
  <c r="CO296" i="7"/>
  <c r="CO232" i="7"/>
  <c r="CP226" i="7"/>
  <c r="CP232" i="7"/>
  <c r="CA71" i="7"/>
  <c r="CA73" i="7"/>
  <c r="BZ75" i="7"/>
  <c r="CD212" i="7"/>
  <c r="CD214" i="7"/>
  <c r="CE208" i="7"/>
  <c r="CO154" i="56"/>
  <c r="CT154" i="56" s="1"/>
  <c r="CY154" i="56" s="1"/>
  <c r="DD154" i="56" s="1"/>
  <c r="CN154" i="56"/>
  <c r="CS154" i="56" s="1"/>
  <c r="CX154" i="56" s="1"/>
  <c r="DC154" i="56" s="1"/>
  <c r="CB106" i="7"/>
  <c r="BJ43" i="7"/>
  <c r="BK42" i="7"/>
  <c r="BK41" i="7"/>
  <c r="BL38" i="7"/>
  <c r="BL40" i="7"/>
  <c r="CC71" i="7"/>
  <c r="CC73" i="7"/>
  <c r="CC70" i="7"/>
  <c r="CA75" i="7"/>
  <c r="CI79" i="7"/>
  <c r="CH285" i="7"/>
  <c r="CI280" i="7"/>
  <c r="BQ48" i="7"/>
  <c r="BP52" i="7"/>
  <c r="BP54" i="7"/>
  <c r="CF103" i="7"/>
  <c r="CF105" i="7"/>
  <c r="CF106" i="7"/>
  <c r="CE106" i="7"/>
  <c r="CE17" i="7"/>
  <c r="BY98" i="7"/>
  <c r="BZ95" i="7"/>
  <c r="BZ97" i="7"/>
  <c r="BN344" i="7"/>
  <c r="BO340" i="7"/>
  <c r="CO132" i="7"/>
  <c r="CN140" i="7"/>
  <c r="BX102" i="7"/>
  <c r="BV109" i="7"/>
  <c r="CI106" i="7"/>
  <c r="CJ103" i="7"/>
  <c r="CJ105" i="7"/>
  <c r="CM206" i="7"/>
  <c r="BS210" i="7"/>
  <c r="BQ362" i="7"/>
  <c r="CK124" i="7"/>
  <c r="CJ129" i="7"/>
  <c r="CF208" i="7"/>
  <c r="CE212" i="7"/>
  <c r="CE214" i="7"/>
  <c r="CQ336" i="7"/>
  <c r="CA74" i="7"/>
  <c r="CA76" i="7"/>
  <c r="CE82" i="7"/>
  <c r="CE84" i="7"/>
  <c r="CD86" i="7"/>
  <c r="CD85" i="7"/>
  <c r="CD87" i="7"/>
  <c r="CJ81" i="7"/>
  <c r="CM69" i="7"/>
  <c r="CM106" i="7"/>
  <c r="CN103" i="7"/>
  <c r="CN105" i="7"/>
  <c r="CH187" i="7"/>
  <c r="CF192" i="7"/>
  <c r="CF17" i="7"/>
  <c r="BQ211" i="7"/>
  <c r="BK43" i="7"/>
  <c r="CG106" i="7"/>
  <c r="BL41" i="7"/>
  <c r="BL42" i="7"/>
  <c r="BN38" i="7"/>
  <c r="BN40" i="7"/>
  <c r="CG192" i="7"/>
  <c r="BS209" i="7"/>
  <c r="BS213" i="7"/>
  <c r="BQ213" i="7"/>
  <c r="BQ212" i="7"/>
  <c r="BQ214" i="7"/>
  <c r="CI187" i="7"/>
  <c r="CH192" i="7"/>
  <c r="CK81" i="7"/>
  <c r="CO140" i="7"/>
  <c r="CP132" i="7"/>
  <c r="CP140" i="7"/>
  <c r="CJ280" i="7"/>
  <c r="CI285" i="7"/>
  <c r="CN69" i="7"/>
  <c r="CK129" i="7"/>
  <c r="CM124" i="7"/>
  <c r="CN206" i="7"/>
  <c r="BP340" i="7"/>
  <c r="BO344" i="7"/>
  <c r="BZ98" i="7"/>
  <c r="CA95" i="7"/>
  <c r="CC74" i="7"/>
  <c r="CC76" i="7"/>
  <c r="CD70" i="7"/>
  <c r="CJ106" i="7"/>
  <c r="CK103" i="7"/>
  <c r="CK105" i="7"/>
  <c r="CK106" i="7"/>
  <c r="BY102" i="7"/>
  <c r="BX109" i="7"/>
  <c r="CD71" i="7"/>
  <c r="CD73" i="7"/>
  <c r="CC75" i="7"/>
  <c r="CF18" i="7"/>
  <c r="CF19" i="7" s="1"/>
  <c r="CN106" i="7"/>
  <c r="CO103" i="7"/>
  <c r="CO105" i="7"/>
  <c r="CF82" i="7"/>
  <c r="CF84" i="7"/>
  <c r="CE86" i="7"/>
  <c r="CE85" i="7"/>
  <c r="CE87" i="7"/>
  <c r="CF212" i="7"/>
  <c r="CF214" i="7"/>
  <c r="CH208" i="7"/>
  <c r="CG17" i="7"/>
  <c r="BQ52" i="7"/>
  <c r="BQ54" i="7"/>
  <c r="BS48" i="7"/>
  <c r="CJ79" i="7"/>
  <c r="CH18" i="14"/>
  <c r="CH19" i="14" s="1"/>
  <c r="CI18" i="14"/>
  <c r="CL106" i="7"/>
  <c r="BO38" i="7"/>
  <c r="BO40" i="7"/>
  <c r="BN41" i="7"/>
  <c r="BN42" i="7"/>
  <c r="BM42" i="7"/>
  <c r="BL43" i="7"/>
  <c r="CO106" i="7"/>
  <c r="CP103" i="7"/>
  <c r="CP105" i="7"/>
  <c r="CP106" i="7"/>
  <c r="BQ340" i="7"/>
  <c r="BP344" i="7"/>
  <c r="CJ285" i="7"/>
  <c r="CK280" i="7"/>
  <c r="CE71" i="7"/>
  <c r="CE73" i="7"/>
  <c r="CD75" i="7"/>
  <c r="CD74" i="7"/>
  <c r="CD76" i="7"/>
  <c r="CE70" i="7"/>
  <c r="CB95" i="7"/>
  <c r="CB97" i="7"/>
  <c r="CA97" i="7"/>
  <c r="CJ187" i="7"/>
  <c r="CI192" i="7"/>
  <c r="CI17" i="7"/>
  <c r="CK79" i="7"/>
  <c r="BZ102" i="7"/>
  <c r="BY109" i="7"/>
  <c r="CO206" i="7"/>
  <c r="CO69" i="7"/>
  <c r="CM81" i="7"/>
  <c r="BS52" i="7"/>
  <c r="BS54" i="7"/>
  <c r="BT48" i="7"/>
  <c r="CH212" i="7"/>
  <c r="CH214" i="7"/>
  <c r="CI208" i="7"/>
  <c r="CH82" i="7"/>
  <c r="CH84" i="7"/>
  <c r="CF86" i="7"/>
  <c r="CF85" i="7"/>
  <c r="CF87" i="7"/>
  <c r="CM129" i="7"/>
  <c r="CN124" i="7"/>
  <c r="CL129" i="7"/>
  <c r="BO41" i="7"/>
  <c r="BO42" i="7"/>
  <c r="BP38" i="7"/>
  <c r="BP40" i="7"/>
  <c r="CQ106" i="7"/>
  <c r="BN43" i="7"/>
  <c r="CJ208" i="7"/>
  <c r="CI212" i="7"/>
  <c r="CI214" i="7"/>
  <c r="BU48" i="7"/>
  <c r="BT52" i="7"/>
  <c r="BT54" i="7"/>
  <c r="CP69" i="7"/>
  <c r="CJ192" i="7"/>
  <c r="CK187" i="7"/>
  <c r="CK285" i="7"/>
  <c r="CM280" i="7"/>
  <c r="BQ344" i="7"/>
  <c r="BS340" i="7"/>
  <c r="CP206" i="7"/>
  <c r="CE74" i="7"/>
  <c r="CE76" i="7"/>
  <c r="CF70" i="7"/>
  <c r="CO124" i="7"/>
  <c r="CN129" i="7"/>
  <c r="CM79" i="7"/>
  <c r="CC95" i="7"/>
  <c r="CC97" i="7"/>
  <c r="CA98" i="7"/>
  <c r="CB98" i="7"/>
  <c r="CL285" i="7"/>
  <c r="CI82" i="7"/>
  <c r="CI84" i="7"/>
  <c r="CH86" i="7"/>
  <c r="CH85" i="7"/>
  <c r="CH87" i="7"/>
  <c r="CN81" i="7"/>
  <c r="CA102" i="7"/>
  <c r="CC102" i="7"/>
  <c r="CD102" i="7"/>
  <c r="CE102" i="7"/>
  <c r="CF102" i="7"/>
  <c r="CH102" i="7"/>
  <c r="CI102" i="7"/>
  <c r="CJ102" i="7"/>
  <c r="CK102" i="7"/>
  <c r="CM102" i="7"/>
  <c r="CN102" i="7"/>
  <c r="CO102" i="7"/>
  <c r="CP102" i="7"/>
  <c r="BZ109" i="7"/>
  <c r="CF71" i="7"/>
  <c r="CF73" i="7"/>
  <c r="CE75" i="7"/>
  <c r="BO43" i="7"/>
  <c r="BP41" i="7"/>
  <c r="BP42" i="7"/>
  <c r="BQ38" i="7"/>
  <c r="BQ40" i="7"/>
  <c r="CC109" i="7"/>
  <c r="CD95" i="7"/>
  <c r="CD97" i="7"/>
  <c r="CC98" i="7"/>
  <c r="CN280" i="7"/>
  <c r="CM285" i="7"/>
  <c r="CH18" i="7"/>
  <c r="CA109" i="7"/>
  <c r="CO129" i="7"/>
  <c r="CP124" i="7"/>
  <c r="CP129" i="7"/>
  <c r="CJ212" i="7"/>
  <c r="CJ214" i="7"/>
  <c r="CK208" i="7"/>
  <c r="CN79" i="7"/>
  <c r="CF74" i="7"/>
  <c r="CF76" i="7"/>
  <c r="BT340" i="7"/>
  <c r="BS344" i="7"/>
  <c r="CM187" i="7"/>
  <c r="CK192" i="7"/>
  <c r="CH70" i="7"/>
  <c r="CH71" i="7"/>
  <c r="CH73" i="7"/>
  <c r="CF75" i="7"/>
  <c r="CO81" i="7"/>
  <c r="CJ82" i="7"/>
  <c r="CJ84" i="7"/>
  <c r="CI86" i="7"/>
  <c r="CI85" i="7"/>
  <c r="CI87" i="7"/>
  <c r="BU52" i="7"/>
  <c r="BU54" i="7"/>
  <c r="BV48" i="7"/>
  <c r="BX149" i="56"/>
  <c r="BY149" i="56"/>
  <c r="BZ149" i="56"/>
  <c r="CA149" i="56"/>
  <c r="CC149" i="56"/>
  <c r="CD149" i="56"/>
  <c r="CE149" i="56"/>
  <c r="BS38" i="7"/>
  <c r="BS40" i="7"/>
  <c r="BQ42" i="7"/>
  <c r="BQ41" i="7"/>
  <c r="BP43" i="7"/>
  <c r="BX48" i="7"/>
  <c r="BV52" i="7"/>
  <c r="BV54" i="7"/>
  <c r="CH74" i="7"/>
  <c r="CH76" i="7"/>
  <c r="CI70" i="7"/>
  <c r="BT344" i="7"/>
  <c r="BU340" i="7"/>
  <c r="CM208" i="7"/>
  <c r="CK212" i="7"/>
  <c r="CK214" i="7"/>
  <c r="CL192" i="7"/>
  <c r="CE95" i="7"/>
  <c r="CE97" i="7"/>
  <c r="CD109" i="7"/>
  <c r="CD98" i="7"/>
  <c r="CK82" i="7"/>
  <c r="CK84" i="7"/>
  <c r="CJ86" i="7"/>
  <c r="CJ85" i="7"/>
  <c r="CJ87" i="7"/>
  <c r="CM192" i="7"/>
  <c r="CN187" i="7"/>
  <c r="CO280" i="7"/>
  <c r="CN285" i="7"/>
  <c r="CP81" i="7"/>
  <c r="CQ129" i="7"/>
  <c r="CI71" i="7"/>
  <c r="CI73" i="7"/>
  <c r="CH75" i="7"/>
  <c r="CO79" i="7"/>
  <c r="BQ43" i="7"/>
  <c r="BR42" i="7"/>
  <c r="BS41" i="7"/>
  <c r="BS42" i="7"/>
  <c r="BT38" i="7"/>
  <c r="BT40" i="7"/>
  <c r="CN192" i="7"/>
  <c r="CO187" i="7"/>
  <c r="CM82" i="7"/>
  <c r="CM84" i="7"/>
  <c r="CK86" i="7"/>
  <c r="CK85" i="7"/>
  <c r="CK87" i="7"/>
  <c r="CM212" i="7"/>
  <c r="CM214" i="7"/>
  <c r="CN208" i="7"/>
  <c r="BU344" i="7"/>
  <c r="BV340" i="7"/>
  <c r="CJ71" i="7"/>
  <c r="CJ73" i="7"/>
  <c r="CI75" i="7"/>
  <c r="BY48" i="7"/>
  <c r="BX52" i="7"/>
  <c r="BX54" i="7"/>
  <c r="CP79" i="7"/>
  <c r="CO285" i="7"/>
  <c r="CP280" i="7"/>
  <c r="CP285" i="7"/>
  <c r="CF95" i="7"/>
  <c r="CE98" i="7"/>
  <c r="CE109" i="7"/>
  <c r="CI74" i="7"/>
  <c r="CI76" i="7"/>
  <c r="CJ70" i="7"/>
  <c r="BU38" i="7"/>
  <c r="BU40" i="7"/>
  <c r="BT42" i="7"/>
  <c r="BT41" i="7"/>
  <c r="BS43" i="7"/>
  <c r="CG95" i="7"/>
  <c r="CG97" i="7"/>
  <c r="CF97" i="7"/>
  <c r="CO208" i="7"/>
  <c r="CN212" i="7"/>
  <c r="CN214" i="7"/>
  <c r="CJ74" i="7"/>
  <c r="CJ76" i="7"/>
  <c r="CK70" i="7"/>
  <c r="CK74" i="7"/>
  <c r="CK76" i="7"/>
  <c r="BY52" i="7"/>
  <c r="BY54" i="7"/>
  <c r="BZ48" i="7"/>
  <c r="CQ285" i="7"/>
  <c r="CK71" i="7"/>
  <c r="CK73" i="7"/>
  <c r="CJ75" i="7"/>
  <c r="CO192" i="7"/>
  <c r="CP187" i="7"/>
  <c r="CP192" i="7"/>
  <c r="BX340" i="7"/>
  <c r="BV344" i="7"/>
  <c r="CN82" i="7"/>
  <c r="CN84" i="7"/>
  <c r="CM86" i="7"/>
  <c r="CM85" i="7"/>
  <c r="CM87" i="7"/>
  <c r="BT43" i="7"/>
  <c r="BU41" i="7"/>
  <c r="BU42" i="7"/>
  <c r="BV38" i="7"/>
  <c r="BV40" i="7"/>
  <c r="CF98" i="7"/>
  <c r="CG98" i="7"/>
  <c r="CF109" i="7"/>
  <c r="CH95" i="7"/>
  <c r="CH97" i="7"/>
  <c r="CQ192" i="7"/>
  <c r="CM70" i="7"/>
  <c r="CM71" i="7"/>
  <c r="CM73" i="7"/>
  <c r="CK75" i="7"/>
  <c r="BZ52" i="7"/>
  <c r="BZ54" i="7"/>
  <c r="CA48" i="7"/>
  <c r="CO82" i="7"/>
  <c r="CO84" i="7"/>
  <c r="CN86" i="7"/>
  <c r="CN85" i="7"/>
  <c r="CN87" i="7"/>
  <c r="BX344" i="7"/>
  <c r="BY340" i="7"/>
  <c r="CO212" i="7"/>
  <c r="CO214" i="7"/>
  <c r="CP208" i="7"/>
  <c r="CP212" i="7"/>
  <c r="CP214" i="7"/>
  <c r="BX38" i="7"/>
  <c r="BX40" i="7"/>
  <c r="BV42" i="7"/>
  <c r="BW42" i="7"/>
  <c r="BV41" i="7"/>
  <c r="BU43" i="7"/>
  <c r="CN71" i="7"/>
  <c r="CN73" i="7"/>
  <c r="CM75" i="7"/>
  <c r="CI95" i="7"/>
  <c r="CI97" i="7"/>
  <c r="CH98" i="7"/>
  <c r="CH109" i="7"/>
  <c r="CC48" i="7"/>
  <c r="CA52" i="7"/>
  <c r="CA54" i="7"/>
  <c r="CN70" i="7"/>
  <c r="CM74" i="7"/>
  <c r="CM76" i="7"/>
  <c r="BY344" i="7"/>
  <c r="BZ340" i="7"/>
  <c r="CP82" i="7"/>
  <c r="CP84" i="7"/>
  <c r="CO86" i="7"/>
  <c r="CO85" i="7"/>
  <c r="CO87" i="7"/>
  <c r="BV43" i="7"/>
  <c r="BX41" i="7"/>
  <c r="BX42" i="7"/>
  <c r="BY38" i="7"/>
  <c r="BY40" i="7"/>
  <c r="CI109" i="7"/>
  <c r="CJ95" i="7"/>
  <c r="CJ97" i="7"/>
  <c r="CI98" i="7"/>
  <c r="CP86" i="7"/>
  <c r="CP85" i="7"/>
  <c r="CP87" i="7"/>
  <c r="CN74" i="7"/>
  <c r="CN76" i="7"/>
  <c r="CO70" i="7"/>
  <c r="BZ344" i="7"/>
  <c r="CA340" i="7"/>
  <c r="CO71" i="7"/>
  <c r="CO73" i="7"/>
  <c r="CN75" i="7"/>
  <c r="CC52" i="7"/>
  <c r="CC54" i="7"/>
  <c r="CD48" i="7"/>
  <c r="BY42" i="7"/>
  <c r="BZ38" i="7"/>
  <c r="BZ40" i="7"/>
  <c r="BY41" i="7"/>
  <c r="BX43" i="7"/>
  <c r="CP71" i="7"/>
  <c r="CP73" i="7"/>
  <c r="CP75" i="7"/>
  <c r="CO75" i="7"/>
  <c r="CK95" i="7"/>
  <c r="CJ109" i="7"/>
  <c r="CJ98" i="7"/>
  <c r="CD52" i="7"/>
  <c r="CD54" i="7"/>
  <c r="CE48" i="7"/>
  <c r="CA344" i="7"/>
  <c r="CC340" i="7"/>
  <c r="CO74" i="7"/>
  <c r="CO76" i="7"/>
  <c r="CP70" i="7"/>
  <c r="CP74" i="7"/>
  <c r="CP76" i="7"/>
  <c r="BZ41" i="7"/>
  <c r="CA38" i="7"/>
  <c r="CA40" i="7"/>
  <c r="BZ42" i="7"/>
  <c r="BY43" i="7"/>
  <c r="CF48" i="7"/>
  <c r="CE52" i="7"/>
  <c r="CE54" i="7"/>
  <c r="CC344" i="7"/>
  <c r="CD340" i="7"/>
  <c r="CL95" i="7"/>
  <c r="CL97" i="7"/>
  <c r="CK97" i="7"/>
  <c r="BZ43" i="7"/>
  <c r="CA41" i="7"/>
  <c r="CC38" i="7"/>
  <c r="CC40" i="7"/>
  <c r="CA42" i="7"/>
  <c r="CB42" i="7"/>
  <c r="CM95" i="7"/>
  <c r="CM97" i="7"/>
  <c r="CK109" i="7"/>
  <c r="CK98" i="7"/>
  <c r="CL98" i="7"/>
  <c r="CD344" i="7"/>
  <c r="CE340" i="7"/>
  <c r="CH48" i="7"/>
  <c r="CF52" i="7"/>
  <c r="CF54" i="7"/>
  <c r="CA43" i="7"/>
  <c r="CC42" i="7"/>
  <c r="CD38" i="7"/>
  <c r="CD40" i="7"/>
  <c r="CC41" i="7"/>
  <c r="CE344" i="7"/>
  <c r="CF340" i="7"/>
  <c r="CN95" i="7"/>
  <c r="CN97" i="7"/>
  <c r="CM109" i="7"/>
  <c r="CM98" i="7"/>
  <c r="CI48" i="7"/>
  <c r="CH52" i="7"/>
  <c r="CH54" i="7"/>
  <c r="CC43" i="7"/>
  <c r="CD42" i="7"/>
  <c r="CD41" i="7"/>
  <c r="CE38" i="7"/>
  <c r="CE40" i="7"/>
  <c r="CH340" i="7"/>
  <c r="CF344" i="7"/>
  <c r="CI52" i="7"/>
  <c r="CI54" i="7"/>
  <c r="CJ48" i="7"/>
  <c r="CN109" i="7"/>
  <c r="CO95" i="7"/>
  <c r="CO97" i="7"/>
  <c r="CN98" i="7"/>
  <c r="CE42" i="7"/>
  <c r="CF38" i="7"/>
  <c r="CF40" i="7"/>
  <c r="CE41" i="7"/>
  <c r="CD43" i="7"/>
  <c r="CJ52" i="7"/>
  <c r="CJ54" i="7"/>
  <c r="CK48" i="7"/>
  <c r="CO98" i="7"/>
  <c r="CP95" i="7"/>
  <c r="CO109" i="7"/>
  <c r="CI340" i="7"/>
  <c r="CH344" i="7"/>
  <c r="CH38" i="7"/>
  <c r="CH40" i="7"/>
  <c r="CF41" i="7"/>
  <c r="CF42" i="7"/>
  <c r="CG42" i="7"/>
  <c r="CE43" i="7"/>
  <c r="CQ95" i="7"/>
  <c r="CQ97" i="7"/>
  <c r="CP97" i="7"/>
  <c r="CI344" i="7"/>
  <c r="CJ340" i="7"/>
  <c r="CM48" i="7"/>
  <c r="CK52" i="7"/>
  <c r="CK54" i="7"/>
  <c r="CH41" i="7"/>
  <c r="CH42" i="7"/>
  <c r="CI38" i="7"/>
  <c r="CI40" i="7"/>
  <c r="CF43" i="7"/>
  <c r="CJ344" i="7"/>
  <c r="CK340" i="7"/>
  <c r="CN48" i="7"/>
  <c r="CM52" i="7"/>
  <c r="CM54" i="7"/>
  <c r="CP109" i="7"/>
  <c r="CP98" i="7"/>
  <c r="CQ98" i="7"/>
  <c r="CH43" i="7"/>
  <c r="CI41" i="7"/>
  <c r="CJ38" i="7"/>
  <c r="CJ40" i="7"/>
  <c r="CI42" i="7"/>
  <c r="CK344" i="7"/>
  <c r="CM340" i="7"/>
  <c r="CN52" i="7"/>
  <c r="CN54" i="7"/>
  <c r="CO48" i="7"/>
  <c r="CI43" i="7"/>
  <c r="CF27" i="7"/>
  <c r="CJ42" i="7"/>
  <c r="CJ41" i="7"/>
  <c r="CK38" i="7"/>
  <c r="CK40" i="7"/>
  <c r="CO52" i="7"/>
  <c r="CO54" i="7"/>
  <c r="CP48" i="7"/>
  <c r="CP52" i="7"/>
  <c r="CP54" i="7"/>
  <c r="CN340" i="7"/>
  <c r="CM344" i="7"/>
  <c r="CM38" i="7"/>
  <c r="CM40" i="7"/>
  <c r="CK42" i="7"/>
  <c r="CL42" i="7"/>
  <c r="CK41" i="7"/>
  <c r="CJ43" i="7"/>
  <c r="CN344" i="7"/>
  <c r="CO340" i="7"/>
  <c r="CK43" i="7"/>
  <c r="CM41" i="7"/>
  <c r="CN38" i="7"/>
  <c r="CN40" i="7"/>
  <c r="CM42" i="7"/>
  <c r="CO344" i="7"/>
  <c r="CP340" i="7"/>
  <c r="CP344" i="7"/>
  <c r="CN41" i="7"/>
  <c r="CN42" i="7"/>
  <c r="CO38" i="7"/>
  <c r="CO40" i="7"/>
  <c r="CM43" i="7"/>
  <c r="CN43" i="7"/>
  <c r="CO42" i="7"/>
  <c r="CO41" i="7"/>
  <c r="CP38" i="7"/>
  <c r="CP40" i="7"/>
  <c r="CO43" i="7"/>
  <c r="CP42" i="7"/>
  <c r="CQ42" i="7"/>
  <c r="CP41" i="7"/>
  <c r="CP43" i="7"/>
  <c r="CF10" i="14"/>
  <c r="CG10" i="14"/>
  <c r="CF42" i="5"/>
  <c r="CG40" i="14"/>
  <c r="CG42" i="5"/>
  <c r="BJ46" i="66"/>
  <c r="CF40" i="14"/>
  <c r="CF12" i="7"/>
  <c r="CF9" i="7"/>
  <c r="CG9" i="7" s="1"/>
  <c r="BJ55" i="66"/>
  <c r="CF149" i="56"/>
  <c r="CC38" i="5"/>
  <c r="CE38" i="5"/>
  <c r="CC41" i="5"/>
  <c r="CE41" i="5"/>
  <c r="CE43" i="5" s="1"/>
  <c r="CF41" i="5"/>
  <c r="CH27" i="7"/>
  <c r="CF132" i="56"/>
  <c r="CF134" i="56"/>
  <c r="CF153" i="56"/>
  <c r="CF180" i="56" s="1"/>
  <c r="CF11" i="59" s="1"/>
  <c r="CG122" i="56"/>
  <c r="CG134" i="56"/>
  <c r="CG143" i="56"/>
  <c r="CF143" i="56"/>
  <c r="CH9" i="7"/>
  <c r="CI8" i="7" s="1"/>
  <c r="CH12" i="7"/>
  <c r="CH1" i="59"/>
  <c r="CH10" i="14"/>
  <c r="CH40" i="14"/>
  <c r="CH42" i="14" s="1"/>
  <c r="CH43" i="14" s="1"/>
  <c r="AS1" i="33"/>
  <c r="CA10" i="57"/>
  <c r="CF11" i="57"/>
  <c r="CF10" i="57" s="1"/>
  <c r="DD29" i="59"/>
  <c r="CY29" i="59"/>
  <c r="BY42" i="14"/>
  <c r="CC42" i="14"/>
  <c r="BA42" i="14"/>
  <c r="BO83" i="56"/>
  <c r="BO90" i="56" s="1"/>
  <c r="BF43" i="33"/>
  <c r="CB99" i="56"/>
  <c r="CL73" i="56"/>
  <c r="BF28" i="14"/>
  <c r="CC99" i="56"/>
  <c r="CA17" i="11"/>
  <c r="AM8" i="14"/>
  <c r="CG87" i="56"/>
  <c r="CD76" i="56"/>
  <c r="BL97" i="56"/>
  <c r="W39" i="33" s="1"/>
  <c r="BJ108" i="56"/>
  <c r="AX42" i="14"/>
  <c r="BN109" i="56"/>
  <c r="BU99" i="56"/>
  <c r="BS19" i="14"/>
  <c r="AY42" i="14"/>
  <c r="BO99" i="56"/>
  <c r="AM28" i="33"/>
  <c r="AM54" i="33" s="1"/>
  <c r="BO69" i="56"/>
  <c r="BO108" i="56" s="1"/>
  <c r="BX90" i="56"/>
  <c r="BT83" i="56"/>
  <c r="BT91" i="56" s="1"/>
  <c r="CG90" i="56"/>
  <c r="BD15" i="14"/>
  <c r="BP109" i="56"/>
  <c r="BZ99" i="56"/>
  <c r="BV128" i="56"/>
  <c r="CD109" i="56"/>
  <c r="BK15" i="11"/>
  <c r="AD43" i="33"/>
  <c r="BP69" i="56"/>
  <c r="CC11" i="14"/>
  <c r="BY90" i="56"/>
  <c r="CF42" i="14"/>
  <c r="CG11" i="14"/>
  <c r="CF109" i="56"/>
  <c r="CF99" i="56"/>
  <c r="BU76" i="56"/>
  <c r="BU118" i="56"/>
  <c r="BU71" i="56"/>
  <c r="BU137" i="56"/>
  <c r="BJ99" i="56"/>
  <c r="BO13" i="59"/>
  <c r="BO38" i="59"/>
  <c r="BJ141" i="56"/>
  <c r="BX42" i="14"/>
  <c r="CB87" i="56"/>
  <c r="BW87" i="56"/>
  <c r="CF91" i="56"/>
  <c r="CG91" i="56" s="1"/>
  <c r="CG73" i="56"/>
  <c r="BJ109" i="56"/>
  <c r="BJ97" i="56"/>
  <c r="U39" i="33" s="1"/>
  <c r="T28" i="33"/>
  <c r="T54" i="33" s="1"/>
  <c r="AV42" i="14"/>
  <c r="AV43" i="14" s="1"/>
  <c r="H28" i="33"/>
  <c r="H54" i="33" s="1"/>
  <c r="CF76" i="56"/>
  <c r="CE42" i="14"/>
  <c r="BV71" i="56"/>
  <c r="BV77" i="56" s="1"/>
  <c r="CC76" i="56"/>
  <c r="CD141" i="56"/>
  <c r="T11" i="14"/>
  <c r="CA119" i="56"/>
  <c r="BL101" i="56"/>
  <c r="BZ119" i="56"/>
  <c r="BI37" i="59"/>
  <c r="AZ11" i="14"/>
  <c r="CH141" i="56"/>
  <c r="CL141" i="56" s="1"/>
  <c r="CH109" i="56"/>
  <c r="CH76" i="56"/>
  <c r="CH99" i="56"/>
  <c r="AQ37" i="59"/>
  <c r="AQ13" i="59"/>
  <c r="BX141" i="56"/>
  <c r="CB141" i="56" s="1"/>
  <c r="BX99" i="56"/>
  <c r="BX109" i="56"/>
  <c r="BN76" i="56"/>
  <c r="BN97" i="56"/>
  <c r="Y39" i="33" s="1"/>
  <c r="BN108" i="56"/>
  <c r="BB37" i="59"/>
  <c r="BB32" i="14" s="1"/>
  <c r="AT19" i="14"/>
  <c r="BS69" i="56"/>
  <c r="BS99" i="56"/>
  <c r="BS141" i="56"/>
  <c r="BK141" i="56"/>
  <c r="BP99" i="56"/>
  <c r="BM73" i="56"/>
  <c r="BK69" i="56"/>
  <c r="BK109" i="56"/>
  <c r="BO76" i="56"/>
  <c r="BO118" i="56" s="1"/>
  <c r="BU91" i="56"/>
  <c r="BJ38" i="59"/>
  <c r="AU19" i="14"/>
  <c r="BT141" i="56"/>
  <c r="BT99" i="56"/>
  <c r="BY99" i="56"/>
  <c r="BT69" i="56"/>
  <c r="BR73" i="56"/>
  <c r="BQ99" i="56"/>
  <c r="BQ141" i="56"/>
  <c r="BQ69" i="56"/>
  <c r="BQ109" i="56"/>
  <c r="BG70" i="59"/>
  <c r="BK83" i="56"/>
  <c r="BM87" i="56"/>
  <c r="BR87" i="56"/>
  <c r="BP83" i="56"/>
  <c r="BU85" i="56"/>
  <c r="AQ17" i="59"/>
  <c r="BX76" i="56"/>
  <c r="CB76" i="56" s="1"/>
  <c r="CB118" i="56" s="1"/>
  <c r="BF28" i="5"/>
  <c r="BK99" i="56"/>
  <c r="BP19" i="14"/>
  <c r="BR42" i="14"/>
  <c r="BR43" i="14" s="1"/>
  <c r="BB15" i="14"/>
  <c r="AK8" i="14"/>
  <c r="AW19" i="14"/>
  <c r="BI19" i="14"/>
  <c r="BW42" i="14"/>
  <c r="BI43" i="5"/>
  <c r="BF11" i="14"/>
  <c r="AF64" i="7"/>
  <c r="AS9" i="11"/>
  <c r="AS16" i="11" s="1"/>
  <c r="AG65" i="7"/>
  <c r="AG361" i="7"/>
  <c r="CG18" i="5"/>
  <c r="CG38" i="5" s="1"/>
  <c r="CF24" i="11"/>
  <c r="BN11" i="14"/>
  <c r="CE11" i="11"/>
  <c r="CJ25" i="11" s="1"/>
  <c r="P43" i="33"/>
  <c r="CC9" i="11"/>
  <c r="BH13" i="5"/>
  <c r="CC17" i="11"/>
  <c r="AG23" i="7"/>
  <c r="AG26" i="7" s="1"/>
  <c r="AG28" i="7" s="1"/>
  <c r="BY11" i="11"/>
  <c r="AO11" i="11"/>
  <c r="AT25" i="11" s="1"/>
  <c r="AD9" i="7"/>
  <c r="AH11" i="7"/>
  <c r="AL11" i="7"/>
  <c r="AL13" i="7" s="1"/>
  <c r="AH60" i="7"/>
  <c r="AH61" i="7" s="1"/>
  <c r="CD41" i="5"/>
  <c r="BE28" i="5"/>
  <c r="CF15" i="11"/>
  <c r="CE9" i="5"/>
  <c r="CE50" i="59"/>
  <c r="BN10" i="11"/>
  <c r="BZ38" i="5"/>
  <c r="CC43" i="5"/>
  <c r="CF21" i="11"/>
  <c r="CE23" i="11"/>
  <c r="CA15" i="11"/>
  <c r="AY25" i="11"/>
  <c r="AF43" i="33"/>
  <c r="BI15" i="11"/>
  <c r="BY16" i="11"/>
  <c r="AV16" i="11"/>
  <c r="AZ16" i="11"/>
  <c r="BS23" i="11"/>
  <c r="AZ23" i="11"/>
  <c r="CF22" i="11"/>
  <c r="W28" i="33"/>
  <c r="W54" i="33" s="1"/>
  <c r="AN11" i="14"/>
  <c r="CF9" i="11"/>
  <c r="CF9" i="5" s="1"/>
  <c r="CF17" i="11"/>
  <c r="AF61" i="7"/>
  <c r="BD15" i="5"/>
  <c r="BD18" i="5" s="1"/>
  <c r="BD41" i="5" s="1"/>
  <c r="BD43" i="5" s="1"/>
  <c r="AY18" i="11"/>
  <c r="BP41" i="5"/>
  <c r="BP43" i="5" s="1"/>
  <c r="BU25" i="11"/>
  <c r="BM9" i="7"/>
  <c r="AU23" i="11"/>
  <c r="AQ11" i="11"/>
  <c r="AH13" i="7"/>
  <c r="AN18" i="7"/>
  <c r="AS18" i="7"/>
  <c r="CD43" i="5"/>
  <c r="CD38" i="5"/>
  <c r="CG6" i="11"/>
  <c r="BP21" i="11"/>
  <c r="AV11" i="7"/>
  <c r="AV13" i="7" s="1"/>
  <c r="AO43" i="33"/>
  <c r="AX8" i="7"/>
  <c r="AV23" i="11"/>
  <c r="AQ16" i="11"/>
  <c r="AU11" i="11"/>
  <c r="BY38" i="5"/>
  <c r="BK9" i="11"/>
  <c r="BP23" i="11" s="1"/>
  <c r="AU16" i="11"/>
  <c r="BU43" i="5"/>
  <c r="AP11" i="7"/>
  <c r="AP13" i="7" s="1"/>
  <c r="AG28" i="33"/>
  <c r="AG54" i="33" s="1"/>
  <c r="AG43" i="33"/>
  <c r="I43" i="33"/>
  <c r="I28" i="33"/>
  <c r="I54" i="33" s="1"/>
  <c r="Y43" i="33"/>
  <c r="Y28" i="33"/>
  <c r="Y54" i="33" s="1"/>
  <c r="CB18" i="7"/>
  <c r="CC11" i="11"/>
  <c r="BH18" i="7"/>
  <c r="BR18" i="7"/>
  <c r="CD11" i="11"/>
  <c r="CD23" i="11"/>
  <c r="V43" i="33"/>
  <c r="V28" i="33"/>
  <c r="V54" i="33" s="1"/>
  <c r="BX21" i="11"/>
  <c r="BX15" i="11"/>
  <c r="BX9" i="11"/>
  <c r="BX17" i="11"/>
  <c r="BP16" i="11"/>
  <c r="BU23" i="11"/>
  <c r="BW9" i="7"/>
  <c r="BX8" i="7"/>
  <c r="AG60" i="7"/>
  <c r="AG64" i="7" s="1"/>
  <c r="AF63" i="7"/>
  <c r="AF65" i="7" s="1"/>
  <c r="AF17" i="7" s="1"/>
  <c r="AF19" i="7" s="1"/>
  <c r="AF23" i="7"/>
  <c r="AF26" i="7" s="1"/>
  <c r="AF28" i="7" s="1"/>
  <c r="AT18" i="11"/>
  <c r="Z43" i="33"/>
  <c r="Z28" i="33"/>
  <c r="Z54" i="33" s="1"/>
  <c r="AW15" i="11"/>
  <c r="AW22" i="11"/>
  <c r="AX7" i="11"/>
  <c r="BA11" i="11"/>
  <c r="BA16" i="11"/>
  <c r="BA23" i="11"/>
  <c r="CH19" i="7"/>
  <c r="E43" i="33"/>
  <c r="E54" i="33"/>
  <c r="AN43" i="33"/>
  <c r="AN28" i="33"/>
  <c r="AN54" i="33" s="1"/>
  <c r="AV18" i="11"/>
  <c r="AV25" i="11"/>
  <c r="AX10" i="11"/>
  <c r="AW17" i="11"/>
  <c r="BR9" i="7"/>
  <c r="BS8" i="7"/>
  <c r="AE28" i="7"/>
  <c r="BB11" i="14"/>
  <c r="CD17" i="11"/>
  <c r="CE11" i="14"/>
  <c r="CD15" i="11"/>
  <c r="CD21" i="11"/>
  <c r="BT42" i="14"/>
  <c r="CU29" i="59"/>
  <c r="CX25" i="59"/>
  <c r="CI38" i="5"/>
  <c r="CI41" i="5"/>
  <c r="CM29" i="59"/>
  <c r="CM25" i="59"/>
  <c r="BK42" i="14"/>
  <c r="BP42" i="14"/>
  <c r="BP43" i="14" s="1"/>
  <c r="BI42" i="14"/>
  <c r="BD42" i="14"/>
  <c r="AT42" i="14"/>
  <c r="AT43" i="14" s="1"/>
  <c r="BG42" i="14"/>
  <c r="BB42" i="14"/>
  <c r="AW42" i="14"/>
  <c r="BH42" i="14"/>
  <c r="CN11" i="57"/>
  <c r="CN10" i="57" s="1"/>
  <c r="BY19" i="14"/>
  <c r="CD19" i="14"/>
  <c r="AZ37" i="59"/>
  <c r="AZ66" i="59" s="1"/>
  <c r="AO46" i="59"/>
  <c r="X43" i="33"/>
  <c r="X28" i="33"/>
  <c r="X54" i="33" s="1"/>
  <c r="AB28" i="33"/>
  <c r="AB54" i="33" s="1"/>
  <c r="AB43" i="33"/>
  <c r="BA46" i="59"/>
  <c r="BA75" i="59" s="1"/>
  <c r="BN46" i="59"/>
  <c r="BN75" i="59" s="1"/>
  <c r="AQ38" i="59"/>
  <c r="BF35" i="14"/>
  <c r="Q43" i="33"/>
  <c r="Q28" i="33"/>
  <c r="Q54" i="33" s="1"/>
  <c r="BV46" i="59"/>
  <c r="BW21" i="59"/>
  <c r="AR70" i="59"/>
  <c r="AR35" i="14"/>
  <c r="BJ11" i="14"/>
  <c r="BO11" i="14"/>
  <c r="BE41" i="59"/>
  <c r="BE35" i="14" s="1"/>
  <c r="BU67" i="59"/>
  <c r="AV44" i="59"/>
  <c r="AV72" i="59" s="1"/>
  <c r="AW28" i="33"/>
  <c r="AW54" i="33" s="1"/>
  <c r="AW43" i="33"/>
  <c r="AQ28" i="33"/>
  <c r="AQ54" i="33" s="1"/>
  <c r="AI11" i="14"/>
  <c r="AR67" i="59"/>
  <c r="CA46" i="59"/>
  <c r="CA75" i="59" s="1"/>
  <c r="AH43" i="33"/>
  <c r="AH28" i="33"/>
  <c r="AH54" i="33" s="1"/>
  <c r="CH38" i="5"/>
  <c r="AP42" i="59"/>
  <c r="AP36" i="14" s="1"/>
  <c r="AA28" i="33"/>
  <c r="AA54" i="33" s="1"/>
  <c r="AA43" i="33"/>
  <c r="AC43" i="33"/>
  <c r="AC28" i="33"/>
  <c r="AC54" i="33" s="1"/>
  <c r="BG28" i="33"/>
  <c r="BG54" i="33" s="1"/>
  <c r="BG43" i="33"/>
  <c r="CH41" i="5"/>
  <c r="AV13" i="59"/>
  <c r="AP43" i="33"/>
  <c r="AP28" i="33"/>
  <c r="AP54" i="33" s="1"/>
  <c r="BD15" i="11"/>
  <c r="BD17" i="11"/>
  <c r="BD21" i="11"/>
  <c r="X8" i="14"/>
  <c r="U28" i="33"/>
  <c r="U54" i="33" s="1"/>
  <c r="U43" i="33"/>
  <c r="BI46" i="59"/>
  <c r="AS43" i="33"/>
  <c r="CO357" i="7"/>
  <c r="CN362" i="7"/>
  <c r="CN25" i="7"/>
  <c r="CH24" i="7"/>
  <c r="CI18" i="7"/>
  <c r="CK356" i="7"/>
  <c r="CK358" i="7"/>
  <c r="CJ359" i="7"/>
  <c r="CO186" i="56"/>
  <c r="CO21" i="59" s="1"/>
  <c r="CO46" i="59" s="1"/>
  <c r="CR186" i="56"/>
  <c r="CR21" i="59"/>
  <c r="CN186" i="56"/>
  <c r="CN21" i="59"/>
  <c r="CS17" i="56"/>
  <c r="CS186" i="56"/>
  <c r="CS21" i="59"/>
  <c r="CS46" i="59" s="1"/>
  <c r="CP17" i="56"/>
  <c r="CQ17" i="56" s="1"/>
  <c r="DE29" i="59"/>
  <c r="CZ29" i="59"/>
  <c r="BO91" i="56"/>
  <c r="BO97" i="56"/>
  <c r="Z39" i="33" s="1"/>
  <c r="BO67" i="59"/>
  <c r="BR69" i="56"/>
  <c r="CB90" i="56"/>
  <c r="BO33" i="14"/>
  <c r="AY43" i="14"/>
  <c r="BU77" i="56"/>
  <c r="BU10" i="14" s="1"/>
  <c r="BD43" i="14"/>
  <c r="BM141" i="56"/>
  <c r="BU138" i="56"/>
  <c r="BU139" i="56" s="1"/>
  <c r="BU143" i="56" s="1"/>
  <c r="CG76" i="56"/>
  <c r="CG118" i="56" s="1"/>
  <c r="BP76" i="56"/>
  <c r="BP118" i="56"/>
  <c r="BP120" i="56" s="1"/>
  <c r="BP108" i="56"/>
  <c r="BU97" i="56"/>
  <c r="AF39" i="33" s="1"/>
  <c r="BT90" i="56"/>
  <c r="BT85" i="56"/>
  <c r="CC43" i="14"/>
  <c r="BU128" i="56"/>
  <c r="BV120" i="56"/>
  <c r="CG99" i="56"/>
  <c r="CG109" i="56"/>
  <c r="BV137" i="56"/>
  <c r="BV138" i="56"/>
  <c r="BK90" i="56"/>
  <c r="BK91" i="56"/>
  <c r="BQ97" i="56"/>
  <c r="AB39" i="33" s="1"/>
  <c r="BQ76" i="56"/>
  <c r="BQ118" i="56" s="1"/>
  <c r="BQ108" i="56"/>
  <c r="BV97" i="56"/>
  <c r="AG39" i="33" s="1"/>
  <c r="BT97" i="56"/>
  <c r="AE39" i="33" s="1"/>
  <c r="BT76" i="56"/>
  <c r="BT118" i="56" s="1"/>
  <c r="BY97" i="56"/>
  <c r="AJ39" i="33" s="1"/>
  <c r="BT71" i="56"/>
  <c r="BK76" i="56"/>
  <c r="BK118" i="56" s="1"/>
  <c r="BP97" i="56"/>
  <c r="AA39" i="33" s="1"/>
  <c r="BK97" i="56"/>
  <c r="V39" i="33"/>
  <c r="BM69" i="56"/>
  <c r="BR97" i="56" s="1"/>
  <c r="AC39" i="33" s="1"/>
  <c r="BK108" i="56"/>
  <c r="BW141" i="56"/>
  <c r="BN118" i="56"/>
  <c r="BU106" i="56"/>
  <c r="BU112" i="56"/>
  <c r="AQ32" i="14"/>
  <c r="AQ66" i="59"/>
  <c r="BR99" i="56"/>
  <c r="BR109" i="56"/>
  <c r="BW99" i="56"/>
  <c r="BS76" i="56"/>
  <c r="BW76" i="56" s="1"/>
  <c r="BX97" i="56"/>
  <c r="AI39" i="33" s="1"/>
  <c r="BS71" i="56"/>
  <c r="BS77" i="56" s="1"/>
  <c r="BW69" i="56"/>
  <c r="BW97" i="56" s="1"/>
  <c r="BS97" i="56"/>
  <c r="AD39" i="33" s="1"/>
  <c r="BP90" i="56"/>
  <c r="BP91" i="56"/>
  <c r="BR83" i="56"/>
  <c r="BJ33" i="14"/>
  <c r="BJ67" i="59"/>
  <c r="BO128" i="56"/>
  <c r="BM99" i="56"/>
  <c r="BM109" i="56"/>
  <c r="BI66" i="59"/>
  <c r="BI32" i="14"/>
  <c r="BB66" i="59"/>
  <c r="BR108" i="56"/>
  <c r="CG41" i="5"/>
  <c r="BN18" i="5"/>
  <c r="BN41" i="5" s="1"/>
  <c r="BN43" i="5" s="1"/>
  <c r="BN17" i="11"/>
  <c r="BN24" i="11"/>
  <c r="CE18" i="11"/>
  <c r="CE25" i="11"/>
  <c r="BY25" i="11"/>
  <c r="BY18" i="11"/>
  <c r="AO18" i="11"/>
  <c r="CH23" i="11"/>
  <c r="CC9" i="5"/>
  <c r="CC50" i="59" s="1"/>
  <c r="CC16" i="11"/>
  <c r="BK16" i="11"/>
  <c r="AF362" i="7"/>
  <c r="BK11" i="11"/>
  <c r="BP25" i="11" s="1"/>
  <c r="AU18" i="11"/>
  <c r="AU25" i="11"/>
  <c r="CG17" i="11"/>
  <c r="AQ18" i="11"/>
  <c r="AS11" i="11"/>
  <c r="AS18" i="11" s="1"/>
  <c r="CH25" i="11"/>
  <c r="CC18" i="11"/>
  <c r="AX17" i="11"/>
  <c r="AX24" i="11"/>
  <c r="BA18" i="11"/>
  <c r="BA25" i="11"/>
  <c r="BX16" i="11"/>
  <c r="BX9" i="5"/>
  <c r="CA9" i="11"/>
  <c r="CC23" i="11"/>
  <c r="BX11" i="11"/>
  <c r="BX23" i="11"/>
  <c r="CD25" i="11"/>
  <c r="CD18" i="11"/>
  <c r="AX15" i="11"/>
  <c r="AX22" i="11"/>
  <c r="AF361" i="7"/>
  <c r="CS29" i="59"/>
  <c r="CR29" i="59"/>
  <c r="CW25" i="59"/>
  <c r="CR25" i="59"/>
  <c r="BG43" i="14"/>
  <c r="BE70" i="59"/>
  <c r="AZ32" i="14"/>
  <c r="BV75" i="59"/>
  <c r="AP71" i="59"/>
  <c r="CI24" i="7"/>
  <c r="CO25" i="7"/>
  <c r="CJ24" i="7"/>
  <c r="CO362" i="7"/>
  <c r="CP357" i="7"/>
  <c r="CJ17" i="7"/>
  <c r="CL358" i="7"/>
  <c r="CQ356" i="7"/>
  <c r="CK359" i="7"/>
  <c r="CK17" i="7"/>
  <c r="CM356" i="7"/>
  <c r="CM358" i="7"/>
  <c r="CI19" i="7"/>
  <c r="CR46" i="59"/>
  <c r="CN46" i="59"/>
  <c r="DC29" i="59"/>
  <c r="CX29" i="59"/>
  <c r="DB29" i="59"/>
  <c r="CW29" i="59"/>
  <c r="BU110" i="56"/>
  <c r="BU109" i="56"/>
  <c r="BU114" i="56"/>
  <c r="BU119" i="56"/>
  <c r="BU111" i="56"/>
  <c r="BU108" i="56"/>
  <c r="BR76" i="56"/>
  <c r="BR118" i="56" s="1"/>
  <c r="BV139" i="56"/>
  <c r="BV143" i="56" s="1"/>
  <c r="CB97" i="56"/>
  <c r="BS118" i="56"/>
  <c r="BS128" i="56" s="1"/>
  <c r="BM76" i="56"/>
  <c r="BM118" i="56" s="1"/>
  <c r="BK101" i="56"/>
  <c r="BS138" i="56"/>
  <c r="BS137" i="56"/>
  <c r="BW71" i="56"/>
  <c r="BM97" i="56"/>
  <c r="X39" i="33" s="1"/>
  <c r="BM108" i="56"/>
  <c r="BN128" i="56"/>
  <c r="BN119" i="56"/>
  <c r="BT137" i="56"/>
  <c r="BT77" i="56"/>
  <c r="BT112" i="56" s="1"/>
  <c r="BT138" i="56"/>
  <c r="CA9" i="5"/>
  <c r="CA50" i="59" s="1"/>
  <c r="CA11" i="11"/>
  <c r="CA16" i="11"/>
  <c r="BX50" i="59"/>
  <c r="BX12" i="5"/>
  <c r="BX18" i="11"/>
  <c r="CC25" i="11"/>
  <c r="CP25" i="7"/>
  <c r="CP362" i="7"/>
  <c r="CR357" i="7"/>
  <c r="CQ357" i="7"/>
  <c r="CN356" i="7"/>
  <c r="CN358" i="7"/>
  <c r="CM359" i="7"/>
  <c r="CL17" i="7"/>
  <c r="CK18" i="7"/>
  <c r="CK19" i="7" s="1"/>
  <c r="CL359" i="7"/>
  <c r="BT139" i="56"/>
  <c r="BT143" i="56" s="1"/>
  <c r="BT106" i="56"/>
  <c r="BT114" i="56"/>
  <c r="BT10" i="14"/>
  <c r="BT11" i="14" s="1"/>
  <c r="BT109" i="56"/>
  <c r="BT108" i="56"/>
  <c r="BW138" i="56"/>
  <c r="BX119" i="56"/>
  <c r="BW137" i="56"/>
  <c r="BW124" i="56" s="1"/>
  <c r="BT111" i="56"/>
  <c r="CB9" i="5"/>
  <c r="CB50" i="59" s="1"/>
  <c r="BX36" i="5"/>
  <c r="BX19" i="5"/>
  <c r="CA18" i="11"/>
  <c r="CK24" i="7"/>
  <c r="CI27" i="7"/>
  <c r="CS357" i="7"/>
  <c r="CR25" i="7"/>
  <c r="CR362" i="7"/>
  <c r="CM17" i="7"/>
  <c r="CJ18" i="7"/>
  <c r="CJ19" i="7" s="1"/>
  <c r="CO356" i="7"/>
  <c r="CO358" i="7"/>
  <c r="CN359" i="7"/>
  <c r="CN17" i="7"/>
  <c r="CT357" i="7"/>
  <c r="CS362" i="7"/>
  <c r="CS25" i="7"/>
  <c r="CL24" i="7"/>
  <c r="CM24" i="7"/>
  <c r="CN18" i="7"/>
  <c r="CN19" i="7" s="1"/>
  <c r="CO359" i="7"/>
  <c r="CO17" i="7"/>
  <c r="CP356" i="7"/>
  <c r="CP358" i="7"/>
  <c r="CT25" i="7"/>
  <c r="CU357" i="7"/>
  <c r="CT362" i="7"/>
  <c r="CN24" i="7"/>
  <c r="CQ358" i="7"/>
  <c r="CV356" i="7"/>
  <c r="CP359" i="7"/>
  <c r="CR356" i="7"/>
  <c r="CR358" i="7"/>
  <c r="CM18" i="7"/>
  <c r="CM19" i="7" s="1"/>
  <c r="CO18" i="7"/>
  <c r="CO19" i="7" s="1"/>
  <c r="CU362" i="7"/>
  <c r="CU25" i="7"/>
  <c r="CT24" i="7"/>
  <c r="CT112" i="1"/>
  <c r="CV357" i="7"/>
  <c r="CO24" i="7"/>
  <c r="CR24" i="7"/>
  <c r="CR112" i="1"/>
  <c r="CR359" i="7"/>
  <c r="CS356" i="7"/>
  <c r="CS358" i="7"/>
  <c r="CP17" i="7"/>
  <c r="CQ359" i="7"/>
  <c r="CS24" i="7"/>
  <c r="CS112" i="1"/>
  <c r="CP24" i="7"/>
  <c r="CQ17" i="7"/>
  <c r="CT356" i="7"/>
  <c r="CT358" i="7"/>
  <c r="CS359" i="7"/>
  <c r="CS17" i="7"/>
  <c r="CS18" i="7"/>
  <c r="CR17" i="7"/>
  <c r="CQ24" i="7"/>
  <c r="CU356" i="7"/>
  <c r="CU358" i="7"/>
  <c r="CT359" i="7"/>
  <c r="CT17" i="7"/>
  <c r="CT18" i="7"/>
  <c r="CP18" i="7"/>
  <c r="CP19" i="7" s="1"/>
  <c r="CV358" i="7"/>
  <c r="CU359" i="7"/>
  <c r="CU17" i="7"/>
  <c r="CR18" i="7"/>
  <c r="CV359" i="7"/>
  <c r="CV17" i="7"/>
  <c r="CU18" i="7"/>
  <c r="CJ27" i="7"/>
  <c r="CK27" i="7"/>
  <c r="CL115" i="1"/>
  <c r="CI12" i="7"/>
  <c r="CI10" i="14"/>
  <c r="CI40" i="14"/>
  <c r="CI42" i="14" s="1"/>
  <c r="CI9" i="7"/>
  <c r="CJ8" i="7" s="1"/>
  <c r="AT24" i="33"/>
  <c r="AY24" i="33" s="1"/>
  <c r="CG11" i="57"/>
  <c r="CG10" i="57" s="1"/>
  <c r="CL11" i="57"/>
  <c r="CL10" i="57" s="1"/>
  <c r="CQ11" i="57"/>
  <c r="CQ10" i="57" s="1"/>
  <c r="CA33" i="14" l="1"/>
  <c r="CA67" i="59"/>
  <c r="BK66" i="59"/>
  <c r="BK32" i="14"/>
  <c r="AY67" i="59"/>
  <c r="AY33" i="14"/>
  <c r="BQ66" i="59"/>
  <c r="BQ32" i="14"/>
  <c r="BA39" i="59"/>
  <c r="BA33" i="14"/>
  <c r="BA67" i="59"/>
  <c r="BK19" i="14"/>
  <c r="BF19" i="14"/>
  <c r="BP33" i="14"/>
  <c r="CD168" i="56"/>
  <c r="BY12" i="59"/>
  <c r="BY38" i="59" s="1"/>
  <c r="BY33" i="14" s="1"/>
  <c r="BQ33" i="56"/>
  <c r="AW181" i="56"/>
  <c r="BG158" i="56"/>
  <c r="BG184" i="56" s="1"/>
  <c r="BG16" i="59" s="1"/>
  <c r="BG159" i="56"/>
  <c r="BS155" i="56"/>
  <c r="BD33" i="56"/>
  <c r="BE169" i="56"/>
  <c r="BL153" i="56"/>
  <c r="BL154" i="56"/>
  <c r="BS33" i="56"/>
  <c r="CH181" i="56"/>
  <c r="CH12" i="59" s="1"/>
  <c r="CH38" i="59" s="1"/>
  <c r="BA13" i="59"/>
  <c r="BY180" i="56"/>
  <c r="BY11" i="59" s="1"/>
  <c r="BY37" i="59" s="1"/>
  <c r="BU169" i="56"/>
  <c r="BN11" i="59"/>
  <c r="BN37" i="59" s="1"/>
  <c r="BN66" i="59" s="1"/>
  <c r="BJ169" i="56"/>
  <c r="BF168" i="56"/>
  <c r="BS153" i="56"/>
  <c r="BX167" i="56" s="1"/>
  <c r="BZ19" i="14"/>
  <c r="BI169" i="56"/>
  <c r="BG21" i="14"/>
  <c r="BM12" i="56"/>
  <c r="BG19" i="56"/>
  <c r="BH12" i="56"/>
  <c r="BG155" i="56"/>
  <c r="BL169" i="56" s="1"/>
  <c r="BD153" i="56"/>
  <c r="BD155" i="56"/>
  <c r="BD169" i="56" s="1"/>
  <c r="BG154" i="56"/>
  <c r="CF167" i="56"/>
  <c r="CD167" i="56"/>
  <c r="BZ168" i="56"/>
  <c r="AY168" i="56"/>
  <c r="AX180" i="56"/>
  <c r="BV12" i="56"/>
  <c r="BA168" i="56"/>
  <c r="BX33" i="56"/>
  <c r="BS154" i="56"/>
  <c r="BX168" i="56" s="1"/>
  <c r="BD154" i="56"/>
  <c r="BG18" i="14"/>
  <c r="BL19" i="14" s="1"/>
  <c r="BE19" i="14"/>
  <c r="BD19" i="14"/>
  <c r="AN164" i="1"/>
  <c r="AD68" i="1"/>
  <c r="AD25" i="1"/>
  <c r="AA59" i="1"/>
  <c r="AA62" i="1" s="1"/>
  <c r="AF83" i="1"/>
  <c r="AA21" i="1"/>
  <c r="AF84" i="1" s="1"/>
  <c r="AA83" i="1"/>
  <c r="X65" i="1"/>
  <c r="X16" i="1"/>
  <c r="X151" i="1"/>
  <c r="Y151" i="1" s="1"/>
  <c r="W154" i="1"/>
  <c r="AC147" i="1"/>
  <c r="AD147" i="1" s="1"/>
  <c r="AB148" i="1"/>
  <c r="AR133" i="1"/>
  <c r="AR124" i="1"/>
  <c r="AC14" i="1"/>
  <c r="AC72" i="1"/>
  <c r="AC127" i="1"/>
  <c r="AC75" i="1"/>
  <c r="BJ80" i="1"/>
  <c r="BE16" i="1"/>
  <c r="BE80" i="1"/>
  <c r="AI80" i="1"/>
  <c r="AD75" i="59"/>
  <c r="AD80" i="1"/>
  <c r="AD72" i="59"/>
  <c r="AD65" i="1"/>
  <c r="AD71" i="59"/>
  <c r="CG12" i="1"/>
  <c r="CF128" i="1"/>
  <c r="CG128" i="1" s="1"/>
  <c r="CF129" i="1"/>
  <c r="CF130" i="1"/>
  <c r="CC25" i="1"/>
  <c r="CC84" i="1"/>
  <c r="CC68" i="1"/>
  <c r="CH84" i="1"/>
  <c r="S147" i="1"/>
  <c r="R148" i="1"/>
  <c r="BL145" i="1"/>
  <c r="BK164" i="1"/>
  <c r="BK172" i="1"/>
  <c r="X147" i="1"/>
  <c r="W148" i="1"/>
  <c r="AN147" i="1"/>
  <c r="AN148" i="1" s="1"/>
  <c r="AM148" i="1"/>
  <c r="T151" i="1"/>
  <c r="S154" i="1"/>
  <c r="V186" i="1"/>
  <c r="Z167" i="1"/>
  <c r="Z86" i="1"/>
  <c r="S69" i="1"/>
  <c r="S28" i="1"/>
  <c r="AJ86" i="1"/>
  <c r="AO86" i="1"/>
  <c r="R132" i="1"/>
  <c r="R82" i="1"/>
  <c r="R66" i="1"/>
  <c r="AY82" i="1"/>
  <c r="BD82" i="1"/>
  <c r="AY163" i="1"/>
  <c r="AY166" i="1" s="1"/>
  <c r="AY168" i="1" s="1"/>
  <c r="AY66" i="1"/>
  <c r="AY134" i="1"/>
  <c r="BF59" i="1"/>
  <c r="BF62" i="1" s="1"/>
  <c r="BK83" i="1"/>
  <c r="BF67" i="1"/>
  <c r="BC80" i="1"/>
  <c r="BC65" i="1"/>
  <c r="BC16" i="1"/>
  <c r="BC167" i="1" s="1"/>
  <c r="AG154" i="1"/>
  <c r="AH150" i="1"/>
  <c r="AV172" i="1"/>
  <c r="AW145" i="1"/>
  <c r="CG18" i="7"/>
  <c r="AF131" i="1"/>
  <c r="AF69" i="1"/>
  <c r="AB134" i="1"/>
  <c r="AB132" i="1"/>
  <c r="AB66" i="1"/>
  <c r="O134" i="1"/>
  <c r="O132" i="1"/>
  <c r="AL132" i="1"/>
  <c r="AL66" i="1"/>
  <c r="AL163" i="1"/>
  <c r="AF68" i="1"/>
  <c r="AF76" i="1"/>
  <c r="AD83" i="1"/>
  <c r="AD59" i="1"/>
  <c r="AD67" i="1"/>
  <c r="BV28" i="1"/>
  <c r="BV131" i="1"/>
  <c r="AT82" i="1"/>
  <c r="AT163" i="1"/>
  <c r="AT66" i="1"/>
  <c r="AT134" i="1"/>
  <c r="BH9" i="7"/>
  <c r="BI8" i="7"/>
  <c r="S131" i="1"/>
  <c r="X80" i="1"/>
  <c r="AE85" i="1"/>
  <c r="Z69" i="1"/>
  <c r="Z85" i="1"/>
  <c r="CC74" i="1"/>
  <c r="CC13" i="1"/>
  <c r="CC62" i="1"/>
  <c r="AR135" i="1"/>
  <c r="BF154" i="1"/>
  <c r="BG150" i="1"/>
  <c r="AB164" i="1"/>
  <c r="AC145" i="1"/>
  <c r="AS135" i="1"/>
  <c r="AS124" i="1"/>
  <c r="J124" i="1"/>
  <c r="BU125" i="1"/>
  <c r="BA125" i="1"/>
  <c r="BG125" i="1"/>
  <c r="N129" i="1"/>
  <c r="N13" i="1"/>
  <c r="CF62" i="1"/>
  <c r="CF61" i="1"/>
  <c r="CF74" i="1" s="1"/>
  <c r="AT67" i="1"/>
  <c r="AT83" i="1"/>
  <c r="AR80" i="1"/>
  <c r="AM65" i="1"/>
  <c r="BY68" i="1"/>
  <c r="BY25" i="1"/>
  <c r="BY76" i="1"/>
  <c r="CX145" i="1"/>
  <c r="CX148" i="1" s="1"/>
  <c r="CS164" i="1"/>
  <c r="BD168" i="1"/>
  <c r="BO84" i="1"/>
  <c r="BS84" i="1"/>
  <c r="CA74" i="1"/>
  <c r="CA62" i="1"/>
  <c r="Y156" i="1"/>
  <c r="X156" i="1"/>
  <c r="M152" i="1"/>
  <c r="N152" i="1" s="1"/>
  <c r="L154" i="1"/>
  <c r="BA154" i="1"/>
  <c r="BB152" i="1"/>
  <c r="BC152" i="1" s="1"/>
  <c r="BC154" i="1" s="1"/>
  <c r="M154" i="1"/>
  <c r="N151" i="1"/>
  <c r="BC135" i="1"/>
  <c r="BC133" i="1"/>
  <c r="AC125" i="1"/>
  <c r="BG80" i="1"/>
  <c r="BB16" i="1"/>
  <c r="BB80" i="1"/>
  <c r="Q80" i="1"/>
  <c r="Q16" i="1"/>
  <c r="BT16" i="1"/>
  <c r="BY80" i="1"/>
  <c r="BI16" i="1"/>
  <c r="BI80" i="1"/>
  <c r="R154" i="1"/>
  <c r="BP154" i="1"/>
  <c r="BQ150" i="1"/>
  <c r="AX18" i="7"/>
  <c r="BM18" i="7"/>
  <c r="AA11" i="7"/>
  <c r="AA13" i="7" s="1"/>
  <c r="Z11" i="7"/>
  <c r="Z13" i="7" s="1"/>
  <c r="AF11" i="7"/>
  <c r="T154" i="1"/>
  <c r="BB154" i="1"/>
  <c r="AL148" i="1"/>
  <c r="CE76" i="1"/>
  <c r="CE25" i="1"/>
  <c r="AU67" i="1"/>
  <c r="AU167" i="1"/>
  <c r="AU59" i="1"/>
  <c r="AU62" i="1" s="1"/>
  <c r="CA76" i="1"/>
  <c r="CA68" i="1"/>
  <c r="BV68" i="1"/>
  <c r="BV76" i="1"/>
  <c r="AK80" i="1"/>
  <c r="AF65" i="1"/>
  <c r="AF80" i="1"/>
  <c r="AQ67" i="1"/>
  <c r="AV83" i="1"/>
  <c r="AX140" i="1"/>
  <c r="AV61" i="1"/>
  <c r="AV13" i="1" s="1"/>
  <c r="AR145" i="1"/>
  <c r="AQ164" i="1"/>
  <c r="AH147" i="1"/>
  <c r="AG148" i="1"/>
  <c r="BQ156" i="1"/>
  <c r="BR156" i="1" s="1"/>
  <c r="Y154" i="1"/>
  <c r="X154" i="1"/>
  <c r="BX125" i="1"/>
  <c r="CG60" i="1"/>
  <c r="BG142" i="1"/>
  <c r="BH142" i="1" s="1"/>
  <c r="M148" i="1"/>
  <c r="CB16" i="1"/>
  <c r="CB60" i="1"/>
  <c r="AA125" i="1"/>
  <c r="CG117" i="1"/>
  <c r="CG124" i="1" s="1"/>
  <c r="H140" i="1"/>
  <c r="H61" i="1" s="1"/>
  <c r="H13" i="1" s="1"/>
  <c r="I141" i="1"/>
  <c r="M141" i="1"/>
  <c r="N141" i="1" s="1"/>
  <c r="S141" i="1"/>
  <c r="BK141" i="1"/>
  <c r="CF141" i="1"/>
  <c r="CF165" i="1" s="1"/>
  <c r="AV142" i="1"/>
  <c r="AW142" i="1" s="1"/>
  <c r="AX142" i="1" s="1"/>
  <c r="BF142" i="1"/>
  <c r="BF156" i="1"/>
  <c r="BH156" i="1" s="1"/>
  <c r="CI128" i="1"/>
  <c r="CN128" i="1" s="1"/>
  <c r="CS128" i="1" s="1"/>
  <c r="CX128" i="1" s="1"/>
  <c r="DC128" i="1" s="1"/>
  <c r="CC85" i="1"/>
  <c r="BG141" i="1"/>
  <c r="AF148" i="1"/>
  <c r="CI72" i="1"/>
  <c r="CI135" i="1"/>
  <c r="CB72" i="1"/>
  <c r="AX123" i="1"/>
  <c r="AX133" i="1" s="1"/>
  <c r="BH135" i="1"/>
  <c r="BM123" i="1"/>
  <c r="L131" i="1"/>
  <c r="BW123" i="1"/>
  <c r="BW124" i="1" s="1"/>
  <c r="CB123" i="1"/>
  <c r="CC131" i="1" s="1"/>
  <c r="BK131" i="1"/>
  <c r="AC140" i="1"/>
  <c r="BF141" i="1"/>
  <c r="BF165" i="1" s="1"/>
  <c r="I145" i="1"/>
  <c r="BB147" i="1"/>
  <c r="AG17" i="7"/>
  <c r="AG19" i="7" s="1"/>
  <c r="AH362" i="7"/>
  <c r="AI61" i="7"/>
  <c r="AN9" i="7"/>
  <c r="AO8" i="7"/>
  <c r="AO11" i="7" s="1"/>
  <c r="AO13" i="7" s="1"/>
  <c r="CE19" i="7"/>
  <c r="AE65" i="7"/>
  <c r="AE17" i="7" s="1"/>
  <c r="AE19" i="7" s="1"/>
  <c r="AE361" i="7"/>
  <c r="AE43" i="33"/>
  <c r="AR11" i="7"/>
  <c r="AR13" i="7" s="1"/>
  <c r="CH8" i="7"/>
  <c r="AW11" i="7"/>
  <c r="AW13" i="7" s="1"/>
  <c r="AY8" i="7"/>
  <c r="AY11" i="7" s="1"/>
  <c r="AZ11" i="7" s="1"/>
  <c r="BW18" i="7"/>
  <c r="CV18" i="7"/>
  <c r="AH62" i="7"/>
  <c r="AE8" i="7"/>
  <c r="AE11" i="7" s="1"/>
  <c r="AE13" i="7" s="1"/>
  <c r="AC11" i="7"/>
  <c r="AC13" i="7" s="1"/>
  <c r="BM11" i="14"/>
  <c r="AQ11" i="7"/>
  <c r="AQ13" i="7" s="1"/>
  <c r="AF13" i="7"/>
  <c r="O131" i="1"/>
  <c r="T85" i="1"/>
  <c r="O28" i="1"/>
  <c r="AJ67" i="1"/>
  <c r="AJ62" i="1"/>
  <c r="T135" i="1"/>
  <c r="T133" i="1"/>
  <c r="T131" i="1"/>
  <c r="U131" i="1"/>
  <c r="BM135" i="1"/>
  <c r="BM133" i="1"/>
  <c r="BM124" i="1"/>
  <c r="K124" i="1"/>
  <c r="K125" i="1" s="1"/>
  <c r="K133" i="1"/>
  <c r="K135" i="1"/>
  <c r="M133" i="1"/>
  <c r="M135" i="1"/>
  <c r="M124" i="1"/>
  <c r="Z133" i="1"/>
  <c r="Z135" i="1"/>
  <c r="Z131" i="1"/>
  <c r="AB135" i="1"/>
  <c r="AB133" i="1"/>
  <c r="AB131" i="1"/>
  <c r="AL133" i="1"/>
  <c r="AL135" i="1"/>
  <c r="AL131" i="1"/>
  <c r="AO133" i="1"/>
  <c r="AO124" i="1"/>
  <c r="AO135" i="1"/>
  <c r="AO131" i="1"/>
  <c r="AU135" i="1"/>
  <c r="AU133" i="1"/>
  <c r="AU124" i="1"/>
  <c r="AU125" i="1" s="1"/>
  <c r="AW135" i="1"/>
  <c r="AW133" i="1"/>
  <c r="BI124" i="1"/>
  <c r="BI133" i="1"/>
  <c r="BI135" i="1"/>
  <c r="BT124" i="1"/>
  <c r="BT135" i="1"/>
  <c r="BT133" i="1"/>
  <c r="BW135" i="1"/>
  <c r="BW133" i="1"/>
  <c r="BX131" i="1"/>
  <c r="BY133" i="1"/>
  <c r="BY124" i="1"/>
  <c r="BY125" i="1" s="1"/>
  <c r="BY135" i="1"/>
  <c r="BY131" i="1"/>
  <c r="BB133" i="1"/>
  <c r="BB135" i="1"/>
  <c r="BK124" i="1"/>
  <c r="BK133" i="1"/>
  <c r="BK135" i="1"/>
  <c r="BZ135" i="1"/>
  <c r="BZ133" i="1"/>
  <c r="AQ61" i="1"/>
  <c r="AQ13" i="1" s="1"/>
  <c r="AR140" i="1"/>
  <c r="AA186" i="1"/>
  <c r="AE167" i="1"/>
  <c r="AZ43" i="14"/>
  <c r="AU11" i="7"/>
  <c r="AU13" i="7" s="1"/>
  <c r="AG13" i="7"/>
  <c r="AK11" i="7"/>
  <c r="AK13" i="7" s="1"/>
  <c r="BO68" i="1"/>
  <c r="BS25" i="1"/>
  <c r="BS76" i="1"/>
  <c r="BX84" i="1"/>
  <c r="BS68" i="1"/>
  <c r="BH83" i="1"/>
  <c r="BC67" i="1"/>
  <c r="BC59" i="1"/>
  <c r="BC83" i="1"/>
  <c r="AX150" i="1"/>
  <c r="BY74" i="1"/>
  <c r="BY62" i="1"/>
  <c r="CB61" i="1"/>
  <c r="AM124" i="1"/>
  <c r="AM125" i="1" s="1"/>
  <c r="AM135" i="1"/>
  <c r="AM133" i="1"/>
  <c r="CB133" i="1"/>
  <c r="AY43" i="5"/>
  <c r="R28" i="1"/>
  <c r="R131" i="1"/>
  <c r="R69" i="1"/>
  <c r="AA82" i="1"/>
  <c r="AA163" i="1"/>
  <c r="AA66" i="1"/>
  <c r="AF82" i="1"/>
  <c r="AA132" i="1"/>
  <c r="BJ76" i="1"/>
  <c r="BJ25" i="1"/>
  <c r="BJ68" i="1"/>
  <c r="BZ74" i="1"/>
  <c r="BZ62" i="1"/>
  <c r="BS133" i="1"/>
  <c r="BS124" i="1"/>
  <c r="BS125" i="1" s="1"/>
  <c r="BS135" i="1"/>
  <c r="BW129" i="1"/>
  <c r="BW14" i="1"/>
  <c r="BW72" i="1"/>
  <c r="BW130" i="1"/>
  <c r="BR129" i="1"/>
  <c r="BR130" i="1"/>
  <c r="BR72" i="1"/>
  <c r="BR13" i="1"/>
  <c r="BR14" i="1"/>
  <c r="BR141" i="1"/>
  <c r="BR165" i="1" s="1"/>
  <c r="BQ165" i="1"/>
  <c r="AN65" i="1"/>
  <c r="AS80" i="1"/>
  <c r="AN16" i="1"/>
  <c r="BI83" i="1"/>
  <c r="BI59" i="1"/>
  <c r="BT67" i="1"/>
  <c r="BT21" i="1"/>
  <c r="BT59" i="1"/>
  <c r="AP134" i="1"/>
  <c r="AP132" i="1"/>
  <c r="AP163" i="1"/>
  <c r="AP66" i="1"/>
  <c r="CA85" i="1"/>
  <c r="CA69" i="1"/>
  <c r="CA131" i="1"/>
  <c r="AM167" i="1"/>
  <c r="AM21" i="1"/>
  <c r="AM59" i="1"/>
  <c r="BQ163" i="1"/>
  <c r="BQ134" i="1"/>
  <c r="BQ66" i="1"/>
  <c r="BR135" i="1"/>
  <c r="BR124" i="1"/>
  <c r="BR133" i="1"/>
  <c r="CE84" i="1"/>
  <c r="BZ68" i="1"/>
  <c r="BZ25" i="1"/>
  <c r="BZ76" i="1"/>
  <c r="AH14" i="1"/>
  <c r="AH72" i="1"/>
  <c r="AH127" i="1"/>
  <c r="AH75" i="1"/>
  <c r="AH79" i="1"/>
  <c r="AH73" i="1"/>
  <c r="AE163" i="1"/>
  <c r="AE66" i="1"/>
  <c r="AE134" i="1"/>
  <c r="AE82" i="1"/>
  <c r="AI150" i="1"/>
  <c r="AI154" i="1" s="1"/>
  <c r="AH154" i="1"/>
  <c r="AZ83" i="1"/>
  <c r="AZ67" i="1"/>
  <c r="AZ59" i="1"/>
  <c r="AZ62" i="1" s="1"/>
  <c r="AZ167" i="1"/>
  <c r="BE83" i="1"/>
  <c r="AO134" i="1"/>
  <c r="AO132" i="1"/>
  <c r="AO163" i="1"/>
  <c r="CE28" i="1"/>
  <c r="CE131" i="1"/>
  <c r="CE69" i="1"/>
  <c r="P134" i="1"/>
  <c r="P132" i="1"/>
  <c r="P66" i="1"/>
  <c r="BQ154" i="1"/>
  <c r="BR150" i="1"/>
  <c r="BR154" i="1" s="1"/>
  <c r="CH61" i="1"/>
  <c r="CH62" i="1" s="1"/>
  <c r="BV61" i="1"/>
  <c r="M66" i="1"/>
  <c r="M132" i="1"/>
  <c r="E131" i="1"/>
  <c r="E28" i="1"/>
  <c r="AP167" i="1"/>
  <c r="AP67" i="1"/>
  <c r="AP21" i="1"/>
  <c r="AZ17" i="1"/>
  <c r="BA17" i="1" s="1"/>
  <c r="AY21" i="1"/>
  <c r="CI83" i="1"/>
  <c r="CD21" i="1"/>
  <c r="CG16" i="1"/>
  <c r="CD67" i="1"/>
  <c r="CD59" i="1"/>
  <c r="CD83" i="1"/>
  <c r="N127" i="1"/>
  <c r="S79" i="1"/>
  <c r="N79" i="1"/>
  <c r="N73" i="1"/>
  <c r="N72" i="1"/>
  <c r="N14" i="1"/>
  <c r="Z66" i="1"/>
  <c r="Z163" i="1"/>
  <c r="Z166" i="1" s="1"/>
  <c r="Z168" i="1" s="1"/>
  <c r="Z134" i="1"/>
  <c r="Z82" i="1"/>
  <c r="AW167" i="1"/>
  <c r="AW21" i="1"/>
  <c r="BB83" i="1"/>
  <c r="AW59" i="1"/>
  <c r="AW61" i="1" s="1"/>
  <c r="CA163" i="1"/>
  <c r="CA66" i="1"/>
  <c r="CA134" i="1"/>
  <c r="CF82" i="1"/>
  <c r="I25" i="1"/>
  <c r="I76" i="1"/>
  <c r="CH85" i="1"/>
  <c r="CH69" i="1"/>
  <c r="CH131" i="1"/>
  <c r="CH36" i="1"/>
  <c r="CH37" i="1" s="1"/>
  <c r="CH39" i="1" s="1"/>
  <c r="CH41" i="1" s="1"/>
  <c r="AU82" i="1"/>
  <c r="AU163" i="1"/>
  <c r="AU66" i="1"/>
  <c r="AU132" i="1"/>
  <c r="BT154" i="1"/>
  <c r="BU150" i="1"/>
  <c r="AR154" i="1"/>
  <c r="AS151" i="1"/>
  <c r="AS154" i="1" s="1"/>
  <c r="BO148" i="1"/>
  <c r="BP147" i="1"/>
  <c r="G59" i="1"/>
  <c r="G62" i="1" s="1"/>
  <c r="G21" i="1"/>
  <c r="L83" i="1"/>
  <c r="CE152" i="1"/>
  <c r="CD154" i="1"/>
  <c r="CD158" i="1" s="1"/>
  <c r="AX124" i="1"/>
  <c r="F21" i="1"/>
  <c r="F59" i="1"/>
  <c r="F62" i="1" s="1"/>
  <c r="K16" i="1"/>
  <c r="P80" i="1"/>
  <c r="K65" i="1"/>
  <c r="AX17" i="1"/>
  <c r="AX21" i="1" s="1"/>
  <c r="BZ139" i="1"/>
  <c r="CA139" i="1" s="1"/>
  <c r="BY143" i="1"/>
  <c r="W61" i="1"/>
  <c r="W13" i="1" s="1"/>
  <c r="X140" i="1"/>
  <c r="BF74" i="1"/>
  <c r="BF13" i="1"/>
  <c r="AL141" i="1"/>
  <c r="AM141" i="1" s="1"/>
  <c r="CY127" i="1"/>
  <c r="DD127" i="1" s="1"/>
  <c r="AD123" i="1"/>
  <c r="AN129" i="1"/>
  <c r="AN130" i="1"/>
  <c r="M83" i="1"/>
  <c r="M21" i="1"/>
  <c r="M67" i="1"/>
  <c r="AQ167" i="1"/>
  <c r="AQ21" i="1"/>
  <c r="AQ59" i="1"/>
  <c r="AQ62" i="1" s="1"/>
  <c r="W16" i="1"/>
  <c r="W65" i="1"/>
  <c r="BZ124" i="1"/>
  <c r="AG61" i="1"/>
  <c r="AH140" i="1"/>
  <c r="AW165" i="1"/>
  <c r="AX141" i="1"/>
  <c r="H152" i="1"/>
  <c r="H154" i="1" s="1"/>
  <c r="AW152" i="1"/>
  <c r="AX152" i="1" s="1"/>
  <c r="BM154" i="1"/>
  <c r="N153" i="1"/>
  <c r="N154" i="1" s="1"/>
  <c r="BB142" i="1"/>
  <c r="BC142" i="1" s="1"/>
  <c r="AF166" i="1"/>
  <c r="AF168" i="1" s="1"/>
  <c r="AW124" i="1"/>
  <c r="AW125" i="1" s="1"/>
  <c r="BI125" i="1"/>
  <c r="BL16" i="1"/>
  <c r="BQ80" i="1"/>
  <c r="BL65" i="1"/>
  <c r="H21" i="1"/>
  <c r="H59" i="1"/>
  <c r="H62" i="1" s="1"/>
  <c r="M82" i="1" s="1"/>
  <c r="J21" i="1"/>
  <c r="J59" i="1"/>
  <c r="AG167" i="1"/>
  <c r="AG21" i="1"/>
  <c r="AG67" i="1"/>
  <c r="CH130" i="1"/>
  <c r="CH129" i="1"/>
  <c r="CM129" i="1" s="1"/>
  <c r="CR129" i="1" s="1"/>
  <c r="CW129" i="1" s="1"/>
  <c r="DB129" i="1" s="1"/>
  <c r="CH72" i="1"/>
  <c r="AK16" i="1"/>
  <c r="AP80" i="1"/>
  <c r="AK65" i="1"/>
  <c r="BU16" i="1"/>
  <c r="BZ80" i="1"/>
  <c r="T124" i="1"/>
  <c r="BH124" i="1"/>
  <c r="CB135" i="1"/>
  <c r="O133" i="1"/>
  <c r="O135" i="1"/>
  <c r="Y133" i="1"/>
  <c r="Y135" i="1"/>
  <c r="Y117" i="1"/>
  <c r="Y124" i="1" s="1"/>
  <c r="AI117" i="1"/>
  <c r="AI124" i="1" s="1"/>
  <c r="AI135" i="1"/>
  <c r="AX135" i="1"/>
  <c r="BH133" i="1"/>
  <c r="W165" i="1"/>
  <c r="X142" i="1"/>
  <c r="Y142" i="1" s="1"/>
  <c r="BD125" i="1"/>
  <c r="AO125" i="1"/>
  <c r="AT125" i="1"/>
  <c r="AR125" i="1"/>
  <c r="BT125" i="1"/>
  <c r="U166" i="1"/>
  <c r="BJ62" i="1"/>
  <c r="BJ13" i="14" s="1"/>
  <c r="BE74" i="1"/>
  <c r="BE13" i="1"/>
  <c r="F125" i="1"/>
  <c r="M125" i="1"/>
  <c r="BZ125" i="1"/>
  <c r="N125" i="1"/>
  <c r="AY125" i="1"/>
  <c r="Z124" i="1"/>
  <c r="BB124" i="1"/>
  <c r="BB125" i="1" s="1"/>
  <c r="AD140" i="1"/>
  <c r="AC61" i="1"/>
  <c r="AC13" i="1" s="1"/>
  <c r="AM61" i="1"/>
  <c r="AM13" i="1" s="1"/>
  <c r="AN140" i="1"/>
  <c r="BG140" i="1"/>
  <c r="BK125" i="1"/>
  <c r="AQ125" i="1"/>
  <c r="BC125" i="1"/>
  <c r="BM125" i="1"/>
  <c r="N75" i="1"/>
  <c r="R39" i="1"/>
  <c r="R139" i="1" s="1"/>
  <c r="R143" i="1" s="1"/>
  <c r="BR74" i="1"/>
  <c r="O117" i="1"/>
  <c r="O124" i="1" s="1"/>
  <c r="CB117" i="1"/>
  <c r="CB124" i="1" s="1"/>
  <c r="AB124" i="1"/>
  <c r="AB125" i="1" s="1"/>
  <c r="AL124" i="1"/>
  <c r="CE140" i="1"/>
  <c r="CF140" i="1" s="1"/>
  <c r="CF143" i="1" s="1"/>
  <c r="BB140" i="1"/>
  <c r="CJ141" i="1"/>
  <c r="CJ165" i="1" s="1"/>
  <c r="CI165" i="1"/>
  <c r="DB145" i="1"/>
  <c r="CW172" i="1"/>
  <c r="CW164" i="1"/>
  <c r="CW148" i="1"/>
  <c r="BL125" i="1"/>
  <c r="BX39" i="1"/>
  <c r="BX41" i="1" s="1"/>
  <c r="BX27" i="1" s="1"/>
  <c r="AI16" i="1"/>
  <c r="AR65" i="1"/>
  <c r="AR16" i="1"/>
  <c r="AW83" i="1" s="1"/>
  <c r="CJ17" i="1"/>
  <c r="CI21" i="1"/>
  <c r="S140" i="1"/>
  <c r="S61" i="1" s="1"/>
  <c r="AV76" i="1"/>
  <c r="BQ25" i="1"/>
  <c r="CA39" i="1"/>
  <c r="CA41" i="1" s="1"/>
  <c r="CA27" i="1" s="1"/>
  <c r="BP62" i="1"/>
  <c r="BP13" i="14" s="1"/>
  <c r="V39" i="1"/>
  <c r="CC39" i="1"/>
  <c r="CC41" i="1" s="1"/>
  <c r="CC190" i="1" s="1"/>
  <c r="CE39" i="1"/>
  <c r="CE41" i="1" s="1"/>
  <c r="L39" i="1"/>
  <c r="L139" i="1" s="1"/>
  <c r="L143" i="1" s="1"/>
  <c r="L178" i="1" s="1"/>
  <c r="AG165" i="1"/>
  <c r="BE55" i="1"/>
  <c r="BM74" i="1"/>
  <c r="BM63" i="1"/>
  <c r="AP125" i="1"/>
  <c r="BF125" i="1"/>
  <c r="H125" i="1"/>
  <c r="AG125" i="1"/>
  <c r="AJ125" i="1"/>
  <c r="AL125" i="1"/>
  <c r="BV125" i="1"/>
  <c r="AE125" i="1"/>
  <c r="BZ141" i="1"/>
  <c r="BZ165" i="1" s="1"/>
  <c r="AU148" i="1"/>
  <c r="AV146" i="1"/>
  <c r="BG147" i="1"/>
  <c r="BF147" i="1"/>
  <c r="BF148" i="1" s="1"/>
  <c r="BK156" i="1"/>
  <c r="BL156" i="1" s="1"/>
  <c r="CK151" i="1"/>
  <c r="CJ151" i="1"/>
  <c r="CI154" i="1"/>
  <c r="CX172" i="1"/>
  <c r="CF21" i="1"/>
  <c r="BK62" i="1"/>
  <c r="BK66" i="1" s="1"/>
  <c r="AT76" i="1"/>
  <c r="BO25" i="1"/>
  <c r="BZ39" i="1"/>
  <c r="BZ41" i="1" s="1"/>
  <c r="E39" i="1"/>
  <c r="E41" i="1" s="1"/>
  <c r="E27" i="1" s="1"/>
  <c r="S39" i="1"/>
  <c r="AE166" i="1"/>
  <c r="AE168" i="1" s="1"/>
  <c r="AU166" i="1"/>
  <c r="AU168" i="1" s="1"/>
  <c r="CE59" i="1"/>
  <c r="AS102" i="1"/>
  <c r="AX107" i="1"/>
  <c r="R125" i="1"/>
  <c r="V125" i="1"/>
  <c r="AF125" i="1"/>
  <c r="AH125" i="1"/>
  <c r="AK125" i="1"/>
  <c r="G125" i="1"/>
  <c r="S125" i="1"/>
  <c r="BO125" i="1"/>
  <c r="BT148" i="1"/>
  <c r="BU145" i="1"/>
  <c r="H146" i="1"/>
  <c r="I146" i="1" s="1"/>
  <c r="AA154" i="1"/>
  <c r="CJ139" i="1"/>
  <c r="CK139" i="1" s="1"/>
  <c r="CI143" i="1"/>
  <c r="CX164" i="1"/>
  <c r="DC145" i="1"/>
  <c r="BP25" i="1"/>
  <c r="BP131" i="1" s="1"/>
  <c r="AJ39" i="1"/>
  <c r="AJ41" i="1" s="1"/>
  <c r="AL39" i="1"/>
  <c r="AF39" i="1"/>
  <c r="AV165" i="1"/>
  <c r="O107" i="1"/>
  <c r="O125" i="1" s="1"/>
  <c r="E125" i="1"/>
  <c r="L125" i="1"/>
  <c r="P125" i="1"/>
  <c r="BQ125" i="1"/>
  <c r="I125" i="1"/>
  <c r="W125" i="1"/>
  <c r="CA125" i="1"/>
  <c r="AL142" i="1"/>
  <c r="AM142" i="1" s="1"/>
  <c r="AN142" i="1" s="1"/>
  <c r="H147" i="1"/>
  <c r="CE154" i="1"/>
  <c r="BY154" i="1"/>
  <c r="BZ151" i="1"/>
  <c r="BZ154" i="1" s="1"/>
  <c r="BM186" i="1"/>
  <c r="BF186" i="1"/>
  <c r="BF167" i="1" s="1"/>
  <c r="BE186" i="1"/>
  <c r="BE167" i="1" s="1"/>
  <c r="BG186" i="1"/>
  <c r="BG167" i="1" s="1"/>
  <c r="CF142" i="1"/>
  <c r="CJ147" i="1"/>
  <c r="CK147" i="1" s="1"/>
  <c r="CL147" i="1" s="1"/>
  <c r="CJ156" i="1"/>
  <c r="CK156" i="1" s="1"/>
  <c r="G148" i="1"/>
  <c r="AR156" i="1"/>
  <c r="AS156" i="1" s="1"/>
  <c r="CI129" i="1"/>
  <c r="CN129" i="1" s="1"/>
  <c r="CS129" i="1" s="1"/>
  <c r="CX129" i="1" s="1"/>
  <c r="DC129" i="1" s="1"/>
  <c r="CJ140" i="1"/>
  <c r="CO140" i="1" s="1"/>
  <c r="CJ150" i="1"/>
  <c r="CJ142" i="1"/>
  <c r="CK142" i="1" s="1"/>
  <c r="CL142" i="1" s="1"/>
  <c r="CJ145" i="1"/>
  <c r="CJ152" i="1"/>
  <c r="CK152" i="1" s="1"/>
  <c r="AY23" i="33"/>
  <c r="AY25" i="33"/>
  <c r="CB11" i="57"/>
  <c r="CB10" i="57" s="1"/>
  <c r="CQ18" i="7"/>
  <c r="BJ37" i="59"/>
  <c r="BJ39" i="59" s="1"/>
  <c r="BJ68" i="59" s="1"/>
  <c r="BJ13" i="59"/>
  <c r="AX23" i="33"/>
  <c r="AX25" i="33"/>
  <c r="BU120" i="56"/>
  <c r="BY119" i="56"/>
  <c r="BT119" i="56"/>
  <c r="BT128" i="56"/>
  <c r="AZ25" i="11"/>
  <c r="AZ18" i="11"/>
  <c r="CA41" i="5"/>
  <c r="CA43" i="5" s="1"/>
  <c r="CF38" i="5"/>
  <c r="BP13" i="59"/>
  <c r="BP37" i="59"/>
  <c r="AW11" i="11"/>
  <c r="AW16" i="11"/>
  <c r="AW23" i="11"/>
  <c r="AX9" i="11"/>
  <c r="BV91" i="56"/>
  <c r="BV85" i="56"/>
  <c r="BV90" i="56"/>
  <c r="CE66" i="59"/>
  <c r="CE32" i="14"/>
  <c r="BU13" i="59"/>
  <c r="BU37" i="59"/>
  <c r="BU66" i="59" s="1"/>
  <c r="AN8" i="7"/>
  <c r="AM11" i="7"/>
  <c r="AM13" i="7" s="1"/>
  <c r="BE43" i="33"/>
  <c r="BE28" i="33"/>
  <c r="BE54" i="33" s="1"/>
  <c r="BG7" i="5"/>
  <c r="BT19" i="14"/>
  <c r="CD11" i="14"/>
  <c r="CH11" i="14"/>
  <c r="CE141" i="56"/>
  <c r="CD42" i="14"/>
  <c r="BZ42" i="14"/>
  <c r="BU42" i="14"/>
  <c r="BU43" i="14" s="1"/>
  <c r="CE17" i="11"/>
  <c r="BY43" i="5"/>
  <c r="BK43" i="5"/>
  <c r="BA43" i="14"/>
  <c r="CG42" i="14"/>
  <c r="AE8" i="14"/>
  <c r="AI8" i="14"/>
  <c r="BG28" i="14"/>
  <c r="CE199" i="56"/>
  <c r="CJ33" i="56"/>
  <c r="CG7" i="11"/>
  <c r="CG22" i="11" s="1"/>
  <c r="CI168" i="56"/>
  <c r="CI153" i="56"/>
  <c r="CK12" i="56"/>
  <c r="BW43" i="14"/>
  <c r="CL99" i="56"/>
  <c r="BD11" i="14"/>
  <c r="AR43" i="59"/>
  <c r="AS42" i="14"/>
  <c r="AX43" i="14" s="1"/>
  <c r="BC42" i="14"/>
  <c r="BH43" i="14" s="1"/>
  <c r="BS42" i="14"/>
  <c r="BN42" i="14"/>
  <c r="BN43" i="14" s="1"/>
  <c r="BF42" i="14"/>
  <c r="CI169" i="56"/>
  <c r="CF141" i="56"/>
  <c r="CK99" i="56"/>
  <c r="AO13" i="59"/>
  <c r="BG11" i="14"/>
  <c r="BG33" i="56"/>
  <c r="AG8" i="14"/>
  <c r="CB42" i="14"/>
  <c r="BQ42" i="14"/>
  <c r="BL42" i="14"/>
  <c r="BE42" i="14"/>
  <c r="BJ43" i="14" s="1"/>
  <c r="BX43" i="5"/>
  <c r="AX59" i="33"/>
  <c r="BC60" i="33"/>
  <c r="Z125" i="1"/>
  <c r="BK23" i="11"/>
  <c r="BF11" i="11"/>
  <c r="BF43" i="14"/>
  <c r="BK43" i="14"/>
  <c r="AR73" i="59"/>
  <c r="CG9" i="5"/>
  <c r="CG50" i="59" s="1"/>
  <c r="CF50" i="59"/>
  <c r="BI33" i="14"/>
  <c r="BI39" i="59"/>
  <c r="BI67" i="59"/>
  <c r="AQ70" i="59"/>
  <c r="AQ35" i="14"/>
  <c r="AO67" i="59"/>
  <c r="AO33" i="14"/>
  <c r="AV67" i="59"/>
  <c r="AV39" i="59"/>
  <c r="AV33" i="14"/>
  <c r="AR32" i="14"/>
  <c r="AR66" i="59"/>
  <c r="CI11" i="14"/>
  <c r="CF23" i="11"/>
  <c r="CF11" i="11"/>
  <c r="AA8" i="14"/>
  <c r="BN21" i="11"/>
  <c r="AS16" i="59"/>
  <c r="BF10" i="5"/>
  <c r="AY19" i="14"/>
  <c r="BE32" i="14"/>
  <c r="CF43" i="14"/>
  <c r="BJ15" i="11"/>
  <c r="AR13" i="59"/>
  <c r="CI19" i="14"/>
  <c r="AS12" i="59"/>
  <c r="BF17" i="11"/>
  <c r="BN19" i="14"/>
  <c r="AN8" i="14"/>
  <c r="BV43" i="14"/>
  <c r="CF16" i="11"/>
  <c r="S43" i="33"/>
  <c r="BZ33" i="14"/>
  <c r="AR17" i="59"/>
  <c r="AR31" i="59" s="1"/>
  <c r="BQ9" i="11"/>
  <c r="BQ16" i="11" s="1"/>
  <c r="BK21" i="11"/>
  <c r="BI11" i="14"/>
  <c r="BF30" i="5"/>
  <c r="BI9" i="11"/>
  <c r="BF17" i="59"/>
  <c r="BN32" i="14"/>
  <c r="BX13" i="59"/>
  <c r="BX43" i="14"/>
  <c r="CE19" i="14"/>
  <c r="BJ9" i="11"/>
  <c r="CD33" i="14"/>
  <c r="BF21" i="11"/>
  <c r="AJ8" i="14"/>
  <c r="CI43" i="14"/>
  <c r="CH13" i="59"/>
  <c r="W8" i="14"/>
  <c r="BM43" i="14"/>
  <c r="BI21" i="11"/>
  <c r="BR6" i="11"/>
  <c r="BW21" i="11" s="1"/>
  <c r="BQ10" i="11"/>
  <c r="BQ21" i="11"/>
  <c r="BJ17" i="11"/>
  <c r="CL6" i="11"/>
  <c r="AO37" i="59"/>
  <c r="CI21" i="11"/>
  <c r="CI9" i="11"/>
  <c r="AP33" i="14"/>
  <c r="AP67" i="59"/>
  <c r="BJ27" i="59"/>
  <c r="AY15" i="14"/>
  <c r="BC43" i="14"/>
  <c r="CF11" i="14"/>
  <c r="BL43" i="14"/>
  <c r="BT66" i="59"/>
  <c r="BT32" i="14"/>
  <c r="AQ33" i="14"/>
  <c r="AQ39" i="59"/>
  <c r="AQ27" i="59" s="1"/>
  <c r="AS38" i="59"/>
  <c r="AQ67" i="59"/>
  <c r="BC44" i="59"/>
  <c r="AZ72" i="59"/>
  <c r="AP41" i="59"/>
  <c r="AP17" i="59"/>
  <c r="AT37" i="59"/>
  <c r="AT13" i="59"/>
  <c r="BG21" i="11"/>
  <c r="BG9" i="11"/>
  <c r="BG17" i="11"/>
  <c r="BP11" i="14"/>
  <c r="BK11" i="14"/>
  <c r="AS11" i="59"/>
  <c r="AP13" i="59"/>
  <c r="AP37" i="59"/>
  <c r="AS19" i="14"/>
  <c r="AX19" i="14"/>
  <c r="BU39" i="59"/>
  <c r="BF71" i="59"/>
  <c r="BF36" i="14"/>
  <c r="BZ46" i="59"/>
  <c r="BZ75" i="59" s="1"/>
  <c r="CB21" i="59"/>
  <c r="Q8" i="14"/>
  <c r="V8" i="14"/>
  <c r="AV19" i="14"/>
  <c r="BA19" i="14"/>
  <c r="AY43" i="33"/>
  <c r="AY28" i="33"/>
  <c r="AY54" i="33" s="1"/>
  <c r="CC46" i="59"/>
  <c r="CG21" i="59"/>
  <c r="BK25" i="11"/>
  <c r="BI43" i="14"/>
  <c r="BF18" i="11"/>
  <c r="BF25" i="11"/>
  <c r="BC19" i="59"/>
  <c r="BH11" i="14"/>
  <c r="BC11" i="14"/>
  <c r="BL11" i="14"/>
  <c r="BQ11" i="14"/>
  <c r="AT44" i="59"/>
  <c r="AT72" i="59" s="1"/>
  <c r="AX19" i="59"/>
  <c r="AQ43" i="59"/>
  <c r="AQ73" i="59" s="1"/>
  <c r="AQ36" i="14"/>
  <c r="AQ71" i="59"/>
  <c r="BG42" i="59"/>
  <c r="BG17" i="59"/>
  <c r="AQ46" i="59"/>
  <c r="AQ75" i="59" s="1"/>
  <c r="AS21" i="59"/>
  <c r="BF66" i="59"/>
  <c r="BF32" i="14"/>
  <c r="AY46" i="59"/>
  <c r="BC21" i="59"/>
  <c r="BH21" i="59"/>
  <c r="BE46" i="59"/>
  <c r="BJ46" i="59"/>
  <c r="BJ75" i="59" s="1"/>
  <c r="BM21" i="59"/>
  <c r="BO46" i="59"/>
  <c r="BR21" i="59"/>
  <c r="CI16" i="11"/>
  <c r="CI9" i="5"/>
  <c r="CI50" i="59" s="1"/>
  <c r="BZ11" i="14"/>
  <c r="BU11" i="14"/>
  <c r="AW43" i="14"/>
  <c r="BB43" i="14"/>
  <c r="CG15" i="11"/>
  <c r="CG21" i="11"/>
  <c r="BE28" i="14"/>
  <c r="CA37" i="59"/>
  <c r="CA13" i="59"/>
  <c r="CG43" i="14"/>
  <c r="BE8" i="5"/>
  <c r="BE24" i="5" s="1"/>
  <c r="BE27" i="5"/>
  <c r="BQ13" i="59"/>
  <c r="BQ38" i="59"/>
  <c r="AO32" i="14"/>
  <c r="AO66" i="59"/>
  <c r="AO39" i="59"/>
  <c r="AU38" i="59"/>
  <c r="BF16" i="11"/>
  <c r="BF23" i="11"/>
  <c r="AU32" i="14"/>
  <c r="AU66" i="59"/>
  <c r="AS13" i="59"/>
  <c r="Y11" i="14"/>
  <c r="AD11" i="14"/>
  <c r="CC19" i="14"/>
  <c r="BX19" i="14"/>
  <c r="G28" i="33"/>
  <c r="G54" i="33" s="1"/>
  <c r="G43" i="33"/>
  <c r="AJ28" i="33"/>
  <c r="AJ54" i="33" s="1"/>
  <c r="AJ43" i="33"/>
  <c r="AV43" i="33"/>
  <c r="AV28" i="33"/>
  <c r="AV54" i="33" s="1"/>
  <c r="BE17" i="11"/>
  <c r="BE21" i="11"/>
  <c r="BE9" i="11"/>
  <c r="BH6" i="11"/>
  <c r="BJ21" i="11"/>
  <c r="BL9" i="11"/>
  <c r="BL21" i="11"/>
  <c r="BL17" i="11"/>
  <c r="BM6" i="11"/>
  <c r="BQ11" i="11"/>
  <c r="BI75" i="59"/>
  <c r="BM46" i="59"/>
  <c r="BM75" i="59" s="1"/>
  <c r="BE43" i="14"/>
  <c r="BO43" i="14"/>
  <c r="BT43" i="14"/>
  <c r="BG15" i="11"/>
  <c r="AO41" i="59"/>
  <c r="AS15" i="59"/>
  <c r="AO17" i="59"/>
  <c r="AS17" i="59" s="1"/>
  <c r="AR39" i="59"/>
  <c r="AR33" i="14"/>
  <c r="BJ19" i="14"/>
  <c r="BO19" i="14"/>
  <c r="AV46" i="59"/>
  <c r="AX21" i="59"/>
  <c r="BE42" i="59"/>
  <c r="BE43" i="59" s="1"/>
  <c r="BE17" i="59"/>
  <c r="AU13" i="59"/>
  <c r="BG10" i="5"/>
  <c r="BG30" i="5"/>
  <c r="BG28" i="5"/>
  <c r="BG25" i="5"/>
  <c r="BB19" i="14"/>
  <c r="BG19" i="14"/>
  <c r="AV66" i="59"/>
  <c r="AV32" i="14"/>
  <c r="CF18" i="11"/>
  <c r="CK25" i="11"/>
  <c r="CD43" i="14"/>
  <c r="BA11" i="14"/>
  <c r="BA28" i="14"/>
  <c r="AL8" i="14"/>
  <c r="AS46" i="59"/>
  <c r="CB43" i="14"/>
  <c r="BY43" i="14"/>
  <c r="CG9" i="11"/>
  <c r="CK23" i="11"/>
  <c r="AU43" i="33"/>
  <c r="AU28" i="33"/>
  <c r="AU54" i="33" s="1"/>
  <c r="Y8" i="14"/>
  <c r="AC8" i="14"/>
  <c r="CG5" i="57"/>
  <c r="CL27" i="57"/>
  <c r="CN141" i="56"/>
  <c r="CN99" i="56"/>
  <c r="CL26" i="57"/>
  <c r="CG28" i="57"/>
  <c r="CS73" i="56" s="1"/>
  <c r="CA28" i="57"/>
  <c r="CM73" i="56" s="1"/>
  <c r="CM99" i="56" s="1"/>
  <c r="CM141" i="56"/>
  <c r="CK27" i="57"/>
  <c r="CF5" i="57"/>
  <c r="CF28" i="57"/>
  <c r="CR73" i="56" s="1"/>
  <c r="CP22" i="57"/>
  <c r="AK165" i="1"/>
  <c r="Y165" i="1"/>
  <c r="CI28" i="57"/>
  <c r="CU73" i="56" s="1"/>
  <c r="CN26" i="57"/>
  <c r="CN22" i="57"/>
  <c r="CS22" i="57" s="1"/>
  <c r="CJ22" i="57"/>
  <c r="CP141" i="56"/>
  <c r="CP99" i="56"/>
  <c r="CI5" i="57"/>
  <c r="CN27" i="57"/>
  <c r="CE22" i="57"/>
  <c r="CE32" i="57" s="1"/>
  <c r="CQ39" i="56"/>
  <c r="CU17" i="56"/>
  <c r="CU186" i="56" s="1"/>
  <c r="CU21" i="59" s="1"/>
  <c r="CU46" i="59" s="1"/>
  <c r="CL39" i="56"/>
  <c r="CL21" i="59"/>
  <c r="CP24" i="56"/>
  <c r="CP186" i="56"/>
  <c r="CP21" i="59" s="1"/>
  <c r="CM125" i="56"/>
  <c r="CL24" i="56"/>
  <c r="CL61" i="56" s="1"/>
  <c r="CQ186" i="56"/>
  <c r="DG186" i="56" s="1"/>
  <c r="CB102" i="1"/>
  <c r="Y107" i="1"/>
  <c r="Y125" i="1" s="1"/>
  <c r="AI107" i="1"/>
  <c r="AI125" i="1" s="1"/>
  <c r="T102" i="1"/>
  <c r="AD102" i="1"/>
  <c r="AS107" i="1"/>
  <c r="AS125" i="1" s="1"/>
  <c r="BR107" i="1"/>
  <c r="BR125" i="1" s="1"/>
  <c r="O102" i="1"/>
  <c r="CK101" i="1"/>
  <c r="CL101" i="1" s="1"/>
  <c r="CM101" i="1" s="1"/>
  <c r="CN101" i="1" s="1"/>
  <c r="CO101" i="1" s="1"/>
  <c r="CP101" i="1" s="1"/>
  <c r="CQ101" i="1" s="1"/>
  <c r="CR101" i="1" s="1"/>
  <c r="CS101" i="1" s="1"/>
  <c r="CT101" i="1" s="1"/>
  <c r="CU101" i="1" s="1"/>
  <c r="CV101" i="1" s="1"/>
  <c r="CW101" i="1" s="1"/>
  <c r="CX101" i="1" s="1"/>
  <c r="CY101" i="1" s="1"/>
  <c r="CZ101" i="1" s="1"/>
  <c r="DA101" i="1" s="1"/>
  <c r="DB101" i="1" s="1"/>
  <c r="DC101" i="1" s="1"/>
  <c r="DD101" i="1" s="1"/>
  <c r="DE101" i="1" s="1"/>
  <c r="DF101" i="1" s="1"/>
  <c r="AN107" i="1"/>
  <c r="J107" i="1"/>
  <c r="J125" i="1" s="1"/>
  <c r="Y102" i="1"/>
  <c r="AI102" i="1"/>
  <c r="BW102" i="1"/>
  <c r="CB107" i="1"/>
  <c r="BH107" i="1"/>
  <c r="BH125" i="1" s="1"/>
  <c r="CL18" i="7"/>
  <c r="BO72" i="66"/>
  <c r="BU72" i="66"/>
  <c r="BL69" i="66"/>
  <c r="BQ66" i="66"/>
  <c r="BL66" i="66"/>
  <c r="BW66" i="66"/>
  <c r="CC66" i="66"/>
  <c r="BX69" i="66"/>
  <c r="CC69" i="66"/>
  <c r="BX70" i="66"/>
  <c r="CC70" i="66"/>
  <c r="BO47" i="66"/>
  <c r="BW69" i="66"/>
  <c r="BJ58" i="66"/>
  <c r="BX66" i="66"/>
  <c r="BW70" i="66"/>
  <c r="BR69" i="66"/>
  <c r="BQ70" i="66"/>
  <c r="AQ68" i="59"/>
  <c r="AH27" i="59"/>
  <c r="AL68" i="59"/>
  <c r="AE27" i="59"/>
  <c r="AL47" i="59"/>
  <c r="AG73" i="59"/>
  <c r="AQ31" i="59"/>
  <c r="AN73" i="59"/>
  <c r="AG31" i="59"/>
  <c r="AN31" i="59"/>
  <c r="AQ165" i="1"/>
  <c r="BS36" i="1"/>
  <c r="BV36" i="1"/>
  <c r="BV37" i="1" s="1"/>
  <c r="BV39" i="1" s="1"/>
  <c r="BV41" i="1" s="1"/>
  <c r="P41" i="1"/>
  <c r="P27" i="1" s="1"/>
  <c r="AJ165" i="1"/>
  <c r="AL165" i="1"/>
  <c r="AL166" i="1" s="1"/>
  <c r="AL168" i="1" s="1"/>
  <c r="BP39" i="1"/>
  <c r="BP139" i="1" s="1"/>
  <c r="BP143" i="1" s="1"/>
  <c r="AM63" i="59"/>
  <c r="AK56" i="59"/>
  <c r="BJ132" i="1"/>
  <c r="BO28" i="1"/>
  <c r="BO1" i="56" s="1"/>
  <c r="V165" i="1"/>
  <c r="V166" i="1" s="1"/>
  <c r="BR22" i="1"/>
  <c r="V41" i="1"/>
  <c r="V27" i="1" s="1"/>
  <c r="V139" i="1"/>
  <c r="V143" i="1" s="1"/>
  <c r="BK41" i="1"/>
  <c r="BK13" i="14"/>
  <c r="BM37" i="1"/>
  <c r="BW31" i="1"/>
  <c r="BW35" i="1"/>
  <c r="Z39" i="1"/>
  <c r="Z139" i="1" s="1"/>
  <c r="Z143" i="1" s="1"/>
  <c r="AE39" i="1"/>
  <c r="AE139" i="1" s="1"/>
  <c r="AE143" i="1" s="1"/>
  <c r="AE160" i="1" s="1"/>
  <c r="BQ76" i="1"/>
  <c r="BN60" i="1"/>
  <c r="BN62" i="1" s="1"/>
  <c r="BN163" i="1" s="1"/>
  <c r="BN166" i="1" s="1"/>
  <c r="AV25" i="1"/>
  <c r="U39" i="1"/>
  <c r="U139" i="1" s="1"/>
  <c r="U143" i="1" s="1"/>
  <c r="U158" i="1" s="1"/>
  <c r="AS22" i="1"/>
  <c r="R41" i="1"/>
  <c r="R27" i="1" s="1"/>
  <c r="AT39" i="1"/>
  <c r="AT41" i="1" s="1"/>
  <c r="CD13" i="5"/>
  <c r="BY15" i="5"/>
  <c r="BY37" i="5" s="1"/>
  <c r="CT14" i="5"/>
  <c r="CT16" i="5" s="1"/>
  <c r="CO16" i="5"/>
  <c r="BR15" i="5"/>
  <c r="BR37" i="5" s="1"/>
  <c r="BM16" i="5"/>
  <c r="BM29" i="5" s="1"/>
  <c r="BZ13" i="5"/>
  <c r="BM14" i="5"/>
  <c r="CG14" i="5"/>
  <c r="BV37" i="5"/>
  <c r="BW15" i="5"/>
  <c r="BW37" i="5" s="1"/>
  <c r="BG41" i="5"/>
  <c r="CP14" i="5"/>
  <c r="CI13" i="5"/>
  <c r="CD15" i="5"/>
  <c r="CF13" i="5"/>
  <c r="CA15" i="5"/>
  <c r="CA37" i="5" s="1"/>
  <c r="CS14" i="5"/>
  <c r="CN16" i="5"/>
  <c r="BF41" i="5"/>
  <c r="BF43" i="5" s="1"/>
  <c r="CC13" i="5"/>
  <c r="BX15" i="5"/>
  <c r="CB13" i="5"/>
  <c r="CM14" i="5"/>
  <c r="CL14" i="5"/>
  <c r="BW48" i="1"/>
  <c r="CF53" i="1"/>
  <c r="CF48" i="1" s="1"/>
  <c r="CG48" i="1" s="1"/>
  <c r="AN56" i="1"/>
  <c r="AN55" i="1" s="1"/>
  <c r="CG56" i="1"/>
  <c r="CH54" i="1"/>
  <c r="CI51" i="1" s="1"/>
  <c r="CI54" i="1" s="1"/>
  <c r="CJ51" i="1" s="1"/>
  <c r="BJ154" i="1"/>
  <c r="CU30" i="5"/>
  <c r="DC30" i="5"/>
  <c r="CX30" i="5"/>
  <c r="CO30" i="5"/>
  <c r="DD30" i="5"/>
  <c r="CY30" i="5"/>
  <c r="CS30" i="5"/>
  <c r="CN30" i="5"/>
  <c r="CR30" i="5"/>
  <c r="C45" i="33"/>
  <c r="CM30" i="5"/>
  <c r="CP30" i="5"/>
  <c r="CT30" i="5"/>
  <c r="DE30" i="5"/>
  <c r="CZ30" i="5"/>
  <c r="AF139" i="1"/>
  <c r="AF143" i="1" s="1"/>
  <c r="AF171" i="1" s="1"/>
  <c r="AF173" i="1" s="1"/>
  <c r="AF175" i="1" s="1"/>
  <c r="AF176" i="1" s="1"/>
  <c r="AF41" i="1"/>
  <c r="AF27" i="1" s="1"/>
  <c r="BQ131" i="1"/>
  <c r="BQ69" i="1"/>
  <c r="BV85" i="1"/>
  <c r="BQ39" i="1"/>
  <c r="S139" i="1"/>
  <c r="S41" i="1"/>
  <c r="S27" i="1" s="1"/>
  <c r="BJ39" i="1"/>
  <c r="AX23" i="1"/>
  <c r="AX25" i="1" s="1"/>
  <c r="BO85" i="1"/>
  <c r="AT85" i="1"/>
  <c r="AV28" i="1"/>
  <c r="CL31" i="1"/>
  <c r="AP165" i="1"/>
  <c r="BM23" i="1"/>
  <c r="BP76" i="1"/>
  <c r="BO39" i="1"/>
  <c r="AI165" i="1"/>
  <c r="BP134" i="1"/>
  <c r="BO69" i="1"/>
  <c r="E139" i="1"/>
  <c r="E143" i="1" s="1"/>
  <c r="E158" i="1" s="1"/>
  <c r="BD54" i="1"/>
  <c r="BE51" i="1" s="1"/>
  <c r="BE54" i="1" s="1"/>
  <c r="BF51" i="1" s="1"/>
  <c r="BF54" i="1" s="1"/>
  <c r="BG51" i="1" s="1"/>
  <c r="BG54" i="1" s="1"/>
  <c r="BI51" i="1" s="1"/>
  <c r="BI54" i="1" s="1"/>
  <c r="BJ51" i="1" s="1"/>
  <c r="BJ54" i="1" s="1"/>
  <c r="BK51" i="1" s="1"/>
  <c r="BK54" i="1" s="1"/>
  <c r="BL51" i="1" s="1"/>
  <c r="BL54" i="1" s="1"/>
  <c r="BN51" i="1" s="1"/>
  <c r="BN54" i="1" s="1"/>
  <c r="BO51" i="1" s="1"/>
  <c r="BO54" i="1" s="1"/>
  <c r="BP51" i="1" s="1"/>
  <c r="BP54" i="1" s="1"/>
  <c r="BQ51" i="1" s="1"/>
  <c r="BQ54" i="1" s="1"/>
  <c r="BS51" i="1" s="1"/>
  <c r="BS54" i="1" s="1"/>
  <c r="AX56" i="1"/>
  <c r="CH190" i="1"/>
  <c r="CH27" i="1"/>
  <c r="AL139" i="1"/>
  <c r="AL41" i="1"/>
  <c r="Z41" i="1"/>
  <c r="Z27" i="1" s="1"/>
  <c r="AB165" i="1"/>
  <c r="AB166" i="1" s="1"/>
  <c r="AB168" i="1" s="1"/>
  <c r="AB39" i="1"/>
  <c r="AX22" i="1"/>
  <c r="AT60" i="1"/>
  <c r="AX60" i="1" s="1"/>
  <c r="AR165" i="1"/>
  <c r="BN132" i="1"/>
  <c r="BN13" i="14"/>
  <c r="BS15" i="14" s="1"/>
  <c r="BL60" i="1"/>
  <c r="BM22" i="1"/>
  <c r="AU25" i="1"/>
  <c r="AU76" i="1"/>
  <c r="U41" i="1"/>
  <c r="U27" i="1" s="1"/>
  <c r="BP69" i="1"/>
  <c r="BP28" i="1"/>
  <c r="BP85" i="1"/>
  <c r="AY60" i="1"/>
  <c r="BC60" i="1" s="1"/>
  <c r="BC22" i="1"/>
  <c r="BO131" i="1"/>
  <c r="BQ28" i="1"/>
  <c r="BR37" i="1"/>
  <c r="AS60" i="1"/>
  <c r="AC37" i="1"/>
  <c r="AD37" i="1" s="1"/>
  <c r="AH37" i="1"/>
  <c r="O37" i="1"/>
  <c r="O39" i="1" s="1"/>
  <c r="T37" i="1"/>
  <c r="T39" i="1" s="1"/>
  <c r="AZ13" i="7"/>
  <c r="BA11" i="7"/>
  <c r="AY13" i="7"/>
  <c r="CR22" i="57"/>
  <c r="CT22" i="57" s="1"/>
  <c r="CM26" i="57"/>
  <c r="CH28" i="57"/>
  <c r="CT73" i="56" s="1"/>
  <c r="CJ26" i="57"/>
  <c r="CO99" i="56"/>
  <c r="CO141" i="56"/>
  <c r="CQ141" i="56" s="1"/>
  <c r="CQ73" i="56"/>
  <c r="CQ99" i="56" s="1"/>
  <c r="CM27" i="57"/>
  <c r="CJ27" i="57"/>
  <c r="CH5" i="57"/>
  <c r="CE27" i="57"/>
  <c r="CE34" i="57" s="1"/>
  <c r="CE26" i="57"/>
  <c r="CY14" i="5"/>
  <c r="CN122" i="56"/>
  <c r="CO121" i="56"/>
  <c r="CN125" i="56"/>
  <c r="CO124" i="56"/>
  <c r="CY123" i="56"/>
  <c r="DD123" i="56" s="1"/>
  <c r="DD17" i="56"/>
  <c r="CY186" i="56"/>
  <c r="CY21" i="59" s="1"/>
  <c r="CT186" i="56"/>
  <c r="CT21" i="59" s="1"/>
  <c r="CT46" i="59" s="1"/>
  <c r="CT140" i="1"/>
  <c r="CY140" i="1" s="1"/>
  <c r="DD140" i="1" s="1"/>
  <c r="CM120" i="1"/>
  <c r="CN120" i="1" s="1"/>
  <c r="CO120" i="1" s="1"/>
  <c r="CP120" i="1" s="1"/>
  <c r="CQ120" i="1" s="1"/>
  <c r="CM113" i="1"/>
  <c r="CN113" i="1" s="1"/>
  <c r="CO113" i="1" s="1"/>
  <c r="CP113" i="1" s="1"/>
  <c r="CR113" i="1" s="1"/>
  <c r="CS113" i="1" s="1"/>
  <c r="CT113" i="1" s="1"/>
  <c r="CU113" i="1" s="1"/>
  <c r="AN102" i="1"/>
  <c r="AX102" i="1"/>
  <c r="CD192" i="1"/>
  <c r="J102" i="1"/>
  <c r="CD107" i="1"/>
  <c r="CD125" i="1" s="1"/>
  <c r="BW107" i="1"/>
  <c r="BU192" i="1"/>
  <c r="CE99" i="1"/>
  <c r="T107" i="1"/>
  <c r="T125" i="1" s="1"/>
  <c r="BR102" i="1"/>
  <c r="CL151" i="1"/>
  <c r="CQ116" i="1"/>
  <c r="CR116" i="1"/>
  <c r="CS116" i="1" s="1"/>
  <c r="CT116" i="1" s="1"/>
  <c r="CU116" i="1" s="1"/>
  <c r="CQ100" i="1"/>
  <c r="CR100" i="1"/>
  <c r="CS100" i="1" s="1"/>
  <c r="CT100" i="1" s="1"/>
  <c r="CU100" i="1" s="1"/>
  <c r="CQ106" i="1"/>
  <c r="CR106" i="1"/>
  <c r="CS106" i="1" s="1"/>
  <c r="CT106" i="1" s="1"/>
  <c r="CU106" i="1" s="1"/>
  <c r="CI13" i="1"/>
  <c r="CI62" i="1"/>
  <c r="CI74" i="1"/>
  <c r="CN22" i="1"/>
  <c r="CQ31" i="1"/>
  <c r="CR31" i="1"/>
  <c r="CS31" i="1" s="1"/>
  <c r="CT31" i="1" s="1"/>
  <c r="CU31" i="1" s="1"/>
  <c r="CW31" i="1" s="1"/>
  <c r="CX31" i="1" s="1"/>
  <c r="BL154" i="1"/>
  <c r="CS53" i="1"/>
  <c r="AS56" i="1"/>
  <c r="AS55" i="1" s="1"/>
  <c r="CE27" i="1"/>
  <c r="CE190" i="1"/>
  <c r="CW95" i="56"/>
  <c r="R178" i="1"/>
  <c r="R160" i="1"/>
  <c r="R158" i="1"/>
  <c r="AF158" i="1"/>
  <c r="AF178" i="1"/>
  <c r="V171" i="1"/>
  <c r="V173" i="1" s="1"/>
  <c r="V175" i="1" s="1"/>
  <c r="V176" i="1" s="1"/>
  <c r="V158" i="1"/>
  <c r="V178" i="1"/>
  <c r="V160" i="1"/>
  <c r="DD95" i="56"/>
  <c r="CT95" i="56"/>
  <c r="DB95" i="56"/>
  <c r="CR95" i="56"/>
  <c r="CR67" i="56" s="1"/>
  <c r="CY95" i="56"/>
  <c r="AE158" i="1"/>
  <c r="P178" i="1"/>
  <c r="P160" i="1"/>
  <c r="P158" i="1"/>
  <c r="BP41" i="1"/>
  <c r="CL104" i="1"/>
  <c r="CL105" i="1"/>
  <c r="BH37" i="1"/>
  <c r="CB128" i="56"/>
  <c r="CD120" i="56"/>
  <c r="AO71" i="59"/>
  <c r="AO36" i="14"/>
  <c r="AS42" i="59"/>
  <c r="AZ28" i="33"/>
  <c r="AZ54" i="33" s="1"/>
  <c r="AZ43" i="33"/>
  <c r="AX28" i="33"/>
  <c r="AX54" i="33" s="1"/>
  <c r="AX43" i="33"/>
  <c r="BD28" i="33"/>
  <c r="BD54" i="33" s="1"/>
  <c r="BD43" i="33"/>
  <c r="CH75" i="59"/>
  <c r="CL46" i="59"/>
  <c r="BO75" i="59"/>
  <c r="BR46" i="59"/>
  <c r="BS75" i="59"/>
  <c r="BW46" i="59"/>
  <c r="BB43" i="33"/>
  <c r="BB28" i="33"/>
  <c r="BB54" i="33" s="1"/>
  <c r="BC28" i="33"/>
  <c r="BC54" i="33" s="1"/>
  <c r="BC43" i="33"/>
  <c r="BV110" i="56"/>
  <c r="BV108" i="56"/>
  <c r="BV109" i="56"/>
  <c r="AS11" i="66"/>
  <c r="BV114" i="56"/>
  <c r="BV111" i="56"/>
  <c r="BV10" i="14"/>
  <c r="BV106" i="56"/>
  <c r="BV112" i="56"/>
  <c r="BS85" i="56"/>
  <c r="BW85" i="56" s="1"/>
  <c r="BS91" i="56"/>
  <c r="BW91" i="56" s="1"/>
  <c r="CB93" i="56" s="1"/>
  <c r="BW83" i="56"/>
  <c r="BS90" i="56"/>
  <c r="BW90" i="56" s="1"/>
  <c r="BS139" i="56"/>
  <c r="BT120" i="56"/>
  <c r="U8" i="14"/>
  <c r="BS119" i="56"/>
  <c r="BM34" i="59"/>
  <c r="CG93" i="56"/>
  <c r="AO75" i="59"/>
  <c r="BM119" i="56"/>
  <c r="BM128" i="56"/>
  <c r="BR119" i="56"/>
  <c r="BR128" i="56"/>
  <c r="BW125" i="56"/>
  <c r="CB125" i="56"/>
  <c r="BX126" i="56"/>
  <c r="BS143" i="56"/>
  <c r="BW139" i="56"/>
  <c r="BW143" i="56" s="1"/>
  <c r="BW118" i="56"/>
  <c r="AS75" i="59"/>
  <c r="AS34" i="59"/>
  <c r="BQ128" i="56"/>
  <c r="BQ120" i="56"/>
  <c r="BS120" i="56"/>
  <c r="BQ119" i="56"/>
  <c r="BV119" i="56"/>
  <c r="BS110" i="56"/>
  <c r="BS106" i="56"/>
  <c r="BS111" i="56"/>
  <c r="BW77" i="56"/>
  <c r="BW110" i="56" s="1"/>
  <c r="BS108" i="56"/>
  <c r="BS112" i="56"/>
  <c r="BS10" i="14"/>
  <c r="BS114" i="56"/>
  <c r="BS109" i="56"/>
  <c r="BL120" i="56"/>
  <c r="BK128" i="56"/>
  <c r="BP119" i="56"/>
  <c r="BK119" i="56"/>
  <c r="CG119" i="56"/>
  <c r="CG128" i="56"/>
  <c r="CH120" i="56"/>
  <c r="BT110" i="56"/>
  <c r="BN120" i="56"/>
  <c r="BK18" i="11"/>
  <c r="BP128" i="56"/>
  <c r="AS26" i="59"/>
  <c r="BO120" i="56"/>
  <c r="AX44" i="59"/>
  <c r="CB46" i="59"/>
  <c r="CG141" i="56"/>
  <c r="J43" i="33"/>
  <c r="J28" i="33"/>
  <c r="J54" i="33" s="1"/>
  <c r="N43" i="33"/>
  <c r="N28" i="33"/>
  <c r="N54" i="33" s="1"/>
  <c r="AK28" i="33"/>
  <c r="AK54" i="33" s="1"/>
  <c r="AK43" i="33"/>
  <c r="BA43" i="33"/>
  <c r="BA28" i="33"/>
  <c r="BA54" i="33" s="1"/>
  <c r="BJ91" i="56"/>
  <c r="BJ90" i="56"/>
  <c r="BM83" i="56"/>
  <c r="BH28" i="33"/>
  <c r="BH54" i="33" s="1"/>
  <c r="BH43" i="33"/>
  <c r="BL43" i="33"/>
  <c r="BL28" i="33"/>
  <c r="BL54" i="33" s="1"/>
  <c r="BP28" i="33"/>
  <c r="BP54" i="33" s="1"/>
  <c r="BP43" i="33"/>
  <c r="AO70" i="59"/>
  <c r="AO35" i="14"/>
  <c r="AS41" i="59"/>
  <c r="AO43" i="59"/>
  <c r="AT67" i="59"/>
  <c r="AT33" i="14"/>
  <c r="AT39" i="59"/>
  <c r="AT32" i="14"/>
  <c r="AT66" i="59"/>
  <c r="K28" i="33"/>
  <c r="K54" i="33" s="1"/>
  <c r="K43" i="33"/>
  <c r="O43" i="33"/>
  <c r="O28" i="33"/>
  <c r="O54" i="33" s="1"/>
  <c r="AL43" i="33"/>
  <c r="AL28" i="33"/>
  <c r="AL54" i="33" s="1"/>
  <c r="AT28" i="33"/>
  <c r="AT54" i="33" s="1"/>
  <c r="AT43" i="33"/>
  <c r="BR141" i="56"/>
  <c r="BI28" i="33"/>
  <c r="BI54" i="33" s="1"/>
  <c r="BI43" i="33"/>
  <c r="BM28" i="33"/>
  <c r="BM54" i="33" s="1"/>
  <c r="BM43" i="33"/>
  <c r="BQ43" i="33"/>
  <c r="BQ28" i="33"/>
  <c r="BQ54" i="33" s="1"/>
  <c r="BY11" i="14"/>
  <c r="BJ118" i="56"/>
  <c r="BJ101" i="56"/>
  <c r="F43" i="33"/>
  <c r="F28" i="33"/>
  <c r="F54" i="33" s="1"/>
  <c r="L43" i="33"/>
  <c r="L28" i="33"/>
  <c r="L54" i="33" s="1"/>
  <c r="R43" i="33"/>
  <c r="R28" i="33"/>
  <c r="R54" i="33" s="1"/>
  <c r="AI28" i="33"/>
  <c r="AI54" i="33" s="1"/>
  <c r="AI43" i="33"/>
  <c r="BL91" i="56"/>
  <c r="BL90" i="56"/>
  <c r="BQ91" i="56"/>
  <c r="BQ90" i="56"/>
  <c r="BJ28" i="33"/>
  <c r="BJ54" i="33" s="1"/>
  <c r="BJ43" i="33"/>
  <c r="BN43" i="33"/>
  <c r="BN28" i="33"/>
  <c r="BN54" i="33" s="1"/>
  <c r="BL119" i="56"/>
  <c r="BL128" i="56"/>
  <c r="AR36" i="14"/>
  <c r="AR71" i="59"/>
  <c r="M43" i="33"/>
  <c r="M28" i="33"/>
  <c r="M54" i="33" s="1"/>
  <c r="AR43" i="33"/>
  <c r="AR28" i="33"/>
  <c r="AR54" i="33" s="1"/>
  <c r="BN90" i="56"/>
  <c r="BN91" i="56"/>
  <c r="BR91" i="56" s="1"/>
  <c r="BW93" i="56" s="1"/>
  <c r="BK28" i="33"/>
  <c r="BK54" i="33" s="1"/>
  <c r="BK43" i="33"/>
  <c r="BO28" i="33"/>
  <c r="BO54" i="33" s="1"/>
  <c r="BO43" i="33"/>
  <c r="CT22" i="56"/>
  <c r="CY22" i="56" s="1"/>
  <c r="DD22" i="56" s="1"/>
  <c r="CQ22" i="56"/>
  <c r="CQ43" i="56" s="1"/>
  <c r="CP61" i="56"/>
  <c r="CL7" i="11"/>
  <c r="CL22" i="11" s="1"/>
  <c r="CW22" i="56"/>
  <c r="BD16" i="11"/>
  <c r="BD11" i="11"/>
  <c r="BI23" i="11"/>
  <c r="BD23" i="11"/>
  <c r="BH9" i="11"/>
  <c r="BE18" i="5"/>
  <c r="BE30" i="5"/>
  <c r="CG16" i="11"/>
  <c r="CG23" i="11"/>
  <c r="CL21" i="11"/>
  <c r="CI17" i="11"/>
  <c r="BP19" i="5"/>
  <c r="BP171" i="1"/>
  <c r="BP173" i="1" s="1"/>
  <c r="BP175" i="1" s="1"/>
  <c r="BP176" i="1" s="1"/>
  <c r="BP160" i="1"/>
  <c r="BP178" i="1"/>
  <c r="BZ27" i="1"/>
  <c r="BZ190" i="1"/>
  <c r="AT28" i="1"/>
  <c r="AT131" i="1"/>
  <c r="AT69" i="1"/>
  <c r="BP82" i="1"/>
  <c r="BP66" i="1"/>
  <c r="BP163" i="1"/>
  <c r="BP166" i="1" s="1"/>
  <c r="BP132" i="1"/>
  <c r="CL35" i="1"/>
  <c r="CM35" i="1"/>
  <c r="CM36" i="1" s="1"/>
  <c r="BJ134" i="1"/>
  <c r="BJ163" i="1"/>
  <c r="BJ166" i="1" s="1"/>
  <c r="BJ66" i="1"/>
  <c r="BO76" i="1"/>
  <c r="BO60" i="1"/>
  <c r="BN25" i="1"/>
  <c r="BR23" i="1"/>
  <c r="BN76" i="1"/>
  <c r="X37" i="1"/>
  <c r="X165" i="1" s="1"/>
  <c r="BK132" i="1"/>
  <c r="BK163" i="1"/>
  <c r="BK82" i="1"/>
  <c r="BK134" i="1"/>
  <c r="BX190" i="1"/>
  <c r="CB37" i="1"/>
  <c r="BY39" i="1"/>
  <c r="BY41" i="1" s="1"/>
  <c r="CB41" i="1" s="1"/>
  <c r="CC27" i="1"/>
  <c r="BE60" i="1"/>
  <c r="BH60" i="1" s="1"/>
  <c r="BH22" i="1"/>
  <c r="BV27" i="1"/>
  <c r="BV190" i="1"/>
  <c r="BC37" i="1"/>
  <c r="BI62" i="1"/>
  <c r="J37" i="1"/>
  <c r="I39" i="1"/>
  <c r="AA165" i="1"/>
  <c r="AA166" i="1" s="1"/>
  <c r="AS37" i="1"/>
  <c r="AO165" i="1"/>
  <c r="AO166" i="1" s="1"/>
  <c r="AO168" i="1" s="1"/>
  <c r="AO39" i="1"/>
  <c r="AX37" i="1"/>
  <c r="AT165" i="1"/>
  <c r="AN37" i="1"/>
  <c r="CN62" i="56"/>
  <c r="CN6" i="11"/>
  <c r="CN187" i="56"/>
  <c r="CN63" i="56"/>
  <c r="CS21" i="56"/>
  <c r="CR21" i="56"/>
  <c r="CU21" i="56"/>
  <c r="CL42" i="56"/>
  <c r="CL63" i="56"/>
  <c r="CO21" i="56"/>
  <c r="CO24" i="56" s="1"/>
  <c r="CR152" i="1"/>
  <c r="CT152" i="1"/>
  <c r="CR53" i="1"/>
  <c r="DC56" i="1"/>
  <c r="DC152" i="1" s="1"/>
  <c r="AI56" i="1"/>
  <c r="CF154" i="1"/>
  <c r="CG152" i="1"/>
  <c r="CG154" i="1" s="1"/>
  <c r="CG158" i="1" s="1"/>
  <c r="CX53" i="1"/>
  <c r="DC55" i="1"/>
  <c r="CY152" i="1"/>
  <c r="CY53" i="1"/>
  <c r="DD56" i="1"/>
  <c r="CW53" i="1"/>
  <c r="DB56" i="1"/>
  <c r="CW152" i="1"/>
  <c r="CM48" i="1"/>
  <c r="CN48" i="1" s="1"/>
  <c r="CN46" i="1" s="1"/>
  <c r="CQ56" i="1"/>
  <c r="AK152" i="1"/>
  <c r="AK154" i="1" s="1"/>
  <c r="CP152" i="1"/>
  <c r="CT53" i="1"/>
  <c r="CA56" i="1"/>
  <c r="CA55" i="1" s="1"/>
  <c r="DE97" i="56"/>
  <c r="DC97" i="56"/>
  <c r="CZ97" i="56"/>
  <c r="CX97" i="56"/>
  <c r="CU97" i="56"/>
  <c r="CS97" i="56"/>
  <c r="CO69" i="56"/>
  <c r="DE95" i="56"/>
  <c r="DC95" i="56"/>
  <c r="CZ95" i="56"/>
  <c r="CX95" i="56"/>
  <c r="CU95" i="56"/>
  <c r="CS95" i="56"/>
  <c r="CL69" i="56"/>
  <c r="DD97" i="56"/>
  <c r="DB97" i="56"/>
  <c r="CY97" i="56"/>
  <c r="CW97" i="56"/>
  <c r="CT97" i="56"/>
  <c r="CR97" i="56"/>
  <c r="CH32" i="14"/>
  <c r="CH66" i="59"/>
  <c r="CH39" i="59"/>
  <c r="CH67" i="59"/>
  <c r="CH33" i="14"/>
  <c r="BF43" i="59"/>
  <c r="CF37" i="59"/>
  <c r="CF13" i="59"/>
  <c r="BA66" i="59"/>
  <c r="BA32" i="14"/>
  <c r="CI180" i="56"/>
  <c r="CI11" i="59" s="1"/>
  <c r="CN153" i="56"/>
  <c r="CS153" i="56" s="1"/>
  <c r="CX153" i="56" s="1"/>
  <c r="DC153" i="56" s="1"/>
  <c r="CI167" i="56"/>
  <c r="CE38" i="59"/>
  <c r="CE13" i="59"/>
  <c r="CF67" i="59"/>
  <c r="CF33" i="14"/>
  <c r="BF13" i="59"/>
  <c r="BF38" i="59"/>
  <c r="BO37" i="59"/>
  <c r="BR11" i="59"/>
  <c r="BJ32" i="14"/>
  <c r="BJ66" i="59"/>
  <c r="BB181" i="56"/>
  <c r="BB12" i="59" s="1"/>
  <c r="BB168" i="56"/>
  <c r="CH168" i="56"/>
  <c r="CD37" i="59"/>
  <c r="CD13" i="59"/>
  <c r="BY13" i="59"/>
  <c r="BZ11" i="59"/>
  <c r="BT12" i="59"/>
  <c r="BE36" i="14"/>
  <c r="BE71" i="59"/>
  <c r="BN12" i="59"/>
  <c r="BR181" i="56"/>
  <c r="BR146" i="56" s="1"/>
  <c r="BK38" i="59"/>
  <c r="BK13" i="59"/>
  <c r="AY11" i="59"/>
  <c r="BC180" i="56"/>
  <c r="CI67" i="59"/>
  <c r="CI33" i="14"/>
  <c r="BX67" i="59"/>
  <c r="BX33" i="14"/>
  <c r="BE38" i="59"/>
  <c r="BE13" i="59"/>
  <c r="BC181" i="56"/>
  <c r="AZ12" i="59"/>
  <c r="BG11" i="59"/>
  <c r="AX11" i="59"/>
  <c r="AW37" i="59"/>
  <c r="BX37" i="59"/>
  <c r="CC168" i="56"/>
  <c r="CC181" i="56"/>
  <c r="BB155" i="56"/>
  <c r="CC153" i="56"/>
  <c r="CH33" i="56"/>
  <c r="CC155" i="56"/>
  <c r="CN97" i="56"/>
  <c r="CN69" i="56" s="1"/>
  <c r="CN95" i="56"/>
  <c r="CN67" i="56" s="1"/>
  <c r="CN133" i="56" s="1"/>
  <c r="CN181" i="56" s="1"/>
  <c r="CN12" i="59" s="1"/>
  <c r="CN38" i="59" s="1"/>
  <c r="CN33" i="14" s="1"/>
  <c r="CM132" i="56"/>
  <c r="CM133" i="56"/>
  <c r="CM97" i="56"/>
  <c r="CM69" i="56" s="1"/>
  <c r="CM76" i="56" s="1"/>
  <c r="BG168" i="56" l="1"/>
  <c r="BG181" i="56"/>
  <c r="BG12" i="59" s="1"/>
  <c r="BG38" i="59" s="1"/>
  <c r="AW12" i="59"/>
  <c r="AX181" i="56"/>
  <c r="AX146" i="56" s="1"/>
  <c r="CB11" i="59"/>
  <c r="BU32" i="14"/>
  <c r="CB12" i="59"/>
  <c r="CB38" i="59"/>
  <c r="BV153" i="56"/>
  <c r="BV199" i="56"/>
  <c r="BV18" i="14"/>
  <c r="BV155" i="56"/>
  <c r="CA33" i="56"/>
  <c r="BV33" i="56"/>
  <c r="BV154" i="56"/>
  <c r="BH18" i="14"/>
  <c r="BH19" i="14" s="1"/>
  <c r="BH33" i="56"/>
  <c r="BA68" i="59"/>
  <c r="BA27" i="59"/>
  <c r="BH155" i="56"/>
  <c r="BH169" i="56" s="1"/>
  <c r="BY67" i="59"/>
  <c r="BS181" i="56"/>
  <c r="BS168" i="56"/>
  <c r="BW12" i="56"/>
  <c r="BG56" i="56"/>
  <c r="BG59" i="56"/>
  <c r="BG58" i="56"/>
  <c r="BG26" i="56"/>
  <c r="BG28" i="56" s="1"/>
  <c r="BG29" i="56" s="1"/>
  <c r="BG52" i="56"/>
  <c r="BL181" i="56"/>
  <c r="BL168" i="56"/>
  <c r="BQ168" i="56"/>
  <c r="BS169" i="56"/>
  <c r="BX169" i="56"/>
  <c r="BI168" i="56"/>
  <c r="BD181" i="56"/>
  <c r="CB180" i="56"/>
  <c r="CB146" i="56" s="1"/>
  <c r="BI167" i="56"/>
  <c r="BD167" i="56"/>
  <c r="BD180" i="56"/>
  <c r="BM199" i="56"/>
  <c r="BM18" i="14"/>
  <c r="BR33" i="56"/>
  <c r="BM33" i="56"/>
  <c r="BM155" i="56"/>
  <c r="BR169" i="56" s="1"/>
  <c r="BS167" i="56"/>
  <c r="BS180" i="56"/>
  <c r="BD168" i="56"/>
  <c r="BL180" i="56"/>
  <c r="BQ167" i="56"/>
  <c r="BL167" i="56"/>
  <c r="BG54" i="56"/>
  <c r="BM156" i="1"/>
  <c r="CA141" i="1"/>
  <c r="CA165" i="1" s="1"/>
  <c r="CA166" i="1" s="1"/>
  <c r="AM62" i="1"/>
  <c r="AM132" i="1" s="1"/>
  <c r="AW154" i="1"/>
  <c r="BC147" i="1"/>
  <c r="BC148" i="1" s="1"/>
  <c r="BB148" i="1"/>
  <c r="J61" i="1"/>
  <c r="J13" i="1" s="1"/>
  <c r="I140" i="1"/>
  <c r="Q59" i="1"/>
  <c r="Q62" i="1" s="1"/>
  <c r="Q21" i="1"/>
  <c r="Q83" i="1"/>
  <c r="Q67" i="1"/>
  <c r="V83" i="1"/>
  <c r="CC132" i="1"/>
  <c r="CC82" i="1"/>
  <c r="CC163" i="1"/>
  <c r="CC66" i="1"/>
  <c r="CC160" i="1"/>
  <c r="CC13" i="14"/>
  <c r="CC15" i="14" s="1"/>
  <c r="CC134" i="1"/>
  <c r="CA86" i="1"/>
  <c r="AG1" i="33"/>
  <c r="AS9" i="66"/>
  <c r="BV1" i="59"/>
  <c r="BV1" i="5"/>
  <c r="BV1" i="56"/>
  <c r="AW164" i="1"/>
  <c r="AW166" i="1" s="1"/>
  <c r="AW168" i="1" s="1"/>
  <c r="AW148" i="1"/>
  <c r="AX145" i="1"/>
  <c r="AW172" i="1"/>
  <c r="BL148" i="1"/>
  <c r="BL164" i="1"/>
  <c r="BM145" i="1"/>
  <c r="BL172" i="1"/>
  <c r="CG129" i="1"/>
  <c r="CG72" i="1"/>
  <c r="CG130" i="1"/>
  <c r="BE67" i="1"/>
  <c r="BE59" i="1"/>
  <c r="BE62" i="1" s="1"/>
  <c r="BJ83" i="1"/>
  <c r="X59" i="1"/>
  <c r="X67" i="1"/>
  <c r="X83" i="1"/>
  <c r="BW36" i="1"/>
  <c r="BF168" i="1"/>
  <c r="AR148" i="1"/>
  <c r="AR172" i="1"/>
  <c r="AR164" i="1"/>
  <c r="AS145" i="1"/>
  <c r="BN83" i="1"/>
  <c r="BI67" i="1"/>
  <c r="CA132" i="1"/>
  <c r="CA13" i="14"/>
  <c r="CK82" i="1"/>
  <c r="CF134" i="1"/>
  <c r="CF132" i="1"/>
  <c r="CF66" i="1"/>
  <c r="CF163" i="1"/>
  <c r="CF166" i="1" s="1"/>
  <c r="CF13" i="14"/>
  <c r="CF15" i="14" s="1"/>
  <c r="BG154" i="1"/>
  <c r="BH150" i="1"/>
  <c r="BH154" i="1" s="1"/>
  <c r="BF163" i="1"/>
  <c r="BF166" i="1" s="1"/>
  <c r="BF66" i="1"/>
  <c r="BF134" i="1"/>
  <c r="BF132" i="1"/>
  <c r="BF82" i="1"/>
  <c r="BF13" i="14"/>
  <c r="BF15" i="14" s="1"/>
  <c r="Y147" i="1"/>
  <c r="Y148" i="1" s="1"/>
  <c r="X148" i="1"/>
  <c r="AC80" i="1"/>
  <c r="AC65" i="1"/>
  <c r="AC16" i="1"/>
  <c r="AC68" i="59"/>
  <c r="AC67" i="59"/>
  <c r="AC75" i="59"/>
  <c r="AC73" i="59"/>
  <c r="AC72" i="59"/>
  <c r="AC71" i="59"/>
  <c r="AC66" i="59"/>
  <c r="AC70" i="59"/>
  <c r="AA134" i="1"/>
  <c r="AA13" i="14"/>
  <c r="BK166" i="1"/>
  <c r="CJ154" i="1"/>
  <c r="H148" i="1"/>
  <c r="CE143" i="1"/>
  <c r="CK141" i="1"/>
  <c r="AN61" i="1"/>
  <c r="AN13" i="1" s="1"/>
  <c r="I152" i="1"/>
  <c r="I154" i="1" s="1"/>
  <c r="AU134" i="1"/>
  <c r="AU13" i="14"/>
  <c r="AV62" i="1"/>
  <c r="BY69" i="1"/>
  <c r="BY28" i="1"/>
  <c r="AC164" i="1"/>
  <c r="AC148" i="1"/>
  <c r="AD145" i="1"/>
  <c r="AC172" i="1"/>
  <c r="T147" i="1"/>
  <c r="T148" i="1" s="1"/>
  <c r="S148" i="1"/>
  <c r="CF13" i="1"/>
  <c r="AD69" i="1"/>
  <c r="AD28" i="1"/>
  <c r="BW125" i="1"/>
  <c r="CA143" i="1"/>
  <c r="CA178" i="1" s="1"/>
  <c r="BG165" i="1"/>
  <c r="BH141" i="1"/>
  <c r="BH165" i="1" s="1"/>
  <c r="BK165" i="1"/>
  <c r="BL141" i="1"/>
  <c r="CB21" i="1"/>
  <c r="CB59" i="1"/>
  <c r="CB67" i="1"/>
  <c r="AI147" i="1"/>
  <c r="AI148" i="1" s="1"/>
  <c r="AH148" i="1"/>
  <c r="BK143" i="1"/>
  <c r="BY83" i="1"/>
  <c r="BT83" i="1"/>
  <c r="BB67" i="1"/>
  <c r="BG83" i="1"/>
  <c r="BB167" i="1"/>
  <c r="BB168" i="1" s="1"/>
  <c r="BB59" i="1"/>
  <c r="CC28" i="1"/>
  <c r="CC69" i="1"/>
  <c r="AA76" i="1"/>
  <c r="AA84" i="1"/>
  <c r="AA68" i="1"/>
  <c r="AA25" i="1"/>
  <c r="AN141" i="1"/>
  <c r="AM165" i="1"/>
  <c r="CF171" i="1"/>
  <c r="CF173" i="1" s="1"/>
  <c r="CF175" i="1" s="1"/>
  <c r="CF160" i="1"/>
  <c r="CF178" i="1"/>
  <c r="CF179" i="1" s="1"/>
  <c r="CA160" i="1"/>
  <c r="CJ164" i="1"/>
  <c r="CJ166" i="1" s="1"/>
  <c r="CJ172" i="1"/>
  <c r="CJ148" i="1"/>
  <c r="CO145" i="1"/>
  <c r="CF25" i="1"/>
  <c r="CF68" i="1"/>
  <c r="CF76" i="1"/>
  <c r="CF84" i="1"/>
  <c r="BH147" i="1"/>
  <c r="BH148" i="1" s="1"/>
  <c r="BG148" i="1"/>
  <c r="AI167" i="1"/>
  <c r="AI59" i="1"/>
  <c r="AI83" i="1"/>
  <c r="AI21" i="1"/>
  <c r="AI67" i="1"/>
  <c r="AK83" i="1"/>
  <c r="AK21" i="1"/>
  <c r="AK67" i="1"/>
  <c r="AK167" i="1"/>
  <c r="AK59" i="1"/>
  <c r="AK62" i="1" s="1"/>
  <c r="AD135" i="1"/>
  <c r="AD124" i="1"/>
  <c r="AD125" i="1" s="1"/>
  <c r="AD133" i="1"/>
  <c r="AE131" i="1"/>
  <c r="AD131" i="1"/>
  <c r="N16" i="1"/>
  <c r="S80" i="1"/>
  <c r="N65" i="1"/>
  <c r="N80" i="1"/>
  <c r="AZ66" i="1"/>
  <c r="AZ134" i="1"/>
  <c r="AZ82" i="1"/>
  <c r="AZ13" i="14"/>
  <c r="AZ163" i="1"/>
  <c r="AZ166" i="1" s="1"/>
  <c r="AZ168" i="1" s="1"/>
  <c r="AZ132" i="1"/>
  <c r="AM80" i="1"/>
  <c r="AH16" i="1"/>
  <c r="AH80" i="1"/>
  <c r="AH65" i="1"/>
  <c r="AH66" i="59"/>
  <c r="AH75" i="59"/>
  <c r="AH71" i="59"/>
  <c r="AH73" i="59"/>
  <c r="AH68" i="59"/>
  <c r="AH70" i="59"/>
  <c r="AH67" i="59"/>
  <c r="AH72" i="59"/>
  <c r="AM13" i="14"/>
  <c r="BZ134" i="1"/>
  <c r="BZ163" i="1"/>
  <c r="BZ166" i="1" s="1"/>
  <c r="BZ132" i="1"/>
  <c r="BZ66" i="1"/>
  <c r="BZ13" i="14"/>
  <c r="BS82" i="1"/>
  <c r="Z1" i="33"/>
  <c r="AL143" i="1"/>
  <c r="AL160" i="1" s="1"/>
  <c r="BS43" i="14"/>
  <c r="CK140" i="1"/>
  <c r="CL156" i="1"/>
  <c r="BK186" i="1"/>
  <c r="BK167" i="1" s="1"/>
  <c r="BL186" i="1"/>
  <c r="BJ186" i="1"/>
  <c r="BJ167" i="1" s="1"/>
  <c r="BJ168" i="1" s="1"/>
  <c r="BR186" i="1"/>
  <c r="BI186" i="1"/>
  <c r="BI167" i="1" s="1"/>
  <c r="BM167" i="1"/>
  <c r="DC164" i="1"/>
  <c r="DC148" i="1"/>
  <c r="DC172" i="1"/>
  <c r="BV145" i="1"/>
  <c r="BU164" i="1"/>
  <c r="BU172" i="1"/>
  <c r="BU148" i="1"/>
  <c r="BC140" i="1"/>
  <c r="BB61" i="1"/>
  <c r="AI140" i="1"/>
  <c r="AH61" i="1"/>
  <c r="AH13" i="1" s="1"/>
  <c r="W83" i="1"/>
  <c r="W21" i="1"/>
  <c r="W67" i="1"/>
  <c r="AB83" i="1"/>
  <c r="W59" i="1"/>
  <c r="W62" i="1" s="1"/>
  <c r="X61" i="1"/>
  <c r="Y61" i="1" s="1"/>
  <c r="Y140" i="1"/>
  <c r="K83" i="1"/>
  <c r="K21" i="1"/>
  <c r="K67" i="1"/>
  <c r="P83" i="1"/>
  <c r="K59" i="1"/>
  <c r="K62" i="1" s="1"/>
  <c r="BQ147" i="1"/>
  <c r="BP148" i="1"/>
  <c r="BP158" i="1" s="1"/>
  <c r="BV150" i="1"/>
  <c r="BU154" i="1"/>
  <c r="I131" i="1"/>
  <c r="I28" i="1"/>
  <c r="AW68" i="1"/>
  <c r="AW25" i="1"/>
  <c r="AW76" i="1"/>
  <c r="CD61" i="1"/>
  <c r="CD62" i="1" s="1"/>
  <c r="AP84" i="1"/>
  <c r="AP76" i="1"/>
  <c r="AP68" i="1"/>
  <c r="AU84" i="1"/>
  <c r="AP25" i="1"/>
  <c r="CH74" i="1"/>
  <c r="CH13" i="1"/>
  <c r="BZ69" i="1"/>
  <c r="BZ28" i="1"/>
  <c r="CB25" i="1"/>
  <c r="BZ131" i="1"/>
  <c r="CE85" i="1"/>
  <c r="BQ166" i="1"/>
  <c r="BT61" i="1"/>
  <c r="BT62" i="1" s="1"/>
  <c r="AN59" i="1"/>
  <c r="AN62" i="1" s="1"/>
  <c r="AS83" i="1"/>
  <c r="AN83" i="1"/>
  <c r="AN67" i="1"/>
  <c r="AN167" i="1"/>
  <c r="AN21" i="1"/>
  <c r="BJ69" i="1"/>
  <c r="BJ28" i="1"/>
  <c r="BJ131" i="1"/>
  <c r="W186" i="1"/>
  <c r="AA167" i="1"/>
  <c r="AJ132" i="1"/>
  <c r="AJ82" i="1"/>
  <c r="AJ134" i="1"/>
  <c r="AO82" i="1"/>
  <c r="AJ163" i="1"/>
  <c r="AJ166" i="1" s="1"/>
  <c r="AJ168" i="1" s="1"/>
  <c r="AJ66" i="1"/>
  <c r="AJ13" i="14"/>
  <c r="AI62" i="7"/>
  <c r="AI362" i="7"/>
  <c r="CI76" i="1"/>
  <c r="CI68" i="1"/>
  <c r="CI25" i="1"/>
  <c r="CI84" i="1"/>
  <c r="J25" i="1"/>
  <c r="J76" i="1"/>
  <c r="O84" i="1"/>
  <c r="AG13" i="1"/>
  <c r="AI61" i="1"/>
  <c r="AI13" i="1" s="1"/>
  <c r="M76" i="1"/>
  <c r="M68" i="1"/>
  <c r="M84" i="1"/>
  <c r="M25" i="1"/>
  <c r="R84" i="1"/>
  <c r="AX68" i="1"/>
  <c r="AX84" i="1"/>
  <c r="BV74" i="1"/>
  <c r="BV13" i="1"/>
  <c r="AS42" i="66"/>
  <c r="AR61" i="1"/>
  <c r="AS140" i="1"/>
  <c r="AA168" i="1"/>
  <c r="CB39" i="1"/>
  <c r="BK168" i="1"/>
  <c r="L158" i="1"/>
  <c r="BN134" i="1"/>
  <c r="BO1" i="59"/>
  <c r="AJ139" i="1"/>
  <c r="AJ143" i="1" s="1"/>
  <c r="AJ178" i="1" s="1"/>
  <c r="BS37" i="1"/>
  <c r="BS39" i="1" s="1"/>
  <c r="BS41" i="1" s="1"/>
  <c r="CB125" i="1"/>
  <c r="CK145" i="1"/>
  <c r="CK150" i="1"/>
  <c r="I147" i="1"/>
  <c r="I148" i="1" s="1"/>
  <c r="CI158" i="1"/>
  <c r="CI178" i="1"/>
  <c r="CI171" i="1"/>
  <c r="CI173" i="1" s="1"/>
  <c r="CI175" i="1" s="1"/>
  <c r="AX146" i="1"/>
  <c r="AX148" i="1" s="1"/>
  <c r="AV148" i="1"/>
  <c r="AV164" i="1"/>
  <c r="T61" i="1"/>
  <c r="S13" i="1"/>
  <c r="S62" i="1"/>
  <c r="CK17" i="1"/>
  <c r="CJ21" i="1"/>
  <c r="DB172" i="1"/>
  <c r="DB148" i="1"/>
  <c r="DB164" i="1"/>
  <c r="BG61" i="1"/>
  <c r="BH140" i="1"/>
  <c r="BZ83" i="1"/>
  <c r="BU67" i="1"/>
  <c r="BU59" i="1"/>
  <c r="BU83" i="1"/>
  <c r="BU21" i="1"/>
  <c r="AG25" i="1"/>
  <c r="AG68" i="1"/>
  <c r="AG76" i="1"/>
  <c r="AG84" i="1"/>
  <c r="AL84" i="1"/>
  <c r="H132" i="1"/>
  <c r="H134" i="1"/>
  <c r="BL21" i="1"/>
  <c r="BQ83" i="1"/>
  <c r="BL67" i="1"/>
  <c r="BL59" i="1"/>
  <c r="BL62" i="1" s="1"/>
  <c r="BL167" i="1"/>
  <c r="BL83" i="1"/>
  <c r="AQ25" i="1"/>
  <c r="AQ68" i="1"/>
  <c r="AV84" i="1"/>
  <c r="AQ76" i="1"/>
  <c r="AQ84" i="1"/>
  <c r="BY171" i="1"/>
  <c r="BY173" i="1" s="1"/>
  <c r="BY175" i="1" s="1"/>
  <c r="BY160" i="1"/>
  <c r="BY178" i="1"/>
  <c r="BY158" i="1"/>
  <c r="F76" i="1"/>
  <c r="F25" i="1"/>
  <c r="G25" i="1"/>
  <c r="L84" i="1"/>
  <c r="G76" i="1"/>
  <c r="AX61" i="1"/>
  <c r="AW13" i="1"/>
  <c r="CG67" i="1"/>
  <c r="CG59" i="1"/>
  <c r="CG83" i="1"/>
  <c r="CG21" i="1"/>
  <c r="AY25" i="1"/>
  <c r="AY76" i="1"/>
  <c r="AY68" i="1"/>
  <c r="AY84" i="1"/>
  <c r="BV62" i="1"/>
  <c r="CE1" i="56"/>
  <c r="AP1" i="33"/>
  <c r="CE1" i="5"/>
  <c r="X73" i="66"/>
  <c r="CE1" i="59"/>
  <c r="AM76" i="1"/>
  <c r="AM25" i="1"/>
  <c r="AM68" i="1"/>
  <c r="BR80" i="1"/>
  <c r="BR65" i="1"/>
  <c r="BR16" i="1"/>
  <c r="BR10" i="14"/>
  <c r="BR11" i="14" s="1"/>
  <c r="CB80" i="1"/>
  <c r="BW80" i="1"/>
  <c r="BW16" i="1"/>
  <c r="BW65" i="1"/>
  <c r="CB74" i="1"/>
  <c r="CB13" i="1"/>
  <c r="CB62" i="1"/>
  <c r="AX154" i="1"/>
  <c r="T86" i="1"/>
  <c r="AH23" i="7"/>
  <c r="AH64" i="7"/>
  <c r="AH63" i="7"/>
  <c r="AQ134" i="1"/>
  <c r="AQ163" i="1"/>
  <c r="AQ166" i="1" s="1"/>
  <c r="AQ168" i="1" s="1"/>
  <c r="AV82" i="1"/>
  <c r="AQ66" i="1"/>
  <c r="AQ132" i="1"/>
  <c r="AQ82" i="1"/>
  <c r="F134" i="1"/>
  <c r="F132" i="1"/>
  <c r="AP83" i="1"/>
  <c r="BT76" i="1"/>
  <c r="BT25" i="1"/>
  <c r="BT68" i="1"/>
  <c r="BT84" i="1"/>
  <c r="BY84" i="1"/>
  <c r="CF158" i="1"/>
  <c r="BN66" i="1"/>
  <c r="BO1" i="5"/>
  <c r="AP166" i="1"/>
  <c r="AP168" i="1" s="1"/>
  <c r="L41" i="1"/>
  <c r="L27" i="1" s="1"/>
  <c r="CA151" i="1"/>
  <c r="CJ143" i="1"/>
  <c r="CE158" i="1"/>
  <c r="CE178" i="1"/>
  <c r="CE171" i="1"/>
  <c r="CE173" i="1" s="1"/>
  <c r="CE175" i="1" s="1"/>
  <c r="CE61" i="1"/>
  <c r="CE62" i="1" s="1"/>
  <c r="AD61" i="1"/>
  <c r="AR167" i="1"/>
  <c r="AR21" i="1"/>
  <c r="AW84" i="1" s="1"/>
  <c r="AR59" i="1"/>
  <c r="AR62" i="1" s="1"/>
  <c r="AR67" i="1"/>
  <c r="AR83" i="1"/>
  <c r="H25" i="1"/>
  <c r="H76" i="1"/>
  <c r="AG62" i="1"/>
  <c r="BZ143" i="1"/>
  <c r="G132" i="1"/>
  <c r="G134" i="1"/>
  <c r="L82" i="1"/>
  <c r="CD76" i="1"/>
  <c r="CD68" i="1"/>
  <c r="CD84" i="1"/>
  <c r="CD25" i="1"/>
  <c r="BB17" i="1"/>
  <c r="BA21" i="1"/>
  <c r="CB75" i="66"/>
  <c r="CB76" i="66" s="1"/>
  <c r="CH134" i="1"/>
  <c r="CH160" i="1"/>
  <c r="CH132" i="1"/>
  <c r="CH66" i="1"/>
  <c r="CH82" i="1"/>
  <c r="CH163" i="1"/>
  <c r="CH166" i="1" s="1"/>
  <c r="CH13" i="14"/>
  <c r="CH15" i="14" s="1"/>
  <c r="AZ21" i="1"/>
  <c r="BY66" i="1"/>
  <c r="BY163" i="1"/>
  <c r="BY166" i="1" s="1"/>
  <c r="BY132" i="1"/>
  <c r="BY134" i="1"/>
  <c r="BY13" i="14"/>
  <c r="BS69" i="1"/>
  <c r="BS131" i="1"/>
  <c r="BX85" i="1"/>
  <c r="BS28" i="1"/>
  <c r="BC59" i="33"/>
  <c r="BH60" i="33"/>
  <c r="BC61" i="33"/>
  <c r="CK155" i="56"/>
  <c r="CK169" i="56" s="1"/>
  <c r="CK153" i="56"/>
  <c r="CK33" i="56"/>
  <c r="CK154" i="56"/>
  <c r="BZ43" i="14"/>
  <c r="CE43" i="14"/>
  <c r="AW25" i="11"/>
  <c r="AW18" i="11"/>
  <c r="AX11" i="11"/>
  <c r="BR90" i="56"/>
  <c r="BQ43" i="14"/>
  <c r="AX16" i="11"/>
  <c r="AX23" i="11"/>
  <c r="BP32" i="14"/>
  <c r="BP66" i="59"/>
  <c r="BP39" i="59"/>
  <c r="BM169" i="56"/>
  <c r="CG11" i="11"/>
  <c r="CF25" i="11"/>
  <c r="BJ16" i="11"/>
  <c r="BJ11" i="11"/>
  <c r="CI11" i="11"/>
  <c r="CI23" i="11"/>
  <c r="BQ24" i="11"/>
  <c r="BQ18" i="5"/>
  <c r="BI27" i="59"/>
  <c r="BI68" i="59"/>
  <c r="BI16" i="11"/>
  <c r="BN23" i="11"/>
  <c r="BI11" i="11"/>
  <c r="BF12" i="5"/>
  <c r="BF21" i="5"/>
  <c r="AV27" i="59"/>
  <c r="AV68" i="59"/>
  <c r="AV75" i="59"/>
  <c r="AX46" i="59"/>
  <c r="AR27" i="59"/>
  <c r="AR68" i="59"/>
  <c r="BM15" i="11"/>
  <c r="BM17" i="11"/>
  <c r="BR21" i="11"/>
  <c r="BM21" i="11"/>
  <c r="BE75" i="59"/>
  <c r="BH46" i="59"/>
  <c r="AP66" i="59"/>
  <c r="AP39" i="59"/>
  <c r="AS37" i="59"/>
  <c r="AP32" i="14"/>
  <c r="BH17" i="11"/>
  <c r="BH21" i="11"/>
  <c r="BH15" i="11"/>
  <c r="AU33" i="14"/>
  <c r="AU67" i="59"/>
  <c r="AU39" i="59"/>
  <c r="CA39" i="59"/>
  <c r="CA68" i="59" s="1"/>
  <c r="CA66" i="59"/>
  <c r="CA32" i="14"/>
  <c r="BG71" i="59"/>
  <c r="BG43" i="59"/>
  <c r="BG36" i="14"/>
  <c r="CC75" i="59"/>
  <c r="CG46" i="59"/>
  <c r="BU27" i="59"/>
  <c r="BU68" i="59"/>
  <c r="BC72" i="59"/>
  <c r="BC32" i="59"/>
  <c r="BE73" i="59"/>
  <c r="BE31" i="59"/>
  <c r="P24" i="33" s="1"/>
  <c r="BE23" i="11"/>
  <c r="BE16" i="11"/>
  <c r="BE11" i="11"/>
  <c r="BH11" i="11" s="1"/>
  <c r="BJ23" i="11"/>
  <c r="AO68" i="59"/>
  <c r="AO27" i="59"/>
  <c r="BG11" i="11"/>
  <c r="BG18" i="11" s="1"/>
  <c r="BG16" i="11"/>
  <c r="BG21" i="5"/>
  <c r="BG12" i="5"/>
  <c r="BQ18" i="11"/>
  <c r="BR11" i="11"/>
  <c r="BL16" i="11"/>
  <c r="BM9" i="11"/>
  <c r="BM16" i="11" s="1"/>
  <c r="BL23" i="11"/>
  <c r="BL11" i="11"/>
  <c r="BQ67" i="59"/>
  <c r="BQ33" i="14"/>
  <c r="BQ39" i="59"/>
  <c r="BQ23" i="11"/>
  <c r="AY75" i="59"/>
  <c r="BC46" i="59"/>
  <c r="AP70" i="59"/>
  <c r="AP35" i="14"/>
  <c r="AP43" i="59"/>
  <c r="AS67" i="59"/>
  <c r="AS33" i="14"/>
  <c r="AL152" i="1"/>
  <c r="AL154" i="1" s="1"/>
  <c r="AL158" i="1" s="1"/>
  <c r="CV46" i="59"/>
  <c r="CS141" i="56"/>
  <c r="CS99" i="56"/>
  <c r="CL5" i="57"/>
  <c r="CQ27" i="57"/>
  <c r="CQ5" i="57" s="1"/>
  <c r="CL28" i="57"/>
  <c r="CX73" i="56" s="1"/>
  <c r="CX141" i="56" s="1"/>
  <c r="CQ26" i="57"/>
  <c r="CQ28" i="57" s="1"/>
  <c r="DC73" i="56" s="1"/>
  <c r="CP27" i="57"/>
  <c r="CP28" i="57" s="1"/>
  <c r="DB73" i="56" s="1"/>
  <c r="CK28" i="57"/>
  <c r="CW73" i="56" s="1"/>
  <c r="CK5" i="57"/>
  <c r="CR99" i="56"/>
  <c r="CR141" i="56"/>
  <c r="CJ32" i="57"/>
  <c r="CO22" i="57"/>
  <c r="CO32" i="57" s="1"/>
  <c r="CJ5" i="57"/>
  <c r="CS27" i="57"/>
  <c r="CS5" i="57" s="1"/>
  <c r="CN5" i="57"/>
  <c r="CN28" i="57"/>
  <c r="CZ73" i="56" s="1"/>
  <c r="CS26" i="57"/>
  <c r="CU99" i="56"/>
  <c r="CU141" i="56"/>
  <c r="CL34" i="59"/>
  <c r="CZ17" i="56"/>
  <c r="CV17" i="56"/>
  <c r="CL62" i="56"/>
  <c r="CL45" i="56"/>
  <c r="CL187" i="56"/>
  <c r="CP46" i="59"/>
  <c r="CQ21" i="59"/>
  <c r="CZ21" i="56"/>
  <c r="CZ24" i="56" s="1"/>
  <c r="CU24" i="56"/>
  <c r="CR120" i="1"/>
  <c r="CS120" i="1" s="1"/>
  <c r="CT120" i="1" s="1"/>
  <c r="CU120" i="1" s="1"/>
  <c r="CW120" i="1" s="1"/>
  <c r="CX120" i="1" s="1"/>
  <c r="CY120" i="1" s="1"/>
  <c r="CZ120" i="1" s="1"/>
  <c r="CQ113" i="1"/>
  <c r="CE69" i="66"/>
  <c r="CD69" i="66"/>
  <c r="CE66" i="66"/>
  <c r="CD66" i="66"/>
  <c r="AL48" i="59"/>
  <c r="AN47" i="59"/>
  <c r="AL58" i="59"/>
  <c r="AL63" i="59"/>
  <c r="AL54" i="59"/>
  <c r="AL59" i="59"/>
  <c r="AL61" i="59"/>
  <c r="AL55" i="59"/>
  <c r="AL56" i="59"/>
  <c r="Z160" i="1"/>
  <c r="Z158" i="1"/>
  <c r="CF54" i="1"/>
  <c r="Z178" i="1"/>
  <c r="BP15" i="14"/>
  <c r="BK190" i="1"/>
  <c r="BK27" i="1"/>
  <c r="AV131" i="1"/>
  <c r="AV69" i="1"/>
  <c r="E178" i="1"/>
  <c r="AE178" i="1"/>
  <c r="AV39" i="1"/>
  <c r="AV41" i="1" s="1"/>
  <c r="AE171" i="1"/>
  <c r="AE173" i="1" s="1"/>
  <c r="AE175" i="1" s="1"/>
  <c r="AE176" i="1" s="1"/>
  <c r="AE41" i="1"/>
  <c r="AE27" i="1" s="1"/>
  <c r="AV85" i="1"/>
  <c r="AT27" i="1"/>
  <c r="AT190" i="1"/>
  <c r="U160" i="1"/>
  <c r="AT139" i="1"/>
  <c r="AT143" i="1" s="1"/>
  <c r="U171" i="1"/>
  <c r="U173" i="1" s="1"/>
  <c r="U175" i="1" s="1"/>
  <c r="U176" i="1" s="1"/>
  <c r="CE13" i="5"/>
  <c r="BZ15" i="5"/>
  <c r="BZ37" i="5" s="1"/>
  <c r="CF15" i="5"/>
  <c r="CH13" i="5"/>
  <c r="CC15" i="5"/>
  <c r="CG13" i="5"/>
  <c r="CX14" i="5"/>
  <c r="CS16" i="5"/>
  <c r="CI15" i="5"/>
  <c r="CN13" i="5"/>
  <c r="CR14" i="5"/>
  <c r="CM16" i="5"/>
  <c r="CQ14" i="5"/>
  <c r="CU14" i="5"/>
  <c r="CP16" i="5"/>
  <c r="CB15" i="5"/>
  <c r="CB37" i="5" s="1"/>
  <c r="BX37" i="5"/>
  <c r="CD37" i="5"/>
  <c r="CD16" i="5"/>
  <c r="AX39" i="1"/>
  <c r="AX76" i="1"/>
  <c r="AL171" i="1"/>
  <c r="AL173" i="1" s="1"/>
  <c r="AL175" i="1" s="1"/>
  <c r="AL176" i="1" s="1"/>
  <c r="CP67" i="56"/>
  <c r="CU67" i="56" s="1"/>
  <c r="CP69" i="56"/>
  <c r="CP71" i="56" s="1"/>
  <c r="CW67" i="56"/>
  <c r="DB67" i="56" s="1"/>
  <c r="BS190" i="1"/>
  <c r="BS27" i="1"/>
  <c r="BJ139" i="1"/>
  <c r="BJ41" i="1"/>
  <c r="AL178" i="1"/>
  <c r="U178" i="1"/>
  <c r="Z171" i="1"/>
  <c r="Z173" i="1" s="1"/>
  <c r="Z175" i="1" s="1"/>
  <c r="Z176" i="1" s="1"/>
  <c r="AF160" i="1"/>
  <c r="BS139" i="1"/>
  <c r="BS143" i="1" s="1"/>
  <c r="BO139" i="1"/>
  <c r="BO143" i="1" s="1"/>
  <c r="BO41" i="1"/>
  <c r="BQ41" i="1"/>
  <c r="BQ139" i="1"/>
  <c r="BQ143" i="1" s="1"/>
  <c r="BM60" i="1"/>
  <c r="BM62" i="1" s="1"/>
  <c r="BM134" i="1" s="1"/>
  <c r="BW37" i="1"/>
  <c r="AV1" i="59"/>
  <c r="AV1" i="5"/>
  <c r="AV1" i="56"/>
  <c r="G1" i="33"/>
  <c r="AJ27" i="1"/>
  <c r="AJ190" i="1"/>
  <c r="S143" i="1"/>
  <c r="BP86" i="1"/>
  <c r="BP1" i="5"/>
  <c r="BP1" i="56"/>
  <c r="BP1" i="59"/>
  <c r="AA1" i="33"/>
  <c r="AH165" i="1"/>
  <c r="AU39" i="1"/>
  <c r="AU131" i="1"/>
  <c r="AU28" i="1"/>
  <c r="AU69" i="1"/>
  <c r="AB139" i="1"/>
  <c r="AB143" i="1" s="1"/>
  <c r="AB41" i="1"/>
  <c r="AB27" i="1" s="1"/>
  <c r="AL27" i="1"/>
  <c r="AL190" i="1"/>
  <c r="AC165" i="1"/>
  <c r="BQ1" i="56"/>
  <c r="BQ1" i="5"/>
  <c r="BQ1" i="59"/>
  <c r="AB1" i="33"/>
  <c r="BV86" i="1"/>
  <c r="AX28" i="1"/>
  <c r="AX69" i="1"/>
  <c r="AX85" i="1"/>
  <c r="AX131" i="1"/>
  <c r="BA13" i="7"/>
  <c r="BB11" i="7"/>
  <c r="CJ34" i="57"/>
  <c r="CT141" i="56"/>
  <c r="CV73" i="56"/>
  <c r="CV99" i="56" s="1"/>
  <c r="CT99" i="56"/>
  <c r="CR26" i="57"/>
  <c r="CM28" i="57"/>
  <c r="CY73" i="56" s="1"/>
  <c r="CO26" i="57"/>
  <c r="CE28" i="57"/>
  <c r="CE35" i="57"/>
  <c r="CO27" i="57"/>
  <c r="CO34" i="57" s="1"/>
  <c r="CM5" i="57"/>
  <c r="CR27" i="57"/>
  <c r="CJ35" i="57"/>
  <c r="CJ28" i="57"/>
  <c r="CT32" i="57"/>
  <c r="CY16" i="5"/>
  <c r="DD14" i="5"/>
  <c r="CP121" i="56"/>
  <c r="CO122" i="56"/>
  <c r="CV21" i="59"/>
  <c r="CY46" i="59"/>
  <c r="CO125" i="56"/>
  <c r="CP124" i="56"/>
  <c r="DD186" i="56"/>
  <c r="DD21" i="59" s="1"/>
  <c r="CF99" i="1"/>
  <c r="CE107" i="1"/>
  <c r="CE125" i="1" s="1"/>
  <c r="CE102" i="1"/>
  <c r="CE192" i="1" s="1"/>
  <c r="CW106" i="1"/>
  <c r="CX106" i="1" s="1"/>
  <c r="CY106" i="1" s="1"/>
  <c r="CZ106" i="1" s="1"/>
  <c r="CV106" i="1"/>
  <c r="CW116" i="1"/>
  <c r="CX116" i="1" s="1"/>
  <c r="CY116" i="1" s="1"/>
  <c r="CZ116" i="1" s="1"/>
  <c r="CV116" i="1"/>
  <c r="CW100" i="1"/>
  <c r="CX100" i="1" s="1"/>
  <c r="CY100" i="1" s="1"/>
  <c r="CZ100" i="1" s="1"/>
  <c r="CV100" i="1"/>
  <c r="CV113" i="1"/>
  <c r="CW113" i="1"/>
  <c r="CX113" i="1" s="1"/>
  <c r="CY113" i="1" s="1"/>
  <c r="CZ113" i="1" s="1"/>
  <c r="CV120" i="1"/>
  <c r="CI132" i="1"/>
  <c r="CI134" i="1"/>
  <c r="CI163" i="1"/>
  <c r="CI166" i="1" s="1"/>
  <c r="CI13" i="14"/>
  <c r="CI66" i="1"/>
  <c r="CI160" i="1"/>
  <c r="CN60" i="1"/>
  <c r="CO22" i="1"/>
  <c r="AM152" i="1"/>
  <c r="AM154" i="1" s="1"/>
  <c r="CL48" i="1"/>
  <c r="CM46" i="1" s="1"/>
  <c r="CO67" i="56"/>
  <c r="CO132" i="56" s="1"/>
  <c r="CM104" i="1"/>
  <c r="CN104" i="1" s="1"/>
  <c r="CO104" i="1" s="1"/>
  <c r="CS69" i="56"/>
  <c r="CX69" i="56" s="1"/>
  <c r="CX71" i="56" s="1"/>
  <c r="CM105" i="1"/>
  <c r="CN105" i="1" s="1"/>
  <c r="CO105" i="1" s="1"/>
  <c r="CP105" i="1" s="1"/>
  <c r="CQ105" i="1" s="1"/>
  <c r="CV31" i="1"/>
  <c r="BP190" i="1"/>
  <c r="BP27" i="1"/>
  <c r="CP45" i="56"/>
  <c r="CP63" i="56"/>
  <c r="CP6" i="11"/>
  <c r="CP62" i="56"/>
  <c r="CL10" i="11"/>
  <c r="CL17" i="11" s="1"/>
  <c r="BR75" i="59"/>
  <c r="BR34" i="59"/>
  <c r="CL9" i="11"/>
  <c r="CL23" i="11" s="1"/>
  <c r="BW34" i="59"/>
  <c r="BW75" i="59"/>
  <c r="BV11" i="14"/>
  <c r="CA11" i="14"/>
  <c r="AS71" i="59"/>
  <c r="AS30" i="59"/>
  <c r="AS36" i="14"/>
  <c r="CP187" i="56"/>
  <c r="BM91" i="56"/>
  <c r="BW10" i="14"/>
  <c r="BW108" i="56"/>
  <c r="BW103" i="56"/>
  <c r="BW106" i="56"/>
  <c r="BW111" i="56"/>
  <c r="CB103" i="56"/>
  <c r="BW109" i="56"/>
  <c r="BW112" i="56"/>
  <c r="BW114" i="56"/>
  <c r="BJ119" i="56"/>
  <c r="BJ128" i="56"/>
  <c r="BO119" i="56"/>
  <c r="BJ120" i="56"/>
  <c r="BX11" i="14"/>
  <c r="BS11" i="14"/>
  <c r="CN132" i="56"/>
  <c r="CN180" i="56" s="1"/>
  <c r="AO73" i="59"/>
  <c r="AO31" i="59"/>
  <c r="CB34" i="59"/>
  <c r="CB75" i="59"/>
  <c r="BK120" i="56"/>
  <c r="CB119" i="56"/>
  <c r="BW119" i="56"/>
  <c r="BY120" i="56"/>
  <c r="BW128" i="56"/>
  <c r="AT27" i="59"/>
  <c r="AT68" i="59"/>
  <c r="AS35" i="14"/>
  <c r="AS70" i="59"/>
  <c r="AS43" i="59"/>
  <c r="AS29" i="59"/>
  <c r="BM90" i="56"/>
  <c r="AX32" i="59"/>
  <c r="AX72" i="59"/>
  <c r="CV22" i="56"/>
  <c r="CV43" i="56" s="1"/>
  <c r="DA22" i="56"/>
  <c r="DB22" i="56"/>
  <c r="DF22" i="56" s="1"/>
  <c r="BD18" i="11"/>
  <c r="BD25" i="11"/>
  <c r="BI25" i="11"/>
  <c r="BH16" i="11"/>
  <c r="BM23" i="11"/>
  <c r="BE19" i="5"/>
  <c r="BE31" i="5" s="1"/>
  <c r="BE41" i="5"/>
  <c r="BE43" i="5" s="1"/>
  <c r="AN165" i="1"/>
  <c r="I41" i="1"/>
  <c r="I139" i="1"/>
  <c r="BI163" i="1"/>
  <c r="BI166" i="1" s="1"/>
  <c r="BI168" i="1" s="1"/>
  <c r="BI132" i="1"/>
  <c r="BI82" i="1"/>
  <c r="BN82" i="1"/>
  <c r="BI134" i="1"/>
  <c r="BI66" i="1"/>
  <c r="BI13" i="14"/>
  <c r="AX165" i="1"/>
  <c r="AT166" i="1"/>
  <c r="AT168" i="1" s="1"/>
  <c r="AS165" i="1"/>
  <c r="AS39" i="1"/>
  <c r="BY27" i="1"/>
  <c r="CB27" i="1" s="1"/>
  <c r="BY190" i="1"/>
  <c r="BS85" i="1"/>
  <c r="BN131" i="1"/>
  <c r="BN28" i="1"/>
  <c r="BN69" i="1"/>
  <c r="BN39" i="1"/>
  <c r="BR25" i="1"/>
  <c r="AT86" i="1"/>
  <c r="E1" i="33"/>
  <c r="AT1" i="59"/>
  <c r="AT1" i="5"/>
  <c r="AT1" i="56"/>
  <c r="BR60" i="1"/>
  <c r="BO62" i="1"/>
  <c r="AO139" i="1"/>
  <c r="AO41" i="1"/>
  <c r="AD165" i="1"/>
  <c r="AD39" i="1"/>
  <c r="AD41" i="1" s="1"/>
  <c r="AD27" i="1" s="1"/>
  <c r="CN35" i="1"/>
  <c r="CM37" i="1"/>
  <c r="CY31" i="1"/>
  <c r="DC53" i="1"/>
  <c r="CL15" i="11"/>
  <c r="CM7" i="11"/>
  <c r="CN21" i="11"/>
  <c r="CR61" i="56"/>
  <c r="CW21" i="56"/>
  <c r="CS61" i="56"/>
  <c r="CX21" i="56"/>
  <c r="CU61" i="56"/>
  <c r="CP21" i="11"/>
  <c r="CQ21" i="56"/>
  <c r="CQ24" i="56" s="1"/>
  <c r="CO61" i="56"/>
  <c r="CT21" i="56"/>
  <c r="CT24" i="56" s="1"/>
  <c r="AN152" i="1"/>
  <c r="AN154" i="1" s="1"/>
  <c r="CQ152" i="1"/>
  <c r="DB152" i="1"/>
  <c r="DB53" i="1"/>
  <c r="CU53" i="1"/>
  <c r="CZ56" i="1"/>
  <c r="CU152" i="1"/>
  <c r="CV56" i="1"/>
  <c r="DD53" i="1"/>
  <c r="DD152" i="1"/>
  <c r="CO48" i="1"/>
  <c r="CL67" i="56"/>
  <c r="CL95" i="56" s="1"/>
  <c r="CS67" i="56"/>
  <c r="CG181" i="56"/>
  <c r="CC12" i="59"/>
  <c r="BX39" i="59"/>
  <c r="BX66" i="59"/>
  <c r="BX32" i="14"/>
  <c r="BE67" i="59"/>
  <c r="BE33" i="14"/>
  <c r="BE39" i="59"/>
  <c r="BK67" i="59"/>
  <c r="BK33" i="14"/>
  <c r="BK39" i="59"/>
  <c r="BT38" i="59"/>
  <c r="BT13" i="59"/>
  <c r="BZ13" i="59"/>
  <c r="BZ37" i="59"/>
  <c r="CB37" i="59" s="1"/>
  <c r="CD66" i="59"/>
  <c r="CD39" i="59"/>
  <c r="CD32" i="14"/>
  <c r="BO66" i="59"/>
  <c r="BO32" i="14"/>
  <c r="BR37" i="59"/>
  <c r="BO39" i="59"/>
  <c r="CI37" i="59"/>
  <c r="CI13" i="59"/>
  <c r="BF73" i="59"/>
  <c r="BF31" i="59"/>
  <c r="Q24" i="33" s="1"/>
  <c r="BG13" i="59"/>
  <c r="BG37" i="59"/>
  <c r="BC146" i="56"/>
  <c r="BR153" i="56"/>
  <c r="BR147" i="56"/>
  <c r="BR154" i="56" s="1"/>
  <c r="CB13" i="59"/>
  <c r="BF33" i="14"/>
  <c r="BF67" i="59"/>
  <c r="BF39" i="59"/>
  <c r="CE67" i="59"/>
  <c r="CE39" i="59"/>
  <c r="CE33" i="14"/>
  <c r="CH27" i="59"/>
  <c r="CH68" i="59"/>
  <c r="CH167" i="56"/>
  <c r="CC167" i="56"/>
  <c r="CC180" i="56"/>
  <c r="AW32" i="14"/>
  <c r="AW66" i="59"/>
  <c r="AX37" i="59"/>
  <c r="AZ38" i="59"/>
  <c r="BC12" i="59"/>
  <c r="AY37" i="59"/>
  <c r="BC11" i="59"/>
  <c r="AY13" i="59"/>
  <c r="BR12" i="59"/>
  <c r="BN13" i="59"/>
  <c r="BR13" i="59" s="1"/>
  <c r="BN38" i="59"/>
  <c r="BY32" i="14"/>
  <c r="BY39" i="59"/>
  <c r="BY66" i="59"/>
  <c r="AZ13" i="59"/>
  <c r="CH169" i="56"/>
  <c r="CC169" i="56"/>
  <c r="BG169" i="56"/>
  <c r="BB169" i="56"/>
  <c r="CB147" i="56"/>
  <c r="CB154" i="56" s="1"/>
  <c r="CB153" i="56"/>
  <c r="BB38" i="59"/>
  <c r="BB13" i="59"/>
  <c r="CF39" i="59"/>
  <c r="CF66" i="59"/>
  <c r="CF32" i="14"/>
  <c r="CN71" i="56"/>
  <c r="CN77" i="56" s="1"/>
  <c r="CN106" i="56" s="1"/>
  <c r="CN76" i="56"/>
  <c r="CN118" i="56" s="1"/>
  <c r="CM118" i="56"/>
  <c r="CM181" i="56"/>
  <c r="CL71" i="56"/>
  <c r="CM134" i="56"/>
  <c r="CM180" i="56"/>
  <c r="CO71" i="56"/>
  <c r="CT69" i="56"/>
  <c r="CM71" i="56"/>
  <c r="CR69" i="56"/>
  <c r="CR76" i="56" s="1"/>
  <c r="CL97" i="56"/>
  <c r="CK41" i="14"/>
  <c r="BV181" i="56" l="1"/>
  <c r="BV12" i="59" s="1"/>
  <c r="BV38" i="59" s="1"/>
  <c r="CA168" i="56"/>
  <c r="AW38" i="59"/>
  <c r="AW13" i="59"/>
  <c r="AX13" i="59" s="1"/>
  <c r="AX12" i="59"/>
  <c r="BD11" i="59"/>
  <c r="BH180" i="56"/>
  <c r="BH146" i="56" s="1"/>
  <c r="BH181" i="56"/>
  <c r="BD12" i="59"/>
  <c r="BW199" i="56"/>
  <c r="CB33" i="56"/>
  <c r="BW18" i="14"/>
  <c r="BW155" i="56"/>
  <c r="BW33" i="56"/>
  <c r="BV156" i="56"/>
  <c r="CA169" i="56"/>
  <c r="CB33" i="14"/>
  <c r="CB26" i="59"/>
  <c r="CB67" i="59"/>
  <c r="AX153" i="56"/>
  <c r="AX167" i="56" s="1"/>
  <c r="AX147" i="56"/>
  <c r="AX154" i="56" s="1"/>
  <c r="AX168" i="56" s="1"/>
  <c r="CA19" i="14"/>
  <c r="BV19" i="14"/>
  <c r="BM19" i="14"/>
  <c r="BR19" i="14"/>
  <c r="BL12" i="59"/>
  <c r="BM181" i="56"/>
  <c r="BS12" i="59"/>
  <c r="BW181" i="56"/>
  <c r="BG67" i="59"/>
  <c r="BG33" i="14"/>
  <c r="BS11" i="59"/>
  <c r="BM180" i="56"/>
  <c r="BM146" i="56" s="1"/>
  <c r="BL11" i="59"/>
  <c r="BV180" i="56"/>
  <c r="BV11" i="59" s="1"/>
  <c r="CA167" i="56"/>
  <c r="AM163" i="1"/>
  <c r="CA171" i="1"/>
  <c r="CA173" i="1" s="1"/>
  <c r="CA175" i="1" s="1"/>
  <c r="AM166" i="1"/>
  <c r="AM168" i="1" s="1"/>
  <c r="CC86" i="1"/>
  <c r="U73" i="66"/>
  <c r="CC1" i="59"/>
  <c r="AN1" i="33"/>
  <c r="CC1" i="56"/>
  <c r="CC1" i="5"/>
  <c r="CH86" i="1"/>
  <c r="BK15" i="14"/>
  <c r="V82" i="1"/>
  <c r="Q132" i="1"/>
  <c r="Q13" i="14"/>
  <c r="Q134" i="1"/>
  <c r="Q82" i="1"/>
  <c r="Q66" i="1"/>
  <c r="AV166" i="1"/>
  <c r="AV168" i="1" s="1"/>
  <c r="AM134" i="1"/>
  <c r="AM66" i="1"/>
  <c r="CB76" i="1"/>
  <c r="CB68" i="1"/>
  <c r="BA82" i="1"/>
  <c r="AV163" i="1"/>
  <c r="AV66" i="1"/>
  <c r="AV134" i="1"/>
  <c r="AV132" i="1"/>
  <c r="AV13" i="14"/>
  <c r="BA15" i="14" s="1"/>
  <c r="AC167" i="1"/>
  <c r="AC21" i="1"/>
  <c r="AC83" i="1"/>
  <c r="AC67" i="1"/>
  <c r="AC59" i="1"/>
  <c r="AC62" i="1" s="1"/>
  <c r="BE134" i="1"/>
  <c r="BE132" i="1"/>
  <c r="BE66" i="1"/>
  <c r="BE13" i="14"/>
  <c r="BJ15" i="14" s="1"/>
  <c r="BE163" i="1"/>
  <c r="BE166" i="1" s="1"/>
  <c r="BE168" i="1" s="1"/>
  <c r="BJ82" i="1"/>
  <c r="CC179" i="1"/>
  <c r="CC166" i="1"/>
  <c r="AA85" i="1"/>
  <c r="AA69" i="1"/>
  <c r="AA28" i="1"/>
  <c r="AA39" i="1"/>
  <c r="AF85" i="1"/>
  <c r="AA131" i="1"/>
  <c r="BM141" i="1"/>
  <c r="BM165" i="1" s="1"/>
  <c r="BL165" i="1"/>
  <c r="AS148" i="1"/>
  <c r="AS172" i="1"/>
  <c r="AS164" i="1"/>
  <c r="BE82" i="1"/>
  <c r="BK160" i="1"/>
  <c r="BK178" i="1"/>
  <c r="BK158" i="1"/>
  <c r="BK171" i="1"/>
  <c r="BK173" i="1" s="1"/>
  <c r="BK175" i="1" s="1"/>
  <c r="J62" i="1"/>
  <c r="AD164" i="1"/>
  <c r="AD148" i="1"/>
  <c r="AD172" i="1"/>
  <c r="BY1" i="59"/>
  <c r="BY1" i="56"/>
  <c r="AJ1" i="33"/>
  <c r="BY1" i="5"/>
  <c r="BM172" i="1"/>
  <c r="BM164" i="1"/>
  <c r="BM148" i="1"/>
  <c r="AX164" i="1"/>
  <c r="AX172" i="1"/>
  <c r="Q84" i="1"/>
  <c r="V84" i="1"/>
  <c r="Q76" i="1"/>
  <c r="Q68" i="1"/>
  <c r="Q25" i="1"/>
  <c r="CJ82" i="1"/>
  <c r="CE134" i="1"/>
  <c r="CE132" i="1"/>
  <c r="CE82" i="1"/>
  <c r="CE163" i="1"/>
  <c r="CE166" i="1" s="1"/>
  <c r="CE66" i="1"/>
  <c r="CE13" i="14"/>
  <c r="CE15" i="14" s="1"/>
  <c r="CE160" i="1"/>
  <c r="BT134" i="1"/>
  <c r="BT66" i="1"/>
  <c r="BT163" i="1"/>
  <c r="BT166" i="1" s="1"/>
  <c r="BT13" i="14"/>
  <c r="BT132" i="1"/>
  <c r="BY82" i="1"/>
  <c r="CD82" i="1"/>
  <c r="CD163" i="1"/>
  <c r="CD66" i="1"/>
  <c r="CD132" i="1"/>
  <c r="CD134" i="1"/>
  <c r="CD160" i="1"/>
  <c r="CD13" i="14"/>
  <c r="CI82" i="1"/>
  <c r="Y13" i="1"/>
  <c r="Y62" i="1"/>
  <c r="BL66" i="1"/>
  <c r="BL132" i="1"/>
  <c r="BL13" i="14"/>
  <c r="BL163" i="1"/>
  <c r="BL166" i="1" s="1"/>
  <c r="BL168" i="1" s="1"/>
  <c r="BL134" i="1"/>
  <c r="BQ82" i="1"/>
  <c r="CG76" i="1"/>
  <c r="CG68" i="1"/>
  <c r="CG84" i="1"/>
  <c r="AQ69" i="1"/>
  <c r="AQ28" i="1"/>
  <c r="AQ131" i="1"/>
  <c r="AQ85" i="1"/>
  <c r="AQ39" i="1"/>
  <c r="BJ1" i="5"/>
  <c r="U1" i="33"/>
  <c r="BJ1" i="59"/>
  <c r="BJ1" i="56"/>
  <c r="AP28" i="1"/>
  <c r="AP131" i="1"/>
  <c r="AP69" i="1"/>
  <c r="AP39" i="1"/>
  <c r="W25" i="1"/>
  <c r="W76" i="1"/>
  <c r="W68" i="1"/>
  <c r="W84" i="1"/>
  <c r="AB84" i="1"/>
  <c r="CP140" i="1"/>
  <c r="CL140" i="1"/>
  <c r="AG132" i="1"/>
  <c r="AG66" i="1"/>
  <c r="AG134" i="1"/>
  <c r="AG163" i="1"/>
  <c r="AG166" i="1" s="1"/>
  <c r="AG168" i="1" s="1"/>
  <c r="AL82" i="1"/>
  <c r="AG82" i="1"/>
  <c r="AG13" i="14"/>
  <c r="AI23" i="7"/>
  <c r="AH26" i="7"/>
  <c r="CB66" i="1"/>
  <c r="CB160" i="1"/>
  <c r="CB132" i="1"/>
  <c r="CB134" i="1"/>
  <c r="CB163" i="1"/>
  <c r="BJ68" i="66"/>
  <c r="CB13" i="14"/>
  <c r="BJ72" i="66" s="1"/>
  <c r="CJ76" i="1"/>
  <c r="CJ25" i="1"/>
  <c r="CJ68" i="1"/>
  <c r="CJ84" i="1"/>
  <c r="T13" i="1"/>
  <c r="T62" i="1"/>
  <c r="AR13" i="1"/>
  <c r="AS61" i="1"/>
  <c r="M85" i="1"/>
  <c r="M69" i="1"/>
  <c r="M131" i="1"/>
  <c r="M28" i="1"/>
  <c r="M39" i="1"/>
  <c r="R85" i="1"/>
  <c r="J28" i="1"/>
  <c r="O86" i="1" s="1"/>
  <c r="J131" i="1"/>
  <c r="O85" i="1"/>
  <c r="AN60" i="7"/>
  <c r="AN62" i="7" s="1"/>
  <c r="AJ60" i="7"/>
  <c r="AJ62" i="7" s="1"/>
  <c r="AN66" i="1"/>
  <c r="AN132" i="1"/>
  <c r="AN163" i="1"/>
  <c r="AN13" i="14"/>
  <c r="AN134" i="1"/>
  <c r="BW150" i="1"/>
  <c r="BW154" i="1" s="1"/>
  <c r="BV154" i="1"/>
  <c r="BP186" i="1"/>
  <c r="BP167" i="1" s="1"/>
  <c r="BP168" i="1" s="1"/>
  <c r="BO186" i="1"/>
  <c r="BO167" i="1" s="1"/>
  <c r="BN186" i="1"/>
  <c r="BN167" i="1" s="1"/>
  <c r="BN168" i="1" s="1"/>
  <c r="BW186" i="1"/>
  <c r="BQ186" i="1"/>
  <c r="BQ167" i="1" s="1"/>
  <c r="AI76" i="1"/>
  <c r="AI84" i="1"/>
  <c r="AI25" i="1"/>
  <c r="AI68" i="1"/>
  <c r="AD13" i="1"/>
  <c r="AD62" i="1"/>
  <c r="BW83" i="1"/>
  <c r="CB83" i="1"/>
  <c r="BW67" i="1"/>
  <c r="BW167" i="1"/>
  <c r="BW21" i="1"/>
  <c r="BW59" i="1"/>
  <c r="CK21" i="1"/>
  <c r="CM17" i="1"/>
  <c r="CB28" i="1"/>
  <c r="AK1" i="33"/>
  <c r="BZ1" i="5"/>
  <c r="BZ1" i="56"/>
  <c r="BZ1" i="59"/>
  <c r="BB74" i="1"/>
  <c r="BC61" i="1"/>
  <c r="BB13" i="1"/>
  <c r="AK25" i="1"/>
  <c r="AK76" i="1"/>
  <c r="AK68" i="1"/>
  <c r="AK84" i="1"/>
  <c r="CF69" i="1"/>
  <c r="CF36" i="1"/>
  <c r="CF85" i="1"/>
  <c r="CF28" i="1"/>
  <c r="CF131" i="1"/>
  <c r="AN166" i="1"/>
  <c r="AN168" i="1" s="1"/>
  <c r="AJ171" i="1"/>
  <c r="AJ173" i="1" s="1"/>
  <c r="AJ175" i="1" s="1"/>
  <c r="AJ176" i="1" s="1"/>
  <c r="BD17" i="1"/>
  <c r="BB21" i="1"/>
  <c r="BC17" i="1"/>
  <c r="BC21" i="1" s="1"/>
  <c r="H28" i="1"/>
  <c r="H131" i="1"/>
  <c r="H39" i="1"/>
  <c r="AR163" i="1"/>
  <c r="AR166" i="1" s="1"/>
  <c r="AR168" i="1" s="1"/>
  <c r="AR66" i="1"/>
  <c r="AR134" i="1"/>
  <c r="AW82" i="1"/>
  <c r="AR132" i="1"/>
  <c r="AR82" i="1"/>
  <c r="BO86" i="1"/>
  <c r="BT69" i="1"/>
  <c r="BT28" i="1"/>
  <c r="BT131" i="1"/>
  <c r="BY85" i="1"/>
  <c r="BT85" i="1"/>
  <c r="BT39" i="1"/>
  <c r="BT41" i="1" s="1"/>
  <c r="AH65" i="7"/>
  <c r="AH361" i="7"/>
  <c r="AI361" i="7" s="1"/>
  <c r="AM131" i="1"/>
  <c r="AM28" i="1"/>
  <c r="AM69" i="1"/>
  <c r="AM39" i="1"/>
  <c r="CE86" i="1"/>
  <c r="G131" i="1"/>
  <c r="G28" i="1"/>
  <c r="L86" i="1" s="1"/>
  <c r="L85" i="1"/>
  <c r="G39" i="1"/>
  <c r="AG131" i="1"/>
  <c r="AG28" i="1"/>
  <c r="AG85" i="1"/>
  <c r="AG69" i="1"/>
  <c r="AL85" i="1"/>
  <c r="AG39" i="1"/>
  <c r="BU61" i="1"/>
  <c r="BG74" i="1"/>
  <c r="BG13" i="1"/>
  <c r="BH61" i="1"/>
  <c r="BG62" i="1"/>
  <c r="S134" i="1"/>
  <c r="S132" i="1"/>
  <c r="S66" i="1"/>
  <c r="S13" i="14"/>
  <c r="CK154" i="1"/>
  <c r="CL150" i="1"/>
  <c r="CI131" i="1"/>
  <c r="CI85" i="1"/>
  <c r="CI69" i="1"/>
  <c r="CI36" i="1"/>
  <c r="CI28" i="1"/>
  <c r="AC163" i="1"/>
  <c r="AC166" i="1" s="1"/>
  <c r="AC168" i="1" s="1"/>
  <c r="AC66" i="1"/>
  <c r="AC134" i="1"/>
  <c r="AC132" i="1"/>
  <c r="AC13" i="14"/>
  <c r="BR147" i="1"/>
  <c r="BR148" i="1" s="1"/>
  <c r="BQ148" i="1"/>
  <c r="P84" i="1"/>
  <c r="K68" i="1"/>
  <c r="K25" i="1"/>
  <c r="K84" i="1"/>
  <c r="K76" i="1"/>
  <c r="W163" i="1"/>
  <c r="W166" i="1" s="1"/>
  <c r="W66" i="1"/>
  <c r="W134" i="1"/>
  <c r="W82" i="1"/>
  <c r="W132" i="1"/>
  <c r="W13" i="14"/>
  <c r="AB82" i="1"/>
  <c r="BV148" i="1"/>
  <c r="BV164" i="1"/>
  <c r="BW145" i="1"/>
  <c r="BV172" i="1"/>
  <c r="AK163" i="1"/>
  <c r="AK166" i="1" s="1"/>
  <c r="AK168" i="1" s="1"/>
  <c r="AK66" i="1"/>
  <c r="AK134" i="1"/>
  <c r="AK82" i="1"/>
  <c r="AP82" i="1"/>
  <c r="AK132" i="1"/>
  <c r="AK13" i="14"/>
  <c r="AI62" i="1"/>
  <c r="CT145" i="1"/>
  <c r="CO164" i="1"/>
  <c r="CO148" i="1"/>
  <c r="CO172" i="1"/>
  <c r="BA25" i="1"/>
  <c r="BA76" i="1"/>
  <c r="BA68" i="1"/>
  <c r="BA84" i="1"/>
  <c r="CJ160" i="1"/>
  <c r="CJ158" i="1"/>
  <c r="CJ171" i="1"/>
  <c r="CJ173" i="1" s="1"/>
  <c r="CJ175" i="1" s="1"/>
  <c r="BR83" i="1"/>
  <c r="BR59" i="1"/>
  <c r="BR62" i="1" s="1"/>
  <c r="BR167" i="1"/>
  <c r="BR21" i="1"/>
  <c r="BR67" i="1"/>
  <c r="BT74" i="1"/>
  <c r="BT13" i="1"/>
  <c r="X13" i="1"/>
  <c r="X62" i="1"/>
  <c r="CI15" i="14"/>
  <c r="AU85" i="1"/>
  <c r="AJ158" i="1"/>
  <c r="AJ160" i="1"/>
  <c r="BX86" i="1"/>
  <c r="BS1" i="5"/>
  <c r="AD1" i="33"/>
  <c r="BS1" i="56"/>
  <c r="BS1" i="59"/>
  <c r="CD15" i="14"/>
  <c r="BY15" i="14"/>
  <c r="AZ68" i="1"/>
  <c r="AZ25" i="1"/>
  <c r="AZ84" i="1"/>
  <c r="AZ76" i="1"/>
  <c r="CD131" i="1"/>
  <c r="CD85" i="1"/>
  <c r="CD28" i="1"/>
  <c r="CG25" i="1"/>
  <c r="CD69" i="1"/>
  <c r="CD39" i="1"/>
  <c r="CD41" i="1" s="1"/>
  <c r="BZ171" i="1"/>
  <c r="BZ173" i="1" s="1"/>
  <c r="BZ175" i="1" s="1"/>
  <c r="BZ158" i="1"/>
  <c r="BZ178" i="1"/>
  <c r="BZ160" i="1"/>
  <c r="AR25" i="1"/>
  <c r="AW85" i="1" s="1"/>
  <c r="AR68" i="1"/>
  <c r="AR84" i="1"/>
  <c r="AR76" i="1"/>
  <c r="CE74" i="1"/>
  <c r="CE13" i="1"/>
  <c r="CE179" i="1"/>
  <c r="AH17" i="7"/>
  <c r="AH19" i="7" s="1"/>
  <c r="AI64" i="7"/>
  <c r="BV134" i="1"/>
  <c r="BV132" i="1"/>
  <c r="BV163" i="1"/>
  <c r="BV66" i="1"/>
  <c r="BV82" i="1"/>
  <c r="BV13" i="14"/>
  <c r="CA82" i="1"/>
  <c r="AY131" i="1"/>
  <c r="AY28" i="1"/>
  <c r="AY69" i="1"/>
  <c r="AY85" i="1"/>
  <c r="AY39" i="1"/>
  <c r="AX74" i="1"/>
  <c r="AX13" i="1"/>
  <c r="AX62" i="1"/>
  <c r="F28" i="1"/>
  <c r="F131" i="1"/>
  <c r="F39" i="1"/>
  <c r="BL68" i="1"/>
  <c r="BQ84" i="1"/>
  <c r="BL76" i="1"/>
  <c r="BL25" i="1"/>
  <c r="BU68" i="1"/>
  <c r="BU25" i="1"/>
  <c r="BU76" i="1"/>
  <c r="BU84" i="1"/>
  <c r="BZ84" i="1"/>
  <c r="CL17" i="1"/>
  <c r="CK148" i="1"/>
  <c r="CK172" i="1"/>
  <c r="CK164" i="1"/>
  <c r="CP145" i="1"/>
  <c r="CP104" i="1" s="1"/>
  <c r="CL145" i="1"/>
  <c r="AN68" i="1"/>
  <c r="AN25" i="1"/>
  <c r="AN84" i="1"/>
  <c r="AS84" i="1"/>
  <c r="AN76" i="1"/>
  <c r="BQ168" i="1"/>
  <c r="CB69" i="1"/>
  <c r="CB131" i="1"/>
  <c r="CD74" i="1"/>
  <c r="CD13" i="1"/>
  <c r="CG61" i="1"/>
  <c r="CG62" i="1" s="1"/>
  <c r="AW28" i="1"/>
  <c r="AW69" i="1"/>
  <c r="AW131" i="1"/>
  <c r="AW39" i="1"/>
  <c r="K134" i="1"/>
  <c r="K132" i="1"/>
  <c r="K66" i="1"/>
  <c r="K82" i="1"/>
  <c r="K13" i="14"/>
  <c r="P82" i="1"/>
  <c r="J39" i="1"/>
  <c r="AH167" i="1"/>
  <c r="AH83" i="1"/>
  <c r="AH67" i="1"/>
  <c r="AH59" i="1"/>
  <c r="AH62" i="1" s="1"/>
  <c r="AH21" i="1"/>
  <c r="AM83" i="1"/>
  <c r="AZ15" i="14"/>
  <c r="BE15" i="14"/>
  <c r="N67" i="1"/>
  <c r="N83" i="1"/>
  <c r="N21" i="1"/>
  <c r="S83" i="1"/>
  <c r="N59" i="1"/>
  <c r="N62" i="1" s="1"/>
  <c r="S82" i="1" s="1"/>
  <c r="CK143" i="1"/>
  <c r="CK158" i="1" s="1"/>
  <c r="CK168" i="56"/>
  <c r="CK181" i="56"/>
  <c r="CK12" i="59" s="1"/>
  <c r="CK38" i="59" s="1"/>
  <c r="CP154" i="56"/>
  <c r="CU154" i="56" s="1"/>
  <c r="CZ154" i="56" s="1"/>
  <c r="DE154" i="56" s="1"/>
  <c r="AX18" i="11"/>
  <c r="AX25" i="11"/>
  <c r="CK180" i="56"/>
  <c r="CK11" i="59" s="1"/>
  <c r="CK167" i="56"/>
  <c r="CP153" i="56"/>
  <c r="CU153" i="56" s="1"/>
  <c r="CZ153" i="56" s="1"/>
  <c r="DE153" i="56" s="1"/>
  <c r="BH61" i="33"/>
  <c r="BM60" i="33"/>
  <c r="BH59" i="33"/>
  <c r="CW30" i="5"/>
  <c r="BP68" i="59"/>
  <c r="BP27" i="59"/>
  <c r="BQ41" i="5"/>
  <c r="BQ38" i="5"/>
  <c r="BJ18" i="11"/>
  <c r="BO25" i="11"/>
  <c r="BF27" i="5"/>
  <c r="BF19" i="5"/>
  <c r="BF31" i="5" s="1"/>
  <c r="BF8" i="5"/>
  <c r="BF24" i="5" s="1"/>
  <c r="BN25" i="11"/>
  <c r="BI18" i="11"/>
  <c r="CI18" i="11"/>
  <c r="CI25" i="11"/>
  <c r="CG25" i="11"/>
  <c r="CG18" i="11"/>
  <c r="CV34" i="59"/>
  <c r="AP73" i="59"/>
  <c r="AP31" i="59"/>
  <c r="BL18" i="11"/>
  <c r="BQ25" i="11"/>
  <c r="BM11" i="11"/>
  <c r="BM18" i="11" s="1"/>
  <c r="BL25" i="11"/>
  <c r="BR18" i="11"/>
  <c r="AP27" i="59"/>
  <c r="AP68" i="59"/>
  <c r="BQ27" i="59"/>
  <c r="BQ68" i="59"/>
  <c r="BE25" i="11"/>
  <c r="BE18" i="11"/>
  <c r="BJ25" i="11"/>
  <c r="BG73" i="59"/>
  <c r="BG31" i="59"/>
  <c r="R24" i="33" s="1"/>
  <c r="BC34" i="59"/>
  <c r="BC75" i="59"/>
  <c r="BG8" i="5"/>
  <c r="BG24" i="5" s="1"/>
  <c r="BG27" i="5"/>
  <c r="BG19" i="5"/>
  <c r="BG31" i="5" s="1"/>
  <c r="CG34" i="59"/>
  <c r="CG75" i="59"/>
  <c r="AU68" i="59"/>
  <c r="AU27" i="59"/>
  <c r="BH34" i="59"/>
  <c r="BH75" i="59"/>
  <c r="AX75" i="59"/>
  <c r="AX34" i="59"/>
  <c r="AS39" i="59"/>
  <c r="AS32" i="14"/>
  <c r="AS66" i="59"/>
  <c r="AS25" i="59"/>
  <c r="CQ46" i="59"/>
  <c r="CQ34" i="59" s="1"/>
  <c r="DC99" i="56"/>
  <c r="DC141" i="56"/>
  <c r="CX99" i="56"/>
  <c r="CW141" i="56"/>
  <c r="CW99" i="56"/>
  <c r="DB141" i="56"/>
  <c r="DB99" i="56"/>
  <c r="CP5" i="57"/>
  <c r="CO5" i="57"/>
  <c r="CS28" i="57"/>
  <c r="DE73" i="56" s="1"/>
  <c r="DE99" i="56" s="1"/>
  <c r="CV141" i="56"/>
  <c r="CZ141" i="56"/>
  <c r="CZ99" i="56"/>
  <c r="CQ16" i="5"/>
  <c r="CV39" i="56"/>
  <c r="CV186" i="56"/>
  <c r="DH186" i="56" s="1"/>
  <c r="DA17" i="56"/>
  <c r="DE17" i="56"/>
  <c r="CZ186" i="56"/>
  <c r="CZ21" i="59" s="1"/>
  <c r="CZ61" i="56"/>
  <c r="DE21" i="56"/>
  <c r="DE24" i="56" s="1"/>
  <c r="DE61" i="56" s="1"/>
  <c r="CO76" i="56"/>
  <c r="AN58" i="59"/>
  <c r="AN56" i="59"/>
  <c r="AN63" i="59"/>
  <c r="AN59" i="59"/>
  <c r="AN48" i="59"/>
  <c r="AN54" i="59"/>
  <c r="AN55" i="59"/>
  <c r="AN61" i="59"/>
  <c r="AV139" i="1"/>
  <c r="AV143" i="1" s="1"/>
  <c r="AV160" i="1" s="1"/>
  <c r="BM132" i="1"/>
  <c r="CU69" i="56"/>
  <c r="CZ69" i="56" s="1"/>
  <c r="CL134" i="56"/>
  <c r="CQ69" i="56"/>
  <c r="CQ97" i="56" s="1"/>
  <c r="CO133" i="56"/>
  <c r="CO181" i="56" s="1"/>
  <c r="CO12" i="59" s="1"/>
  <c r="CO38" i="59" s="1"/>
  <c r="CO33" i="14" s="1"/>
  <c r="CL133" i="56"/>
  <c r="CT67" i="56"/>
  <c r="CY67" i="56" s="1"/>
  <c r="BM66" i="1"/>
  <c r="BM163" i="1"/>
  <c r="BM166" i="1" s="1"/>
  <c r="BM168" i="1" s="1"/>
  <c r="BM13" i="14"/>
  <c r="BJ63" i="1"/>
  <c r="BK63" i="1"/>
  <c r="AT171" i="1"/>
  <c r="AT173" i="1" s="1"/>
  <c r="AT175" i="1" s="1"/>
  <c r="AT176" i="1" s="1"/>
  <c r="AT160" i="1"/>
  <c r="AT158" i="1"/>
  <c r="AT178" i="1"/>
  <c r="CJ13" i="5"/>
  <c r="CL13" i="5" s="1"/>
  <c r="CE15" i="5"/>
  <c r="CI16" i="5"/>
  <c r="CI37" i="5"/>
  <c r="CC37" i="5"/>
  <c r="CG15" i="5"/>
  <c r="CG37" i="5" s="1"/>
  <c r="CC16" i="5"/>
  <c r="CH15" i="5"/>
  <c r="CM13" i="5"/>
  <c r="CR16" i="5"/>
  <c r="CV14" i="5"/>
  <c r="CW14" i="5"/>
  <c r="CX16" i="5"/>
  <c r="DC14" i="5"/>
  <c r="DC16" i="5" s="1"/>
  <c r="CF37" i="5"/>
  <c r="CF16" i="5"/>
  <c r="CZ14" i="5"/>
  <c r="CU16" i="5"/>
  <c r="CN15" i="5"/>
  <c r="CN37" i="5" s="1"/>
  <c r="CS13" i="5"/>
  <c r="CP13" i="5"/>
  <c r="BT139" i="1"/>
  <c r="BU139" i="1" s="1"/>
  <c r="CQ67" i="56"/>
  <c r="CQ95" i="56" s="1"/>
  <c r="CP76" i="56"/>
  <c r="CP118" i="56" s="1"/>
  <c r="CP119" i="56" s="1"/>
  <c r="CP133" i="56"/>
  <c r="CP77" i="56"/>
  <c r="CP106" i="56" s="1"/>
  <c r="CP132" i="56"/>
  <c r="CQ132" i="56" s="1"/>
  <c r="CN111" i="56"/>
  <c r="DC69" i="56"/>
  <c r="DC71" i="56" s="1"/>
  <c r="AV190" i="1"/>
  <c r="AV27" i="1"/>
  <c r="BJ143" i="1"/>
  <c r="BQ178" i="1"/>
  <c r="BQ160" i="1"/>
  <c r="BQ158" i="1"/>
  <c r="BQ171" i="1"/>
  <c r="BQ173" i="1" s="1"/>
  <c r="BQ175" i="1" s="1"/>
  <c r="BQ176" i="1" s="1"/>
  <c r="BQ27" i="1"/>
  <c r="BQ190" i="1"/>
  <c r="BO27" i="1"/>
  <c r="BO190" i="1"/>
  <c r="S160" i="1"/>
  <c r="S158" i="1"/>
  <c r="S178" i="1"/>
  <c r="AV158" i="1"/>
  <c r="BO178" i="1"/>
  <c r="BO158" i="1"/>
  <c r="BO171" i="1"/>
  <c r="BO173" i="1" s="1"/>
  <c r="BO175" i="1" s="1"/>
  <c r="BO176" i="1" s="1"/>
  <c r="BJ27" i="1"/>
  <c r="BJ190" i="1"/>
  <c r="AU1" i="5"/>
  <c r="AU86" i="1"/>
  <c r="AU1" i="56"/>
  <c r="AU1" i="59"/>
  <c r="F1" i="33"/>
  <c r="AB158" i="1"/>
  <c r="AB178" i="1"/>
  <c r="AB171" i="1"/>
  <c r="AB173" i="1" s="1"/>
  <c r="AB175" i="1" s="1"/>
  <c r="AB176" i="1" s="1"/>
  <c r="AB160" i="1"/>
  <c r="AU139" i="1"/>
  <c r="AU41" i="1"/>
  <c r="BQ15" i="14"/>
  <c r="AX86" i="1"/>
  <c r="AX1" i="5"/>
  <c r="AX1" i="56"/>
  <c r="I1" i="33"/>
  <c r="AX1" i="59"/>
  <c r="BS178" i="1"/>
  <c r="BS171" i="1"/>
  <c r="BS173" i="1" s="1"/>
  <c r="BS175" i="1" s="1"/>
  <c r="BS160" i="1"/>
  <c r="BS158" i="1"/>
  <c r="BB13" i="7"/>
  <c r="BD11" i="7"/>
  <c r="BE11" i="7" s="1"/>
  <c r="BF11" i="7" s="1"/>
  <c r="BG11" i="7" s="1"/>
  <c r="CR5" i="57"/>
  <c r="CT5" i="57" s="1"/>
  <c r="CT27" i="57"/>
  <c r="CT34" i="57" s="1"/>
  <c r="CO35" i="57"/>
  <c r="CO28" i="57"/>
  <c r="CY141" i="56"/>
  <c r="DA73" i="56"/>
  <c r="DA99" i="56" s="1"/>
  <c r="CR28" i="57"/>
  <c r="DD73" i="56" s="1"/>
  <c r="CT26" i="57"/>
  <c r="CY99" i="56"/>
  <c r="DD16" i="5"/>
  <c r="CR121" i="56"/>
  <c r="CP122" i="56"/>
  <c r="DD46" i="59"/>
  <c r="CP125" i="56"/>
  <c r="CR124" i="56"/>
  <c r="CR118" i="56" s="1"/>
  <c r="CF192" i="1"/>
  <c r="CG192" i="1" s="1"/>
  <c r="CG99" i="1"/>
  <c r="CF107" i="1"/>
  <c r="CF125" i="1" s="1"/>
  <c r="DB120" i="1"/>
  <c r="DC120" i="1" s="1"/>
  <c r="DD120" i="1" s="1"/>
  <c r="DE120" i="1" s="1"/>
  <c r="DF120" i="1" s="1"/>
  <c r="DA120" i="1"/>
  <c r="DB116" i="1"/>
  <c r="DC116" i="1" s="1"/>
  <c r="DD116" i="1" s="1"/>
  <c r="DE116" i="1" s="1"/>
  <c r="DF116" i="1" s="1"/>
  <c r="DA116" i="1"/>
  <c r="CR105" i="1"/>
  <c r="CS105" i="1" s="1"/>
  <c r="CT105" i="1" s="1"/>
  <c r="CU105" i="1" s="1"/>
  <c r="CW105" i="1" s="1"/>
  <c r="CX105" i="1" s="1"/>
  <c r="CY105" i="1" s="1"/>
  <c r="DB113" i="1"/>
  <c r="DC113" i="1" s="1"/>
  <c r="DD113" i="1" s="1"/>
  <c r="DE113" i="1" s="1"/>
  <c r="DF113" i="1" s="1"/>
  <c r="DA113" i="1"/>
  <c r="DB100" i="1"/>
  <c r="DC100" i="1" s="1"/>
  <c r="DD100" i="1" s="1"/>
  <c r="DE100" i="1" s="1"/>
  <c r="DF100" i="1" s="1"/>
  <c r="DA100" i="1"/>
  <c r="DA106" i="1"/>
  <c r="DB106" i="1"/>
  <c r="DC106" i="1" s="1"/>
  <c r="DD106" i="1" s="1"/>
  <c r="DE106" i="1" s="1"/>
  <c r="DF106" i="1" s="1"/>
  <c r="CO60" i="1"/>
  <c r="CP22" i="1"/>
  <c r="CQ22" i="1" s="1"/>
  <c r="CL46" i="1"/>
  <c r="CS71" i="56"/>
  <c r="CS77" i="56" s="1"/>
  <c r="CS76" i="56"/>
  <c r="CN134" i="56"/>
  <c r="CL138" i="56"/>
  <c r="CL16" i="11"/>
  <c r="CL24" i="11"/>
  <c r="CL132" i="56"/>
  <c r="CL76" i="56"/>
  <c r="AS31" i="59"/>
  <c r="AS73" i="59"/>
  <c r="CB11" i="14"/>
  <c r="BW11" i="14"/>
  <c r="DA43" i="56"/>
  <c r="DF43" i="56"/>
  <c r="BH18" i="11"/>
  <c r="BN139" i="1"/>
  <c r="BN41" i="1"/>
  <c r="CZ31" i="1"/>
  <c r="DA31" i="1" s="1"/>
  <c r="CO35" i="1"/>
  <c r="CN36" i="1"/>
  <c r="CN37" i="1" s="1"/>
  <c r="AO27" i="1"/>
  <c r="AO190" i="1"/>
  <c r="I143" i="1"/>
  <c r="AO143" i="1"/>
  <c r="BO134" i="1"/>
  <c r="BO163" i="1"/>
  <c r="BO166" i="1" s="1"/>
  <c r="BO168" i="1" s="1"/>
  <c r="BO132" i="1"/>
  <c r="BO66" i="1"/>
  <c r="BO82" i="1"/>
  <c r="BT82" i="1"/>
  <c r="BO13" i="14"/>
  <c r="BO160" i="1"/>
  <c r="BR28" i="1"/>
  <c r="BR131" i="1"/>
  <c r="BR39" i="1"/>
  <c r="BR69" i="1"/>
  <c r="BS86" i="1"/>
  <c r="BN1" i="5"/>
  <c r="Y1" i="33"/>
  <c r="BN1" i="59"/>
  <c r="BN1" i="56"/>
  <c r="BN15" i="14"/>
  <c r="BI15" i="14"/>
  <c r="I27" i="1"/>
  <c r="CN7" i="11"/>
  <c r="CN22" i="11" s="1"/>
  <c r="CP7" i="11"/>
  <c r="CP9" i="11" s="1"/>
  <c r="CM9" i="11"/>
  <c r="CM22" i="11"/>
  <c r="CM10" i="11"/>
  <c r="CW61" i="56"/>
  <c r="DB21" i="56"/>
  <c r="DC21" i="56"/>
  <c r="CX61" i="56"/>
  <c r="CS45" i="56"/>
  <c r="CS62" i="56"/>
  <c r="CS6" i="11"/>
  <c r="CS187" i="56"/>
  <c r="CS63" i="56"/>
  <c r="CR6" i="11"/>
  <c r="CR45" i="56"/>
  <c r="CR187" i="56"/>
  <c r="CR63" i="56"/>
  <c r="CR62" i="56"/>
  <c r="CU6" i="11"/>
  <c r="CU62" i="56"/>
  <c r="CU63" i="56"/>
  <c r="CU45" i="56"/>
  <c r="CU187" i="56"/>
  <c r="CZ6" i="11"/>
  <c r="CZ45" i="56"/>
  <c r="CZ187" i="56"/>
  <c r="CZ63" i="56"/>
  <c r="CZ62" i="56"/>
  <c r="CQ61" i="56"/>
  <c r="CQ42" i="56"/>
  <c r="CY21" i="56"/>
  <c r="CY24" i="56" s="1"/>
  <c r="CT61" i="56"/>
  <c r="CV21" i="56"/>
  <c r="CV24" i="56" s="1"/>
  <c r="CO63" i="56"/>
  <c r="CO6" i="11"/>
  <c r="CO45" i="56"/>
  <c r="CO187" i="56"/>
  <c r="CO62" i="56"/>
  <c r="CZ152" i="1"/>
  <c r="CZ53" i="1"/>
  <c r="DE56" i="1"/>
  <c r="DA56" i="1"/>
  <c r="CV152" i="1"/>
  <c r="CP48" i="1"/>
  <c r="CP46" i="1" s="1"/>
  <c r="CO46" i="1"/>
  <c r="CN137" i="56"/>
  <c r="CN103" i="56"/>
  <c r="CN110" i="56"/>
  <c r="CN120" i="56"/>
  <c r="CN109" i="56"/>
  <c r="CX67" i="56"/>
  <c r="CB25" i="59"/>
  <c r="CB66" i="59"/>
  <c r="CB39" i="59"/>
  <c r="CB32" i="14"/>
  <c r="BB39" i="59"/>
  <c r="BB67" i="59"/>
  <c r="BB33" i="14"/>
  <c r="BC153" i="56"/>
  <c r="BC167" i="56" s="1"/>
  <c r="BC147" i="56"/>
  <c r="BC154" i="56" s="1"/>
  <c r="BC168" i="56" s="1"/>
  <c r="BO27" i="59"/>
  <c r="BO68" i="59"/>
  <c r="BK68" i="59"/>
  <c r="BK27" i="59"/>
  <c r="BE27" i="59"/>
  <c r="BE68" i="59"/>
  <c r="BY27" i="59"/>
  <c r="BY68" i="59"/>
  <c r="BC13" i="59"/>
  <c r="CC11" i="59"/>
  <c r="CG180" i="56"/>
  <c r="CG146" i="56" s="1"/>
  <c r="BF27" i="59"/>
  <c r="BF68" i="59"/>
  <c r="BG39" i="59"/>
  <c r="BG32" i="14"/>
  <c r="BG66" i="59"/>
  <c r="BR66" i="59"/>
  <c r="BR32" i="14"/>
  <c r="BR25" i="59"/>
  <c r="AC18" i="33" s="1"/>
  <c r="CD68" i="59"/>
  <c r="CD27" i="59"/>
  <c r="BX68" i="59"/>
  <c r="BX27" i="59"/>
  <c r="CF27" i="59"/>
  <c r="CF68" i="59"/>
  <c r="BN33" i="14"/>
  <c r="BN67" i="59"/>
  <c r="BN39" i="59"/>
  <c r="BR38" i="59"/>
  <c r="BR39" i="59" s="1"/>
  <c r="AZ33" i="14"/>
  <c r="AZ67" i="59"/>
  <c r="AZ39" i="59"/>
  <c r="BC38" i="59"/>
  <c r="CC38" i="59"/>
  <c r="CG12" i="59"/>
  <c r="AY39" i="59"/>
  <c r="AY32" i="14"/>
  <c r="AY66" i="59"/>
  <c r="BC37" i="59"/>
  <c r="AX32" i="14"/>
  <c r="AX66" i="59"/>
  <c r="AX25" i="59"/>
  <c r="I18" i="33" s="1"/>
  <c r="CE27" i="59"/>
  <c r="CE68" i="59"/>
  <c r="CI39" i="59"/>
  <c r="CI66" i="59"/>
  <c r="CI32" i="14"/>
  <c r="BZ66" i="59"/>
  <c r="BZ32" i="14"/>
  <c r="BZ39" i="59"/>
  <c r="BT67" i="59"/>
  <c r="BT33" i="14"/>
  <c r="BT39" i="59"/>
  <c r="BT68" i="59" s="1"/>
  <c r="CN128" i="56"/>
  <c r="CN138" i="56"/>
  <c r="CN112" i="56"/>
  <c r="CN41" i="14"/>
  <c r="CN119" i="56"/>
  <c r="CN108" i="56"/>
  <c r="CN114" i="56"/>
  <c r="CL77" i="56"/>
  <c r="CJ41" i="14"/>
  <c r="CT71" i="56"/>
  <c r="CY69" i="56"/>
  <c r="CT76" i="56"/>
  <c r="CO138" i="56"/>
  <c r="CO137" i="56"/>
  <c r="CM11" i="59"/>
  <c r="CM12" i="56"/>
  <c r="CL180" i="56"/>
  <c r="CP137" i="56"/>
  <c r="CP138" i="56"/>
  <c r="CL137" i="56"/>
  <c r="CM12" i="59"/>
  <c r="CO180" i="56"/>
  <c r="CM138" i="56"/>
  <c r="CM137" i="56"/>
  <c r="CQ71" i="56"/>
  <c r="CM77" i="56"/>
  <c r="CR71" i="56"/>
  <c r="CW69" i="56"/>
  <c r="CL181" i="56"/>
  <c r="CZ67" i="56"/>
  <c r="CN11" i="59"/>
  <c r="CN12" i="56"/>
  <c r="CO77" i="56"/>
  <c r="CO110" i="56" s="1"/>
  <c r="CM128" i="56"/>
  <c r="CM119" i="56"/>
  <c r="CM120" i="56"/>
  <c r="CO118" i="56"/>
  <c r="BM11" i="59" l="1"/>
  <c r="BL13" i="59"/>
  <c r="BM13" i="59" s="1"/>
  <c r="BL37" i="59"/>
  <c r="CB19" i="14"/>
  <c r="BW19" i="14"/>
  <c r="BM153" i="56"/>
  <c r="BM147" i="56"/>
  <c r="BM154" i="56" s="1"/>
  <c r="BL38" i="59"/>
  <c r="BM12" i="59"/>
  <c r="AW67" i="59"/>
  <c r="AW33" i="14"/>
  <c r="AX38" i="59"/>
  <c r="AW39" i="59"/>
  <c r="BW180" i="56"/>
  <c r="BW146" i="56" s="1"/>
  <c r="BD13" i="59"/>
  <c r="BH13" i="59" s="1"/>
  <c r="BD37" i="59"/>
  <c r="BH11" i="59"/>
  <c r="BH147" i="56"/>
  <c r="BH154" i="56" s="1"/>
  <c r="BH153" i="56"/>
  <c r="BH167" i="56" s="1"/>
  <c r="BV37" i="59"/>
  <c r="BV13" i="59"/>
  <c r="BS37" i="59"/>
  <c r="BS13" i="59"/>
  <c r="BW13" i="59" s="1"/>
  <c r="BW11" i="59"/>
  <c r="BS38" i="59"/>
  <c r="BW12" i="59"/>
  <c r="CB169" i="56"/>
  <c r="BW169" i="56"/>
  <c r="BD38" i="59"/>
  <c r="BH12" i="59"/>
  <c r="BV67" i="59"/>
  <c r="BV33" i="14"/>
  <c r="O82" i="1"/>
  <c r="J132" i="1"/>
  <c r="J134" i="1"/>
  <c r="AC76" i="1"/>
  <c r="AC68" i="1"/>
  <c r="AC25" i="1"/>
  <c r="AA139" i="1"/>
  <c r="AA143" i="1" s="1"/>
  <c r="AA41" i="1"/>
  <c r="AA27" i="1" s="1"/>
  <c r="Q28" i="1"/>
  <c r="V85" i="1"/>
  <c r="Q131" i="1"/>
  <c r="Q85" i="1"/>
  <c r="Q69" i="1"/>
  <c r="Q39" i="1"/>
  <c r="AA86" i="1"/>
  <c r="AF86" i="1"/>
  <c r="CQ104" i="1"/>
  <c r="CR104" i="1"/>
  <c r="BV68" i="66"/>
  <c r="CG132" i="1"/>
  <c r="CG82" i="1"/>
  <c r="CG66" i="1"/>
  <c r="CG163" i="1"/>
  <c r="CG160" i="1"/>
  <c r="CG134" i="1"/>
  <c r="BP68" i="66"/>
  <c r="CG13" i="14"/>
  <c r="BJ47" i="66"/>
  <c r="BJ59" i="66" s="1"/>
  <c r="BR13" i="14"/>
  <c r="BR132" i="1"/>
  <c r="BR163" i="1"/>
  <c r="BR166" i="1" s="1"/>
  <c r="BR168" i="1" s="1"/>
  <c r="BR66" i="1"/>
  <c r="BR82" i="1"/>
  <c r="BR134" i="1"/>
  <c r="AW1" i="59"/>
  <c r="H1" i="33"/>
  <c r="AW1" i="56"/>
  <c r="AW1" i="5"/>
  <c r="BU131" i="1"/>
  <c r="BU28" i="1"/>
  <c r="BU69" i="1"/>
  <c r="BU39" i="1"/>
  <c r="BU41" i="1" s="1"/>
  <c r="BU85" i="1"/>
  <c r="BW25" i="1"/>
  <c r="BZ85" i="1"/>
  <c r="BU74" i="1"/>
  <c r="BU13" i="1"/>
  <c r="BB25" i="1"/>
  <c r="BB68" i="1"/>
  <c r="BB84" i="1"/>
  <c r="BB76" i="1"/>
  <c r="BW84" i="1"/>
  <c r="BW68" i="1"/>
  <c r="BW76" i="1"/>
  <c r="CB84" i="1"/>
  <c r="AS60" i="7"/>
  <c r="AS62" i="7" s="1"/>
  <c r="AO60" i="7"/>
  <c r="AO62" i="7" s="1"/>
  <c r="CJ36" i="1"/>
  <c r="CJ37" i="1" s="1"/>
  <c r="CJ39" i="1" s="1"/>
  <c r="CJ41" i="1" s="1"/>
  <c r="CJ27" i="1" s="1"/>
  <c r="CJ131" i="1"/>
  <c r="CJ69" i="1"/>
  <c r="CJ28" i="1"/>
  <c r="CJ86" i="1" s="1"/>
  <c r="CJ85" i="1"/>
  <c r="AQ86" i="1"/>
  <c r="AV86" i="1"/>
  <c r="N25" i="1"/>
  <c r="N76" i="1"/>
  <c r="S84" i="1"/>
  <c r="N68" i="1"/>
  <c r="N84" i="1"/>
  <c r="CL172" i="1"/>
  <c r="CL164" i="1"/>
  <c r="CL148" i="1"/>
  <c r="F139" i="1"/>
  <c r="F143" i="1" s="1"/>
  <c r="F41" i="1"/>
  <c r="CA15" i="14"/>
  <c r="BV15" i="14"/>
  <c r="AZ69" i="1"/>
  <c r="AZ28" i="1"/>
  <c r="AZ131" i="1"/>
  <c r="AZ39" i="1"/>
  <c r="AZ85" i="1"/>
  <c r="BW172" i="1"/>
  <c r="BW164" i="1"/>
  <c r="BW148" i="1"/>
  <c r="K28" i="1"/>
  <c r="K131" i="1"/>
  <c r="P85" i="1"/>
  <c r="K69" i="1"/>
  <c r="K85" i="1"/>
  <c r="K39" i="1"/>
  <c r="CI86" i="1"/>
  <c r="CI1" i="59"/>
  <c r="AT1" i="33"/>
  <c r="BG134" i="1"/>
  <c r="BG163" i="1"/>
  <c r="BG166" i="1" s="1"/>
  <c r="BG168" i="1" s="1"/>
  <c r="BG132" i="1"/>
  <c r="BG66" i="1"/>
  <c r="BG82" i="1"/>
  <c r="BG13" i="14"/>
  <c r="BU62" i="1"/>
  <c r="G41" i="1"/>
  <c r="G27" i="1" s="1"/>
  <c r="G139" i="1"/>
  <c r="G143" i="1" s="1"/>
  <c r="BT27" i="1"/>
  <c r="BT190" i="1"/>
  <c r="BW41" i="1"/>
  <c r="BW27" i="1" s="1"/>
  <c r="BY86" i="1"/>
  <c r="BT1" i="59"/>
  <c r="BT1" i="56"/>
  <c r="AE1" i="33"/>
  <c r="BT1" i="5"/>
  <c r="BT86" i="1"/>
  <c r="BC76" i="1"/>
  <c r="BC84" i="1"/>
  <c r="BC25" i="1"/>
  <c r="BC68" i="1"/>
  <c r="CG36" i="1"/>
  <c r="CF37" i="1"/>
  <c r="CN17" i="1"/>
  <c r="CO17" i="1" s="1"/>
  <c r="CP17" i="1" s="1"/>
  <c r="CR17" i="1" s="1"/>
  <c r="AI131" i="1"/>
  <c r="AI85" i="1"/>
  <c r="AI69" i="1"/>
  <c r="AI28" i="1"/>
  <c r="AI86" i="1" s="1"/>
  <c r="AI39" i="1"/>
  <c r="AI41" i="1" s="1"/>
  <c r="AI27" i="1" s="1"/>
  <c r="CB186" i="1"/>
  <c r="BT186" i="1"/>
  <c r="BT167" i="1" s="1"/>
  <c r="BT168" i="1" s="1"/>
  <c r="BU186" i="1"/>
  <c r="BU167" i="1" s="1"/>
  <c r="BV186" i="1"/>
  <c r="BV167" i="1" s="1"/>
  <c r="BS186" i="1"/>
  <c r="BS167" i="1" s="1"/>
  <c r="BS168" i="1" s="1"/>
  <c r="AK60" i="7"/>
  <c r="AK62" i="7" s="1"/>
  <c r="AJ23" i="7"/>
  <c r="AJ26" i="7" s="1"/>
  <c r="AJ28" i="7" s="1"/>
  <c r="AJ64" i="7"/>
  <c r="AJ63" i="7"/>
  <c r="BK68" i="66"/>
  <c r="BL68" i="66"/>
  <c r="AI26" i="7"/>
  <c r="AH28" i="7"/>
  <c r="AP139" i="1"/>
  <c r="AP143" i="1" s="1"/>
  <c r="AP41" i="1"/>
  <c r="X82" i="1"/>
  <c r="X163" i="1"/>
  <c r="X166" i="1" s="1"/>
  <c r="X66" i="1"/>
  <c r="X132" i="1"/>
  <c r="X134" i="1"/>
  <c r="X13" i="14"/>
  <c r="AM41" i="1"/>
  <c r="AM139" i="1"/>
  <c r="AK85" i="1"/>
  <c r="AK28" i="1"/>
  <c r="AK86" i="1" s="1"/>
  <c r="AK69" i="1"/>
  <c r="AK131" i="1"/>
  <c r="AK39" i="1"/>
  <c r="CK76" i="1"/>
  <c r="CK84" i="1"/>
  <c r="CK68" i="1"/>
  <c r="CK25" i="1"/>
  <c r="T66" i="1"/>
  <c r="T134" i="1"/>
  <c r="T82" i="1"/>
  <c r="T132" i="1"/>
  <c r="T13" i="14"/>
  <c r="CB166" i="1"/>
  <c r="CB179" i="1"/>
  <c r="AP85" i="1"/>
  <c r="BJ52" i="66"/>
  <c r="N134" i="1"/>
  <c r="N132" i="1"/>
  <c r="N66" i="1"/>
  <c r="N82" i="1"/>
  <c r="N13" i="14"/>
  <c r="AH84" i="1"/>
  <c r="AH76" i="1"/>
  <c r="AH68" i="1"/>
  <c r="AH25" i="1"/>
  <c r="AM84" i="1"/>
  <c r="AW139" i="1"/>
  <c r="AW143" i="1" s="1"/>
  <c r="AW41" i="1"/>
  <c r="AN85" i="1"/>
  <c r="AN69" i="1"/>
  <c r="AN131" i="1"/>
  <c r="AS85" i="1"/>
  <c r="AN28" i="1"/>
  <c r="AN39" i="1"/>
  <c r="AN41" i="1" s="1"/>
  <c r="AN27" i="1" s="1"/>
  <c r="AY41" i="1"/>
  <c r="AY139" i="1"/>
  <c r="AY143" i="1" s="1"/>
  <c r="AR131" i="1"/>
  <c r="AR28" i="1"/>
  <c r="AR86" i="1" s="1"/>
  <c r="AR85" i="1"/>
  <c r="AR69" i="1"/>
  <c r="AR39" i="1"/>
  <c r="CG85" i="1"/>
  <c r="CG69" i="1"/>
  <c r="CG131" i="1"/>
  <c r="CY145" i="1"/>
  <c r="CT164" i="1"/>
  <c r="CT172" i="1"/>
  <c r="CT148" i="1"/>
  <c r="AG139" i="1"/>
  <c r="AG143" i="1" s="1"/>
  <c r="AG41" i="1"/>
  <c r="AG27" i="1" s="1"/>
  <c r="AL86" i="1"/>
  <c r="AG86" i="1"/>
  <c r="BE17" i="1"/>
  <c r="BD21" i="1"/>
  <c r="CF86" i="1"/>
  <c r="CF1" i="56"/>
  <c r="CF1" i="5"/>
  <c r="CF1" i="59"/>
  <c r="AQ1" i="33"/>
  <c r="AD82" i="1"/>
  <c r="AD66" i="1"/>
  <c r="AD132" i="1"/>
  <c r="AD163" i="1"/>
  <c r="AD166" i="1" s="1"/>
  <c r="AD168" i="1" s="1"/>
  <c r="AD13" i="14"/>
  <c r="AD134" i="1"/>
  <c r="M41" i="1"/>
  <c r="M27" i="1" s="1"/>
  <c r="M139" i="1"/>
  <c r="M143" i="1" s="1"/>
  <c r="CU140" i="1"/>
  <c r="CQ140" i="1"/>
  <c r="AQ41" i="1"/>
  <c r="AQ139" i="1"/>
  <c r="AQ143" i="1" s="1"/>
  <c r="BL82" i="1"/>
  <c r="Y82" i="1"/>
  <c r="Y66" i="1"/>
  <c r="Y132" i="1"/>
  <c r="Y163" i="1"/>
  <c r="Y166" i="1" s="1"/>
  <c r="Y13" i="14"/>
  <c r="Y134" i="1"/>
  <c r="CP164" i="1"/>
  <c r="CP172" i="1"/>
  <c r="CU145" i="1"/>
  <c r="CP148" i="1"/>
  <c r="CQ145" i="1"/>
  <c r="AY1" i="56"/>
  <c r="AY1" i="59"/>
  <c r="J1" i="33"/>
  <c r="AY1" i="5"/>
  <c r="AY86" i="1"/>
  <c r="BA131" i="1"/>
  <c r="BA28" i="1"/>
  <c r="BA69" i="1"/>
  <c r="BA39" i="1"/>
  <c r="BA85" i="1"/>
  <c r="CI37" i="1"/>
  <c r="BH74" i="1"/>
  <c r="BH13" i="1"/>
  <c r="BH62" i="1"/>
  <c r="H139" i="1"/>
  <c r="H41" i="1"/>
  <c r="H27" i="1" s="1"/>
  <c r="AH132" i="1"/>
  <c r="AH82" i="1"/>
  <c r="AH134" i="1"/>
  <c r="AH13" i="14"/>
  <c r="AH163" i="1"/>
  <c r="AH166" i="1" s="1"/>
  <c r="AH168" i="1" s="1"/>
  <c r="AH66" i="1"/>
  <c r="AM82" i="1"/>
  <c r="CG74" i="1"/>
  <c r="CG13" i="1"/>
  <c r="BQ85" i="1"/>
  <c r="BL131" i="1"/>
  <c r="BL39" i="1"/>
  <c r="BL41" i="1" s="1"/>
  <c r="BL69" i="1"/>
  <c r="BL28" i="1"/>
  <c r="AX66" i="1"/>
  <c r="AX132" i="1"/>
  <c r="AX163" i="1"/>
  <c r="AX166" i="1" s="1"/>
  <c r="AX168" i="1" s="1"/>
  <c r="AX13" i="14"/>
  <c r="AX134" i="1"/>
  <c r="BV166" i="1"/>
  <c r="BV168" i="1" s="1"/>
  <c r="CD190" i="1"/>
  <c r="CD27" i="1"/>
  <c r="CD86" i="1"/>
  <c r="CG28" i="1"/>
  <c r="CD1" i="5"/>
  <c r="W73" i="66"/>
  <c r="CD1" i="56"/>
  <c r="CD1" i="59"/>
  <c r="AO1" i="33"/>
  <c r="BW61" i="1"/>
  <c r="BW62" i="1" s="1"/>
  <c r="BR68" i="1"/>
  <c r="BR76" i="1"/>
  <c r="AI163" i="1"/>
  <c r="AI166" i="1" s="1"/>
  <c r="AI168" i="1" s="1"/>
  <c r="AI134" i="1"/>
  <c r="AI132" i="1"/>
  <c r="AI66" i="1"/>
  <c r="AI82" i="1"/>
  <c r="AI13" i="14"/>
  <c r="AN15" i="14" s="1"/>
  <c r="AC82" i="1"/>
  <c r="BC74" i="1"/>
  <c r="BC13" i="1"/>
  <c r="BC62" i="1"/>
  <c r="CB1" i="56"/>
  <c r="AM1" i="33"/>
  <c r="CB1" i="59"/>
  <c r="CB1" i="5"/>
  <c r="AN82" i="1"/>
  <c r="M86" i="1"/>
  <c r="R86" i="1"/>
  <c r="AS62" i="1"/>
  <c r="AX82" i="1" s="1"/>
  <c r="AS13" i="1"/>
  <c r="BR72" i="66"/>
  <c r="CE72" i="66"/>
  <c r="BW72" i="66"/>
  <c r="BQ72" i="66"/>
  <c r="CD72" i="66"/>
  <c r="BX72" i="66"/>
  <c r="CO72" i="66"/>
  <c r="BK72" i="66"/>
  <c r="BL72" i="66"/>
  <c r="CN72" i="66"/>
  <c r="W28" i="1"/>
  <c r="W85" i="1"/>
  <c r="AB85" i="1"/>
  <c r="W69" i="1"/>
  <c r="W131" i="1"/>
  <c r="W39" i="1"/>
  <c r="CD179" i="1"/>
  <c r="CD166" i="1"/>
  <c r="BM25" i="11"/>
  <c r="CK37" i="59"/>
  <c r="CK13" i="59"/>
  <c r="CP181" i="56"/>
  <c r="CP12" i="59" s="1"/>
  <c r="CP38" i="59" s="1"/>
  <c r="CK67" i="59"/>
  <c r="CK33" i="14"/>
  <c r="BM59" i="33"/>
  <c r="BM61" i="33"/>
  <c r="DB30" i="5"/>
  <c r="AS68" i="59"/>
  <c r="AS27" i="59"/>
  <c r="BR25" i="11"/>
  <c r="AV178" i="1"/>
  <c r="AV171" i="1"/>
  <c r="AV173" i="1" s="1"/>
  <c r="AV175" i="1" s="1"/>
  <c r="AV176" i="1" s="1"/>
  <c r="DE141" i="56"/>
  <c r="CM110" i="56"/>
  <c r="CT44" i="66"/>
  <c r="BT143" i="1"/>
  <c r="CP33" i="14"/>
  <c r="DA141" i="56"/>
  <c r="CZ46" i="59"/>
  <c r="DA46" i="59" s="1"/>
  <c r="DA21" i="59"/>
  <c r="DA39" i="56"/>
  <c r="DA186" i="56"/>
  <c r="DE186" i="56"/>
  <c r="DE21" i="59" s="1"/>
  <c r="DF17" i="56"/>
  <c r="CU71" i="56"/>
  <c r="CV71" i="56" s="1"/>
  <c r="CS104" i="1"/>
  <c r="CL110" i="56"/>
  <c r="CM66" i="66"/>
  <c r="CP103" i="56"/>
  <c r="CP128" i="56"/>
  <c r="CU76" i="56"/>
  <c r="CV76" i="56" s="1"/>
  <c r="CV69" i="56"/>
  <c r="CV97" i="56" s="1"/>
  <c r="CP114" i="56"/>
  <c r="CP111" i="56"/>
  <c r="CQ181" i="56"/>
  <c r="DG181" i="56" s="1"/>
  <c r="CQ133" i="56"/>
  <c r="CQ121" i="56" s="1"/>
  <c r="CO134" i="56"/>
  <c r="CP108" i="56"/>
  <c r="CP109" i="56"/>
  <c r="CP110" i="56"/>
  <c r="CT77" i="56"/>
  <c r="CT108" i="56" s="1"/>
  <c r="CL121" i="56"/>
  <c r="CL122" i="56" s="1"/>
  <c r="CP41" i="14"/>
  <c r="CP112" i="56"/>
  <c r="CV67" i="56"/>
  <c r="CV95" i="56" s="1"/>
  <c r="CQ76" i="56"/>
  <c r="CP134" i="56"/>
  <c r="CE37" i="5"/>
  <c r="CE16" i="5"/>
  <c r="CJ15" i="5"/>
  <c r="CO13" i="5"/>
  <c r="CS15" i="5"/>
  <c r="CS37" i="5" s="1"/>
  <c r="CX13" i="5"/>
  <c r="DB14" i="5"/>
  <c r="CW16" i="5"/>
  <c r="DA14" i="5"/>
  <c r="CR13" i="5"/>
  <c r="CM15" i="5"/>
  <c r="CQ13" i="5"/>
  <c r="CG16" i="5"/>
  <c r="CH16" i="5"/>
  <c r="CL15" i="5"/>
  <c r="CH37" i="5"/>
  <c r="CP15" i="5"/>
  <c r="CP37" i="5" s="1"/>
  <c r="CU13" i="5"/>
  <c r="CV16" i="5"/>
  <c r="CZ16" i="5"/>
  <c r="DE14" i="5"/>
  <c r="DE16" i="5" s="1"/>
  <c r="CP180" i="56"/>
  <c r="CP11" i="59" s="1"/>
  <c r="BJ178" i="1"/>
  <c r="BJ160" i="1"/>
  <c r="BJ158" i="1"/>
  <c r="BJ171" i="1"/>
  <c r="BJ173" i="1" s="1"/>
  <c r="BJ175" i="1" s="1"/>
  <c r="BT171" i="1"/>
  <c r="BT173" i="1" s="1"/>
  <c r="BT175" i="1" s="1"/>
  <c r="BT160" i="1"/>
  <c r="BT158" i="1"/>
  <c r="BT178" i="1"/>
  <c r="AU27" i="1"/>
  <c r="AU190" i="1"/>
  <c r="AX41" i="1"/>
  <c r="AX27" i="1" s="1"/>
  <c r="BU143" i="1"/>
  <c r="BV139" i="1"/>
  <c r="AU143" i="1"/>
  <c r="AX139" i="1"/>
  <c r="AX143" i="1" s="1"/>
  <c r="BG13" i="7"/>
  <c r="BI11" i="7"/>
  <c r="CT35" i="57"/>
  <c r="CT28" i="57"/>
  <c r="DD99" i="56"/>
  <c r="DD141" i="56"/>
  <c r="DF141" i="56" s="1"/>
  <c r="DF73" i="56"/>
  <c r="DF99" i="56" s="1"/>
  <c r="CL124" i="56"/>
  <c r="CL125" i="56" s="1"/>
  <c r="CR122" i="56"/>
  <c r="CS121" i="56"/>
  <c r="CS118" i="56" s="1"/>
  <c r="CR133" i="56"/>
  <c r="CR181" i="56" s="1"/>
  <c r="CR12" i="59" s="1"/>
  <c r="CR132" i="56"/>
  <c r="CR120" i="56"/>
  <c r="CR128" i="56"/>
  <c r="CR119" i="56"/>
  <c r="CS124" i="56"/>
  <c r="CR125" i="56"/>
  <c r="CG102" i="1"/>
  <c r="CH99" i="1"/>
  <c r="CG107" i="1"/>
  <c r="CG125" i="1" s="1"/>
  <c r="CV105" i="1"/>
  <c r="CR22" i="1"/>
  <c r="CP60" i="1"/>
  <c r="CQ60" i="1" s="1"/>
  <c r="CL47" i="1"/>
  <c r="CM69" i="66" s="1"/>
  <c r="CM47" i="1"/>
  <c r="CS108" i="56"/>
  <c r="CS112" i="56"/>
  <c r="CS109" i="56"/>
  <c r="CS106" i="56"/>
  <c r="DC67" i="56"/>
  <c r="DC77" i="56" s="1"/>
  <c r="CN139" i="56"/>
  <c r="CN143" i="56" s="1"/>
  <c r="CS103" i="56"/>
  <c r="CL11" i="11"/>
  <c r="CL18" i="11" s="1"/>
  <c r="CP22" i="11"/>
  <c r="BN143" i="1"/>
  <c r="BR139" i="1"/>
  <c r="BR143" i="1" s="1"/>
  <c r="BP29" i="1"/>
  <c r="BN29" i="1"/>
  <c r="BR1" i="59"/>
  <c r="BR1" i="5"/>
  <c r="AC1" i="33"/>
  <c r="BR1" i="56"/>
  <c r="CZ105" i="1"/>
  <c r="CP35" i="1"/>
  <c r="CO36" i="1"/>
  <c r="CO37" i="1" s="1"/>
  <c r="BN27" i="1"/>
  <c r="BN190" i="1"/>
  <c r="BR190" i="1" s="1"/>
  <c r="BR41" i="1"/>
  <c r="BR27" i="1" s="1"/>
  <c r="DB31" i="1"/>
  <c r="BO15" i="14"/>
  <c r="BT15" i="14"/>
  <c r="AO178" i="1"/>
  <c r="AO171" i="1"/>
  <c r="AO173" i="1" s="1"/>
  <c r="AO175" i="1" s="1"/>
  <c r="AO176" i="1" s="1"/>
  <c r="AO160" i="1"/>
  <c r="AO158" i="1"/>
  <c r="I158" i="1"/>
  <c r="I178" i="1"/>
  <c r="BR15" i="14"/>
  <c r="AY178" i="1"/>
  <c r="AY158" i="1"/>
  <c r="AY171" i="1"/>
  <c r="AY173" i="1" s="1"/>
  <c r="AY175" i="1" s="1"/>
  <c r="AY176" i="1" s="1"/>
  <c r="AY160" i="1"/>
  <c r="CN9" i="11"/>
  <c r="CN23" i="11" s="1"/>
  <c r="CM23" i="11"/>
  <c r="CM16" i="11"/>
  <c r="CM11" i="11"/>
  <c r="CM24" i="11"/>
  <c r="CP10" i="11"/>
  <c r="CP24" i="11" s="1"/>
  <c r="CN10" i="11"/>
  <c r="CR21" i="11"/>
  <c r="CR7" i="11"/>
  <c r="CR22" i="11" s="1"/>
  <c r="CW6" i="11"/>
  <c r="CW45" i="56"/>
  <c r="CW62" i="56"/>
  <c r="CW187" i="56"/>
  <c r="CW63" i="56"/>
  <c r="CX63" i="56"/>
  <c r="CX62" i="56"/>
  <c r="CX45" i="56"/>
  <c r="CX6" i="11"/>
  <c r="CX187" i="56"/>
  <c r="CS7" i="11"/>
  <c r="CS22" i="11" s="1"/>
  <c r="CS21" i="11"/>
  <c r="DB61" i="56"/>
  <c r="CU7" i="11"/>
  <c r="CU22" i="11" s="1"/>
  <c r="CU21" i="11"/>
  <c r="CP16" i="11"/>
  <c r="CP23" i="11"/>
  <c r="DE45" i="56"/>
  <c r="DE63" i="56"/>
  <c r="DE187" i="56"/>
  <c r="DE62" i="56"/>
  <c r="DE6" i="11"/>
  <c r="CZ21" i="11"/>
  <c r="CZ7" i="11"/>
  <c r="DA21" i="56"/>
  <c r="DA24" i="56" s="1"/>
  <c r="DD21" i="56"/>
  <c r="DD24" i="56" s="1"/>
  <c r="CY61" i="56"/>
  <c r="CO10" i="11"/>
  <c r="CO21" i="11"/>
  <c r="CQ6" i="11"/>
  <c r="CQ21" i="11" s="1"/>
  <c r="CO7" i="11"/>
  <c r="CV61" i="56"/>
  <c r="CV42" i="56"/>
  <c r="CT187" i="56"/>
  <c r="CT63" i="56"/>
  <c r="CT6" i="11"/>
  <c r="CT45" i="56"/>
  <c r="CT62" i="56"/>
  <c r="CQ187" i="56"/>
  <c r="CQ45" i="56"/>
  <c r="CQ62" i="56"/>
  <c r="CQ63" i="56"/>
  <c r="DE152" i="1"/>
  <c r="DE53" i="1"/>
  <c r="DF56" i="1"/>
  <c r="CQ46" i="1"/>
  <c r="DA152" i="1"/>
  <c r="CQ48" i="1"/>
  <c r="CR48" i="1"/>
  <c r="CS111" i="56"/>
  <c r="CS41" i="14"/>
  <c r="CX77" i="56"/>
  <c r="CX41" i="14" s="1"/>
  <c r="CX76" i="56"/>
  <c r="CS110" i="56"/>
  <c r="CS114" i="56"/>
  <c r="BZ68" i="59"/>
  <c r="BZ27" i="59"/>
  <c r="BC25" i="59"/>
  <c r="N18" i="33" s="1"/>
  <c r="BC66" i="59"/>
  <c r="BC32" i="14"/>
  <c r="BC39" i="59"/>
  <c r="BC33" i="14"/>
  <c r="BC67" i="59"/>
  <c r="BC26" i="59"/>
  <c r="BR67" i="59"/>
  <c r="BR26" i="59"/>
  <c r="BR33" i="14"/>
  <c r="BH168" i="56"/>
  <c r="CI68" i="59"/>
  <c r="CI27" i="59"/>
  <c r="CG38" i="59"/>
  <c r="CC33" i="14"/>
  <c r="CC67" i="59"/>
  <c r="AZ68" i="59"/>
  <c r="AZ27" i="59"/>
  <c r="BN27" i="59"/>
  <c r="BN68" i="59"/>
  <c r="BG68" i="59"/>
  <c r="BG27" i="59"/>
  <c r="CB27" i="59"/>
  <c r="CB68" i="59"/>
  <c r="BR68" i="59"/>
  <c r="BR27" i="59"/>
  <c r="CG147" i="56"/>
  <c r="CG154" i="56" s="1"/>
  <c r="CG168" i="56" s="1"/>
  <c r="CG153" i="56"/>
  <c r="CG167" i="56" s="1"/>
  <c r="AY27" i="59"/>
  <c r="AY68" i="59"/>
  <c r="CC37" i="59"/>
  <c r="CG11" i="59"/>
  <c r="CC13" i="59"/>
  <c r="CG13" i="59" s="1"/>
  <c r="BB27" i="59"/>
  <c r="BB68" i="59"/>
  <c r="CM111" i="56"/>
  <c r="CO139" i="56"/>
  <c r="CO143" i="56" s="1"/>
  <c r="CO119" i="56"/>
  <c r="CO128" i="56"/>
  <c r="CO120" i="56"/>
  <c r="CZ71" i="56"/>
  <c r="CZ77" i="56" s="1"/>
  <c r="DE69" i="56"/>
  <c r="CN37" i="59"/>
  <c r="CN13" i="59"/>
  <c r="CR138" i="56"/>
  <c r="CR137" i="56"/>
  <c r="CR77" i="56"/>
  <c r="CR110" i="56" s="1"/>
  <c r="CM109" i="56"/>
  <c r="CQ77" i="56"/>
  <c r="CM44" i="66" s="1"/>
  <c r="CM103" i="56"/>
  <c r="CM41" i="14"/>
  <c r="CM114" i="56"/>
  <c r="CM112" i="56"/>
  <c r="CM106" i="56"/>
  <c r="CM108" i="56"/>
  <c r="CM139" i="56"/>
  <c r="CQ137" i="56"/>
  <c r="CO11" i="59"/>
  <c r="CO12" i="56"/>
  <c r="CP139" i="56"/>
  <c r="CY76" i="56"/>
  <c r="DD67" i="56"/>
  <c r="CL111" i="56"/>
  <c r="CP120" i="56"/>
  <c r="CK18" i="14"/>
  <c r="CK19" i="14" s="1"/>
  <c r="CL12" i="59"/>
  <c r="CQ138" i="56"/>
  <c r="CL11" i="59"/>
  <c r="CM18" i="14"/>
  <c r="CM19" i="14" s="1"/>
  <c r="CM33" i="56"/>
  <c r="CM155" i="56"/>
  <c r="CM169" i="56" s="1"/>
  <c r="CM146" i="56"/>
  <c r="CM147" i="56" s="1"/>
  <c r="CO109" i="56"/>
  <c r="CO114" i="56"/>
  <c r="CO41" i="14"/>
  <c r="CO103" i="56"/>
  <c r="CO112" i="56"/>
  <c r="CO108" i="56"/>
  <c r="CO106" i="56"/>
  <c r="CZ76" i="56"/>
  <c r="DE67" i="56"/>
  <c r="DB69" i="56"/>
  <c r="CW71" i="56"/>
  <c r="DA69" i="56"/>
  <c r="CW76" i="56"/>
  <c r="CM38" i="59"/>
  <c r="CQ12" i="59"/>
  <c r="CL146" i="56"/>
  <c r="CL147" i="56" s="1"/>
  <c r="CM13" i="59"/>
  <c r="CM37" i="59"/>
  <c r="CO111" i="56"/>
  <c r="CN155" i="56"/>
  <c r="CN169" i="56" s="1"/>
  <c r="CN18" i="14"/>
  <c r="CN19" i="14" s="1"/>
  <c r="CN33" i="56"/>
  <c r="CN146" i="56"/>
  <c r="CN147" i="56" s="1"/>
  <c r="CU77" i="56"/>
  <c r="CU110" i="56" s="1"/>
  <c r="CL139" i="56"/>
  <c r="CL143" i="56" s="1"/>
  <c r="CJ18" i="14"/>
  <c r="CJ19" i="14" s="1"/>
  <c r="CL12" i="56"/>
  <c r="DD69" i="56"/>
  <c r="CY71" i="56"/>
  <c r="BV44" i="66"/>
  <c r="CC44" i="66" s="1"/>
  <c r="CL112" i="56"/>
  <c r="CL103" i="56"/>
  <c r="BP44" i="66"/>
  <c r="CL109" i="56"/>
  <c r="CL41" i="14"/>
  <c r="CL114" i="56"/>
  <c r="CL106" i="56"/>
  <c r="CL108" i="56"/>
  <c r="DA67" i="56"/>
  <c r="BL66" i="59" l="1"/>
  <c r="BM37" i="59"/>
  <c r="BL39" i="59"/>
  <c r="BL32" i="14"/>
  <c r="BV39" i="59"/>
  <c r="BV66" i="59"/>
  <c r="BV32" i="14"/>
  <c r="BD32" i="14"/>
  <c r="BD39" i="59"/>
  <c r="BD66" i="59"/>
  <c r="BH37" i="59"/>
  <c r="AX33" i="14"/>
  <c r="AX67" i="59"/>
  <c r="AX26" i="59"/>
  <c r="AX39" i="59"/>
  <c r="BL33" i="14"/>
  <c r="BL67" i="59"/>
  <c r="BM38" i="59"/>
  <c r="BS39" i="59"/>
  <c r="BS68" i="59" s="1"/>
  <c r="BS32" i="14"/>
  <c r="BS66" i="59"/>
  <c r="BW37" i="59"/>
  <c r="BW147" i="56"/>
  <c r="BW154" i="56" s="1"/>
  <c r="CB168" i="56" s="1"/>
  <c r="BW153" i="56"/>
  <c r="CB167" i="56" s="1"/>
  <c r="BD67" i="59"/>
  <c r="BD33" i="14"/>
  <c r="BH38" i="59"/>
  <c r="BS67" i="59"/>
  <c r="BS33" i="14"/>
  <c r="BW38" i="59"/>
  <c r="AW27" i="59"/>
  <c r="AW68" i="59"/>
  <c r="AA178" i="1"/>
  <c r="AA160" i="1"/>
  <c r="AA171" i="1"/>
  <c r="AA173" i="1" s="1"/>
  <c r="AA175" i="1" s="1"/>
  <c r="AA176" i="1" s="1"/>
  <c r="AA158" i="1"/>
  <c r="AP86" i="1"/>
  <c r="Q41" i="1"/>
  <c r="Q139" i="1"/>
  <c r="AC39" i="1"/>
  <c r="AC69" i="1"/>
  <c r="AC28" i="1"/>
  <c r="AC131" i="1"/>
  <c r="CQ17" i="1"/>
  <c r="Q86" i="1"/>
  <c r="V86" i="1"/>
  <c r="BW132" i="1"/>
  <c r="BW134" i="1"/>
  <c r="BW13" i="14"/>
  <c r="BW163" i="1"/>
  <c r="BW166" i="1" s="1"/>
  <c r="BW168" i="1" s="1"/>
  <c r="BW66" i="1"/>
  <c r="CB82" i="1"/>
  <c r="BW82" i="1"/>
  <c r="AB86" i="1"/>
  <c r="W86" i="1"/>
  <c r="H143" i="1"/>
  <c r="J139" i="1"/>
  <c r="J143" i="1" s="1"/>
  <c r="CQ172" i="1"/>
  <c r="CQ164" i="1"/>
  <c r="CQ148" i="1"/>
  <c r="AQ178" i="1"/>
  <c r="AQ171" i="1"/>
  <c r="AQ173" i="1" s="1"/>
  <c r="AQ175" i="1" s="1"/>
  <c r="AQ176" i="1" s="1"/>
  <c r="AQ160" i="1"/>
  <c r="AQ158" i="1"/>
  <c r="AG178" i="1"/>
  <c r="AG171" i="1"/>
  <c r="AG173" i="1" s="1"/>
  <c r="AG175" i="1" s="1"/>
  <c r="AG176" i="1" s="1"/>
  <c r="AG160" i="1"/>
  <c r="AG158" i="1"/>
  <c r="CK131" i="1"/>
  <c r="CK85" i="1"/>
  <c r="CK69" i="1"/>
  <c r="CK49" i="1"/>
  <c r="CK28" i="1"/>
  <c r="CK86" i="1" s="1"/>
  <c r="CK36" i="1"/>
  <c r="CG179" i="1"/>
  <c r="CG166" i="1"/>
  <c r="AX190" i="1"/>
  <c r="W139" i="1"/>
  <c r="W143" i="1" s="1"/>
  <c r="W41" i="1"/>
  <c r="W27" i="1" s="1"/>
  <c r="BC134" i="1"/>
  <c r="BC132" i="1"/>
  <c r="BC66" i="1"/>
  <c r="BC82" i="1"/>
  <c r="BC13" i="14"/>
  <c r="BC15" i="14" s="1"/>
  <c r="BC163" i="1"/>
  <c r="BC166" i="1" s="1"/>
  <c r="BC168" i="1" s="1"/>
  <c r="BA139" i="1"/>
  <c r="BA143" i="1" s="1"/>
  <c r="BA41" i="1"/>
  <c r="CZ140" i="1"/>
  <c r="CV140" i="1"/>
  <c r="AY27" i="1"/>
  <c r="AY190" i="1"/>
  <c r="AW171" i="1"/>
  <c r="AW173" i="1" s="1"/>
  <c r="AW175" i="1" s="1"/>
  <c r="AW176" i="1" s="1"/>
  <c r="AW178" i="1"/>
  <c r="AW158" i="1"/>
  <c r="AW160" i="1"/>
  <c r="AP27" i="1"/>
  <c r="AP190" i="1"/>
  <c r="BU134" i="1"/>
  <c r="BU163" i="1"/>
  <c r="BU166" i="1" s="1"/>
  <c r="BU168" i="1" s="1"/>
  <c r="BU132" i="1"/>
  <c r="BU66" i="1"/>
  <c r="BU13" i="14"/>
  <c r="BU82" i="1"/>
  <c r="BZ82" i="1"/>
  <c r="K86" i="1"/>
  <c r="P86" i="1"/>
  <c r="F178" i="1"/>
  <c r="F158" i="1"/>
  <c r="N28" i="1"/>
  <c r="S85" i="1"/>
  <c r="N131" i="1"/>
  <c r="N69" i="1"/>
  <c r="N85" i="1"/>
  <c r="N39" i="1"/>
  <c r="AP60" i="7"/>
  <c r="AP62" i="7" s="1"/>
  <c r="AO64" i="7"/>
  <c r="AO63" i="7"/>
  <c r="AO23" i="7"/>
  <c r="AO26" i="7" s="1"/>
  <c r="AO28" i="7" s="1"/>
  <c r="AS66" i="1"/>
  <c r="AS134" i="1"/>
  <c r="AS132" i="1"/>
  <c r="AS163" i="1"/>
  <c r="AS166" i="1" s="1"/>
  <c r="AS168" i="1" s="1"/>
  <c r="AS82" i="1"/>
  <c r="BF17" i="1"/>
  <c r="BE21" i="1"/>
  <c r="AP171" i="1"/>
  <c r="AP173" i="1" s="1"/>
  <c r="AP175" i="1" s="1"/>
  <c r="AP176" i="1" s="1"/>
  <c r="AP178" i="1"/>
  <c r="AP158" i="1"/>
  <c r="AP160" i="1"/>
  <c r="BG15" i="14"/>
  <c r="BL15" i="14"/>
  <c r="BW68" i="66"/>
  <c r="BX68" i="66"/>
  <c r="CC68" i="66"/>
  <c r="BW74" i="1"/>
  <c r="BW13" i="1"/>
  <c r="BH163" i="1"/>
  <c r="BH166" i="1" s="1"/>
  <c r="BH168" i="1" s="1"/>
  <c r="BH82" i="1"/>
  <c r="BH66" i="1"/>
  <c r="BH132" i="1"/>
  <c r="BH13" i="14"/>
  <c r="BH134" i="1"/>
  <c r="BM82" i="1"/>
  <c r="CI39" i="1"/>
  <c r="CI41" i="1" s="1"/>
  <c r="BA1" i="56"/>
  <c r="BA1" i="5"/>
  <c r="BA1" i="59"/>
  <c r="L1" i="33"/>
  <c r="BA86" i="1"/>
  <c r="AQ190" i="1"/>
  <c r="AQ27" i="1"/>
  <c r="AR41" i="1"/>
  <c r="AR139" i="1"/>
  <c r="AN86" i="1"/>
  <c r="AS86" i="1"/>
  <c r="AH131" i="1"/>
  <c r="AH69" i="1"/>
  <c r="AH85" i="1"/>
  <c r="AH28" i="1"/>
  <c r="AH39" i="1"/>
  <c r="AM85" i="1"/>
  <c r="AM143" i="1"/>
  <c r="AJ65" i="7"/>
  <c r="AJ361" i="7"/>
  <c r="CA186" i="1"/>
  <c r="CA167" i="1" s="1"/>
  <c r="CA168" i="1" s="1"/>
  <c r="BY186" i="1"/>
  <c r="BY167" i="1" s="1"/>
  <c r="BY168" i="1" s="1"/>
  <c r="CG186" i="1"/>
  <c r="CB167" i="1"/>
  <c r="CB168" i="1" s="1"/>
  <c r="BX186" i="1"/>
  <c r="BX167" i="1" s="1"/>
  <c r="BX168" i="1" s="1"/>
  <c r="BZ186" i="1"/>
  <c r="BZ167" i="1" s="1"/>
  <c r="BZ168" i="1" s="1"/>
  <c r="CS17" i="1"/>
  <c r="CT17" i="1" s="1"/>
  <c r="CU17" i="1" s="1"/>
  <c r="CW17" i="1" s="1"/>
  <c r="CV17" i="1"/>
  <c r="BC131" i="1"/>
  <c r="BC28" i="1"/>
  <c r="BC69" i="1"/>
  <c r="BC85" i="1"/>
  <c r="BC39" i="1"/>
  <c r="G178" i="1"/>
  <c r="G158" i="1"/>
  <c r="BQ68" i="66"/>
  <c r="BR68" i="66"/>
  <c r="BV65" i="66"/>
  <c r="CG86" i="1"/>
  <c r="CG1" i="5"/>
  <c r="BJ42" i="66"/>
  <c r="AR1" i="33"/>
  <c r="CG1" i="56"/>
  <c r="CG1" i="59"/>
  <c r="W1" i="33"/>
  <c r="BQ86" i="1"/>
  <c r="BL1" i="5"/>
  <c r="BL1" i="59"/>
  <c r="BL1" i="56"/>
  <c r="M178" i="1"/>
  <c r="M158" i="1"/>
  <c r="CY164" i="1"/>
  <c r="CY148" i="1"/>
  <c r="DD145" i="1"/>
  <c r="CY172" i="1"/>
  <c r="AK139" i="1"/>
  <c r="AK143" i="1" s="1"/>
  <c r="AK41" i="1"/>
  <c r="AK23" i="7"/>
  <c r="AK26" i="7" s="1"/>
  <c r="AK28" i="7" s="1"/>
  <c r="AL60" i="7"/>
  <c r="AL62" i="7" s="1"/>
  <c r="AK63" i="7"/>
  <c r="AK64" i="7"/>
  <c r="AZ41" i="1"/>
  <c r="AZ139" i="1"/>
  <c r="AZ143" i="1" s="1"/>
  <c r="AT60" i="7"/>
  <c r="AT62" i="7" s="1"/>
  <c r="AX60" i="7"/>
  <c r="AX62" i="7" s="1"/>
  <c r="BB28" i="1"/>
  <c r="BB131" i="1"/>
  <c r="BB69" i="1"/>
  <c r="BB85" i="1"/>
  <c r="BB39" i="1"/>
  <c r="BW28" i="1"/>
  <c r="BW69" i="1"/>
  <c r="BW131" i="1"/>
  <c r="CB85" i="1"/>
  <c r="BW39" i="1"/>
  <c r="BW85" i="1"/>
  <c r="AF1" i="33"/>
  <c r="BU1" i="59"/>
  <c r="BU1" i="5"/>
  <c r="BU1" i="56"/>
  <c r="BU86" i="1"/>
  <c r="BZ86" i="1"/>
  <c r="AW86" i="1"/>
  <c r="BP72" i="66"/>
  <c r="BJ48" i="66"/>
  <c r="CG15" i="14"/>
  <c r="Y74" i="66"/>
  <c r="Y73" i="66"/>
  <c r="BL27" i="1"/>
  <c r="BL190" i="1"/>
  <c r="CZ145" i="1"/>
  <c r="CU148" i="1"/>
  <c r="CU164" i="1"/>
  <c r="CU172" i="1"/>
  <c r="CV145" i="1"/>
  <c r="BD76" i="1"/>
  <c r="BD84" i="1"/>
  <c r="BD25" i="1"/>
  <c r="BD68" i="1"/>
  <c r="AW27" i="1"/>
  <c r="AW190" i="1"/>
  <c r="AM190" i="1"/>
  <c r="AM27" i="1"/>
  <c r="AJ17" i="7"/>
  <c r="AJ19" i="7" s="1"/>
  <c r="CF39" i="1"/>
  <c r="CF41" i="1" s="1"/>
  <c r="CG37" i="1"/>
  <c r="CG39" i="1" s="1"/>
  <c r="K41" i="1"/>
  <c r="K139" i="1"/>
  <c r="K143" i="1" s="1"/>
  <c r="AZ1" i="59"/>
  <c r="AZ1" i="56"/>
  <c r="AZ1" i="5"/>
  <c r="K1" i="33"/>
  <c r="AZ86" i="1"/>
  <c r="F27" i="1"/>
  <c r="J41" i="1"/>
  <c r="J27" i="1" s="1"/>
  <c r="BU27" i="1"/>
  <c r="BU190" i="1"/>
  <c r="BW190" i="1" s="1"/>
  <c r="CK66" i="59"/>
  <c r="CK39" i="59"/>
  <c r="DA34" i="59"/>
  <c r="DF39" i="56"/>
  <c r="DF186" i="56"/>
  <c r="DE46" i="59"/>
  <c r="DF46" i="59" s="1"/>
  <c r="DF21" i="59"/>
  <c r="CT104" i="1"/>
  <c r="CN69" i="66"/>
  <c r="CO69" i="66"/>
  <c r="CP143" i="56"/>
  <c r="CO66" i="66"/>
  <c r="CN66" i="66"/>
  <c r="CQ110" i="56"/>
  <c r="CP12" i="56"/>
  <c r="CQ12" i="56" s="1"/>
  <c r="CQ18" i="14" s="1"/>
  <c r="CQ134" i="56"/>
  <c r="CT41" i="14"/>
  <c r="CT106" i="56"/>
  <c r="DC76" i="56"/>
  <c r="CL118" i="56"/>
  <c r="CL128" i="56" s="1"/>
  <c r="CQ122" i="56"/>
  <c r="CT114" i="56"/>
  <c r="CQ180" i="56"/>
  <c r="DG180" i="56" s="1"/>
  <c r="DA95" i="56"/>
  <c r="CT103" i="56"/>
  <c r="CT112" i="56"/>
  <c r="CT110" i="56"/>
  <c r="CT109" i="56"/>
  <c r="CT111" i="56"/>
  <c r="CO15" i="5"/>
  <c r="CO37" i="5" s="1"/>
  <c r="CT13" i="5"/>
  <c r="CJ37" i="5"/>
  <c r="CJ16" i="5"/>
  <c r="CL16" i="5" s="1"/>
  <c r="CL18" i="5" s="1"/>
  <c r="CL38" i="5" s="1"/>
  <c r="DA16" i="5"/>
  <c r="CZ13" i="5"/>
  <c r="CU15" i="5"/>
  <c r="CU37" i="5" s="1"/>
  <c r="CL37" i="5"/>
  <c r="CM37" i="5"/>
  <c r="DB16" i="5"/>
  <c r="DF16" i="5" s="1"/>
  <c r="DF14" i="5"/>
  <c r="CW13" i="5"/>
  <c r="CR15" i="5"/>
  <c r="CV13" i="5"/>
  <c r="DC13" i="5"/>
  <c r="DC15" i="5" s="1"/>
  <c r="CX15" i="5"/>
  <c r="CX37" i="5" s="1"/>
  <c r="CX110" i="56"/>
  <c r="AU160" i="1"/>
  <c r="AU178" i="1"/>
  <c r="AU171" i="1"/>
  <c r="AU173" i="1" s="1"/>
  <c r="AU175" i="1" s="1"/>
  <c r="AU176" i="1" s="1"/>
  <c r="AU158" i="1"/>
  <c r="BU171" i="1"/>
  <c r="BU173" i="1" s="1"/>
  <c r="BU175" i="1" s="1"/>
  <c r="BU160" i="1"/>
  <c r="BU178" i="1"/>
  <c r="BU158" i="1"/>
  <c r="AX171" i="1"/>
  <c r="AX173" i="1" s="1"/>
  <c r="AX175" i="1" s="1"/>
  <c r="AX176" i="1" s="1"/>
  <c r="AX178" i="1"/>
  <c r="AX160" i="1"/>
  <c r="AX158" i="1"/>
  <c r="BW139" i="1"/>
  <c r="BW143" i="1" s="1"/>
  <c r="BV143" i="1"/>
  <c r="BI13" i="7"/>
  <c r="BJ11" i="7"/>
  <c r="CR180" i="56"/>
  <c r="CR134" i="56"/>
  <c r="CS122" i="56"/>
  <c r="CT121" i="56"/>
  <c r="CS132" i="56"/>
  <c r="CS133" i="56"/>
  <c r="CT124" i="56"/>
  <c r="CS125" i="56"/>
  <c r="CS138" i="56"/>
  <c r="CS137" i="56"/>
  <c r="CS120" i="56"/>
  <c r="CS128" i="56"/>
  <c r="CS119" i="56"/>
  <c r="CH107" i="1"/>
  <c r="CH125" i="1" s="1"/>
  <c r="CH192" i="1"/>
  <c r="CI99" i="1"/>
  <c r="CR60" i="1"/>
  <c r="CS22" i="1"/>
  <c r="CN47" i="1"/>
  <c r="BP53" i="66"/>
  <c r="BV53" i="66"/>
  <c r="CC53" i="66" s="1"/>
  <c r="CX109" i="56"/>
  <c r="CZ106" i="56"/>
  <c r="CX111" i="56"/>
  <c r="CL25" i="11"/>
  <c r="CN16" i="11"/>
  <c r="DB105" i="1"/>
  <c r="DA105" i="1"/>
  <c r="BR158" i="1"/>
  <c r="BR171" i="1"/>
  <c r="BR173" i="1" s="1"/>
  <c r="BR175" i="1" s="1"/>
  <c r="BR176" i="1" s="1"/>
  <c r="BR160" i="1"/>
  <c r="BR178" i="1"/>
  <c r="BN171" i="1"/>
  <c r="BN173" i="1" s="1"/>
  <c r="BN175" i="1" s="1"/>
  <c r="BN176" i="1" s="1"/>
  <c r="BN178" i="1"/>
  <c r="BN160" i="1"/>
  <c r="BN158" i="1"/>
  <c r="DC31" i="1"/>
  <c r="CR35" i="1"/>
  <c r="CP36" i="1"/>
  <c r="CQ36" i="1" s="1"/>
  <c r="CQ35" i="1"/>
  <c r="CP11" i="11"/>
  <c r="CP25" i="11" s="1"/>
  <c r="CN24" i="11"/>
  <c r="CN11" i="11"/>
  <c r="CM25" i="11"/>
  <c r="CM18" i="11"/>
  <c r="CS9" i="11"/>
  <c r="CS23" i="11" s="1"/>
  <c r="CX7" i="11"/>
  <c r="CX22" i="11" s="1"/>
  <c r="CX21" i="11"/>
  <c r="CW21" i="11"/>
  <c r="CW7" i="11"/>
  <c r="CW22" i="11" s="1"/>
  <c r="DC63" i="56"/>
  <c r="DC187" i="56"/>
  <c r="DC45" i="56"/>
  <c r="DC6" i="11"/>
  <c r="DC62" i="56"/>
  <c r="CZ22" i="11"/>
  <c r="DC61" i="56"/>
  <c r="CR9" i="11"/>
  <c r="CU9" i="11"/>
  <c r="CU23" i="11" s="1"/>
  <c r="DB63" i="56"/>
  <c r="DB45" i="56"/>
  <c r="DB62" i="56"/>
  <c r="DB6" i="11"/>
  <c r="DB187" i="56"/>
  <c r="CZ9" i="11"/>
  <c r="DE7" i="11"/>
  <c r="DE22" i="11" s="1"/>
  <c r="DE21" i="11"/>
  <c r="CO24" i="11"/>
  <c r="CQ10" i="11"/>
  <c r="CV6" i="11"/>
  <c r="CV21" i="11" s="1"/>
  <c r="CT7" i="11"/>
  <c r="CT9" i="11" s="1"/>
  <c r="CT21" i="11"/>
  <c r="CV63" i="56"/>
  <c r="CV62" i="56"/>
  <c r="CV45" i="56"/>
  <c r="CV187" i="56"/>
  <c r="DH187" i="56" s="1"/>
  <c r="CQ7" i="11"/>
  <c r="CO22" i="11"/>
  <c r="DD61" i="56"/>
  <c r="DF21" i="56"/>
  <c r="DF24" i="56" s="1"/>
  <c r="DA61" i="56"/>
  <c r="DA42" i="56"/>
  <c r="CO9" i="11"/>
  <c r="CY45" i="56"/>
  <c r="CY62" i="56"/>
  <c r="CY6" i="11"/>
  <c r="CY187" i="56"/>
  <c r="CY63" i="56"/>
  <c r="DF152" i="1"/>
  <c r="CS48" i="1"/>
  <c r="CR46" i="1"/>
  <c r="CX108" i="56"/>
  <c r="CX103" i="56"/>
  <c r="CX114" i="56"/>
  <c r="CX106" i="56"/>
  <c r="CX112" i="56"/>
  <c r="CQ111" i="56"/>
  <c r="BC68" i="59"/>
  <c r="BC27" i="59"/>
  <c r="CG67" i="59"/>
  <c r="CG26" i="59"/>
  <c r="CG33" i="14"/>
  <c r="CC39" i="59"/>
  <c r="CG37" i="59"/>
  <c r="CC66" i="59"/>
  <c r="CC32" i="14"/>
  <c r="DF67" i="56"/>
  <c r="DF95" i="56" s="1"/>
  <c r="CR111" i="56"/>
  <c r="CL13" i="59"/>
  <c r="CQ11" i="59"/>
  <c r="CR38" i="59"/>
  <c r="CU112" i="56"/>
  <c r="CU109" i="56"/>
  <c r="CU103" i="56"/>
  <c r="CU41" i="14"/>
  <c r="CU114" i="56"/>
  <c r="CU106" i="56"/>
  <c r="CU108" i="56"/>
  <c r="CU111" i="56"/>
  <c r="DC106" i="56"/>
  <c r="DC110" i="56"/>
  <c r="DC108" i="56"/>
  <c r="DC41" i="14"/>
  <c r="DC112" i="56"/>
  <c r="DC109" i="56"/>
  <c r="DC111" i="56"/>
  <c r="DC114" i="56"/>
  <c r="DC103" i="56"/>
  <c r="CW77" i="56"/>
  <c r="DA71" i="56"/>
  <c r="DE76" i="56"/>
  <c r="CK32" i="14"/>
  <c r="CJ33" i="14"/>
  <c r="CL38" i="59"/>
  <c r="CM143" i="56"/>
  <c r="CQ139" i="56"/>
  <c r="CQ143" i="56" s="1"/>
  <c r="CQ114" i="56"/>
  <c r="CQ109" i="56"/>
  <c r="CQ41" i="14"/>
  <c r="CQ103" i="56"/>
  <c r="CQ112" i="56"/>
  <c r="CQ106" i="56"/>
  <c r="CQ108" i="56"/>
  <c r="CV77" i="56"/>
  <c r="CV110" i="56" s="1"/>
  <c r="CR114" i="56"/>
  <c r="CR112" i="56"/>
  <c r="CR103" i="56"/>
  <c r="CR41" i="14"/>
  <c r="CR109" i="56"/>
  <c r="CR106" i="56"/>
  <c r="CR108" i="56"/>
  <c r="DE71" i="56"/>
  <c r="DE77" i="56" s="1"/>
  <c r="CL18" i="14"/>
  <c r="CL19" i="14" s="1"/>
  <c r="CL155" i="56"/>
  <c r="CL169" i="56" s="1"/>
  <c r="CL33" i="56"/>
  <c r="CL153" i="56"/>
  <c r="CL167" i="56" s="1"/>
  <c r="CL154" i="56"/>
  <c r="CL168" i="56" s="1"/>
  <c r="CN32" i="14"/>
  <c r="CN39" i="59"/>
  <c r="CN27" i="59" s="1"/>
  <c r="CM32" i="14"/>
  <c r="CM39" i="59"/>
  <c r="CM27" i="59" s="1"/>
  <c r="CM33" i="14"/>
  <c r="CQ38" i="59"/>
  <c r="DA76" i="56"/>
  <c r="DB71" i="56"/>
  <c r="DF69" i="56"/>
  <c r="DB76" i="56"/>
  <c r="DD76" i="56"/>
  <c r="CO155" i="56"/>
  <c r="CO169" i="56" s="1"/>
  <c r="CO18" i="14"/>
  <c r="CO19" i="14" s="1"/>
  <c r="CO33" i="56"/>
  <c r="CO146" i="56"/>
  <c r="CO147" i="56" s="1"/>
  <c r="CR139" i="56"/>
  <c r="CZ110" i="56"/>
  <c r="CZ111" i="56"/>
  <c r="DD71" i="56"/>
  <c r="DD77" i="56" s="1"/>
  <c r="CP13" i="59"/>
  <c r="CP37" i="59"/>
  <c r="CO37" i="59"/>
  <c r="CO13" i="59"/>
  <c r="DA97" i="56"/>
  <c r="CZ109" i="56"/>
  <c r="CZ114" i="56"/>
  <c r="CZ112" i="56"/>
  <c r="CZ103" i="56"/>
  <c r="CZ41" i="14"/>
  <c r="CJ32" i="14"/>
  <c r="CL37" i="59"/>
  <c r="CY77" i="56"/>
  <c r="CQ124" i="56"/>
  <c r="CZ108" i="56"/>
  <c r="BH26" i="59" l="1"/>
  <c r="BH33" i="14"/>
  <c r="BH67" i="59"/>
  <c r="AX68" i="59"/>
  <c r="AX27" i="59"/>
  <c r="BL68" i="59"/>
  <c r="BL27" i="59"/>
  <c r="BH25" i="59"/>
  <c r="S18" i="33" s="1"/>
  <c r="BH66" i="59"/>
  <c r="BH32" i="14"/>
  <c r="BH39" i="59"/>
  <c r="BW26" i="59"/>
  <c r="BW67" i="59"/>
  <c r="BW33" i="14"/>
  <c r="BW32" i="14"/>
  <c r="BW66" i="59"/>
  <c r="BW25" i="59"/>
  <c r="BW39" i="59"/>
  <c r="BM33" i="14"/>
  <c r="BM26" i="59"/>
  <c r="BM67" i="59"/>
  <c r="BM39" i="59"/>
  <c r="BM25" i="59"/>
  <c r="X18" i="33" s="1"/>
  <c r="BM66" i="59"/>
  <c r="BM32" i="14"/>
  <c r="BD68" i="59"/>
  <c r="BD27" i="59"/>
  <c r="BV27" i="59"/>
  <c r="BV68" i="59"/>
  <c r="Q27" i="1"/>
  <c r="T41" i="1"/>
  <c r="T27" i="1" s="1"/>
  <c r="AC41" i="1"/>
  <c r="AC27" i="1" s="1"/>
  <c r="AC139" i="1"/>
  <c r="Q143" i="1"/>
  <c r="T139" i="1"/>
  <c r="T143" i="1" s="1"/>
  <c r="AK65" i="7"/>
  <c r="AK361" i="7"/>
  <c r="AH139" i="1"/>
  <c r="AH41" i="1"/>
  <c r="AH27" i="1" s="1"/>
  <c r="K27" i="1"/>
  <c r="CV172" i="1"/>
  <c r="CV164" i="1"/>
  <c r="CV148" i="1"/>
  <c r="DE145" i="1"/>
  <c r="CZ172" i="1"/>
  <c r="CZ148" i="1"/>
  <c r="CZ164" i="1"/>
  <c r="DA145" i="1"/>
  <c r="BS29" i="1"/>
  <c r="BW1" i="56"/>
  <c r="BW1" i="59"/>
  <c r="BW1" i="5"/>
  <c r="AH1" i="33"/>
  <c r="CB86" i="1"/>
  <c r="BW86" i="1"/>
  <c r="AZ158" i="1"/>
  <c r="AZ160" i="1"/>
  <c r="AZ178" i="1"/>
  <c r="AZ171" i="1"/>
  <c r="AZ173" i="1" s="1"/>
  <c r="AZ175" i="1" s="1"/>
  <c r="AZ176" i="1" s="1"/>
  <c r="AL23" i="7"/>
  <c r="AL26" i="7" s="1"/>
  <c r="AL28" i="7" s="1"/>
  <c r="AM60" i="7"/>
  <c r="AM62" i="7" s="1"/>
  <c r="AL64" i="7"/>
  <c r="AL63" i="7"/>
  <c r="AM171" i="1"/>
  <c r="AM173" i="1" s="1"/>
  <c r="AM175" i="1" s="1"/>
  <c r="AM176" i="1" s="1"/>
  <c r="AM178" i="1"/>
  <c r="AM158" i="1"/>
  <c r="AM160" i="1"/>
  <c r="AH86" i="1"/>
  <c r="AM86" i="1"/>
  <c r="CI27" i="1"/>
  <c r="CI190" i="1"/>
  <c r="BE76" i="1"/>
  <c r="BE84" i="1"/>
  <c r="BE25" i="1"/>
  <c r="BE68" i="1"/>
  <c r="BJ84" i="1"/>
  <c r="AO361" i="7"/>
  <c r="AO65" i="7"/>
  <c r="AO17" i="7" s="1"/>
  <c r="S86" i="1"/>
  <c r="N86" i="1"/>
  <c r="DE140" i="1"/>
  <c r="DF140" i="1" s="1"/>
  <c r="DA140" i="1"/>
  <c r="CK37" i="1"/>
  <c r="CL36" i="1"/>
  <c r="AT64" i="7"/>
  <c r="AT63" i="7"/>
  <c r="AU60" i="7"/>
  <c r="AU62" i="7" s="1"/>
  <c r="AT23" i="7"/>
  <c r="AT26" i="7" s="1"/>
  <c r="AT28" i="7" s="1"/>
  <c r="CC65" i="66"/>
  <c r="BX65" i="66"/>
  <c r="BW65" i="66"/>
  <c r="BC1" i="59"/>
  <c r="BC1" i="56"/>
  <c r="BC1" i="5"/>
  <c r="N1" i="33"/>
  <c r="BC86" i="1"/>
  <c r="AN139" i="1"/>
  <c r="AN143" i="1" s="1"/>
  <c r="AR27" i="1"/>
  <c r="AR190" i="1"/>
  <c r="BH15" i="14"/>
  <c r="BM15" i="14"/>
  <c r="N139" i="1"/>
  <c r="N41" i="1"/>
  <c r="N27" i="1" s="1"/>
  <c r="BU15" i="14"/>
  <c r="BZ15" i="14"/>
  <c r="W158" i="1"/>
  <c r="W171" i="1"/>
  <c r="W173" i="1" s="1"/>
  <c r="W175" i="1" s="1"/>
  <c r="W176" i="1" s="1"/>
  <c r="W160" i="1"/>
  <c r="W178" i="1"/>
  <c r="CB15" i="14"/>
  <c r="BW15" i="14"/>
  <c r="BD69" i="1"/>
  <c r="BD28" i="1"/>
  <c r="BD85" i="1"/>
  <c r="BD131" i="1"/>
  <c r="BD39" i="1"/>
  <c r="BB41" i="1"/>
  <c r="BC41" i="1" s="1"/>
  <c r="BC27" i="1" s="1"/>
  <c r="BB139" i="1"/>
  <c r="BB86" i="1"/>
  <c r="M1" i="33"/>
  <c r="BB1" i="59"/>
  <c r="BB1" i="56"/>
  <c r="BB1" i="5"/>
  <c r="AZ190" i="1"/>
  <c r="AZ27" i="1"/>
  <c r="BG17" i="1"/>
  <c r="BG21" i="1" s="1"/>
  <c r="BF21" i="1"/>
  <c r="AS41" i="1"/>
  <c r="AS27" i="1" s="1"/>
  <c r="BA190" i="1"/>
  <c r="BA27" i="1"/>
  <c r="J178" i="1"/>
  <c r="J158" i="1"/>
  <c r="K178" i="1"/>
  <c r="K158" i="1"/>
  <c r="AK171" i="1"/>
  <c r="AK173" i="1" s="1"/>
  <c r="AK175" i="1" s="1"/>
  <c r="AK176" i="1" s="1"/>
  <c r="AK178" i="1"/>
  <c r="AK158" i="1"/>
  <c r="AK160" i="1"/>
  <c r="CF27" i="1"/>
  <c r="CG27" i="1" s="1"/>
  <c r="CF190" i="1"/>
  <c r="CG190" i="1" s="1"/>
  <c r="CG41" i="1"/>
  <c r="BC60" i="7"/>
  <c r="BC62" i="7" s="1"/>
  <c r="AY60" i="7"/>
  <c r="AY62" i="7" s="1"/>
  <c r="AK17" i="7"/>
  <c r="AK27" i="1"/>
  <c r="AK190" i="1"/>
  <c r="AN190" i="1" s="1"/>
  <c r="DD164" i="1"/>
  <c r="DD148" i="1"/>
  <c r="DD172" i="1"/>
  <c r="CX17" i="1"/>
  <c r="CY17" i="1" s="1"/>
  <c r="CZ17" i="1" s="1"/>
  <c r="DB17" i="1" s="1"/>
  <c r="CC186" i="1"/>
  <c r="CC167" i="1" s="1"/>
  <c r="CC168" i="1" s="1"/>
  <c r="CL186" i="1"/>
  <c r="CE186" i="1"/>
  <c r="CE167" i="1" s="1"/>
  <c r="CE168" i="1" s="1"/>
  <c r="CD186" i="1"/>
  <c r="CD167" i="1" s="1"/>
  <c r="CD168" i="1" s="1"/>
  <c r="CF186" i="1"/>
  <c r="CF167" i="1" s="1"/>
  <c r="CF168" i="1" s="1"/>
  <c r="CG167" i="1"/>
  <c r="CG168" i="1" s="1"/>
  <c r="AR143" i="1"/>
  <c r="AS139" i="1"/>
  <c r="AS143" i="1" s="1"/>
  <c r="AQ60" i="7"/>
  <c r="AQ62" i="7" s="1"/>
  <c r="AP64" i="7"/>
  <c r="AP63" i="7"/>
  <c r="AP23" i="7"/>
  <c r="AP26" i="7" s="1"/>
  <c r="AP28" i="7" s="1"/>
  <c r="AS190" i="1"/>
  <c r="BA160" i="1"/>
  <c r="BA158" i="1"/>
  <c r="BA178" i="1"/>
  <c r="BA171" i="1"/>
  <c r="BA173" i="1" s="1"/>
  <c r="BA175" i="1" s="1"/>
  <c r="BA176" i="1" s="1"/>
  <c r="H158" i="1"/>
  <c r="H178" i="1"/>
  <c r="CK68" i="59"/>
  <c r="CK27" i="59"/>
  <c r="DF34" i="59"/>
  <c r="CU104" i="1"/>
  <c r="CP155" i="56"/>
  <c r="CP169" i="56" s="1"/>
  <c r="CP146" i="56"/>
  <c r="CP147" i="56" s="1"/>
  <c r="CQ146" i="56"/>
  <c r="CQ147" i="56" s="1"/>
  <c r="CQ154" i="56" s="1"/>
  <c r="CQ168" i="56" s="1"/>
  <c r="CP18" i="14"/>
  <c r="CP19" i="14" s="1"/>
  <c r="CP33" i="56"/>
  <c r="CS46" i="1"/>
  <c r="CL119" i="56"/>
  <c r="CQ15" i="5"/>
  <c r="CQ18" i="5" s="1"/>
  <c r="CQ38" i="5" s="1"/>
  <c r="DC37" i="5"/>
  <c r="CT15" i="5"/>
  <c r="CT37" i="5" s="1"/>
  <c r="CY13" i="5"/>
  <c r="DB13" i="5"/>
  <c r="CW15" i="5"/>
  <c r="CZ15" i="5"/>
  <c r="CZ37" i="5" s="1"/>
  <c r="DE13" i="5"/>
  <c r="DE15" i="5" s="1"/>
  <c r="DE37" i="5" s="1"/>
  <c r="CR37" i="5"/>
  <c r="CV15" i="5"/>
  <c r="CQ37" i="5"/>
  <c r="BW160" i="1"/>
  <c r="BW171" i="1"/>
  <c r="BW173" i="1" s="1"/>
  <c r="BW175" i="1" s="1"/>
  <c r="BW158" i="1"/>
  <c r="BW178" i="1"/>
  <c r="BV160" i="1"/>
  <c r="BV171" i="1"/>
  <c r="BV173" i="1" s="1"/>
  <c r="BV175" i="1" s="1"/>
  <c r="BV178" i="1"/>
  <c r="BV158" i="1"/>
  <c r="BK11" i="7"/>
  <c r="BJ13" i="7"/>
  <c r="CV111" i="56"/>
  <c r="CU121" i="56"/>
  <c r="CT122" i="56"/>
  <c r="CT133" i="56"/>
  <c r="CT181" i="56" s="1"/>
  <c r="CT12" i="59" s="1"/>
  <c r="CT38" i="59" s="1"/>
  <c r="CT33" i="14" s="1"/>
  <c r="CT132" i="56"/>
  <c r="CS181" i="56"/>
  <c r="CS180" i="56"/>
  <c r="CS134" i="56"/>
  <c r="CR11" i="59"/>
  <c r="CR12" i="56"/>
  <c r="CU124" i="56"/>
  <c r="CT125" i="56"/>
  <c r="CT137" i="56"/>
  <c r="CT118" i="56"/>
  <c r="CT138" i="56"/>
  <c r="CS139" i="56"/>
  <c r="CJ99" i="1"/>
  <c r="CK99" i="1" s="1"/>
  <c r="CK107" i="1" s="1"/>
  <c r="CK125" i="1" s="1"/>
  <c r="CI192" i="1"/>
  <c r="CI107" i="1"/>
  <c r="CI125" i="1" s="1"/>
  <c r="CT22" i="1"/>
  <c r="CS60" i="1"/>
  <c r="CO47" i="1"/>
  <c r="CW110" i="56"/>
  <c r="DD108" i="56"/>
  <c r="DE108" i="56"/>
  <c r="CP18" i="11"/>
  <c r="CP37" i="1"/>
  <c r="CQ37" i="1" s="1"/>
  <c r="CS35" i="1"/>
  <c r="CR36" i="1"/>
  <c r="CR37" i="1" s="1"/>
  <c r="DD31" i="1"/>
  <c r="DC105" i="1"/>
  <c r="CS16" i="11"/>
  <c r="CN18" i="11"/>
  <c r="CN25" i="11"/>
  <c r="CW9" i="11"/>
  <c r="CW23" i="11" s="1"/>
  <c r="CX9" i="11"/>
  <c r="CX16" i="11" s="1"/>
  <c r="CR23" i="11"/>
  <c r="CR16" i="11"/>
  <c r="DB21" i="11"/>
  <c r="DB7" i="11"/>
  <c r="DB22" i="11" s="1"/>
  <c r="DC21" i="11"/>
  <c r="DC7" i="11"/>
  <c r="DC22" i="11" s="1"/>
  <c r="CU16" i="11"/>
  <c r="DE9" i="11"/>
  <c r="CZ23" i="11"/>
  <c r="CZ16" i="11"/>
  <c r="CO16" i="11"/>
  <c r="CO11" i="11"/>
  <c r="CO23" i="11"/>
  <c r="CQ9" i="11"/>
  <c r="DD45" i="56"/>
  <c r="DD187" i="56"/>
  <c r="DD6" i="11"/>
  <c r="DD62" i="56"/>
  <c r="DD63" i="56"/>
  <c r="CQ22" i="11"/>
  <c r="CQ15" i="11"/>
  <c r="CV7" i="11"/>
  <c r="CT22" i="11"/>
  <c r="CQ24" i="11"/>
  <c r="CL41" i="5"/>
  <c r="CQ17" i="11"/>
  <c r="CY7" i="11"/>
  <c r="CY9" i="11" s="1"/>
  <c r="DA6" i="11"/>
  <c r="DA21" i="11" s="1"/>
  <c r="CY21" i="11"/>
  <c r="DF42" i="56"/>
  <c r="DF61" i="56"/>
  <c r="DA62" i="56"/>
  <c r="DA45" i="56"/>
  <c r="DA187" i="56"/>
  <c r="DA63" i="56"/>
  <c r="CT16" i="11"/>
  <c r="CT23" i="11"/>
  <c r="CV9" i="11"/>
  <c r="CT48" i="1"/>
  <c r="CQ33" i="56"/>
  <c r="CQ155" i="56"/>
  <c r="CQ169" i="56" s="1"/>
  <c r="CQ19" i="14"/>
  <c r="CG25" i="59"/>
  <c r="CG66" i="59"/>
  <c r="CG39" i="59"/>
  <c r="CG32" i="14"/>
  <c r="CC68" i="59"/>
  <c r="CC27" i="59"/>
  <c r="CQ13" i="59"/>
  <c r="CW111" i="56"/>
  <c r="DE114" i="56"/>
  <c r="DE103" i="56"/>
  <c r="DE41" i="14"/>
  <c r="DE112" i="56"/>
  <c r="DE109" i="56"/>
  <c r="CR33" i="14"/>
  <c r="DD110" i="56"/>
  <c r="DD111" i="56"/>
  <c r="CQ33" i="14"/>
  <c r="CQ26" i="59"/>
  <c r="DE110" i="56"/>
  <c r="DE111" i="56"/>
  <c r="CQ125" i="56"/>
  <c r="CQ118" i="56"/>
  <c r="CY110" i="56"/>
  <c r="CY109" i="56"/>
  <c r="CY41" i="14"/>
  <c r="CY114" i="56"/>
  <c r="CY103" i="56"/>
  <c r="CY108" i="56"/>
  <c r="CY112" i="56"/>
  <c r="CY106" i="56"/>
  <c r="CP39" i="59"/>
  <c r="CP32" i="14"/>
  <c r="DF76" i="56"/>
  <c r="CL26" i="59"/>
  <c r="CL33" i="14"/>
  <c r="CL25" i="59"/>
  <c r="CL32" i="14"/>
  <c r="CL39" i="59"/>
  <c r="CL27" i="59" s="1"/>
  <c r="DF71" i="56"/>
  <c r="DB77" i="56"/>
  <c r="CO39" i="59"/>
  <c r="CO27" i="59" s="1"/>
  <c r="CO32" i="14"/>
  <c r="CR143" i="56"/>
  <c r="DD106" i="56"/>
  <c r="DD112" i="56"/>
  <c r="DD41" i="14"/>
  <c r="DD114" i="56"/>
  <c r="DD103" i="56"/>
  <c r="DD109" i="56"/>
  <c r="DF97" i="56"/>
  <c r="CQ37" i="59"/>
  <c r="CY111" i="56"/>
  <c r="CV114" i="56"/>
  <c r="CV41" i="14"/>
  <c r="CV112" i="56"/>
  <c r="CV103" i="56"/>
  <c r="CV109" i="56"/>
  <c r="CV106" i="56"/>
  <c r="CV108" i="56"/>
  <c r="DE106" i="56"/>
  <c r="CW114" i="56"/>
  <c r="CW103" i="56"/>
  <c r="CW106" i="56"/>
  <c r="CW109" i="56"/>
  <c r="DA77" i="56"/>
  <c r="CW112" i="56"/>
  <c r="CW41" i="14"/>
  <c r="CW108" i="56"/>
  <c r="BH68" i="59" l="1"/>
  <c r="BH27" i="59"/>
  <c r="BM68" i="59"/>
  <c r="BM27" i="59"/>
  <c r="BW68" i="59"/>
  <c r="BW27" i="59"/>
  <c r="AD139" i="1"/>
  <c r="AD143" i="1" s="1"/>
  <c r="AC143" i="1"/>
  <c r="T178" i="1"/>
  <c r="T158" i="1"/>
  <c r="T160" i="1"/>
  <c r="Q158" i="1"/>
  <c r="Q178" i="1"/>
  <c r="Q160" i="1"/>
  <c r="AO19" i="7"/>
  <c r="AR160" i="1"/>
  <c r="AR178" i="1"/>
  <c r="AR158" i="1"/>
  <c r="AR171" i="1"/>
  <c r="AR173" i="1" s="1"/>
  <c r="AR175" i="1" s="1"/>
  <c r="AR176" i="1" s="1"/>
  <c r="DC17" i="1"/>
  <c r="DD17" i="1" s="1"/>
  <c r="DE17" i="1" s="1"/>
  <c r="BD60" i="7"/>
  <c r="BD62" i="7" s="1"/>
  <c r="BH60" i="7"/>
  <c r="BH62" i="7" s="1"/>
  <c r="BG84" i="1"/>
  <c r="BG68" i="1"/>
  <c r="BL84" i="1"/>
  <c r="BB143" i="1"/>
  <c r="BC139" i="1"/>
  <c r="BC143" i="1" s="1"/>
  <c r="BH17" i="1"/>
  <c r="AQ23" i="7"/>
  <c r="AQ26" i="7" s="1"/>
  <c r="AQ28" i="7" s="1"/>
  <c r="AQ63" i="7"/>
  <c r="AQ64" i="7"/>
  <c r="AR60" i="7"/>
  <c r="AR62" i="7" s="1"/>
  <c r="AK19" i="7"/>
  <c r="BD139" i="1"/>
  <c r="BD143" i="1" s="1"/>
  <c r="BD41" i="1"/>
  <c r="DA172" i="1"/>
  <c r="DA164" i="1"/>
  <c r="DA148" i="1"/>
  <c r="DE164" i="1"/>
  <c r="DE172" i="1"/>
  <c r="DE148" i="1"/>
  <c r="DF145" i="1"/>
  <c r="O41" i="1"/>
  <c r="O27" i="1" s="1"/>
  <c r="N143" i="1"/>
  <c r="O139" i="1"/>
  <c r="O143" i="1" s="1"/>
  <c r="AT361" i="7"/>
  <c r="AT65" i="7"/>
  <c r="AT17" i="7" s="1"/>
  <c r="AT19" i="7" s="1"/>
  <c r="BE85" i="1"/>
  <c r="BE28" i="1"/>
  <c r="BE69" i="1"/>
  <c r="BE131" i="1"/>
  <c r="BE39" i="1"/>
  <c r="BJ85" i="1"/>
  <c r="AS160" i="1"/>
  <c r="AS178" i="1"/>
  <c r="AS158" i="1"/>
  <c r="AS171" i="1"/>
  <c r="AS173" i="1" s="1"/>
  <c r="AS175" i="1" s="1"/>
  <c r="AS176" i="1" s="1"/>
  <c r="DA17" i="1"/>
  <c r="AZ60" i="7"/>
  <c r="AZ62" i="7" s="1"/>
  <c r="AY23" i="7"/>
  <c r="AY26" i="7" s="1"/>
  <c r="AY28" i="7" s="1"/>
  <c r="AY64" i="7"/>
  <c r="AY63" i="7"/>
  <c r="BF68" i="1"/>
  <c r="BF76" i="1"/>
  <c r="BK84" i="1"/>
  <c r="BF25" i="1"/>
  <c r="BF84" i="1"/>
  <c r="AU23" i="7"/>
  <c r="AU26" i="7" s="1"/>
  <c r="AU28" i="7" s="1"/>
  <c r="AV60" i="7"/>
  <c r="AV62" i="7" s="1"/>
  <c r="AU64" i="7"/>
  <c r="AU63" i="7"/>
  <c r="CK39" i="1"/>
  <c r="CK41" i="1" s="1"/>
  <c r="CK27" i="1" s="1"/>
  <c r="CL37" i="1"/>
  <c r="AL361" i="7"/>
  <c r="AL65" i="7"/>
  <c r="AL17" i="7" s="1"/>
  <c r="AL19" i="7" s="1"/>
  <c r="AP361" i="7"/>
  <c r="AP65" i="7"/>
  <c r="AP17" i="7" s="1"/>
  <c r="AP19" i="7" s="1"/>
  <c r="CQ186" i="1"/>
  <c r="CK186" i="1"/>
  <c r="CH186" i="1"/>
  <c r="CH167" i="1" s="1"/>
  <c r="CH168" i="1" s="1"/>
  <c r="CJ186" i="1"/>
  <c r="CJ167" i="1" s="1"/>
  <c r="CJ168" i="1" s="1"/>
  <c r="BB190" i="1"/>
  <c r="BC190" i="1" s="1"/>
  <c r="BB27" i="1"/>
  <c r="BD86" i="1"/>
  <c r="BD1" i="56"/>
  <c r="BD1" i="59"/>
  <c r="BD1" i="5"/>
  <c r="O1" i="33"/>
  <c r="AN158" i="1"/>
  <c r="AN160" i="1"/>
  <c r="AN171" i="1"/>
  <c r="AN173" i="1" s="1"/>
  <c r="AN175" i="1" s="1"/>
  <c r="AN176" i="1" s="1"/>
  <c r="AN178" i="1"/>
  <c r="AM64" i="7"/>
  <c r="AN64" i="7" s="1"/>
  <c r="AM63" i="7"/>
  <c r="AM23" i="7"/>
  <c r="AI139" i="1"/>
  <c r="AI143" i="1" s="1"/>
  <c r="AH143" i="1"/>
  <c r="CQ153" i="56"/>
  <c r="CQ167" i="56" s="1"/>
  <c r="CP27" i="59"/>
  <c r="CW104" i="1"/>
  <c r="CX104" i="1" s="1"/>
  <c r="CY104" i="1" s="1"/>
  <c r="CZ104" i="1" s="1"/>
  <c r="CV104" i="1"/>
  <c r="CT46" i="1"/>
  <c r="DD13" i="5"/>
  <c r="DD15" i="5" s="1"/>
  <c r="CY15" i="5"/>
  <c r="CY37" i="5" s="1"/>
  <c r="DA13" i="5"/>
  <c r="DB15" i="5"/>
  <c r="DF13" i="5"/>
  <c r="CV37" i="5"/>
  <c r="CV18" i="5"/>
  <c r="CV38" i="5" s="1"/>
  <c r="CW37" i="5"/>
  <c r="BK13" i="7"/>
  <c r="BL11" i="7"/>
  <c r="CS143" i="56"/>
  <c r="CR37" i="59"/>
  <c r="CR13" i="59"/>
  <c r="CS12" i="59"/>
  <c r="CW121" i="56"/>
  <c r="CU133" i="56"/>
  <c r="CU181" i="56" s="1"/>
  <c r="CU12" i="59" s="1"/>
  <c r="CU38" i="59" s="1"/>
  <c r="CU33" i="14" s="1"/>
  <c r="CU122" i="56"/>
  <c r="CU132" i="56"/>
  <c r="CV132" i="56" s="1"/>
  <c r="CT134" i="56"/>
  <c r="CT180" i="56"/>
  <c r="CR33" i="56"/>
  <c r="CR146" i="56"/>
  <c r="CR147" i="56" s="1"/>
  <c r="CR18" i="14"/>
  <c r="CR19" i="14" s="1"/>
  <c r="CR155" i="56"/>
  <c r="CR169" i="56" s="1"/>
  <c r="CS12" i="56"/>
  <c r="CS11" i="59"/>
  <c r="CU125" i="56"/>
  <c r="CW124" i="56"/>
  <c r="CU118" i="56"/>
  <c r="CU137" i="56"/>
  <c r="CU138" i="56"/>
  <c r="CV138" i="56" s="1"/>
  <c r="CT120" i="56"/>
  <c r="CT119" i="56"/>
  <c r="CT128" i="56"/>
  <c r="CT139" i="56"/>
  <c r="CJ107" i="1"/>
  <c r="CT60" i="1"/>
  <c r="CU22" i="1"/>
  <c r="CP47" i="1"/>
  <c r="DA110" i="56"/>
  <c r="DB110" i="56"/>
  <c r="CW16" i="11"/>
  <c r="CT35" i="1"/>
  <c r="CS36" i="1"/>
  <c r="CS37" i="1" s="1"/>
  <c r="DD105" i="1"/>
  <c r="DE31" i="1"/>
  <c r="DF31" i="1" s="1"/>
  <c r="CX23" i="11"/>
  <c r="DB9" i="11"/>
  <c r="DB23" i="11" s="1"/>
  <c r="DC9" i="11"/>
  <c r="DE16" i="11"/>
  <c r="DE23" i="11"/>
  <c r="DA9" i="11"/>
  <c r="CY23" i="11"/>
  <c r="CY16" i="11"/>
  <c r="CO25" i="11"/>
  <c r="CO18" i="11"/>
  <c r="CQ11" i="11"/>
  <c r="DD7" i="11"/>
  <c r="DD21" i="11"/>
  <c r="DF6" i="11"/>
  <c r="DF21" i="11" s="1"/>
  <c r="CV16" i="11"/>
  <c r="CV23" i="11"/>
  <c r="CY22" i="11"/>
  <c r="DA7" i="11"/>
  <c r="DF45" i="56"/>
  <c r="DF62" i="56"/>
  <c r="DF187" i="56"/>
  <c r="DF63" i="56"/>
  <c r="CR10" i="11"/>
  <c r="CV22" i="11"/>
  <c r="CV15" i="11"/>
  <c r="CQ23" i="11"/>
  <c r="CQ16" i="11"/>
  <c r="CU48" i="1"/>
  <c r="CG27" i="59"/>
  <c r="CG68" i="59"/>
  <c r="DB111" i="56"/>
  <c r="DA106" i="56"/>
  <c r="DA109" i="56"/>
  <c r="DA103" i="56"/>
  <c r="DA114" i="56"/>
  <c r="DA41" i="14"/>
  <c r="DA112" i="56"/>
  <c r="DA108" i="56"/>
  <c r="CQ32" i="14"/>
  <c r="CQ25" i="59"/>
  <c r="CQ39" i="59"/>
  <c r="CQ27" i="59" s="1"/>
  <c r="DB106" i="56"/>
  <c r="DB112" i="56"/>
  <c r="DB103" i="56"/>
  <c r="DB114" i="56"/>
  <c r="DF77" i="56"/>
  <c r="DB109" i="56"/>
  <c r="DB41" i="14"/>
  <c r="DB108" i="56"/>
  <c r="DA111" i="56"/>
  <c r="CQ119" i="56"/>
  <c r="CQ128" i="56"/>
  <c r="DF17" i="1" l="1"/>
  <c r="AC158" i="1"/>
  <c r="AC178" i="1"/>
  <c r="AC171" i="1"/>
  <c r="AC173" i="1" s="1"/>
  <c r="AC175" i="1" s="1"/>
  <c r="AC176" i="1" s="1"/>
  <c r="AC160" i="1"/>
  <c r="AD158" i="1"/>
  <c r="AD160" i="1"/>
  <c r="AD171" i="1"/>
  <c r="AD173" i="1" s="1"/>
  <c r="AD175" i="1" s="1"/>
  <c r="AD176" i="1" s="1"/>
  <c r="AD178" i="1"/>
  <c r="BA60" i="7"/>
  <c r="AZ63" i="7"/>
  <c r="AZ23" i="7"/>
  <c r="AZ26" i="7" s="1"/>
  <c r="AZ28" i="7" s="1"/>
  <c r="AZ64" i="7"/>
  <c r="BD27" i="1"/>
  <c r="BD190" i="1"/>
  <c r="AR64" i="7"/>
  <c r="AR63" i="7"/>
  <c r="AR23" i="7"/>
  <c r="BI17" i="1"/>
  <c r="BH21" i="1"/>
  <c r="AM361" i="7"/>
  <c r="AN361" i="7" s="1"/>
  <c r="AM65" i="7"/>
  <c r="BF69" i="1"/>
  <c r="BF28" i="1"/>
  <c r="BF85" i="1"/>
  <c r="BK85" i="1"/>
  <c r="BF131" i="1"/>
  <c r="BF39" i="1"/>
  <c r="AY65" i="7"/>
  <c r="AY17" i="7" s="1"/>
  <c r="AY19" i="7" s="1"/>
  <c r="AY361" i="7"/>
  <c r="DF164" i="1"/>
  <c r="DF172" i="1"/>
  <c r="DF148" i="1"/>
  <c r="BD178" i="1"/>
  <c r="BD160" i="1"/>
  <c r="BD158" i="1"/>
  <c r="BD171" i="1"/>
  <c r="BD173" i="1" s="1"/>
  <c r="BD175" i="1" s="1"/>
  <c r="BC171" i="1"/>
  <c r="BC173" i="1" s="1"/>
  <c r="BC175" i="1" s="1"/>
  <c r="BC176" i="1" s="1"/>
  <c r="BC158" i="1"/>
  <c r="BC178" i="1"/>
  <c r="BC160" i="1"/>
  <c r="AM26" i="7"/>
  <c r="AN23" i="7"/>
  <c r="AU361" i="7"/>
  <c r="AU65" i="7"/>
  <c r="AU17" i="7" s="1"/>
  <c r="AU19" i="7" s="1"/>
  <c r="AH171" i="1"/>
  <c r="AH173" i="1" s="1"/>
  <c r="AH175" i="1" s="1"/>
  <c r="AH176" i="1" s="1"/>
  <c r="AH160" i="1"/>
  <c r="AH178" i="1"/>
  <c r="AH158" i="1"/>
  <c r="AM17" i="7"/>
  <c r="AM19" i="7" s="1"/>
  <c r="CO186" i="1"/>
  <c r="CP186" i="1"/>
  <c r="CM186" i="1"/>
  <c r="CI186" i="1" s="1"/>
  <c r="CI167" i="1" s="1"/>
  <c r="CI168" i="1" s="1"/>
  <c r="CN186" i="1"/>
  <c r="CV186" i="1"/>
  <c r="AW60" i="7"/>
  <c r="AW62" i="7" s="1"/>
  <c r="AV64" i="7"/>
  <c r="AV23" i="7"/>
  <c r="AV26" i="7" s="1"/>
  <c r="AV28" i="7" s="1"/>
  <c r="AV63" i="7"/>
  <c r="BE1" i="59"/>
  <c r="BE1" i="56"/>
  <c r="BE86" i="1"/>
  <c r="BE1" i="5"/>
  <c r="P1" i="33"/>
  <c r="BJ86" i="1"/>
  <c r="O158" i="1"/>
  <c r="O178" i="1"/>
  <c r="AQ361" i="7"/>
  <c r="AQ65" i="7"/>
  <c r="AQ17" i="7" s="1"/>
  <c r="AQ19" i="7" s="1"/>
  <c r="BB178" i="1"/>
  <c r="BB160" i="1"/>
  <c r="BB158" i="1"/>
  <c r="BB171" i="1"/>
  <c r="BB173" i="1" s="1"/>
  <c r="BB175" i="1" s="1"/>
  <c r="BB176" i="1" s="1"/>
  <c r="BI60" i="7"/>
  <c r="BI62" i="7" s="1"/>
  <c r="BM60" i="7"/>
  <c r="BM62" i="7" s="1"/>
  <c r="AI171" i="1"/>
  <c r="AI173" i="1" s="1"/>
  <c r="AI175" i="1" s="1"/>
  <c r="AI176" i="1" s="1"/>
  <c r="AI158" i="1"/>
  <c r="AI178" i="1"/>
  <c r="AI160" i="1"/>
  <c r="BE139" i="1"/>
  <c r="BE143" i="1" s="1"/>
  <c r="BE41" i="1"/>
  <c r="N158" i="1"/>
  <c r="N178" i="1"/>
  <c r="BE60" i="7"/>
  <c r="BE62" i="7" s="1"/>
  <c r="BD64" i="7"/>
  <c r="BD63" i="7"/>
  <c r="BD23" i="7"/>
  <c r="BD26" i="7" s="1"/>
  <c r="BD28" i="7" s="1"/>
  <c r="DA104" i="1"/>
  <c r="DB104" i="1"/>
  <c r="DC104" i="1" s="1"/>
  <c r="DD104" i="1" s="1"/>
  <c r="DE104" i="1" s="1"/>
  <c r="DF104" i="1" s="1"/>
  <c r="DA15" i="5"/>
  <c r="DA37" i="5" s="1"/>
  <c r="DD37" i="5"/>
  <c r="DB37" i="5"/>
  <c r="DF15" i="5"/>
  <c r="BL13" i="7"/>
  <c r="BN11" i="7"/>
  <c r="BM11" i="7"/>
  <c r="BO11" i="7" s="1"/>
  <c r="CV133" i="56"/>
  <c r="CV121" i="56" s="1"/>
  <c r="CV122" i="56" s="1"/>
  <c r="CS13" i="59"/>
  <c r="CS37" i="59"/>
  <c r="CX121" i="56"/>
  <c r="CW132" i="56"/>
  <c r="CW133" i="56"/>
  <c r="CW122" i="56"/>
  <c r="CS33" i="56"/>
  <c r="CS18" i="14"/>
  <c r="CS19" i="14" s="1"/>
  <c r="CS155" i="56"/>
  <c r="CS169" i="56" s="1"/>
  <c r="CS146" i="56"/>
  <c r="CS147" i="56" s="1"/>
  <c r="CU134" i="56"/>
  <c r="CV134" i="56" s="1"/>
  <c r="CU180" i="56"/>
  <c r="CV180" i="56" s="1"/>
  <c r="CV181" i="56"/>
  <c r="DH181" i="56" s="1"/>
  <c r="CR39" i="59"/>
  <c r="CR27" i="59" s="1"/>
  <c r="CR32" i="14"/>
  <c r="CT12" i="56"/>
  <c r="CT11" i="59"/>
  <c r="CS38" i="59"/>
  <c r="CV12" i="59"/>
  <c r="CT143" i="56"/>
  <c r="CW125" i="56"/>
  <c r="CX124" i="56"/>
  <c r="CW138" i="56"/>
  <c r="CW118" i="56"/>
  <c r="CW137" i="56"/>
  <c r="CU139" i="56"/>
  <c r="CV137" i="56"/>
  <c r="CV124" i="56" s="1"/>
  <c r="CU120" i="56"/>
  <c r="CU119" i="56"/>
  <c r="CU128" i="56"/>
  <c r="CM99" i="1"/>
  <c r="CL99" i="1"/>
  <c r="CL102" i="1" s="1"/>
  <c r="CU60" i="1"/>
  <c r="CV60" i="1" s="1"/>
  <c r="CW22" i="1"/>
  <c r="CV22" i="1"/>
  <c r="CQ47" i="1"/>
  <c r="CR47" i="1"/>
  <c r="DF111" i="56"/>
  <c r="CU35" i="1"/>
  <c r="CV35" i="1" s="1"/>
  <c r="CT36" i="1"/>
  <c r="CT37" i="1" s="1"/>
  <c r="DE105" i="1"/>
  <c r="DF105" i="1" s="1"/>
  <c r="DB16" i="11"/>
  <c r="DC23" i="11"/>
  <c r="DC16" i="11"/>
  <c r="CR24" i="11"/>
  <c r="CR11" i="11"/>
  <c r="DA22" i="11"/>
  <c r="DA15" i="11"/>
  <c r="DF7" i="11"/>
  <c r="DD22" i="11"/>
  <c r="CS10" i="11"/>
  <c r="DD9" i="11"/>
  <c r="DA23" i="11"/>
  <c r="DA16" i="11"/>
  <c r="CQ18" i="11"/>
  <c r="CQ25" i="11"/>
  <c r="CV48" i="1"/>
  <c r="CW48" i="1"/>
  <c r="CU46" i="1"/>
  <c r="CV46" i="1" s="1"/>
  <c r="DF109" i="56"/>
  <c r="DF106" i="56"/>
  <c r="DF114" i="56"/>
  <c r="DF112" i="56"/>
  <c r="DF41" i="14"/>
  <c r="DF103" i="56"/>
  <c r="DF108" i="56"/>
  <c r="DF110" i="56"/>
  <c r="AM28" i="7" l="1"/>
  <c r="AN26" i="7"/>
  <c r="BM17" i="1"/>
  <c r="BM21" i="1" s="1"/>
  <c r="BI21" i="1"/>
  <c r="AZ65" i="7"/>
  <c r="AZ361" i="7"/>
  <c r="BE190" i="1"/>
  <c r="BE27" i="1"/>
  <c r="BI63" i="7"/>
  <c r="BI64" i="7"/>
  <c r="BJ60" i="7"/>
  <c r="BJ62" i="7" s="1"/>
  <c r="BI23" i="7"/>
  <c r="BI26" i="7" s="1"/>
  <c r="AW63" i="7"/>
  <c r="AW23" i="7"/>
  <c r="AW64" i="7"/>
  <c r="BF139" i="1"/>
  <c r="BF143" i="1" s="1"/>
  <c r="BF41" i="1"/>
  <c r="BF86" i="1"/>
  <c r="BK86" i="1"/>
  <c r="Q1" i="33"/>
  <c r="BF1" i="59"/>
  <c r="BF1" i="5"/>
  <c r="BF1" i="56"/>
  <c r="AR65" i="7"/>
  <c r="AR361" i="7"/>
  <c r="AS361" i="7" s="1"/>
  <c r="AZ17" i="7"/>
  <c r="AZ19" i="7" s="1"/>
  <c r="BF60" i="7"/>
  <c r="BF62" i="7" s="1"/>
  <c r="BE23" i="7"/>
  <c r="BE26" i="7" s="1"/>
  <c r="BE28" i="7" s="1"/>
  <c r="BE64" i="7"/>
  <c r="BE63" i="7"/>
  <c r="BE171" i="1"/>
  <c r="BE173" i="1" s="1"/>
  <c r="BE175" i="1" s="1"/>
  <c r="BE178" i="1"/>
  <c r="BE160" i="1"/>
  <c r="BE158" i="1"/>
  <c r="AV65" i="7"/>
  <c r="AV361" i="7"/>
  <c r="DA186" i="1"/>
  <c r="CT186" i="1"/>
  <c r="CS186" i="1"/>
  <c r="CU186" i="1"/>
  <c r="CR186" i="1"/>
  <c r="BH68" i="1"/>
  <c r="BH84" i="1"/>
  <c r="AR17" i="7"/>
  <c r="AS64" i="7"/>
  <c r="BD65" i="7"/>
  <c r="BD17" i="7" s="1"/>
  <c r="BD361" i="7"/>
  <c r="BR60" i="7"/>
  <c r="BR62" i="7" s="1"/>
  <c r="BN60" i="7"/>
  <c r="BN62" i="7" s="1"/>
  <c r="AN17" i="7"/>
  <c r="AV17" i="7"/>
  <c r="AV19" i="7" s="1"/>
  <c r="AX64" i="7"/>
  <c r="AR26" i="7"/>
  <c r="AS23" i="7"/>
  <c r="BA62" i="7"/>
  <c r="BA64" i="7"/>
  <c r="CM53" i="66"/>
  <c r="DA18" i="5"/>
  <c r="DA38" i="5" s="1"/>
  <c r="DF18" i="5"/>
  <c r="DF37" i="5"/>
  <c r="CU143" i="56"/>
  <c r="BO13" i="7"/>
  <c r="BQ11" i="7"/>
  <c r="BP11" i="7"/>
  <c r="BP13" i="7" s="1"/>
  <c r="BN13" i="7"/>
  <c r="CT33" i="56"/>
  <c r="CT18" i="14"/>
  <c r="CT19" i="14" s="1"/>
  <c r="CT146" i="56"/>
  <c r="CT147" i="56" s="1"/>
  <c r="CT155" i="56"/>
  <c r="CT169" i="56" s="1"/>
  <c r="DH180" i="56"/>
  <c r="CV146" i="56"/>
  <c r="CV147" i="56" s="1"/>
  <c r="CW180" i="56"/>
  <c r="CW134" i="56"/>
  <c r="CT37" i="59"/>
  <c r="CT13" i="59"/>
  <c r="CX132" i="56"/>
  <c r="CX122" i="56"/>
  <c r="CY121" i="56"/>
  <c r="CX133" i="56"/>
  <c r="CX181" i="56" s="1"/>
  <c r="CX12" i="59" s="1"/>
  <c r="CX38" i="59" s="1"/>
  <c r="CX33" i="14" s="1"/>
  <c r="CS33" i="14"/>
  <c r="CV38" i="59"/>
  <c r="CU11" i="59"/>
  <c r="CU12" i="56"/>
  <c r="CW181" i="56"/>
  <c r="CS39" i="59"/>
  <c r="CS27" i="59" s="1"/>
  <c r="CS32" i="14"/>
  <c r="CW128" i="56"/>
  <c r="CW119" i="56"/>
  <c r="CW120" i="56"/>
  <c r="CV125" i="56"/>
  <c r="CV118" i="56"/>
  <c r="CW139" i="56"/>
  <c r="CY124" i="56"/>
  <c r="CX125" i="56"/>
  <c r="CX138" i="56"/>
  <c r="CX137" i="56"/>
  <c r="CX118" i="56"/>
  <c r="CV139" i="56"/>
  <c r="CV143" i="56" s="1"/>
  <c r="CM102" i="1"/>
  <c r="CN99" i="1"/>
  <c r="CX22" i="1"/>
  <c r="CW60" i="1"/>
  <c r="CS47" i="1"/>
  <c r="CW35" i="1"/>
  <c r="CU36" i="1"/>
  <c r="CU37" i="1" s="1"/>
  <c r="CV37" i="1" s="1"/>
  <c r="CS24" i="11"/>
  <c r="CS11" i="11"/>
  <c r="CR18" i="11"/>
  <c r="CR25" i="11"/>
  <c r="DD23" i="11"/>
  <c r="DD16" i="11"/>
  <c r="DF9" i="11"/>
  <c r="DF22" i="11"/>
  <c r="DF15" i="11"/>
  <c r="CU10" i="11"/>
  <c r="CT10" i="11"/>
  <c r="CX48" i="1"/>
  <c r="CW46" i="1"/>
  <c r="BE361" i="7" l="1"/>
  <c r="BE65" i="7"/>
  <c r="BM84" i="1"/>
  <c r="BM68" i="1"/>
  <c r="BM76" i="1"/>
  <c r="BR84" i="1"/>
  <c r="BW60" i="7"/>
  <c r="BW62" i="7" s="1"/>
  <c r="BS60" i="7"/>
  <c r="BS62" i="7" s="1"/>
  <c r="BA23" i="7"/>
  <c r="BA26" i="7" s="1"/>
  <c r="BA28" i="7" s="1"/>
  <c r="BB60" i="7"/>
  <c r="BB62" i="7" s="1"/>
  <c r="BA63" i="7"/>
  <c r="BF64" i="7"/>
  <c r="BF63" i="7"/>
  <c r="BG60" i="7"/>
  <c r="BG62" i="7" s="1"/>
  <c r="BF23" i="7"/>
  <c r="BF26" i="7" s="1"/>
  <c r="BF28" i="7" s="1"/>
  <c r="BJ63" i="7"/>
  <c r="BK60" i="7"/>
  <c r="BK62" i="7" s="1"/>
  <c r="BJ64" i="7"/>
  <c r="BJ23" i="7"/>
  <c r="BJ26" i="7" s="1"/>
  <c r="BJ28" i="7" s="1"/>
  <c r="BI68" i="1"/>
  <c r="BI25" i="1"/>
  <c r="BI84" i="1"/>
  <c r="BI76" i="1"/>
  <c r="BN84" i="1"/>
  <c r="AX23" i="7"/>
  <c r="AW26" i="7"/>
  <c r="AR28" i="7"/>
  <c r="AS26" i="7"/>
  <c r="BN64" i="7"/>
  <c r="BN23" i="7"/>
  <c r="BN26" i="7" s="1"/>
  <c r="BN28" i="7" s="1"/>
  <c r="BO60" i="7"/>
  <c r="BO62" i="7" s="1"/>
  <c r="CZ186" i="1"/>
  <c r="CX186" i="1"/>
  <c r="DF186" i="1"/>
  <c r="CY186" i="1"/>
  <c r="CW186" i="1"/>
  <c r="BE17" i="7"/>
  <c r="BF190" i="1"/>
  <c r="BF27" i="1"/>
  <c r="AW361" i="7"/>
  <c r="AX361" i="7" s="1"/>
  <c r="AW65" i="7"/>
  <c r="AW17" i="7" s="1"/>
  <c r="BI361" i="7"/>
  <c r="BI65" i="7"/>
  <c r="BI17" i="7" s="1"/>
  <c r="BI19" i="7" s="1"/>
  <c r="AR19" i="7"/>
  <c r="AS17" i="7"/>
  <c r="BF158" i="1"/>
  <c r="BF160" i="1"/>
  <c r="BF171" i="1"/>
  <c r="BF173" i="1" s="1"/>
  <c r="BF175" i="1" s="1"/>
  <c r="BF178" i="1"/>
  <c r="DF41" i="5"/>
  <c r="DF38" i="5"/>
  <c r="BQ13" i="7"/>
  <c r="BS11" i="7"/>
  <c r="CV26" i="59"/>
  <c r="CV33" i="14"/>
  <c r="CT39" i="59"/>
  <c r="CT27" i="59" s="1"/>
  <c r="CT32" i="14"/>
  <c r="CW12" i="59"/>
  <c r="CX180" i="56"/>
  <c r="CX134" i="56"/>
  <c r="CW11" i="59"/>
  <c r="CW12" i="56"/>
  <c r="CU18" i="14"/>
  <c r="CU19" i="14" s="1"/>
  <c r="CU33" i="56"/>
  <c r="CU155" i="56"/>
  <c r="CU169" i="56" s="1"/>
  <c r="CU146" i="56"/>
  <c r="CU147" i="56" s="1"/>
  <c r="CV12" i="56"/>
  <c r="CU37" i="59"/>
  <c r="CU13" i="59"/>
  <c r="CV13" i="59" s="1"/>
  <c r="CV11" i="59"/>
  <c r="CT35" i="59" s="1"/>
  <c r="CY122" i="56"/>
  <c r="CZ121" i="56"/>
  <c r="CY133" i="56"/>
  <c r="CY181" i="56" s="1"/>
  <c r="CY12" i="59" s="1"/>
  <c r="CY38" i="59" s="1"/>
  <c r="CY33" i="14" s="1"/>
  <c r="CY132" i="56"/>
  <c r="CV119" i="56"/>
  <c r="CV128" i="56"/>
  <c r="CW143" i="56"/>
  <c r="CX119" i="56"/>
  <c r="CX128" i="56"/>
  <c r="CX120" i="56"/>
  <c r="CY125" i="56"/>
  <c r="CZ124" i="56"/>
  <c r="CY137" i="56"/>
  <c r="CY138" i="56"/>
  <c r="CY118" i="56"/>
  <c r="CX139" i="56"/>
  <c r="CO99" i="1"/>
  <c r="CN102" i="1"/>
  <c r="CY22" i="1"/>
  <c r="CX60" i="1"/>
  <c r="CT47" i="1"/>
  <c r="CX35" i="1"/>
  <c r="CW36" i="1"/>
  <c r="CV36" i="1"/>
  <c r="CV10" i="11"/>
  <c r="DF23" i="11"/>
  <c r="DF16" i="11"/>
  <c r="CS25" i="11"/>
  <c r="CS18" i="11"/>
  <c r="CT24" i="11"/>
  <c r="CT11" i="11"/>
  <c r="CU11" i="11"/>
  <c r="CU24" i="11"/>
  <c r="CY48" i="1"/>
  <c r="CY46" i="1" s="1"/>
  <c r="CX46" i="1"/>
  <c r="BO23" i="7" l="1"/>
  <c r="BO26" i="7" s="1"/>
  <c r="BO28" i="7" s="1"/>
  <c r="BP60" i="7"/>
  <c r="BP62" i="7" s="1"/>
  <c r="BO64" i="7"/>
  <c r="BA65" i="7"/>
  <c r="BA17" i="7" s="1"/>
  <c r="BA19" i="7" s="1"/>
  <c r="BA361" i="7"/>
  <c r="CB60" i="7"/>
  <c r="CB62" i="7" s="1"/>
  <c r="BX60" i="7"/>
  <c r="BX62" i="7" s="1"/>
  <c r="BJ361" i="7"/>
  <c r="BJ65" i="7"/>
  <c r="BJ17" i="7" s="1"/>
  <c r="AW19" i="7"/>
  <c r="AX17" i="7"/>
  <c r="BH64" i="7"/>
  <c r="DD186" i="1"/>
  <c r="DE186" i="1"/>
  <c r="DB186" i="1"/>
  <c r="DC186" i="1"/>
  <c r="AW28" i="7"/>
  <c r="AX26" i="7"/>
  <c r="BG63" i="7"/>
  <c r="BG23" i="7"/>
  <c r="BG64" i="7"/>
  <c r="BB23" i="7"/>
  <c r="BB63" i="7"/>
  <c r="BB64" i="7"/>
  <c r="BC64" i="7" s="1"/>
  <c r="BS64" i="7"/>
  <c r="BT60" i="7"/>
  <c r="BT62" i="7" s="1"/>
  <c r="BI131" i="1"/>
  <c r="BI69" i="1"/>
  <c r="BI28" i="1"/>
  <c r="BI85" i="1"/>
  <c r="BI39" i="1"/>
  <c r="BM25" i="1"/>
  <c r="BN85" i="1"/>
  <c r="BL60" i="7"/>
  <c r="BL62" i="7" s="1"/>
  <c r="BK64" i="7"/>
  <c r="BK63" i="7"/>
  <c r="BK23" i="7"/>
  <c r="BK26" i="7" s="1"/>
  <c r="BK28" i="7" s="1"/>
  <c r="BF65" i="7"/>
  <c r="BF17" i="7" s="1"/>
  <c r="BF361" i="7"/>
  <c r="BS13" i="7"/>
  <c r="BT11" i="7"/>
  <c r="CW37" i="59"/>
  <c r="CW13" i="59"/>
  <c r="CX143" i="56"/>
  <c r="DB121" i="56"/>
  <c r="CZ133" i="56"/>
  <c r="CZ181" i="56" s="1"/>
  <c r="CZ12" i="59" s="1"/>
  <c r="CZ38" i="59" s="1"/>
  <c r="CZ33" i="14" s="1"/>
  <c r="CZ122" i="56"/>
  <c r="CZ132" i="56"/>
  <c r="CU39" i="59"/>
  <c r="CU27" i="59" s="1"/>
  <c r="CU32" i="14"/>
  <c r="CV37" i="59"/>
  <c r="CW38" i="59"/>
  <c r="CV153" i="56"/>
  <c r="CV167" i="56" s="1"/>
  <c r="CV18" i="14"/>
  <c r="CV19" i="14" s="1"/>
  <c r="CV154" i="56"/>
  <c r="CV33" i="56"/>
  <c r="CV155" i="56"/>
  <c r="CV169" i="56" s="1"/>
  <c r="CY180" i="56"/>
  <c r="CY134" i="56"/>
  <c r="CW33" i="56"/>
  <c r="CW155" i="56"/>
  <c r="CW169" i="56" s="1"/>
  <c r="CW18" i="14"/>
  <c r="CW19" i="14" s="1"/>
  <c r="CW146" i="56"/>
  <c r="CW147" i="56" s="1"/>
  <c r="CX11" i="59"/>
  <c r="CX12" i="56"/>
  <c r="DA133" i="56"/>
  <c r="CY128" i="56"/>
  <c r="CY120" i="56"/>
  <c r="CY119" i="56"/>
  <c r="CY139" i="56"/>
  <c r="DB124" i="56"/>
  <c r="CZ125" i="56"/>
  <c r="CZ138" i="56"/>
  <c r="DA138" i="56" s="1"/>
  <c r="CZ137" i="56"/>
  <c r="DA137" i="56" s="1"/>
  <c r="CZ118" i="56"/>
  <c r="CO102" i="1"/>
  <c r="CP99" i="1"/>
  <c r="CY60" i="1"/>
  <c r="CZ22" i="1"/>
  <c r="CU47" i="1"/>
  <c r="CV24" i="11"/>
  <c r="CV17" i="11"/>
  <c r="CW37" i="1"/>
  <c r="CY35" i="1"/>
  <c r="CX36" i="1"/>
  <c r="CX37" i="1" s="1"/>
  <c r="CW10" i="11"/>
  <c r="CQ41" i="5"/>
  <c r="CT25" i="11"/>
  <c r="CT18" i="11"/>
  <c r="CV11" i="11"/>
  <c r="CU18" i="11"/>
  <c r="CU25" i="11"/>
  <c r="CZ48" i="1"/>
  <c r="BJ19" i="7" l="1"/>
  <c r="BK65" i="7"/>
  <c r="BK361" i="7"/>
  <c r="BH23" i="7"/>
  <c r="BG26" i="7"/>
  <c r="BP23" i="7"/>
  <c r="BP26" i="7" s="1"/>
  <c r="BP28" i="7" s="1"/>
  <c r="BP64" i="7"/>
  <c r="BQ60" i="7"/>
  <c r="BQ62" i="7" s="1"/>
  <c r="BL63" i="7"/>
  <c r="BN59" i="7"/>
  <c r="BL23" i="7"/>
  <c r="BL64" i="7"/>
  <c r="BM64" i="7" s="1"/>
  <c r="BT64" i="7"/>
  <c r="BT23" i="7"/>
  <c r="BT26" i="7" s="1"/>
  <c r="BT28" i="7" s="1"/>
  <c r="BU60" i="7"/>
  <c r="BU62" i="7" s="1"/>
  <c r="BC23" i="7"/>
  <c r="BB26" i="7"/>
  <c r="BI86" i="1"/>
  <c r="BI1" i="59"/>
  <c r="BI1" i="5"/>
  <c r="BI1" i="56"/>
  <c r="T1" i="33"/>
  <c r="BN86" i="1"/>
  <c r="BX64" i="7"/>
  <c r="BY60" i="7"/>
  <c r="BY62" i="7" s="1"/>
  <c r="BX23" i="7"/>
  <c r="BX26" i="7" s="1"/>
  <c r="BX28" i="7" s="1"/>
  <c r="BM28" i="1"/>
  <c r="BM131" i="1"/>
  <c r="BM69" i="1"/>
  <c r="BM3" i="7"/>
  <c r="BM39" i="1"/>
  <c r="BR85" i="1"/>
  <c r="CC60" i="7"/>
  <c r="CC62" i="7" s="1"/>
  <c r="CG60" i="7"/>
  <c r="CG62" i="7" s="1"/>
  <c r="BK17" i="7"/>
  <c r="BK19" i="7" s="1"/>
  <c r="BI41" i="1"/>
  <c r="BI139" i="1"/>
  <c r="BB65" i="7"/>
  <c r="BB17" i="7" s="1"/>
  <c r="BC17" i="7" s="1"/>
  <c r="BB361" i="7"/>
  <c r="BC361" i="7" s="1"/>
  <c r="BG65" i="7"/>
  <c r="BG17" i="7" s="1"/>
  <c r="BG361" i="7"/>
  <c r="BH361" i="7" s="1"/>
  <c r="CV168" i="56"/>
  <c r="CW204" i="56"/>
  <c r="CX204" i="56" s="1"/>
  <c r="BU11" i="7"/>
  <c r="BT13" i="7"/>
  <c r="DA12" i="59"/>
  <c r="CY143" i="56"/>
  <c r="CX33" i="56"/>
  <c r="CX155" i="56"/>
  <c r="CX169" i="56" s="1"/>
  <c r="CX18" i="14"/>
  <c r="CX19" i="14" s="1"/>
  <c r="CX146" i="56"/>
  <c r="CX147" i="56" s="1"/>
  <c r="CY12" i="56"/>
  <c r="CY11" i="59"/>
  <c r="CV39" i="59"/>
  <c r="CV27" i="59" s="1"/>
  <c r="CV25" i="59"/>
  <c r="CV32" i="14"/>
  <c r="DA181" i="56"/>
  <c r="CZ139" i="56"/>
  <c r="DA139" i="56" s="1"/>
  <c r="CX37" i="59"/>
  <c r="CX13" i="59"/>
  <c r="DB133" i="56"/>
  <c r="DB132" i="56"/>
  <c r="DB122" i="56"/>
  <c r="DC121" i="56"/>
  <c r="CW33" i="14"/>
  <c r="DA38" i="59"/>
  <c r="CZ134" i="56"/>
  <c r="DA134" i="56" s="1"/>
  <c r="CZ180" i="56"/>
  <c r="DA180" i="56" s="1"/>
  <c r="DA132" i="56"/>
  <c r="DA121" i="56" s="1"/>
  <c r="DA122" i="56" s="1"/>
  <c r="CW39" i="59"/>
  <c r="CW27" i="59" s="1"/>
  <c r="CW32" i="14"/>
  <c r="DB125" i="56"/>
  <c r="DC124" i="56"/>
  <c r="DB137" i="56"/>
  <c r="DB138" i="56"/>
  <c r="DB118" i="56"/>
  <c r="CZ120" i="56"/>
  <c r="CZ128" i="56"/>
  <c r="CZ119" i="56"/>
  <c r="DA124" i="56"/>
  <c r="CR99" i="1"/>
  <c r="CQ99" i="1"/>
  <c r="CQ102" i="1" s="1"/>
  <c r="CP102" i="1"/>
  <c r="CZ60" i="1"/>
  <c r="DA60" i="1" s="1"/>
  <c r="DB22" i="1"/>
  <c r="DA22" i="1"/>
  <c r="CV47" i="1"/>
  <c r="CW47" i="1"/>
  <c r="CZ35" i="1"/>
  <c r="CY36" i="1"/>
  <c r="CY37" i="1" s="1"/>
  <c r="CX10" i="11"/>
  <c r="CW11" i="11"/>
  <c r="CW24" i="11"/>
  <c r="CV18" i="11"/>
  <c r="CV25" i="11"/>
  <c r="DB48" i="1"/>
  <c r="DA48" i="1"/>
  <c r="CZ46" i="1"/>
  <c r="DA46" i="1" s="1"/>
  <c r="BG19" i="7" l="1"/>
  <c r="BH17" i="7"/>
  <c r="BI190" i="1"/>
  <c r="BM190" i="1" s="1"/>
  <c r="BI27" i="1"/>
  <c r="BM41" i="1"/>
  <c r="BM27" i="1" s="1"/>
  <c r="CC23" i="7"/>
  <c r="CD60" i="7"/>
  <c r="CD62" i="7" s="1"/>
  <c r="CC64" i="7"/>
  <c r="BZ60" i="7"/>
  <c r="BZ62" i="7" s="1"/>
  <c r="BY23" i="7"/>
  <c r="BY26" i="7" s="1"/>
  <c r="BY28" i="7" s="1"/>
  <c r="BY64" i="7"/>
  <c r="BO59" i="7"/>
  <c r="BN63" i="7"/>
  <c r="BB28" i="7"/>
  <c r="BC26" i="7"/>
  <c r="BL361" i="7"/>
  <c r="BM361" i="7" s="1"/>
  <c r="BL65" i="7"/>
  <c r="BL17" i="7" s="1"/>
  <c r="BL19" i="7" s="1"/>
  <c r="X1" i="33"/>
  <c r="BM1" i="5"/>
  <c r="BM1" i="59"/>
  <c r="BM1" i="56"/>
  <c r="BR86" i="1"/>
  <c r="BS59" i="7"/>
  <c r="BQ23" i="7"/>
  <c r="BQ64" i="7"/>
  <c r="BG28" i="7"/>
  <c r="BH26" i="7"/>
  <c r="BM17" i="7"/>
  <c r="BI143" i="1"/>
  <c r="BL139" i="1"/>
  <c r="CL60" i="7"/>
  <c r="CL62" i="7" s="1"/>
  <c r="CH60" i="7"/>
  <c r="CH62" i="7" s="1"/>
  <c r="BU64" i="7"/>
  <c r="BU23" i="7"/>
  <c r="BU26" i="7" s="1"/>
  <c r="BU28" i="7" s="1"/>
  <c r="BV60" i="7"/>
  <c r="BV62" i="7" s="1"/>
  <c r="BM23" i="7"/>
  <c r="BL26" i="7"/>
  <c r="BR64" i="7"/>
  <c r="BV11" i="7"/>
  <c r="BU13" i="7"/>
  <c r="DA143" i="56"/>
  <c r="DA146" i="56"/>
  <c r="DA147" i="56" s="1"/>
  <c r="DB180" i="56"/>
  <c r="DB134" i="56"/>
  <c r="CX32" i="14"/>
  <c r="CX39" i="59"/>
  <c r="CX27" i="59" s="1"/>
  <c r="DA33" i="14"/>
  <c r="DA26" i="59"/>
  <c r="DB181" i="56"/>
  <c r="CZ143" i="56"/>
  <c r="DC132" i="56"/>
  <c r="DC133" i="56"/>
  <c r="DC181" i="56" s="1"/>
  <c r="DC12" i="59" s="1"/>
  <c r="DC38" i="59" s="1"/>
  <c r="DC33" i="14" s="1"/>
  <c r="DD121" i="56"/>
  <c r="DC122" i="56"/>
  <c r="CY37" i="59"/>
  <c r="CY13" i="59"/>
  <c r="CZ11" i="59"/>
  <c r="CZ12" i="56"/>
  <c r="CY33" i="56"/>
  <c r="CY155" i="56"/>
  <c r="CY169" i="56" s="1"/>
  <c r="CY18" i="14"/>
  <c r="CY19" i="14" s="1"/>
  <c r="CY146" i="56"/>
  <c r="CY147" i="56" s="1"/>
  <c r="DA118" i="56"/>
  <c r="DA125" i="56"/>
  <c r="DB119" i="56"/>
  <c r="DB120" i="56"/>
  <c r="DB128" i="56"/>
  <c r="DB139" i="56"/>
  <c r="DC125" i="56"/>
  <c r="DD124" i="56"/>
  <c r="DC138" i="56"/>
  <c r="DC137" i="56"/>
  <c r="DC118" i="56"/>
  <c r="CS99" i="1"/>
  <c r="CR102" i="1"/>
  <c r="DC22" i="1"/>
  <c r="DB60" i="1"/>
  <c r="CX47" i="1"/>
  <c r="DB35" i="1"/>
  <c r="CZ36" i="1"/>
  <c r="DA36" i="1" s="1"/>
  <c r="DA35" i="1"/>
  <c r="CX24" i="11"/>
  <c r="CX11" i="11"/>
  <c r="CZ10" i="11"/>
  <c r="CY10" i="11"/>
  <c r="CW25" i="11"/>
  <c r="CW18" i="11"/>
  <c r="DB46" i="1"/>
  <c r="DC48" i="1"/>
  <c r="DC46" i="1" s="1"/>
  <c r="CH23" i="7" l="1"/>
  <c r="CH26" i="7" s="1"/>
  <c r="CH28" i="7" s="1"/>
  <c r="CH64" i="7"/>
  <c r="CI60" i="7"/>
  <c r="CI62" i="7" s="1"/>
  <c r="BR23" i="7"/>
  <c r="BQ26" i="7"/>
  <c r="BP59" i="7"/>
  <c r="BO63" i="7"/>
  <c r="BV23" i="7"/>
  <c r="BX59" i="7"/>
  <c r="BV64" i="7"/>
  <c r="BW64" i="7" s="1"/>
  <c r="CQ60" i="7"/>
  <c r="CQ62" i="7" s="1"/>
  <c r="CM60" i="7"/>
  <c r="CM62" i="7" s="1"/>
  <c r="BT59" i="7"/>
  <c r="BS63" i="7"/>
  <c r="CD64" i="7"/>
  <c r="CE60" i="7"/>
  <c r="CE62" i="7" s="1"/>
  <c r="CD23" i="7"/>
  <c r="BM139" i="1"/>
  <c r="BM143" i="1" s="1"/>
  <c r="BL143" i="1"/>
  <c r="CC26" i="7"/>
  <c r="CC28" i="7"/>
  <c r="BM26" i="7"/>
  <c r="BL28" i="7"/>
  <c r="BI178" i="1"/>
  <c r="BI158" i="1"/>
  <c r="BI171" i="1"/>
  <c r="BI173" i="1" s="1"/>
  <c r="BI175" i="1" s="1"/>
  <c r="BI160" i="1"/>
  <c r="BN65" i="7"/>
  <c r="BN17" i="7" s="1"/>
  <c r="BN19" i="7" s="1"/>
  <c r="BN361" i="7"/>
  <c r="CA60" i="7"/>
  <c r="CA62" i="7" s="1"/>
  <c r="BZ64" i="7"/>
  <c r="BZ23" i="7"/>
  <c r="BZ26" i="7" s="1"/>
  <c r="BZ28" i="7" s="1"/>
  <c r="BX11" i="7"/>
  <c r="BV13" i="7"/>
  <c r="CZ13" i="59"/>
  <c r="DA13" i="59" s="1"/>
  <c r="CZ37" i="59"/>
  <c r="DA37" i="59" s="1"/>
  <c r="DA11" i="59"/>
  <c r="CY35" i="59" s="1"/>
  <c r="DD133" i="56"/>
  <c r="DD181" i="56" s="1"/>
  <c r="DD12" i="59" s="1"/>
  <c r="DD38" i="59" s="1"/>
  <c r="DD33" i="14" s="1"/>
  <c r="DD122" i="56"/>
  <c r="DD132" i="56"/>
  <c r="DE121" i="56"/>
  <c r="DB12" i="59"/>
  <c r="DB12" i="56"/>
  <c r="DB11" i="59"/>
  <c r="CY32" i="14"/>
  <c r="CY39" i="59"/>
  <c r="CY27" i="59" s="1"/>
  <c r="DC180" i="56"/>
  <c r="DC134" i="56"/>
  <c r="DA12" i="56"/>
  <c r="CZ155" i="56"/>
  <c r="CZ169" i="56" s="1"/>
  <c r="CZ33" i="56"/>
  <c r="CZ18" i="14"/>
  <c r="CZ19" i="14" s="1"/>
  <c r="CZ146" i="56"/>
  <c r="CZ147" i="56" s="1"/>
  <c r="DC128" i="56"/>
  <c r="DC119" i="56"/>
  <c r="DC120" i="56"/>
  <c r="DC139" i="56"/>
  <c r="DB143" i="56"/>
  <c r="DA128" i="56"/>
  <c r="DA119" i="56"/>
  <c r="DD125" i="56"/>
  <c r="DE124" i="56"/>
  <c r="DD137" i="56"/>
  <c r="DD138" i="56"/>
  <c r="DD118" i="56"/>
  <c r="CT99" i="1"/>
  <c r="CS102" i="1"/>
  <c r="DD22" i="1"/>
  <c r="DC60" i="1"/>
  <c r="CY47" i="1"/>
  <c r="CZ37" i="1"/>
  <c r="DA37" i="1" s="1"/>
  <c r="DC35" i="1"/>
  <c r="DB36" i="1"/>
  <c r="DB37" i="1" s="1"/>
  <c r="DA10" i="11"/>
  <c r="CV41" i="5" s="1"/>
  <c r="CY24" i="11"/>
  <c r="CY11" i="11"/>
  <c r="CX18" i="11"/>
  <c r="CX25" i="11"/>
  <c r="CZ11" i="11"/>
  <c r="CZ24" i="11"/>
  <c r="DD48" i="1"/>
  <c r="DD46" i="1" s="1"/>
  <c r="BV26" i="7" l="1"/>
  <c r="BW23" i="7"/>
  <c r="BL160" i="1"/>
  <c r="BL158" i="1"/>
  <c r="BL178" i="1"/>
  <c r="BL171" i="1"/>
  <c r="BL173" i="1" s="1"/>
  <c r="BL175" i="1" s="1"/>
  <c r="CV60" i="7"/>
  <c r="CV62" i="7" s="1"/>
  <c r="CR60" i="7"/>
  <c r="CR62" i="7" s="1"/>
  <c r="BO65" i="7"/>
  <c r="BO17" i="7" s="1"/>
  <c r="BO19" i="7" s="1"/>
  <c r="BO361" i="7"/>
  <c r="CI64" i="7"/>
  <c r="CI23" i="7"/>
  <c r="CI26" i="7" s="1"/>
  <c r="CI28" i="7" s="1"/>
  <c r="CJ60" i="7"/>
  <c r="CJ62" i="7" s="1"/>
  <c r="CF60" i="7"/>
  <c r="CF62" i="7" s="1"/>
  <c r="CE23" i="7"/>
  <c r="CE26" i="7" s="1"/>
  <c r="CE28" i="7" s="1"/>
  <c r="CE64" i="7"/>
  <c r="CM64" i="7"/>
  <c r="CN60" i="7"/>
  <c r="CN62" i="7" s="1"/>
  <c r="CM23" i="7"/>
  <c r="CM26" i="7" s="1"/>
  <c r="CM115" i="1" s="1"/>
  <c r="CA23" i="7"/>
  <c r="CC59" i="7"/>
  <c r="CA64" i="7"/>
  <c r="CB64" i="7" s="1"/>
  <c r="BM171" i="1"/>
  <c r="BM173" i="1" s="1"/>
  <c r="BM175" i="1" s="1"/>
  <c r="BM160" i="1"/>
  <c r="BM158" i="1"/>
  <c r="BM178" i="1"/>
  <c r="BS65" i="7"/>
  <c r="BS361" i="7"/>
  <c r="BQ59" i="7"/>
  <c r="BQ63" i="7" s="1"/>
  <c r="BP63" i="7"/>
  <c r="CD26" i="7"/>
  <c r="CD28" i="7"/>
  <c r="BT63" i="7"/>
  <c r="BU59" i="7"/>
  <c r="BX63" i="7"/>
  <c r="BY59" i="7"/>
  <c r="BQ28" i="7"/>
  <c r="BR26" i="7"/>
  <c r="BY11" i="7"/>
  <c r="BX13" i="7"/>
  <c r="DC143" i="56"/>
  <c r="DD139" i="56"/>
  <c r="DA25" i="59"/>
  <c r="DA39" i="59"/>
  <c r="DA27" i="59" s="1"/>
  <c r="DA32" i="14"/>
  <c r="DB18" i="14"/>
  <c r="DB19" i="14" s="1"/>
  <c r="DB155" i="56"/>
  <c r="DB169" i="56" s="1"/>
  <c r="DB33" i="56"/>
  <c r="DB146" i="56"/>
  <c r="DB147" i="56" s="1"/>
  <c r="DE122" i="56"/>
  <c r="DE132" i="56"/>
  <c r="DE133" i="56"/>
  <c r="DB38" i="59"/>
  <c r="DD180" i="56"/>
  <c r="DD134" i="56"/>
  <c r="CZ32" i="14"/>
  <c r="CZ39" i="59"/>
  <c r="CZ27" i="59" s="1"/>
  <c r="DA153" i="56"/>
  <c r="DA167" i="56" s="1"/>
  <c r="DA154" i="56"/>
  <c r="DA168" i="56" s="1"/>
  <c r="DA33" i="56"/>
  <c r="DA18" i="14"/>
  <c r="DA19" i="14" s="1"/>
  <c r="DA155" i="56"/>
  <c r="DA169" i="56" s="1"/>
  <c r="DC11" i="59"/>
  <c r="DC12" i="56"/>
  <c r="DB13" i="59"/>
  <c r="DB37" i="59"/>
  <c r="DE125" i="56"/>
  <c r="DE137" i="56"/>
  <c r="DE138" i="56"/>
  <c r="DF138" i="56" s="1"/>
  <c r="DE118" i="56"/>
  <c r="DD120" i="56"/>
  <c r="DD119" i="56"/>
  <c r="DD128" i="56"/>
  <c r="CU99" i="1"/>
  <c r="CT102" i="1"/>
  <c r="DE22" i="1"/>
  <c r="DD60" i="1"/>
  <c r="CZ47" i="1"/>
  <c r="DD35" i="1"/>
  <c r="DC36" i="1"/>
  <c r="DA17" i="11"/>
  <c r="DB10" i="11" s="1"/>
  <c r="DA24" i="11"/>
  <c r="CZ18" i="11"/>
  <c r="CZ25" i="11"/>
  <c r="CY18" i="11"/>
  <c r="CY25" i="11"/>
  <c r="DA11" i="11"/>
  <c r="DE48" i="1"/>
  <c r="DF48" i="1" s="1"/>
  <c r="DA60" i="7" l="1"/>
  <c r="DA62" i="7" s="1"/>
  <c r="CW60" i="7"/>
  <c r="CW62" i="7" s="1"/>
  <c r="BX65" i="7"/>
  <c r="BX361" i="7"/>
  <c r="CM27" i="7"/>
  <c r="CM28" i="7" s="1"/>
  <c r="CM151" i="1"/>
  <c r="CM154" i="1" s="1"/>
  <c r="CR23" i="7"/>
  <c r="CR26" i="7" s="1"/>
  <c r="CR115" i="1" s="1"/>
  <c r="CR64" i="7"/>
  <c r="CS60" i="7"/>
  <c r="CS62" i="7" s="1"/>
  <c r="BP65" i="7"/>
  <c r="BP17" i="7" s="1"/>
  <c r="BP361" i="7"/>
  <c r="BT361" i="7"/>
  <c r="BT65" i="7"/>
  <c r="BQ65" i="7"/>
  <c r="BQ17" i="7" s="1"/>
  <c r="BQ19" i="7" s="1"/>
  <c r="BQ361" i="7"/>
  <c r="BR361" i="7" s="1"/>
  <c r="CC63" i="7"/>
  <c r="CD59" i="7"/>
  <c r="BU63" i="7"/>
  <c r="BV59" i="7"/>
  <c r="BV63" i="7" s="1"/>
  <c r="CN23" i="7"/>
  <c r="CN26" i="7" s="1"/>
  <c r="CN115" i="1" s="1"/>
  <c r="CO60" i="7"/>
  <c r="CO62" i="7" s="1"/>
  <c r="CN64" i="7"/>
  <c r="CF64" i="7"/>
  <c r="CG64" i="7" s="1"/>
  <c r="CF23" i="7"/>
  <c r="CH59" i="7"/>
  <c r="BY63" i="7"/>
  <c r="BZ59" i="7"/>
  <c r="CA26" i="7"/>
  <c r="CB23" i="7"/>
  <c r="CJ64" i="7"/>
  <c r="CK60" i="7"/>
  <c r="CK62" i="7" s="1"/>
  <c r="CJ23" i="7"/>
  <c r="CJ26" i="7" s="1"/>
  <c r="CJ28" i="7" s="1"/>
  <c r="BV28" i="7"/>
  <c r="BW26" i="7"/>
  <c r="BZ11" i="7"/>
  <c r="BY13" i="7"/>
  <c r="DE139" i="56"/>
  <c r="DF139" i="56" s="1"/>
  <c r="DD143" i="56"/>
  <c r="DD11" i="59"/>
  <c r="DD12" i="56"/>
  <c r="DE181" i="56"/>
  <c r="DF133" i="56"/>
  <c r="DC155" i="56"/>
  <c r="DC169" i="56" s="1"/>
  <c r="DC33" i="56"/>
  <c r="DC18" i="14"/>
  <c r="DC19" i="14" s="1"/>
  <c r="DC146" i="56"/>
  <c r="DC147" i="56" s="1"/>
  <c r="DE134" i="56"/>
  <c r="DF134" i="56" s="1"/>
  <c r="DE180" i="56"/>
  <c r="DB32" i="14"/>
  <c r="DB39" i="59"/>
  <c r="DB27" i="59" s="1"/>
  <c r="DC37" i="59"/>
  <c r="DC13" i="59"/>
  <c r="DB33" i="14"/>
  <c r="DF132" i="56"/>
  <c r="DE120" i="56"/>
  <c r="DE119" i="56"/>
  <c r="DE128" i="56"/>
  <c r="DF137" i="56"/>
  <c r="DF124" i="56" s="1"/>
  <c r="CW99" i="1"/>
  <c r="CV99" i="1"/>
  <c r="CV102" i="1" s="1"/>
  <c r="CU102" i="1"/>
  <c r="DE60" i="1"/>
  <c r="DF60" i="1" s="1"/>
  <c r="DF22" i="1"/>
  <c r="DB47" i="1"/>
  <c r="DA47" i="1"/>
  <c r="DE35" i="1"/>
  <c r="DD36" i="1"/>
  <c r="DD37" i="1" s="1"/>
  <c r="DC37" i="1"/>
  <c r="DE46" i="1"/>
  <c r="DF46" i="1" s="1"/>
  <c r="DC10" i="11"/>
  <c r="DA25" i="11"/>
  <c r="DA18" i="11"/>
  <c r="DB24" i="11"/>
  <c r="DB11" i="11"/>
  <c r="BY65" i="7" l="1"/>
  <c r="BY361" i="7"/>
  <c r="BU65" i="7"/>
  <c r="BU361" i="7"/>
  <c r="CN151" i="1"/>
  <c r="CN154" i="1" s="1"/>
  <c r="CN27" i="7"/>
  <c r="CN28" i="7" s="1"/>
  <c r="CC361" i="7"/>
  <c r="CC65" i="7"/>
  <c r="CM59" i="7"/>
  <c r="CK64" i="7"/>
  <c r="CL64" i="7" s="1"/>
  <c r="CK23" i="7"/>
  <c r="BZ63" i="7"/>
  <c r="CA59" i="7"/>
  <c r="CA63" i="7" s="1"/>
  <c r="BV361" i="7"/>
  <c r="BW361" i="7" s="1"/>
  <c r="BV65" i="7"/>
  <c r="CR27" i="7"/>
  <c r="CH63" i="7"/>
  <c r="CI59" i="7"/>
  <c r="CP60" i="7"/>
  <c r="CP62" i="7" s="1"/>
  <c r="CO64" i="7"/>
  <c r="CO23" i="7"/>
  <c r="CO26" i="7" s="1"/>
  <c r="CO115" i="1" s="1"/>
  <c r="CE59" i="7"/>
  <c r="CD63" i="7"/>
  <c r="BP19" i="7"/>
  <c r="BR17" i="7"/>
  <c r="CX60" i="7"/>
  <c r="CX62" i="7" s="1"/>
  <c r="CW64" i="7"/>
  <c r="CW23" i="7"/>
  <c r="CW26" i="7" s="1"/>
  <c r="CW115" i="1" s="1"/>
  <c r="CW27" i="7" s="1"/>
  <c r="CA28" i="7"/>
  <c r="CB26" i="7"/>
  <c r="CF26" i="7"/>
  <c r="CG23" i="7"/>
  <c r="CS23" i="7"/>
  <c r="CS26" i="7" s="1"/>
  <c r="CS115" i="1" s="1"/>
  <c r="CT60" i="7"/>
  <c r="CT62" i="7" s="1"/>
  <c r="CS64" i="7"/>
  <c r="DB60" i="7"/>
  <c r="DB62" i="7" s="1"/>
  <c r="DF60" i="7"/>
  <c r="DF62" i="7" s="1"/>
  <c r="DF143" i="56"/>
  <c r="BZ13" i="7"/>
  <c r="CA11" i="7"/>
  <c r="DD33" i="56"/>
  <c r="DD155" i="56"/>
  <c r="DD169" i="56" s="1"/>
  <c r="DD18" i="14"/>
  <c r="DD19" i="14" s="1"/>
  <c r="DD146" i="56"/>
  <c r="DD147" i="56" s="1"/>
  <c r="DD13" i="59"/>
  <c r="DD37" i="59"/>
  <c r="DC32" i="14"/>
  <c r="DC39" i="59"/>
  <c r="DC27" i="59" s="1"/>
  <c r="DF121" i="56"/>
  <c r="DF122" i="56" s="1"/>
  <c r="DE11" i="59"/>
  <c r="DE12" i="56"/>
  <c r="DF180" i="56"/>
  <c r="DE12" i="59"/>
  <c r="DF181" i="56"/>
  <c r="DE143" i="56"/>
  <c r="DF125" i="56"/>
  <c r="CX99" i="1"/>
  <c r="CW102" i="1"/>
  <c r="DC47" i="1"/>
  <c r="DE36" i="1"/>
  <c r="DF36" i="1" s="1"/>
  <c r="DF35" i="1"/>
  <c r="DC11" i="11"/>
  <c r="DC24" i="11"/>
  <c r="DB18" i="11"/>
  <c r="DB25" i="11"/>
  <c r="DE10" i="11"/>
  <c r="DD10" i="11"/>
  <c r="DB64" i="7" l="1"/>
  <c r="DB23" i="7"/>
  <c r="DB26" i="7" s="1"/>
  <c r="DB115" i="1" s="1"/>
  <c r="DB27" i="7" s="1"/>
  <c r="DC60" i="7"/>
  <c r="DC62" i="7" s="1"/>
  <c r="BZ361" i="7"/>
  <c r="BZ65" i="7"/>
  <c r="CG26" i="7"/>
  <c r="CF28" i="7"/>
  <c r="CD361" i="7"/>
  <c r="CD65" i="7"/>
  <c r="CP64" i="7"/>
  <c r="CQ64" i="7" s="1"/>
  <c r="CR59" i="7"/>
  <c r="CP23" i="7"/>
  <c r="CL23" i="7"/>
  <c r="CK26" i="7"/>
  <c r="CU60" i="7"/>
  <c r="CU62" i="7" s="1"/>
  <c r="CT23" i="7"/>
  <c r="CT26" i="7" s="1"/>
  <c r="CT115" i="1" s="1"/>
  <c r="CT64" i="7"/>
  <c r="CY60" i="7"/>
  <c r="CY62" i="7" s="1"/>
  <c r="CX23" i="7"/>
  <c r="CX26" i="7" s="1"/>
  <c r="CX115" i="1" s="1"/>
  <c r="CX64" i="7"/>
  <c r="CE63" i="7"/>
  <c r="CF59" i="7"/>
  <c r="CF63" i="7" s="1"/>
  <c r="CI63" i="7"/>
  <c r="CJ59" i="7"/>
  <c r="CS151" i="1"/>
  <c r="CS154" i="1" s="1"/>
  <c r="CS27" i="7"/>
  <c r="CO27" i="7"/>
  <c r="CO28" i="7" s="1"/>
  <c r="CO151" i="1"/>
  <c r="CO154" i="1" s="1"/>
  <c r="CH65" i="7"/>
  <c r="CH361" i="7"/>
  <c r="CA65" i="7"/>
  <c r="CA361" i="7"/>
  <c r="CB361" i="7" s="1"/>
  <c r="CM63" i="7"/>
  <c r="CN59" i="7"/>
  <c r="CA13" i="7"/>
  <c r="CC11" i="7"/>
  <c r="DF146" i="56"/>
  <c r="DF147" i="56" s="1"/>
  <c r="DE13" i="59"/>
  <c r="DF13" i="59" s="1"/>
  <c r="DE37" i="59"/>
  <c r="DF118" i="56"/>
  <c r="DF128" i="56" s="1"/>
  <c r="DE38" i="59"/>
  <c r="DF12" i="59"/>
  <c r="DF11" i="59"/>
  <c r="DD32" i="14"/>
  <c r="DD39" i="59"/>
  <c r="DD27" i="59" s="1"/>
  <c r="DE155" i="56"/>
  <c r="DE169" i="56" s="1"/>
  <c r="DE18" i="14"/>
  <c r="DE19" i="14" s="1"/>
  <c r="DE33" i="56"/>
  <c r="DE146" i="56"/>
  <c r="DE147" i="56" s="1"/>
  <c r="DF12" i="56"/>
  <c r="CX102" i="1"/>
  <c r="CY99" i="1"/>
  <c r="DD47" i="1"/>
  <c r="DE37" i="1"/>
  <c r="DF37" i="1" s="1"/>
  <c r="DD24" i="11"/>
  <c r="DD11" i="11"/>
  <c r="DF10" i="11"/>
  <c r="DE24" i="11"/>
  <c r="DE11" i="11"/>
  <c r="DC18" i="11"/>
  <c r="DC25" i="11"/>
  <c r="CM65" i="7" l="1"/>
  <c r="CM361" i="7"/>
  <c r="CK59" i="7"/>
  <c r="CK63" i="7" s="1"/>
  <c r="CJ63" i="7"/>
  <c r="CT151" i="1"/>
  <c r="CT154" i="1" s="1"/>
  <c r="CT27" i="7"/>
  <c r="CP26" i="7"/>
  <c r="CQ23" i="7"/>
  <c r="CI65" i="7"/>
  <c r="CI361" i="7"/>
  <c r="CX151" i="1"/>
  <c r="CX154" i="1" s="1"/>
  <c r="CX27" i="7"/>
  <c r="CW59" i="7"/>
  <c r="CU64" i="7"/>
  <c r="CV64" i="7" s="1"/>
  <c r="CU23" i="7"/>
  <c r="CS59" i="7"/>
  <c r="CR63" i="7"/>
  <c r="DC23" i="7"/>
  <c r="DC26" i="7" s="1"/>
  <c r="DC115" i="1" s="1"/>
  <c r="DD60" i="7"/>
  <c r="DD62" i="7" s="1"/>
  <c r="DC64" i="7"/>
  <c r="CO59" i="7"/>
  <c r="CN63" i="7"/>
  <c r="CF65" i="7"/>
  <c r="CF361" i="7"/>
  <c r="CG361" i="7" s="1"/>
  <c r="CY64" i="7"/>
  <c r="CY23" i="7"/>
  <c r="CY26" i="7" s="1"/>
  <c r="CY115" i="1" s="1"/>
  <c r="CZ60" i="7"/>
  <c r="CZ62" i="7" s="1"/>
  <c r="CL26" i="7"/>
  <c r="CK28" i="7"/>
  <c r="CE361" i="7"/>
  <c r="CE65" i="7"/>
  <c r="CC13" i="7"/>
  <c r="CD11" i="7"/>
  <c r="DF119" i="56"/>
  <c r="DE39" i="59"/>
  <c r="DE27" i="59" s="1"/>
  <c r="DE32" i="14"/>
  <c r="DF154" i="56"/>
  <c r="DF168" i="56" s="1"/>
  <c r="DF153" i="56"/>
  <c r="DF167" i="56" s="1"/>
  <c r="DF33" i="56"/>
  <c r="DF155" i="56"/>
  <c r="DF169" i="56" s="1"/>
  <c r="DF18" i="14"/>
  <c r="DF19" i="14" s="1"/>
  <c r="DE33" i="14"/>
  <c r="DF38" i="59"/>
  <c r="DF37" i="59"/>
  <c r="CZ99" i="1"/>
  <c r="CY102" i="1"/>
  <c r="DE47" i="1"/>
  <c r="DD25" i="11"/>
  <c r="DD18" i="11"/>
  <c r="DF11" i="11"/>
  <c r="DE18" i="11"/>
  <c r="DE25" i="11"/>
  <c r="DF17" i="11"/>
  <c r="DA41" i="5"/>
  <c r="DF24" i="11"/>
  <c r="DC27" i="7" l="1"/>
  <c r="DC151" i="1"/>
  <c r="DC154" i="1" s="1"/>
  <c r="CT59" i="7"/>
  <c r="CS63" i="7"/>
  <c r="CJ65" i="7"/>
  <c r="CJ361" i="7"/>
  <c r="CZ64" i="7"/>
  <c r="DA64" i="7" s="1"/>
  <c r="CZ23" i="7"/>
  <c r="DB59" i="7"/>
  <c r="DE60" i="7"/>
  <c r="DE62" i="7" s="1"/>
  <c r="DD23" i="7"/>
  <c r="DD26" i="7" s="1"/>
  <c r="DD115" i="1" s="1"/>
  <c r="DD64" i="7"/>
  <c r="CU26" i="7"/>
  <c r="CV23" i="7"/>
  <c r="CQ26" i="7"/>
  <c r="CP115" i="1"/>
  <c r="CK65" i="7"/>
  <c r="CK361" i="7"/>
  <c r="CL361" i="7" s="1"/>
  <c r="CY151" i="1"/>
  <c r="CY154" i="1" s="1"/>
  <c r="CY27" i="7"/>
  <c r="CN65" i="7"/>
  <c r="CN361" i="7"/>
  <c r="CO63" i="7"/>
  <c r="CP59" i="7"/>
  <c r="CP63" i="7" s="1"/>
  <c r="CR65" i="7"/>
  <c r="CR361" i="7"/>
  <c r="CW63" i="7"/>
  <c r="CX59" i="7"/>
  <c r="CD13" i="7"/>
  <c r="CE11" i="7"/>
  <c r="DF32" i="14"/>
  <c r="DF25" i="59"/>
  <c r="DF39" i="59"/>
  <c r="DF27" i="59" s="1"/>
  <c r="DF26" i="59"/>
  <c r="DF33" i="14"/>
  <c r="DA99" i="1"/>
  <c r="DA102" i="1" s="1"/>
  <c r="CZ102" i="1"/>
  <c r="DB99" i="1"/>
  <c r="DF47" i="1"/>
  <c r="DF18" i="11"/>
  <c r="DF25" i="11"/>
  <c r="CY59" i="7" l="1"/>
  <c r="CX63" i="7"/>
  <c r="CP65" i="7"/>
  <c r="CP361" i="7"/>
  <c r="CQ361" i="7" s="1"/>
  <c r="CQ115" i="1"/>
  <c r="CP27" i="7"/>
  <c r="CP28" i="7" s="1"/>
  <c r="CP151" i="1"/>
  <c r="CZ26" i="7"/>
  <c r="DA23" i="7"/>
  <c r="CS361" i="7"/>
  <c r="CS65" i="7"/>
  <c r="CW65" i="7"/>
  <c r="CW361" i="7"/>
  <c r="CO65" i="7"/>
  <c r="CO361" i="7"/>
  <c r="DD27" i="7"/>
  <c r="DD151" i="1"/>
  <c r="DD154" i="1" s="1"/>
  <c r="CT63" i="7"/>
  <c r="CU59" i="7"/>
  <c r="CU63" i="7" s="1"/>
  <c r="DE64" i="7"/>
  <c r="DF64" i="7" s="1"/>
  <c r="DE23" i="7"/>
  <c r="CV26" i="7"/>
  <c r="CU115" i="1"/>
  <c r="DB63" i="7"/>
  <c r="DC59" i="7"/>
  <c r="CE13" i="7"/>
  <c r="CF11" i="7"/>
  <c r="DB102" i="1"/>
  <c r="DC99" i="1"/>
  <c r="CT65" i="7" l="1"/>
  <c r="CT361" i="7"/>
  <c r="DB361" i="7"/>
  <c r="DB65" i="7"/>
  <c r="CZ115" i="1"/>
  <c r="DA26" i="7"/>
  <c r="CU27" i="7"/>
  <c r="CU151" i="1"/>
  <c r="CV115" i="1"/>
  <c r="CW151" i="1" s="1"/>
  <c r="CW154" i="1" s="1"/>
  <c r="CU65" i="7"/>
  <c r="CU361" i="7"/>
  <c r="CV361" i="7" s="1"/>
  <c r="CQ151" i="1"/>
  <c r="CQ154" i="1" s="1"/>
  <c r="CP154" i="1"/>
  <c r="CX361" i="7"/>
  <c r="CX65" i="7"/>
  <c r="DC63" i="7"/>
  <c r="DD59" i="7"/>
  <c r="DF23" i="7"/>
  <c r="DE26" i="7"/>
  <c r="CR151" i="1"/>
  <c r="CR154" i="1" s="1"/>
  <c r="CY63" i="7"/>
  <c r="CZ59" i="7"/>
  <c r="CZ63" i="7" s="1"/>
  <c r="CH11" i="7"/>
  <c r="CF13" i="7"/>
  <c r="DD99" i="1"/>
  <c r="DC102" i="1"/>
  <c r="CZ361" i="7" l="1"/>
  <c r="DA361" i="7" s="1"/>
  <c r="CZ65" i="7"/>
  <c r="DE115" i="1"/>
  <c r="DF26" i="7"/>
  <c r="CY65" i="7"/>
  <c r="CY361" i="7"/>
  <c r="DD63" i="7"/>
  <c r="DE59" i="7"/>
  <c r="DE63" i="7" s="1"/>
  <c r="DA115" i="1"/>
  <c r="DB151" i="1" s="1"/>
  <c r="DB154" i="1" s="1"/>
  <c r="CZ151" i="1"/>
  <c r="CZ27" i="7"/>
  <c r="DC361" i="7"/>
  <c r="DC65" i="7"/>
  <c r="CU154" i="1"/>
  <c r="CV151" i="1"/>
  <c r="CV154" i="1" s="1"/>
  <c r="CH13" i="7"/>
  <c r="CI11" i="7"/>
  <c r="CI13" i="7" s="1"/>
  <c r="DD102" i="1"/>
  <c r="DE99" i="1"/>
  <c r="DD65" i="7" l="1"/>
  <c r="DD361" i="7"/>
  <c r="DF115" i="1"/>
  <c r="DE27" i="7"/>
  <c r="DE151" i="1"/>
  <c r="DE65" i="7"/>
  <c r="DE361" i="7"/>
  <c r="DF361" i="7" s="1"/>
  <c r="CZ154" i="1"/>
  <c r="DA151" i="1"/>
  <c r="DA154" i="1" s="1"/>
  <c r="DE102" i="1"/>
  <c r="DF99" i="1"/>
  <c r="DF102" i="1" s="1"/>
  <c r="DF151" i="1" l="1"/>
  <c r="DF154" i="1" s="1"/>
  <c r="DE154" i="1"/>
  <c r="CJ12" i="7"/>
  <c r="CJ1" i="59"/>
  <c r="CJ10" i="14"/>
  <c r="CJ11" i="14" s="1"/>
  <c r="CJ13" i="14"/>
  <c r="CJ15" i="14" s="1"/>
  <c r="CJ40" i="14"/>
  <c r="CJ42" i="14" s="1"/>
  <c r="CJ43" i="14" s="1"/>
  <c r="AU1" i="33"/>
  <c r="CJ193" i="1" l="1"/>
  <c r="CJ190" i="1"/>
  <c r="CJ178" i="1" l="1"/>
  <c r="CJ9" i="7" l="1"/>
  <c r="CK8" i="7" s="1"/>
  <c r="CJ11" i="7"/>
  <c r="CJ13" i="7" s="1"/>
  <c r="CL8" i="7" l="1"/>
  <c r="CJ125" i="1"/>
  <c r="CJ192" i="1"/>
  <c r="CC183" i="1"/>
  <c r="CB183" i="1"/>
  <c r="CV183" i="1"/>
  <c r="DD183" i="1"/>
  <c r="CM183" i="1"/>
  <c r="CR183" i="1"/>
  <c r="CY183" i="1"/>
  <c r="BI183" i="1"/>
  <c r="CG183" i="1"/>
  <c r="BM183" i="1"/>
  <c r="BH183" i="1"/>
  <c r="CP183" i="1"/>
  <c r="CH183" i="1"/>
  <c r="CU183" i="1"/>
  <c r="CZ183" i="1"/>
  <c r="CQ183" i="1"/>
  <c r="DC183" i="1"/>
  <c r="CX183" i="1"/>
  <c r="BJ183" i="1"/>
  <c r="BZ183" i="1"/>
  <c r="DE183" i="1"/>
  <c r="BG183" i="1"/>
  <c r="DA183" i="1"/>
  <c r="BF183" i="1"/>
  <c r="CS183" i="1"/>
  <c r="DF183" i="1"/>
  <c r="BV183" i="1"/>
  <c r="CK183" i="1"/>
  <c r="CA183" i="1"/>
  <c r="CN183" i="1"/>
  <c r="CD183" i="1"/>
  <c r="BT183" i="1"/>
  <c r="BK183" i="1"/>
  <c r="BE183" i="1"/>
  <c r="CT183" i="1"/>
  <c r="CO183" i="1"/>
  <c r="CL183" i="1"/>
  <c r="BU183" i="1"/>
  <c r="CF183" i="1"/>
  <c r="CW183" i="1"/>
  <c r="CJ183" i="1"/>
  <c r="DB183" i="1"/>
  <c r="BL183" i="1"/>
  <c r="CI183" i="1"/>
  <c r="BD183" i="1"/>
  <c r="BW183" i="1"/>
  <c r="CE183" i="1"/>
  <c r="BY183" i="1"/>
  <c r="BX183" i="1"/>
  <c r="BS183" i="1"/>
  <c r="CH176" i="1" l="1"/>
  <c r="BS176" i="1"/>
  <c r="BX176" i="1"/>
  <c r="BY176" i="1"/>
  <c r="BF176" i="1"/>
  <c r="BM176" i="1"/>
  <c r="CE176" i="1"/>
  <c r="CG176" i="1"/>
  <c r="BW176" i="1"/>
  <c r="BV176" i="1"/>
  <c r="BI176" i="1"/>
  <c r="BD176" i="1"/>
  <c r="CI176" i="1"/>
  <c r="BE176" i="1"/>
  <c r="BZ176" i="1"/>
  <c r="BL176" i="1"/>
  <c r="BK176" i="1"/>
  <c r="BJ176" i="1"/>
  <c r="BT176" i="1"/>
  <c r="CJ176" i="1"/>
  <c r="CD176" i="1"/>
  <c r="CB176" i="1"/>
  <c r="CF176" i="1"/>
  <c r="CA176" i="1"/>
  <c r="CC176" i="1"/>
  <c r="BU176" i="1"/>
  <c r="CJ56" i="1" l="1"/>
  <c r="CJ53" i="1" l="1"/>
  <c r="CJ54" i="1" l="1"/>
  <c r="CK51" i="1" s="1"/>
  <c r="CJ50" i="59" l="1"/>
  <c r="AU24" i="33"/>
  <c r="AZ24" i="33" s="1"/>
  <c r="AZ23" i="33" l="1"/>
  <c r="CC11" i="57"/>
  <c r="CC10" i="57" s="1"/>
  <c r="AZ25" i="33"/>
  <c r="CH11" i="57" l="1"/>
  <c r="CH10" i="57" s="1"/>
  <c r="CM11" i="57" l="1"/>
  <c r="CM10" i="57" s="1"/>
  <c r="CR11" i="57" l="1"/>
  <c r="CR10" i="57" s="1"/>
  <c r="CD65" i="66" l="1"/>
  <c r="CE65" i="66"/>
  <c r="CD68" i="66"/>
  <c r="CE68" i="66"/>
  <c r="CD70" i="66"/>
  <c r="CE70" i="66"/>
  <c r="CN68" i="66" l="1"/>
  <c r="CO68" i="66"/>
  <c r="CK12" i="7"/>
  <c r="CK1" i="59"/>
  <c r="CL11" i="1" l="1"/>
  <c r="CL12" i="1"/>
  <c r="CL15" i="1"/>
  <c r="CL19" i="1"/>
  <c r="CL23" i="1"/>
  <c r="CL25" i="1"/>
  <c r="CL69" i="1" s="1"/>
  <c r="CL27" i="1"/>
  <c r="CL28" i="1"/>
  <c r="CL86" i="1" s="1"/>
  <c r="CL41" i="1"/>
  <c r="CL61" i="1"/>
  <c r="CL74" i="1" s="1"/>
  <c r="CL73" i="1"/>
  <c r="CL75" i="1"/>
  <c r="CL79" i="1"/>
  <c r="CL81" i="1"/>
  <c r="CL97" i="1"/>
  <c r="CL127" i="1" s="1"/>
  <c r="CL111" i="1"/>
  <c r="CL121" i="1"/>
  <c r="CL139" i="1"/>
  <c r="CK163" i="1"/>
  <c r="CK167" i="1"/>
  <c r="CK190" i="1"/>
  <c r="CL190" i="1" s="1"/>
  <c r="CL42" i="5"/>
  <c r="CK10" i="14"/>
  <c r="CK11" i="14" s="1"/>
  <c r="CK13" i="14"/>
  <c r="CK15" i="14" s="1"/>
  <c r="CK40" i="14"/>
  <c r="CK42" i="14" s="1"/>
  <c r="CK43" i="14" s="1"/>
  <c r="CL40" i="14"/>
  <c r="CL42" i="14" s="1"/>
  <c r="CL43" i="14" s="1"/>
  <c r="AV1" i="33"/>
  <c r="AW1" i="33" l="1"/>
  <c r="CL130" i="1"/>
  <c r="CL85" i="1"/>
  <c r="CL39" i="1"/>
  <c r="CL110" i="1"/>
  <c r="CK193" i="1"/>
  <c r="CL98" i="1"/>
  <c r="CL13" i="1"/>
  <c r="CL72" i="1"/>
  <c r="CL14" i="1"/>
  <c r="CL1" i="59"/>
  <c r="BP42" i="66"/>
  <c r="BV42" i="66"/>
  <c r="CC42" i="66" s="1"/>
  <c r="CM65" i="66"/>
  <c r="CM67" i="66"/>
  <c r="CK165" i="1" l="1"/>
  <c r="CK166" i="1" s="1"/>
  <c r="CK168" i="1" s="1"/>
  <c r="CL141" i="1"/>
  <c r="CL117" i="1"/>
  <c r="CL129" i="1"/>
  <c r="CL193" i="1"/>
  <c r="CL67" i="59"/>
  <c r="CL66" i="59"/>
  <c r="CL68" i="59"/>
  <c r="CL75" i="59"/>
  <c r="CL65" i="1"/>
  <c r="CL80" i="1"/>
  <c r="CL16" i="1"/>
  <c r="CL10" i="14"/>
  <c r="CL11" i="14" s="1"/>
  <c r="CO65" i="66"/>
  <c r="CN65" i="66"/>
  <c r="CN67" i="66"/>
  <c r="CO67" i="66"/>
  <c r="CK160" i="1" l="1"/>
  <c r="CK171" i="1"/>
  <c r="CK178" i="1"/>
  <c r="CL165" i="1"/>
  <c r="CL143" i="1"/>
  <c r="CL21" i="1"/>
  <c r="CL83" i="1"/>
  <c r="CL59" i="1"/>
  <c r="CL167" i="1"/>
  <c r="CL67" i="1"/>
  <c r="CL62" i="1" l="1"/>
  <c r="CL160" i="1" s="1"/>
  <c r="CM70" i="66"/>
  <c r="BV55" i="66"/>
  <c r="CC55" i="66" s="1"/>
  <c r="BP55" i="66"/>
  <c r="CL171" i="1"/>
  <c r="CL173" i="1" s="1"/>
  <c r="CL175" i="1" s="1"/>
  <c r="CL176" i="1" s="1"/>
  <c r="CL178" i="1"/>
  <c r="CK173" i="1"/>
  <c r="CL76" i="1"/>
  <c r="CL68" i="1"/>
  <c r="CL84" i="1"/>
  <c r="CK175" i="1" l="1"/>
  <c r="CK176" i="1" s="1"/>
  <c r="BP47" i="66"/>
  <c r="BV47" i="66"/>
  <c r="CC47" i="66" s="1"/>
  <c r="CL82" i="1"/>
  <c r="CL66" i="1"/>
  <c r="CL163" i="1"/>
  <c r="CL132" i="1"/>
  <c r="CL134" i="1"/>
  <c r="CL13" i="14"/>
  <c r="BP52" i="66"/>
  <c r="BV52" i="66"/>
  <c r="CC52" i="66" s="1"/>
  <c r="CN70" i="66"/>
  <c r="CO70" i="66"/>
  <c r="BV48" i="66" l="1"/>
  <c r="CC48" i="66" s="1"/>
  <c r="BP48" i="66"/>
  <c r="CL15" i="14"/>
  <c r="CL166" i="1"/>
  <c r="CL168" i="1" s="1"/>
  <c r="CK9" i="7" l="1"/>
  <c r="CM8" i="7" s="1"/>
  <c r="CK11" i="7"/>
  <c r="CK13" i="7" s="1"/>
  <c r="CL96" i="1"/>
  <c r="CL107" i="1" s="1"/>
  <c r="CL122" i="1"/>
  <c r="CL123" i="1" s="1"/>
  <c r="CM122" i="1"/>
  <c r="CN122" i="1" s="1"/>
  <c r="CO122" i="1" s="1"/>
  <c r="CP122" i="1" s="1"/>
  <c r="CK192" i="1"/>
  <c r="CL9" i="7" l="1"/>
  <c r="CL131" i="1"/>
  <c r="CL133" i="1"/>
  <c r="CL124" i="1"/>
  <c r="CL125" i="1" s="1"/>
  <c r="CL135" i="1"/>
  <c r="CR122" i="1"/>
  <c r="CS122" i="1" s="1"/>
  <c r="CT122" i="1" s="1"/>
  <c r="CU122" i="1" s="1"/>
  <c r="CQ122" i="1"/>
  <c r="CL192" i="1"/>
  <c r="CV122" i="1" l="1"/>
  <c r="CW122" i="1"/>
  <c r="CX122" i="1" s="1"/>
  <c r="CY122" i="1" s="1"/>
  <c r="CZ122" i="1" s="1"/>
  <c r="DA122" i="1" l="1"/>
  <c r="DB122" i="1"/>
  <c r="DC122" i="1" s="1"/>
  <c r="DD122" i="1" s="1"/>
  <c r="DE122" i="1" s="1"/>
  <c r="DF122" i="1" s="1"/>
  <c r="CK56" i="1"/>
  <c r="CL56" i="1" s="1"/>
  <c r="CL152" i="1"/>
  <c r="CL154" i="1" s="1"/>
  <c r="CL158" i="1" s="1"/>
  <c r="CK53" i="1" l="1"/>
  <c r="CL53" i="1" l="1"/>
  <c r="CK54" i="1"/>
  <c r="CM51" i="1" s="1"/>
  <c r="CM54" i="1" s="1"/>
  <c r="CN51" i="1" s="1"/>
  <c r="CN54" i="1" s="1"/>
  <c r="CO51" i="1" s="1"/>
  <c r="CO54" i="1" s="1"/>
  <c r="CP51" i="1" s="1"/>
  <c r="CP54" i="1" s="1"/>
  <c r="CR51" i="1" s="1"/>
  <c r="CR54" i="1" s="1"/>
  <c r="CS51" i="1" s="1"/>
  <c r="CS54" i="1" s="1"/>
  <c r="CT51" i="1" s="1"/>
  <c r="CT54" i="1" s="1"/>
  <c r="CU51" i="1" s="1"/>
  <c r="CU54" i="1" s="1"/>
  <c r="CW51" i="1" s="1"/>
  <c r="CW54" i="1" s="1"/>
  <c r="CX51" i="1" s="1"/>
  <c r="CX54" i="1" s="1"/>
  <c r="CY51" i="1" s="1"/>
  <c r="CY54" i="1" s="1"/>
  <c r="CZ51" i="1" s="1"/>
  <c r="CZ54" i="1" s="1"/>
  <c r="DB51" i="1" s="1"/>
  <c r="DB54" i="1" s="1"/>
  <c r="DC51" i="1" s="1"/>
  <c r="DC54" i="1" s="1"/>
  <c r="DD51" i="1" s="1"/>
  <c r="DD54" i="1" s="1"/>
  <c r="DE51" i="1" s="1"/>
  <c r="DE54" i="1" s="1"/>
  <c r="CK50" i="59"/>
  <c r="CL9" i="5"/>
  <c r="CL50" i="59" l="1"/>
  <c r="BC24" i="11"/>
  <c r="BC41" i="5"/>
  <c r="BC17" i="11"/>
  <c r="BH24" i="11"/>
  <c r="BL86" i="1"/>
  <c r="BG86" i="1"/>
  <c r="BG1" i="59"/>
  <c r="BG1" i="56"/>
  <c r="R1" i="33"/>
  <c r="BG1" i="5"/>
  <c r="BC10" i="11"/>
  <c r="BB17" i="11"/>
  <c r="BB24" i="11"/>
  <c r="BG24" i="11"/>
  <c r="BH1" i="56"/>
  <c r="BM86" i="1"/>
  <c r="BH1" i="59"/>
  <c r="BH86" i="1"/>
  <c r="BH1" i="5"/>
  <c r="S1" i="33"/>
  <c r="CT42" i="66"/>
  <c r="CM86" i="1"/>
  <c r="CM1" i="59"/>
  <c r="AX1" i="33"/>
  <c r="CL70" i="59"/>
  <c r="CL58" i="59"/>
  <c r="CL29" i="59"/>
  <c r="CL35" i="14"/>
  <c r="DF35" i="14"/>
  <c r="DF70" i="59"/>
  <c r="DF58" i="59"/>
  <c r="DF29" i="59"/>
  <c r="BM30" i="59"/>
  <c r="BM59" i="59"/>
  <c r="BM36" i="14"/>
  <c r="BM71" i="59"/>
  <c r="CG71" i="59"/>
  <c r="CG30" i="59"/>
  <c r="CG59" i="59"/>
  <c r="CG36" i="14"/>
  <c r="DA36" i="14"/>
  <c r="DA71" i="59"/>
  <c r="DA30" i="59"/>
  <c r="DA59" i="59"/>
  <c r="BO23" i="11"/>
  <c r="BT23" i="11"/>
  <c r="BO16" i="11"/>
  <c r="BU60" i="59"/>
  <c r="BU32" i="59"/>
  <c r="BU72" i="59"/>
  <c r="DB70" i="59"/>
  <c r="DB58" i="59"/>
  <c r="DB35" i="14"/>
  <c r="DB32" i="59"/>
  <c r="DB72" i="59"/>
  <c r="DB60" i="59"/>
  <c r="CQ35" i="14"/>
  <c r="CQ70" i="59"/>
  <c r="CQ29" i="59"/>
  <c r="CQ58" i="59"/>
  <c r="BC71" i="59"/>
  <c r="BC30" i="59"/>
  <c r="BC36" i="14"/>
  <c r="BC59" i="59"/>
  <c r="DF59" i="59"/>
  <c r="DF30" i="59"/>
  <c r="DF71" i="59"/>
  <c r="DF36" i="14"/>
  <c r="CZ31" i="59"/>
  <c r="CZ73" i="59"/>
  <c r="CZ61" i="59"/>
  <c r="CL32" i="59"/>
  <c r="CL60" i="59"/>
  <c r="CL72" i="59"/>
  <c r="BC42" i="59"/>
  <c r="AY59" i="59"/>
  <c r="AY71" i="59"/>
  <c r="AY36" i="14"/>
  <c r="CG29" i="59"/>
  <c r="CG35" i="14"/>
  <c r="CG70" i="59"/>
  <c r="CG58" i="59"/>
  <c r="AX71" i="59"/>
  <c r="AX30" i="59"/>
  <c r="AX59" i="59"/>
  <c r="AX36" i="14"/>
  <c r="BW71" i="59"/>
  <c r="BW59" i="59"/>
  <c r="BW30" i="59"/>
  <c r="BW36" i="14"/>
  <c r="CV36" i="14"/>
  <c r="CV30" i="59"/>
  <c r="CV71" i="59"/>
  <c r="CV59" i="59"/>
  <c r="BP61" i="59"/>
  <c r="BP73" i="59"/>
  <c r="BP31" i="59"/>
  <c r="AX70" i="59"/>
  <c r="AX58" i="59"/>
  <c r="AX35" i="14"/>
  <c r="DE60" i="59"/>
  <c r="DE32" i="59"/>
  <c r="DE72" i="59"/>
  <c r="CB59" i="59"/>
  <c r="CB36" i="14"/>
  <c r="CB71" i="59"/>
  <c r="CB30" i="59"/>
  <c r="CT73" i="59"/>
  <c r="CT31" i="59"/>
  <c r="CT61" i="59"/>
  <c r="BY73" i="59"/>
  <c r="BY61" i="59"/>
  <c r="BY31" i="59"/>
  <c r="CD60" i="59"/>
  <c r="CD72" i="59"/>
  <c r="CD32" i="59"/>
  <c r="BW61" i="59"/>
  <c r="BW73" i="59"/>
  <c r="BW31" i="59"/>
  <c r="BU73" i="59"/>
  <c r="BU31" i="59"/>
  <c r="BU61" i="59"/>
  <c r="BR70" i="59"/>
  <c r="BR58" i="59"/>
  <c r="BR35" i="14"/>
  <c r="BW18" i="11"/>
  <c r="CB25" i="11"/>
  <c r="BW25" i="11"/>
  <c r="CC72" i="59"/>
  <c r="CC60" i="59"/>
  <c r="CC32" i="59"/>
  <c r="CB29" i="59"/>
  <c r="CB35" i="14"/>
  <c r="CB58" i="59"/>
  <c r="CB70" i="59"/>
  <c r="BS18" i="11"/>
  <c r="BS25" i="11"/>
  <c r="BX25" i="11"/>
  <c r="BX59" i="59"/>
  <c r="BX36" i="14"/>
  <c r="BX71" i="59"/>
  <c r="CB42" i="59"/>
  <c r="DB73" i="59"/>
  <c r="DB61" i="59"/>
  <c r="DB31" i="59"/>
  <c r="BB15" i="11"/>
  <c r="BB22" i="11"/>
  <c r="BG22" i="11"/>
  <c r="CP32" i="59"/>
  <c r="CP72" i="59"/>
  <c r="CP60" i="59"/>
  <c r="CO61" i="59"/>
  <c r="CO31" i="59"/>
  <c r="CO73" i="59"/>
  <c r="BW16" i="11"/>
  <c r="BW11" i="11"/>
  <c r="CB23" i="11"/>
  <c r="BW23" i="11"/>
  <c r="BO73" i="59"/>
  <c r="BO31" i="59"/>
  <c r="BO61" i="59"/>
  <c r="BO32" i="59"/>
  <c r="BO72" i="59"/>
  <c r="BO60" i="59"/>
  <c r="BR71" i="59"/>
  <c r="BR36" i="14"/>
  <c r="BR59" i="59"/>
  <c r="BR30" i="59"/>
  <c r="CW59" i="59"/>
  <c r="CW36" i="14"/>
  <c r="CW71" i="59"/>
  <c r="DA42" i="59"/>
  <c r="CH60" i="59"/>
  <c r="CH72" i="59"/>
  <c r="CH32" i="59"/>
  <c r="CL44" i="59"/>
  <c r="BQ61" i="59"/>
  <c r="BQ73" i="59"/>
  <c r="BQ31" i="59"/>
  <c r="CJ60" i="59"/>
  <c r="CJ72" i="59"/>
  <c r="CJ32" i="59"/>
  <c r="CP31" i="59"/>
  <c r="CP61" i="59"/>
  <c r="CP73" i="59"/>
  <c r="BC22" i="11"/>
  <c r="BC15" i="11"/>
  <c r="BC7" i="11"/>
  <c r="BH22" i="11"/>
  <c r="DF72" i="59"/>
  <c r="DF60" i="59"/>
  <c r="DF44" i="59"/>
  <c r="DF32" i="59"/>
  <c r="BV22" i="11"/>
  <c r="CA22" i="11"/>
  <c r="BV15" i="11"/>
  <c r="CU61" i="59"/>
  <c r="CU31" i="59"/>
  <c r="CU73" i="59"/>
  <c r="BW15" i="11"/>
  <c r="BW22" i="11"/>
  <c r="CB22" i="11"/>
  <c r="BW9" i="11"/>
  <c r="CI32" i="59"/>
  <c r="CI72" i="59"/>
  <c r="CI60" i="59"/>
  <c r="AZ1" i="33"/>
  <c r="CO86" i="1"/>
  <c r="CO1" i="59"/>
  <c r="CA25" i="11"/>
  <c r="BV18" i="11"/>
  <c r="BV25" i="11"/>
  <c r="CC73" i="59"/>
  <c r="CC61" i="59"/>
  <c r="CC31" i="59"/>
  <c r="BW43" i="59"/>
  <c r="BW70" i="59"/>
  <c r="BW35" i="14"/>
  <c r="BW58" i="59"/>
  <c r="BW29" i="59"/>
  <c r="CU72" i="59"/>
  <c r="CU60" i="59"/>
  <c r="CU32" i="59"/>
  <c r="BN58" i="59"/>
  <c r="BN70" i="59"/>
  <c r="BN35" i="14"/>
  <c r="CL31" i="59"/>
  <c r="CL73" i="59"/>
  <c r="CL43" i="59"/>
  <c r="CL61" i="59"/>
  <c r="DF73" i="59"/>
  <c r="DF61" i="59"/>
  <c r="DF41" i="59"/>
  <c r="DF43" i="59"/>
  <c r="DF31" i="59"/>
  <c r="BD73" i="59"/>
  <c r="BD61" i="59"/>
  <c r="AY48" i="59"/>
  <c r="AY54" i="59"/>
  <c r="AY55" i="59"/>
  <c r="AY56" i="59"/>
  <c r="AY51" i="59"/>
  <c r="AY63" i="59"/>
  <c r="AY60" i="59"/>
  <c r="BS55" i="59"/>
  <c r="BS63" i="59"/>
  <c r="BS56" i="59"/>
  <c r="BS54" i="59"/>
  <c r="BS48" i="59"/>
  <c r="CA24" i="11"/>
  <c r="BV17" i="11"/>
  <c r="BV24" i="11"/>
  <c r="CT72" i="59"/>
  <c r="CT60" i="59"/>
  <c r="CT32" i="59"/>
  <c r="AY70" i="59"/>
  <c r="AY35" i="14"/>
  <c r="AY58" i="59"/>
  <c r="BB16" i="11"/>
  <c r="BG23" i="11"/>
  <c r="BB23" i="11"/>
  <c r="BM58" i="59"/>
  <c r="BM35" i="14"/>
  <c r="BM70" i="59"/>
  <c r="BS22" i="11"/>
  <c r="BW7" i="11"/>
  <c r="BX22" i="11"/>
  <c r="CM42" i="66"/>
  <c r="BB1" i="33"/>
  <c r="CQ1" i="59"/>
  <c r="CQ28" i="1"/>
  <c r="CQ86" i="1"/>
  <c r="BX24" i="11"/>
  <c r="BS11" i="11"/>
  <c r="BS24" i="11"/>
  <c r="DE73" i="59"/>
  <c r="DE61" i="59"/>
  <c r="DE31" i="59"/>
  <c r="CO60" i="59"/>
  <c r="CO72" i="59"/>
  <c r="CO32" i="59"/>
  <c r="BR17" i="11"/>
  <c r="BR24" i="11"/>
  <c r="BV73" i="59"/>
  <c r="BV61" i="59"/>
  <c r="BV31" i="59"/>
  <c r="BH25" i="11"/>
  <c r="BC18" i="11"/>
  <c r="BC25" i="11"/>
  <c r="DB12" i="7"/>
  <c r="DF19" i="1"/>
  <c r="BS19" i="7"/>
  <c r="BW17" i="7"/>
  <c r="CH58" i="59"/>
  <c r="CH35" i="14"/>
  <c r="CL41" i="59"/>
  <c r="CH70" i="59"/>
  <c r="CP1" i="59"/>
  <c r="BA1" i="33"/>
  <c r="CP86" i="1"/>
  <c r="BB25" i="11"/>
  <c r="BB18" i="11"/>
  <c r="BC11" i="11"/>
  <c r="BB11" i="11"/>
  <c r="BG25" i="11"/>
  <c r="BC61" i="59"/>
  <c r="BC73" i="59"/>
  <c r="BK70" i="59"/>
  <c r="BK35" i="14"/>
  <c r="BK58" i="59"/>
  <c r="CN61" i="59"/>
  <c r="CN73" i="59"/>
  <c r="CN31" i="59"/>
  <c r="BV23" i="11"/>
  <c r="BV16" i="11"/>
  <c r="BV11" i="11"/>
  <c r="BV7" i="11"/>
  <c r="BV9" i="11"/>
  <c r="CA23" i="11"/>
  <c r="BO17" i="11"/>
  <c r="BO24" i="11"/>
  <c r="BT24" i="11"/>
  <c r="BD71" i="59"/>
  <c r="BD59" i="59"/>
  <c r="BD36" i="14"/>
  <c r="CE70" i="59"/>
  <c r="CE58" i="59"/>
  <c r="CE35" i="14"/>
  <c r="CH61" i="59"/>
  <c r="CH31" i="59"/>
  <c r="CH73" i="59"/>
  <c r="BT25" i="7"/>
  <c r="BT362" i="7"/>
  <c r="CM55" i="59"/>
  <c r="CM51" i="59"/>
  <c r="CM56" i="59"/>
  <c r="CM63" i="59"/>
  <c r="CM48" i="59"/>
  <c r="CM54" i="59"/>
  <c r="CM72" i="59"/>
  <c r="CM32" i="59"/>
  <c r="CM60" i="59"/>
  <c r="AO56" i="59"/>
  <c r="AO48" i="59"/>
  <c r="AO59" i="59"/>
  <c r="AO61" i="59"/>
  <c r="AO55" i="59"/>
  <c r="AO63" i="59"/>
  <c r="AO54" i="59"/>
  <c r="AO58" i="59"/>
  <c r="AS59" i="59"/>
  <c r="AS48" i="59"/>
  <c r="AS58" i="59"/>
  <c r="AS63" i="59"/>
  <c r="AS54" i="59"/>
  <c r="AS61" i="59"/>
  <c r="AS55" i="59"/>
  <c r="AS47" i="59"/>
  <c r="AS56" i="59"/>
  <c r="AW60" i="59"/>
  <c r="AW56" i="59"/>
  <c r="AW54" i="59"/>
  <c r="AW55" i="59"/>
  <c r="AW63" i="59"/>
  <c r="AW48" i="59"/>
  <c r="BA51" i="59"/>
  <c r="BA48" i="59"/>
  <c r="BA60" i="59"/>
  <c r="BA55" i="59"/>
  <c r="BA63" i="59"/>
  <c r="BA56" i="59"/>
  <c r="BA54" i="59"/>
  <c r="BD58" i="59"/>
  <c r="BD70" i="59"/>
  <c r="BD35" i="14"/>
  <c r="BE59" i="59"/>
  <c r="BE56" i="59"/>
  <c r="BE48" i="59"/>
  <c r="BE63" i="59"/>
  <c r="BE55" i="59"/>
  <c r="BE51" i="59"/>
  <c r="BE58" i="59"/>
  <c r="BE54" i="59"/>
  <c r="BE61" i="59"/>
  <c r="BI63" i="59"/>
  <c r="BI56" i="59"/>
  <c r="BI54" i="59"/>
  <c r="BI60" i="59"/>
  <c r="BI48" i="59"/>
  <c r="BI55" i="59"/>
  <c r="BM63" i="59"/>
  <c r="BM48" i="59"/>
  <c r="BM56" i="59"/>
  <c r="BM55" i="59"/>
  <c r="BM60" i="59"/>
  <c r="BM47" i="59"/>
  <c r="BM54" i="59"/>
  <c r="BQ55" i="59"/>
  <c r="BQ63" i="59"/>
  <c r="BQ51" i="59"/>
  <c r="BQ56" i="59"/>
  <c r="BQ54" i="59"/>
  <c r="BQ47" i="59"/>
  <c r="BQ48" i="59"/>
  <c r="BU48" i="59"/>
  <c r="BU54" i="59"/>
  <c r="BU55" i="59"/>
  <c r="BU51" i="59"/>
  <c r="BU56" i="59"/>
  <c r="BU47" i="59"/>
  <c r="BU63" i="59"/>
  <c r="BY48" i="59"/>
  <c r="BY56" i="59"/>
  <c r="BY54" i="59"/>
  <c r="BY55" i="59"/>
  <c r="BY51" i="59"/>
  <c r="BY47" i="59"/>
  <c r="BY63" i="59"/>
  <c r="CC55" i="59"/>
  <c r="CC56" i="59"/>
  <c r="CC54" i="59"/>
  <c r="CC63" i="59"/>
  <c r="CC48" i="59"/>
  <c r="CC51" i="59"/>
  <c r="CG48" i="59"/>
  <c r="CG51" i="59"/>
  <c r="CG54" i="59"/>
  <c r="CG55" i="59"/>
  <c r="CG63" i="59"/>
  <c r="CC47" i="59"/>
  <c r="CG47" i="59"/>
  <c r="CG56" i="59"/>
  <c r="CK63" i="59"/>
  <c r="CK51" i="59"/>
  <c r="CK55" i="59"/>
  <c r="CK56" i="59"/>
  <c r="CK54" i="59"/>
  <c r="CK48" i="59"/>
  <c r="CO63" i="59"/>
  <c r="CO48" i="59"/>
  <c r="CO55" i="59"/>
  <c r="CO51" i="59"/>
  <c r="CO54" i="59"/>
  <c r="CO56" i="59"/>
  <c r="CS48" i="59"/>
  <c r="CS63" i="59"/>
  <c r="CS56" i="59"/>
  <c r="CS55" i="59"/>
  <c r="CS54" i="59"/>
  <c r="CS51" i="59"/>
  <c r="CW48" i="59"/>
  <c r="CW63" i="59"/>
  <c r="CW51" i="59"/>
  <c r="CW56" i="59"/>
  <c r="CW54" i="59"/>
  <c r="CW55" i="59"/>
  <c r="CN86" i="1"/>
  <c r="CN1" i="59"/>
  <c r="AY1" i="33"/>
  <c r="CR192" i="1"/>
  <c r="AV73" i="59"/>
  <c r="AV61" i="59"/>
  <c r="DA55" i="59"/>
  <c r="DA51" i="59"/>
  <c r="DA48" i="59"/>
  <c r="DA63" i="59"/>
  <c r="DA54" i="59"/>
  <c r="DA47" i="59"/>
  <c r="DA56" i="59"/>
  <c r="BY60" i="59"/>
  <c r="BY32" i="59"/>
  <c r="BY72" i="59"/>
  <c r="CW72" i="59"/>
  <c r="CW60" i="59"/>
  <c r="CW32" i="59"/>
  <c r="BS70" i="59"/>
  <c r="BS35" i="14"/>
  <c r="BS58" i="59"/>
  <c r="BW41" i="59"/>
  <c r="AZ70" i="59"/>
  <c r="AZ35" i="14"/>
  <c r="AZ58" i="59"/>
  <c r="CM35" i="14"/>
  <c r="CM70" i="59"/>
  <c r="CM58" i="59"/>
  <c r="BQ60" i="59"/>
  <c r="BQ32" i="59"/>
  <c r="BQ72" i="59"/>
  <c r="AT71" i="59"/>
  <c r="AT59" i="59"/>
  <c r="AT36" i="14"/>
  <c r="AX42" i="59"/>
  <c r="DE54" i="59"/>
  <c r="DE51" i="59"/>
  <c r="DE63" i="59"/>
  <c r="DE56" i="59"/>
  <c r="DE48" i="59"/>
  <c r="DE55" i="59"/>
  <c r="AZ55" i="59"/>
  <c r="AZ56" i="59"/>
  <c r="AZ60" i="59"/>
  <c r="AZ63" i="59"/>
  <c r="AZ51" i="59"/>
  <c r="AZ48" i="59"/>
  <c r="AZ54" i="59"/>
  <c r="BD55" i="59"/>
  <c r="BD51" i="59"/>
  <c r="BD56" i="59"/>
  <c r="BD48" i="59"/>
  <c r="BD63" i="59"/>
  <c r="BD54" i="59"/>
  <c r="BN63" i="59"/>
  <c r="BN48" i="59"/>
  <c r="BN56" i="59"/>
  <c r="BN55" i="59"/>
  <c r="BN51" i="59"/>
  <c r="BN54" i="59"/>
  <c r="BN60" i="59"/>
  <c r="BR48" i="59"/>
  <c r="BR54" i="59"/>
  <c r="BR56" i="59"/>
  <c r="BR51" i="59"/>
  <c r="BR63" i="59"/>
  <c r="BR47" i="59"/>
  <c r="BR55" i="59"/>
  <c r="BV51" i="59"/>
  <c r="BV48" i="59"/>
  <c r="BV63" i="59"/>
  <c r="BV54" i="59"/>
  <c r="BV56" i="59"/>
  <c r="BV47" i="59"/>
  <c r="BV55" i="59"/>
  <c r="CY35" i="14"/>
  <c r="CY70" i="59"/>
  <c r="CY58" i="59"/>
  <c r="BW32" i="59"/>
  <c r="BW60" i="59"/>
  <c r="BW72" i="59"/>
  <c r="BZ51" i="59"/>
  <c r="BZ56" i="59"/>
  <c r="BZ48" i="59"/>
  <c r="BZ55" i="59"/>
  <c r="BZ54" i="59"/>
  <c r="BZ63" i="59"/>
  <c r="CD51" i="59"/>
  <c r="CD63" i="59"/>
  <c r="CD55" i="59"/>
  <c r="CD48" i="59"/>
  <c r="CD54" i="59"/>
  <c r="CD56" i="59"/>
  <c r="CD73" i="59"/>
  <c r="CD31" i="59"/>
  <c r="CD47" i="59"/>
  <c r="CD61" i="59"/>
  <c r="CH55" i="59"/>
  <c r="CH54" i="59"/>
  <c r="CH63" i="59"/>
  <c r="CH51" i="59"/>
  <c r="CH56" i="59"/>
  <c r="CH48" i="59"/>
  <c r="DC61" i="59"/>
  <c r="DC31" i="59"/>
  <c r="DC73" i="59"/>
  <c r="BX31" i="59"/>
  <c r="BX73" i="59"/>
  <c r="BX61" i="59"/>
  <c r="BX58" i="59"/>
  <c r="BX35" i="14"/>
  <c r="BX70" i="59"/>
  <c r="CL48" i="59"/>
  <c r="CL55" i="59"/>
  <c r="CL54" i="59"/>
  <c r="CL56" i="59"/>
  <c r="CL51" i="59"/>
  <c r="CL63" i="59"/>
  <c r="CP56" i="59"/>
  <c r="CP48" i="59"/>
  <c r="CP55" i="59"/>
  <c r="CP63" i="59"/>
  <c r="CP54" i="59"/>
  <c r="CP51" i="59"/>
  <c r="CT54" i="59"/>
  <c r="CT51" i="59"/>
  <c r="CT63" i="59"/>
  <c r="CT48" i="59"/>
  <c r="CT56" i="59"/>
  <c r="CT55" i="59"/>
  <c r="CB72" i="59"/>
  <c r="CB32" i="59"/>
  <c r="CB60" i="59"/>
  <c r="CX51" i="59"/>
  <c r="CX63" i="59"/>
  <c r="CX55" i="59"/>
  <c r="CX54" i="59"/>
  <c r="CX56" i="59"/>
  <c r="CX48" i="59"/>
  <c r="DB48" i="59"/>
  <c r="DB55" i="59"/>
  <c r="DB51" i="59"/>
  <c r="DB63" i="59"/>
  <c r="DB56" i="59"/>
  <c r="DB54" i="59"/>
  <c r="DF56" i="59"/>
  <c r="DF54" i="59"/>
  <c r="DF51" i="59"/>
  <c r="DF55" i="59"/>
  <c r="DF48" i="59"/>
  <c r="DF47" i="59"/>
  <c r="DF63" i="59"/>
  <c r="AR55" i="59"/>
  <c r="AR56" i="59"/>
  <c r="AR61" i="59"/>
  <c r="AR63" i="59"/>
  <c r="AR59" i="59"/>
  <c r="AR54" i="59"/>
  <c r="AR48" i="59"/>
  <c r="AR58" i="59"/>
  <c r="AV63" i="59"/>
  <c r="AV48" i="59"/>
  <c r="AV55" i="59"/>
  <c r="AV56" i="59"/>
  <c r="AV54" i="59"/>
  <c r="AV47" i="59"/>
  <c r="AV60" i="59"/>
  <c r="BH55" i="59"/>
  <c r="BH56" i="59"/>
  <c r="BH48" i="59"/>
  <c r="BH54" i="59"/>
  <c r="BD47" i="59"/>
  <c r="BH47" i="59"/>
  <c r="BH63" i="59"/>
  <c r="DD73" i="59"/>
  <c r="DD31" i="59"/>
  <c r="DD61" i="59"/>
  <c r="DD32" i="59"/>
  <c r="DD60" i="59"/>
  <c r="DD72" i="59"/>
  <c r="CP19" i="59"/>
  <c r="BL56" i="59"/>
  <c r="BL54" i="59"/>
  <c r="BL63" i="59"/>
  <c r="BL60" i="59"/>
  <c r="BL48" i="59"/>
  <c r="BL55" i="59"/>
  <c r="BP54" i="59"/>
  <c r="BP55" i="59"/>
  <c r="BP48" i="59"/>
  <c r="BP63" i="59"/>
  <c r="BP51" i="59"/>
  <c r="BP47" i="59"/>
  <c r="BP56" i="59"/>
  <c r="BT63" i="59"/>
  <c r="BT55" i="59"/>
  <c r="BT54" i="59"/>
  <c r="BT48" i="59"/>
  <c r="BT51" i="59"/>
  <c r="BT56" i="59"/>
  <c r="BX51" i="59"/>
  <c r="BX56" i="59"/>
  <c r="BX54" i="59"/>
  <c r="BX63" i="59"/>
  <c r="BX55" i="59"/>
  <c r="BX48" i="59"/>
  <c r="CB55" i="59"/>
  <c r="CB51" i="59"/>
  <c r="CB48" i="59"/>
  <c r="CB56" i="59"/>
  <c r="CB63" i="59"/>
  <c r="BX43" i="59"/>
  <c r="BX47" i="59"/>
  <c r="CB47" i="59"/>
  <c r="CB54" i="59"/>
  <c r="CN72" i="59"/>
  <c r="CN60" i="59"/>
  <c r="CN32" i="59"/>
  <c r="CJ31" i="59"/>
  <c r="CJ73" i="59"/>
  <c r="CJ61" i="59"/>
  <c r="AV58" i="59"/>
  <c r="AV35" i="14"/>
  <c r="AV70" i="59"/>
  <c r="CG73" i="59"/>
  <c r="CG31" i="59"/>
  <c r="CG43" i="59"/>
  <c r="CG61" i="59"/>
  <c r="BX60" i="59"/>
  <c r="BX72" i="59"/>
  <c r="BX32" i="59"/>
  <c r="CB44" i="59"/>
  <c r="AU61" i="59"/>
  <c r="AU73" i="59"/>
  <c r="CX60" i="59"/>
  <c r="CX32" i="59"/>
  <c r="CX72" i="59"/>
  <c r="CF54" i="59"/>
  <c r="CF55" i="59"/>
  <c r="CF48" i="59"/>
  <c r="CF51" i="59"/>
  <c r="CF56" i="59"/>
  <c r="CF63" i="59"/>
  <c r="CJ51" i="59"/>
  <c r="CJ55" i="59"/>
  <c r="CJ54" i="59"/>
  <c r="CJ63" i="59"/>
  <c r="CJ56" i="59"/>
  <c r="CJ47" i="59"/>
  <c r="CJ48" i="59"/>
  <c r="CN56" i="59"/>
  <c r="CN55" i="59"/>
  <c r="CN48" i="59"/>
  <c r="CN63" i="59"/>
  <c r="CN51" i="59"/>
  <c r="CN54" i="59"/>
  <c r="CR51" i="59"/>
  <c r="CR48" i="59"/>
  <c r="CR63" i="59"/>
  <c r="CR54" i="59"/>
  <c r="CR55" i="59"/>
  <c r="CR56" i="59"/>
  <c r="CV63" i="59"/>
  <c r="CV51" i="59"/>
  <c r="CV54" i="59"/>
  <c r="CV48" i="59"/>
  <c r="CV55" i="59"/>
  <c r="CV47" i="59"/>
  <c r="CV56" i="59"/>
  <c r="CZ63" i="59"/>
  <c r="CZ48" i="59"/>
  <c r="CZ56" i="59"/>
  <c r="CZ51" i="59"/>
  <c r="CZ55" i="59"/>
  <c r="CZ54" i="59"/>
  <c r="CY32" i="59"/>
  <c r="CY72" i="59"/>
  <c r="CY60" i="59"/>
  <c r="CM61" i="59"/>
  <c r="CM73" i="59"/>
  <c r="CM31" i="59"/>
  <c r="DC35" i="14"/>
  <c r="DC70" i="59"/>
  <c r="DC58" i="59"/>
  <c r="CU70" i="59"/>
  <c r="CU58" i="59"/>
  <c r="CU35" i="14"/>
  <c r="CZ72" i="59"/>
  <c r="CZ60" i="59"/>
  <c r="CZ32" i="59"/>
  <c r="CE72" i="59"/>
  <c r="CE32" i="59"/>
  <c r="CE60" i="59"/>
  <c r="BW24" i="11"/>
  <c r="CB24" i="11"/>
  <c r="BW17" i="11"/>
  <c r="CI70" i="59"/>
  <c r="CI58" i="59"/>
  <c r="CI35" i="14"/>
  <c r="AO72" i="59"/>
  <c r="AO60" i="59"/>
  <c r="AO47" i="59"/>
  <c r="DD54" i="59"/>
  <c r="DD48" i="59"/>
  <c r="DD55" i="59"/>
  <c r="DD51" i="59"/>
  <c r="DD63" i="59"/>
  <c r="DD56" i="59"/>
  <c r="CS61" i="59"/>
  <c r="CS31" i="59"/>
  <c r="CS73" i="59"/>
  <c r="BH70" i="59"/>
  <c r="BH58" i="59"/>
  <c r="BH35" i="14"/>
  <c r="AP63" i="59"/>
  <c r="AP56" i="59"/>
  <c r="AP61" i="59"/>
  <c r="AP55" i="59"/>
  <c r="AP59" i="59"/>
  <c r="AP48" i="59"/>
  <c r="AP54" i="59"/>
  <c r="AP58" i="59"/>
  <c r="AT54" i="59"/>
  <c r="AT48" i="59"/>
  <c r="AT60" i="59"/>
  <c r="AT55" i="59"/>
  <c r="AT63" i="59"/>
  <c r="AT56" i="59"/>
  <c r="AX48" i="59"/>
  <c r="AX55" i="59"/>
  <c r="AX56" i="59"/>
  <c r="AX63" i="59"/>
  <c r="AX54" i="59"/>
  <c r="AX47" i="59"/>
  <c r="AX60" i="59"/>
  <c r="BB55" i="59"/>
  <c r="BB56" i="59"/>
  <c r="BB54" i="59"/>
  <c r="BB48" i="59"/>
  <c r="BB51" i="59"/>
  <c r="BB63" i="59"/>
  <c r="BB60" i="59"/>
  <c r="BF48" i="59"/>
  <c r="BF63" i="59"/>
  <c r="BF61" i="59"/>
  <c r="BF54" i="59"/>
  <c r="BF59" i="59"/>
  <c r="BF58" i="59"/>
  <c r="BF55" i="59"/>
  <c r="BF51" i="59"/>
  <c r="BF56" i="59"/>
  <c r="BJ54" i="59"/>
  <c r="BJ60" i="59"/>
  <c r="BJ48" i="59"/>
  <c r="BJ55" i="59"/>
  <c r="BJ63" i="59"/>
  <c r="BJ56" i="59"/>
  <c r="CV58" i="59"/>
  <c r="CV35" i="14"/>
  <c r="CV70" i="59"/>
  <c r="CV29" i="59"/>
  <c r="CQ30" i="59"/>
  <c r="CQ36" i="14"/>
  <c r="CQ71" i="59"/>
  <c r="CQ59" i="59"/>
  <c r="BZ61" i="59"/>
  <c r="BZ73" i="59"/>
  <c r="BZ47" i="59"/>
  <c r="BZ31" i="59"/>
  <c r="DB59" i="59"/>
  <c r="DB71" i="59"/>
  <c r="DF42" i="59"/>
  <c r="DB36" i="14"/>
  <c r="BQ58" i="59"/>
  <c r="BQ35" i="14"/>
  <c r="BQ43" i="59"/>
  <c r="BQ70" i="59"/>
  <c r="CF61" i="59"/>
  <c r="CF47" i="59"/>
  <c r="CF73" i="59"/>
  <c r="CF31" i="59"/>
  <c r="CK47" i="59"/>
  <c r="CK61" i="59"/>
  <c r="CK31" i="59"/>
  <c r="CK73" i="59"/>
  <c r="BO48" i="59"/>
  <c r="BO56" i="59"/>
  <c r="BO55" i="59"/>
  <c r="BO51" i="59"/>
  <c r="BO54" i="59"/>
  <c r="BO47" i="59"/>
  <c r="BO63" i="59"/>
  <c r="BO43" i="59"/>
  <c r="BO58" i="59"/>
  <c r="BO70" i="59"/>
  <c r="BO35" i="14"/>
  <c r="CE48" i="59"/>
  <c r="CE63" i="59"/>
  <c r="CE56" i="59"/>
  <c r="CE51" i="59"/>
  <c r="CE55" i="59"/>
  <c r="CE54" i="59"/>
  <c r="CU51" i="59"/>
  <c r="CU56" i="59"/>
  <c r="CU48" i="59"/>
  <c r="CU63" i="59"/>
  <c r="CU54" i="59"/>
  <c r="CU55" i="59"/>
  <c r="CA54" i="59"/>
  <c r="CA63" i="59"/>
  <c r="CA51" i="59"/>
  <c r="CA56" i="59"/>
  <c r="CA55" i="59"/>
  <c r="CA48" i="59"/>
  <c r="CQ55" i="59"/>
  <c r="CQ51" i="59"/>
  <c r="CQ56" i="59"/>
  <c r="CQ54" i="59"/>
  <c r="CQ48" i="59"/>
  <c r="CQ47" i="59"/>
  <c r="CQ63" i="59"/>
  <c r="CD35" i="14"/>
  <c r="CD70" i="59"/>
  <c r="CD43" i="59"/>
  <c r="CD58" i="59"/>
  <c r="DA29" i="59"/>
  <c r="DA70" i="59"/>
  <c r="DA35" i="14"/>
  <c r="DA58" i="59"/>
  <c r="CV60" i="59"/>
  <c r="CV72" i="59"/>
  <c r="CV32" i="59"/>
  <c r="CQ42" i="59"/>
  <c r="CM71" i="59"/>
  <c r="CM59" i="59"/>
  <c r="CM36" i="14"/>
  <c r="CC35" i="14"/>
  <c r="CC70" i="59"/>
  <c r="CG41" i="59"/>
  <c r="CC58" i="59"/>
  <c r="CC43" i="59"/>
  <c r="CN70" i="59"/>
  <c r="CN58" i="59"/>
  <c r="CN35" i="14"/>
  <c r="BP32" i="59"/>
  <c r="BP60" i="59"/>
  <c r="BP72" i="59"/>
  <c r="AZ61" i="59"/>
  <c r="AZ73" i="59"/>
  <c r="CN19" i="59"/>
  <c r="AU63" i="59"/>
  <c r="AU55" i="59"/>
  <c r="AU54" i="59"/>
  <c r="AU60" i="59"/>
  <c r="AU56" i="59"/>
  <c r="AU47" i="59"/>
  <c r="AU48" i="59"/>
  <c r="BK60" i="59"/>
  <c r="BK48" i="59"/>
  <c r="BK63" i="59"/>
  <c r="BK56" i="59"/>
  <c r="BK54" i="59"/>
  <c r="BK55" i="59"/>
  <c r="BK73" i="59"/>
  <c r="BK47" i="59"/>
  <c r="BK61" i="59"/>
  <c r="DC56" i="59"/>
  <c r="DC54" i="59"/>
  <c r="DC51" i="59"/>
  <c r="DC63" i="59"/>
  <c r="DC55" i="59"/>
  <c r="DC48" i="59"/>
  <c r="AQ54" i="59"/>
  <c r="AQ59" i="59"/>
  <c r="AQ61" i="59"/>
  <c r="AQ58" i="59"/>
  <c r="AQ56" i="59"/>
  <c r="AQ48" i="59"/>
  <c r="AQ63" i="59"/>
  <c r="AQ55" i="59"/>
  <c r="CA58" i="59"/>
  <c r="CA70" i="59"/>
  <c r="CA35" i="14"/>
  <c r="CY61" i="59"/>
  <c r="CY73" i="59"/>
  <c r="CY31" i="59"/>
  <c r="BR23" i="11"/>
  <c r="BR9" i="11"/>
  <c r="BR16" i="11"/>
  <c r="CB16" i="59"/>
  <c r="BX42" i="59"/>
  <c r="BC17" i="59"/>
  <c r="CS192" i="1"/>
  <c r="AY73" i="59"/>
  <c r="AY61" i="59"/>
  <c r="BH15" i="59"/>
  <c r="BG54" i="59"/>
  <c r="BG58" i="59"/>
  <c r="BG59" i="59"/>
  <c r="BG55" i="59"/>
  <c r="BG51" i="59"/>
  <c r="BG63" i="59"/>
  <c r="BG56" i="59"/>
  <c r="BG48" i="59"/>
  <c r="BG61" i="59"/>
  <c r="CR72" i="59"/>
  <c r="CR60" i="59"/>
  <c r="CV44" i="59"/>
  <c r="CR32" i="59"/>
  <c r="BV43" i="59"/>
  <c r="BV58" i="59"/>
  <c r="BV35" i="14"/>
  <c r="BV70" i="59"/>
  <c r="CW35" i="14"/>
  <c r="CW70" i="59"/>
  <c r="CW58" i="59"/>
  <c r="CX35" i="14"/>
  <c r="CX58" i="59"/>
  <c r="CX70" i="59"/>
  <c r="BZ43" i="59"/>
  <c r="BZ58" i="59"/>
  <c r="BZ70" i="59"/>
  <c r="BZ35" i="14"/>
  <c r="CC59" i="59"/>
  <c r="CG42" i="59"/>
  <c r="CC36" i="14"/>
  <c r="CC71" i="59"/>
  <c r="BY59" i="59"/>
  <c r="BY36" i="14"/>
  <c r="BY71" i="59"/>
  <c r="CI51" i="59"/>
  <c r="CI54" i="59"/>
  <c r="CI63" i="59"/>
  <c r="CI48" i="59"/>
  <c r="CI56" i="59"/>
  <c r="CI55" i="59"/>
  <c r="BW54" i="59"/>
  <c r="BW55" i="59"/>
  <c r="BW48" i="59"/>
  <c r="BW63" i="59"/>
  <c r="BW47" i="59"/>
  <c r="BW56" i="59"/>
  <c r="BM42" i="59"/>
  <c r="BI36" i="14"/>
  <c r="BI71" i="59"/>
  <c r="BI59" i="59"/>
  <c r="CO59" i="59"/>
  <c r="CO71" i="59"/>
  <c r="CO36" i="14"/>
  <c r="CO75" i="59"/>
  <c r="CO68" i="59"/>
  <c r="CO66" i="59"/>
  <c r="CO80" i="1"/>
  <c r="CO67" i="59"/>
  <c r="CO65" i="1"/>
  <c r="CF59" i="59"/>
  <c r="CF71" i="59"/>
  <c r="CF36" i="14"/>
  <c r="BG47" i="59"/>
  <c r="BG60" i="59"/>
  <c r="BG72" i="59"/>
  <c r="CP58" i="59"/>
  <c r="CP70" i="59"/>
  <c r="CP35" i="14"/>
  <c r="CA61" i="59"/>
  <c r="CA47" i="59"/>
  <c r="CA43" i="59"/>
  <c r="CA73" i="59"/>
  <c r="CG72" i="59"/>
  <c r="CG32" i="59"/>
  <c r="CG44" i="59"/>
  <c r="CG60" i="59"/>
  <c r="CZ50" i="59"/>
  <c r="CZ25" i="5"/>
  <c r="CS67" i="59"/>
  <c r="CS66" i="59"/>
  <c r="CS80" i="1"/>
  <c r="CS65" i="1"/>
  <c r="CS68" i="59"/>
  <c r="CS75" i="59"/>
  <c r="CW67" i="59"/>
  <c r="CW80" i="1"/>
  <c r="CW66" i="59"/>
  <c r="CW65" i="1"/>
  <c r="CW68" i="59"/>
  <c r="CW75" i="59"/>
  <c r="DA65" i="1"/>
  <c r="DA66" i="59"/>
  <c r="DA67" i="59"/>
  <c r="DA75" i="59"/>
  <c r="DA68" i="59"/>
  <c r="DA80" i="1"/>
  <c r="DE67" i="59"/>
  <c r="DE75" i="59"/>
  <c r="DE68" i="59"/>
  <c r="DE65" i="1"/>
  <c r="DE66" i="59"/>
  <c r="DE80" i="1"/>
  <c r="DB98" i="1"/>
  <c r="DB13" i="1"/>
  <c r="DB72" i="1"/>
  <c r="DB111" i="1"/>
  <c r="CT98" i="1"/>
  <c r="CT111" i="1"/>
  <c r="CT72" i="1"/>
  <c r="CT13" i="1"/>
  <c r="CX98" i="1"/>
  <c r="CX13" i="1"/>
  <c r="CX111" i="1"/>
  <c r="CX72" i="1"/>
  <c r="CP75" i="59"/>
  <c r="CP67" i="59"/>
  <c r="CP65" i="1"/>
  <c r="CP80" i="1"/>
  <c r="CP66" i="59"/>
  <c r="CP68" i="59"/>
  <c r="CT66" i="59"/>
  <c r="CT67" i="59"/>
  <c r="CT65" i="1"/>
  <c r="CT68" i="59"/>
  <c r="CT80" i="1"/>
  <c r="CT75" i="59"/>
  <c r="CX75" i="59"/>
  <c r="CX65" i="1"/>
  <c r="CX80" i="1"/>
  <c r="CX66" i="59"/>
  <c r="CX68" i="59"/>
  <c r="CX67" i="59"/>
  <c r="DB75" i="59"/>
  <c r="DB66" i="59"/>
  <c r="DB67" i="59"/>
  <c r="DB65" i="1"/>
  <c r="DB68" i="59"/>
  <c r="DB80" i="1"/>
  <c r="DF68" i="59"/>
  <c r="DF75" i="59"/>
  <c r="DF67" i="59"/>
  <c r="DF66" i="59"/>
  <c r="DF65" i="1"/>
  <c r="DF80" i="1"/>
  <c r="BQ71" i="59"/>
  <c r="BQ59" i="59"/>
  <c r="BQ36" i="14"/>
  <c r="Y84" i="1"/>
  <c r="AD84" i="1"/>
  <c r="Y68" i="1"/>
  <c r="Y76" i="1"/>
  <c r="CS58" i="59"/>
  <c r="CS70" i="59"/>
  <c r="CS35" i="14"/>
  <c r="CH71" i="59"/>
  <c r="CH59" i="59"/>
  <c r="CH36" i="14"/>
  <c r="AZ59" i="59"/>
  <c r="AZ71" i="59"/>
  <c r="AZ36" i="14"/>
  <c r="Y69" i="1"/>
  <c r="AD85" i="1"/>
  <c r="Y131" i="1"/>
  <c r="Y85" i="1"/>
  <c r="CN69" i="1"/>
  <c r="CN28" i="1"/>
  <c r="CN131" i="1"/>
  <c r="CN85" i="1"/>
  <c r="CZ70" i="59"/>
  <c r="CZ58" i="59"/>
  <c r="CZ35" i="14"/>
  <c r="CE31" i="59"/>
  <c r="CE47" i="59"/>
  <c r="CE73" i="59"/>
  <c r="CE43" i="59"/>
  <c r="CE61" i="59"/>
  <c r="AW47" i="59"/>
  <c r="AW61" i="59"/>
  <c r="AW73" i="59"/>
  <c r="BS72" i="59"/>
  <c r="BS60" i="59"/>
  <c r="BW44" i="59"/>
  <c r="BU36" i="14"/>
  <c r="BU59" i="59"/>
  <c r="BU71" i="59"/>
  <c r="BU44" i="59"/>
  <c r="BI12" i="57"/>
  <c r="CC44" i="59"/>
  <c r="BQ12" i="57"/>
  <c r="CR61" i="59"/>
  <c r="CR31" i="59"/>
  <c r="CR73" i="59"/>
  <c r="BJ47" i="59"/>
  <c r="BJ61" i="59"/>
  <c r="BJ73" i="59"/>
  <c r="BR60" i="59"/>
  <c r="BR72" i="59"/>
  <c r="BR44" i="59"/>
  <c r="BR32" i="59"/>
  <c r="AP72" i="59"/>
  <c r="AP47" i="59"/>
  <c r="AP60" i="59"/>
  <c r="CN192" i="1"/>
  <c r="AT35" i="14"/>
  <c r="AT58" i="59"/>
  <c r="AT70" i="59"/>
  <c r="CW61" i="59"/>
  <c r="CW73" i="59"/>
  <c r="CW31" i="59"/>
  <c r="BH32" i="59"/>
  <c r="BH60" i="59"/>
  <c r="BH72" i="59"/>
  <c r="CX31" i="59"/>
  <c r="CX61" i="59"/>
  <c r="CX73" i="59"/>
  <c r="BL73" i="59"/>
  <c r="BL47" i="59"/>
  <c r="BL61" i="59"/>
  <c r="CQ8" i="7"/>
  <c r="CV19" i="1"/>
  <c r="CR12" i="7"/>
  <c r="AX16" i="59"/>
  <c r="AT42" i="59"/>
  <c r="CW42" i="59"/>
  <c r="DA16" i="59"/>
  <c r="CX12" i="7"/>
  <c r="CK19" i="59"/>
  <c r="BH23" i="11"/>
  <c r="BC16" i="11"/>
  <c r="BB9" i="11"/>
  <c r="BC9" i="11"/>
  <c r="BC23" i="11"/>
  <c r="AX73" i="59"/>
  <c r="AX61" i="59"/>
  <c r="CO192" i="1"/>
  <c r="DF16" i="59"/>
  <c r="DB42" i="59"/>
  <c r="BZ19" i="59"/>
  <c r="CQ60" i="59"/>
  <c r="CQ32" i="59"/>
  <c r="CQ44" i="59"/>
  <c r="CQ72" i="59"/>
  <c r="CI47" i="59"/>
  <c r="CI31" i="59"/>
  <c r="CI61" i="59"/>
  <c r="CI43" i="59"/>
  <c r="CI73" i="59"/>
  <c r="BY44" i="59"/>
  <c r="BM12" i="57"/>
  <c r="BS17" i="7"/>
  <c r="DA17" i="59"/>
  <c r="CC41" i="59"/>
  <c r="CG15" i="59"/>
  <c r="BJ70" i="59"/>
  <c r="BJ35" i="14"/>
  <c r="BJ58" i="59"/>
  <c r="CT25" i="5"/>
  <c r="CT50" i="59"/>
  <c r="BI70" i="59"/>
  <c r="BI35" i="14"/>
  <c r="BI58" i="59"/>
  <c r="BI47" i="59"/>
  <c r="BI61" i="59"/>
  <c r="BI73" i="59"/>
  <c r="DB50" i="59"/>
  <c r="DB25" i="5"/>
  <c r="CT61" i="1"/>
  <c r="CT79" i="1"/>
  <c r="CT75" i="1"/>
  <c r="BR22" i="59"/>
  <c r="BH36" i="14"/>
  <c r="BH71" i="59"/>
  <c r="BH30" i="59"/>
  <c r="BH42" i="59"/>
  <c r="BH59" i="59"/>
  <c r="CR50" i="59"/>
  <c r="CR25" i="5"/>
  <c r="BR15" i="11"/>
  <c r="BR22" i="11"/>
  <c r="CX67" i="1"/>
  <c r="CX167" i="1"/>
  <c r="CX83" i="1"/>
  <c r="CT35" i="14"/>
  <c r="CT58" i="59"/>
  <c r="CT70" i="59"/>
  <c r="BC16" i="59"/>
  <c r="AY42" i="59"/>
  <c r="CT67" i="1"/>
  <c r="CT83" i="1"/>
  <c r="CT167" i="1"/>
  <c r="BM185" i="56"/>
  <c r="CC42" i="59"/>
  <c r="CG16" i="59"/>
  <c r="BS73" i="59"/>
  <c r="BS61" i="59"/>
  <c r="CO189" i="56"/>
  <c r="CN13" i="7"/>
  <c r="BM73" i="59"/>
  <c r="BM31" i="59"/>
  <c r="BM43" i="59"/>
  <c r="BM61" i="59"/>
  <c r="CT192" i="1"/>
  <c r="BS189" i="56"/>
  <c r="CV8" i="7"/>
  <c r="CH1" i="5"/>
  <c r="BC1" i="33"/>
  <c r="CH1" i="56"/>
  <c r="CR86" i="1"/>
  <c r="DD131" i="1"/>
  <c r="DD69" i="1"/>
  <c r="DD85" i="1"/>
  <c r="CN66" i="59"/>
  <c r="CN68" i="59"/>
  <c r="CN75" i="59"/>
  <c r="CN67" i="59"/>
  <c r="CN65" i="1"/>
  <c r="CN80" i="1"/>
  <c r="CR75" i="59"/>
  <c r="CR67" i="59"/>
  <c r="CR80" i="1"/>
  <c r="CR65" i="1"/>
  <c r="CR66" i="59"/>
  <c r="CR68" i="59"/>
  <c r="CV66" i="59"/>
  <c r="CV80" i="1"/>
  <c r="CV68" i="59"/>
  <c r="CV75" i="59"/>
  <c r="CV65" i="1"/>
  <c r="CV67" i="59"/>
  <c r="CZ67" i="59"/>
  <c r="CZ75" i="59"/>
  <c r="CZ80" i="1"/>
  <c r="CZ66" i="59"/>
  <c r="CZ65" i="1"/>
  <c r="CZ68" i="59"/>
  <c r="DD65" i="1"/>
  <c r="DD66" i="59"/>
  <c r="DD67" i="59"/>
  <c r="DD68" i="59"/>
  <c r="DD80" i="1"/>
  <c r="DD75" i="59"/>
  <c r="CN66" i="1"/>
  <c r="CN134" i="1"/>
  <c r="CN132" i="1"/>
  <c r="CN82" i="1"/>
  <c r="CR82" i="1"/>
  <c r="CR132" i="1"/>
  <c r="CR134" i="1"/>
  <c r="CR66" i="1"/>
  <c r="CV134" i="1"/>
  <c r="CV66" i="1"/>
  <c r="CV82" i="1"/>
  <c r="CV132" i="1"/>
  <c r="CZ66" i="1"/>
  <c r="CZ132" i="1"/>
  <c r="CZ134" i="1"/>
  <c r="CZ82" i="1"/>
  <c r="DD66" i="1"/>
  <c r="DD134" i="1"/>
  <c r="DD82" i="1"/>
  <c r="DD132" i="1"/>
  <c r="BM85" i="1"/>
  <c r="BH69" i="1"/>
  <c r="BH131" i="1"/>
  <c r="BH39" i="1"/>
  <c r="BH85" i="1"/>
  <c r="BH28" i="1"/>
  <c r="CP131" i="1"/>
  <c r="CP85" i="1"/>
  <c r="CP28" i="1"/>
  <c r="CP69" i="1"/>
  <c r="BU70" i="59"/>
  <c r="BU58" i="59"/>
  <c r="BU43" i="59"/>
  <c r="BU35" i="14"/>
  <c r="CF58" i="59"/>
  <c r="CF43" i="59"/>
  <c r="CF70" i="59"/>
  <c r="CF35" i="14"/>
  <c r="CY48" i="59"/>
  <c r="CY54" i="59"/>
  <c r="CY56" i="59"/>
  <c r="CY63" i="59"/>
  <c r="CY55" i="59"/>
  <c r="CY51" i="59"/>
  <c r="BC56" i="59"/>
  <c r="BC54" i="59"/>
  <c r="BC48" i="59"/>
  <c r="BC51" i="59"/>
  <c r="BC60" i="59"/>
  <c r="BC63" i="59"/>
  <c r="BC47" i="59"/>
  <c r="BC55" i="59"/>
  <c r="BV60" i="59"/>
  <c r="BV32" i="59"/>
  <c r="BV72" i="59"/>
  <c r="DE36" i="14"/>
  <c r="DE71" i="59"/>
  <c r="DE59" i="59"/>
  <c r="BP35" i="14"/>
  <c r="BP58" i="59"/>
  <c r="BP43" i="59"/>
  <c r="BP70" i="59"/>
  <c r="CK43" i="59"/>
  <c r="CK58" i="59"/>
  <c r="CK35" i="14"/>
  <c r="CK70" i="59"/>
  <c r="BY58" i="59"/>
  <c r="BY43" i="59"/>
  <c r="BY35" i="14"/>
  <c r="BY70" i="59"/>
  <c r="CY65" i="1"/>
  <c r="CY80" i="1"/>
  <c r="CY68" i="59"/>
  <c r="CY67" i="59"/>
  <c r="CY75" i="59"/>
  <c r="CY66" i="59"/>
  <c r="CU68" i="59"/>
  <c r="CU66" i="59"/>
  <c r="CU65" i="1"/>
  <c r="CU75" i="59"/>
  <c r="CU80" i="1"/>
  <c r="CU67" i="59"/>
  <c r="BF22" i="59"/>
  <c r="CP61" i="1"/>
  <c r="CP75" i="1"/>
  <c r="CP79" i="1"/>
  <c r="CV42" i="59"/>
  <c r="CR71" i="59"/>
  <c r="CR36" i="14"/>
  <c r="CR59" i="59"/>
  <c r="BN71" i="59"/>
  <c r="BR42" i="59"/>
  <c r="BN36" i="14"/>
  <c r="BN59" i="59"/>
  <c r="CV39" i="1"/>
  <c r="CV85" i="1"/>
  <c r="CV69" i="1"/>
  <c r="CV131" i="1"/>
  <c r="CQ65" i="1"/>
  <c r="CQ67" i="59"/>
  <c r="CQ75" i="59"/>
  <c r="CQ68" i="59"/>
  <c r="CQ66" i="59"/>
  <c r="CQ80" i="1"/>
  <c r="CM66" i="59"/>
  <c r="CM80" i="1"/>
  <c r="CM68" i="59"/>
  <c r="CM67" i="59"/>
  <c r="CM65" i="1"/>
  <c r="CM75" i="59"/>
  <c r="DC80" i="1"/>
  <c r="DC65" i="1"/>
  <c r="DC66" i="59"/>
  <c r="DC67" i="59"/>
  <c r="DC75" i="59"/>
  <c r="DC68" i="59"/>
  <c r="CM47" i="66"/>
  <c r="CQ132" i="1"/>
  <c r="CQ82" i="1"/>
  <c r="CQ134" i="1"/>
  <c r="CQ66" i="1"/>
  <c r="CR131" i="1"/>
  <c r="CR69" i="1"/>
  <c r="CR85" i="1"/>
  <c r="CV25" i="1"/>
  <c r="BB71" i="59"/>
  <c r="BB59" i="59"/>
  <c r="BB36" i="14"/>
  <c r="CF72" i="59"/>
  <c r="CF32" i="59"/>
  <c r="CF60" i="59"/>
  <c r="CR83" i="1"/>
  <c r="CR167" i="1"/>
  <c r="CR67" i="1"/>
  <c r="BC35" i="14"/>
  <c r="BC70" i="59"/>
  <c r="BC58" i="59"/>
  <c r="BN73" i="59"/>
  <c r="BN31" i="59"/>
  <c r="BN61" i="59"/>
  <c r="BN43" i="59"/>
  <c r="BN47" i="59"/>
  <c r="DD61" i="1"/>
  <c r="DD79" i="1"/>
  <c r="DD75" i="1"/>
  <c r="CU36" i="14"/>
  <c r="CU71" i="59"/>
  <c r="CU59" i="59"/>
  <c r="CN111" i="1"/>
  <c r="CN72" i="1"/>
  <c r="CN13" i="1"/>
  <c r="CN98" i="1"/>
  <c r="CS98" i="1"/>
  <c r="CS13" i="1"/>
  <c r="CS111" i="1"/>
  <c r="CS72" i="1"/>
  <c r="CY13" i="1"/>
  <c r="CY98" i="1"/>
  <c r="CY111" i="1"/>
  <c r="CY72" i="1"/>
  <c r="DD98" i="1"/>
  <c r="DD72" i="1"/>
  <c r="DD111" i="1"/>
  <c r="DD13" i="1"/>
  <c r="CM131" i="1"/>
  <c r="CM85" i="1"/>
  <c r="CM69" i="1"/>
  <c r="CM28" i="1"/>
  <c r="BG131" i="1"/>
  <c r="BG69" i="1"/>
  <c r="BG28" i="1"/>
  <c r="BG85" i="1"/>
  <c r="BL85" i="1"/>
  <c r="DA85" i="1"/>
  <c r="DA131" i="1"/>
  <c r="DA69" i="1"/>
  <c r="DA39" i="1"/>
  <c r="BO59" i="59"/>
  <c r="BO71" i="59"/>
  <c r="BO36" i="14"/>
  <c r="BS36" i="14"/>
  <c r="BS59" i="59"/>
  <c r="BW42" i="59"/>
  <c r="BS71" i="59"/>
  <c r="DF39" i="1"/>
  <c r="DF69" i="1"/>
  <c r="DF131" i="1"/>
  <c r="DF85" i="1"/>
  <c r="CO82" i="1"/>
  <c r="CO134" i="1"/>
  <c r="CO132" i="1"/>
  <c r="CO66" i="1"/>
  <c r="CT66" i="1"/>
  <c r="CT82" i="1"/>
  <c r="CT134" i="1"/>
  <c r="CT132" i="1"/>
  <c r="CY82" i="1"/>
  <c r="CY66" i="1"/>
  <c r="CY134" i="1"/>
  <c r="CY132" i="1"/>
  <c r="DE134" i="1"/>
  <c r="DE132" i="1"/>
  <c r="DE82" i="1"/>
  <c r="DE66" i="1"/>
  <c r="CW85" i="1"/>
  <c r="CW69" i="1"/>
  <c r="DA25" i="1"/>
  <c r="CW131" i="1"/>
  <c r="CO98" i="1"/>
  <c r="CO72" i="1"/>
  <c r="CO111" i="1"/>
  <c r="CO13" i="1"/>
  <c r="CS60" i="59"/>
  <c r="CS32" i="59"/>
  <c r="CS72" i="59"/>
  <c r="AX15" i="59"/>
  <c r="BQ44" i="59"/>
  <c r="BE12" i="57"/>
  <c r="CS12" i="57"/>
  <c r="DE44" i="59"/>
  <c r="CB17" i="59"/>
  <c r="BV36" i="14"/>
  <c r="BV59" i="59"/>
  <c r="BV71" i="59"/>
  <c r="CS44" i="59"/>
  <c r="CG12" i="57"/>
  <c r="CB15" i="59"/>
  <c r="CL17" i="59"/>
  <c r="CQ25" i="5"/>
  <c r="CQ50" i="59"/>
  <c r="CW192" i="1"/>
  <c r="BJ189" i="56"/>
  <c r="BR185" i="56"/>
  <c r="BO22" i="11"/>
  <c r="BT22" i="11"/>
  <c r="BR7" i="11"/>
  <c r="CV17" i="59"/>
  <c r="BL35" i="14"/>
  <c r="BL58" i="59"/>
  <c r="BL70" i="59"/>
  <c r="CB19" i="59"/>
  <c r="AX17" i="59"/>
  <c r="CD19" i="59"/>
  <c r="BV41" i="59"/>
  <c r="BL36" i="14"/>
  <c r="BL71" i="59"/>
  <c r="BL59" i="59"/>
  <c r="BD42" i="59"/>
  <c r="BH16" i="59"/>
  <c r="CB185" i="56"/>
  <c r="BX19" i="59"/>
  <c r="CG185" i="56"/>
  <c r="BX189" i="56"/>
  <c r="DF9" i="7"/>
  <c r="BC15" i="59"/>
  <c r="BY19" i="59"/>
  <c r="BF47" i="59"/>
  <c r="BF60" i="59"/>
  <c r="BF44" i="59"/>
  <c r="BF72" i="59"/>
  <c r="DD68" i="1"/>
  <c r="DD23" i="1"/>
  <c r="DD84" i="1"/>
  <c r="DA67" i="1"/>
  <c r="DA167" i="1"/>
  <c r="DA83" i="1"/>
  <c r="CT189" i="56"/>
  <c r="BB35" i="14"/>
  <c r="BB70" i="59"/>
  <c r="BB58" i="59"/>
  <c r="AU35" i="14"/>
  <c r="AU58" i="59"/>
  <c r="AU70" i="59"/>
  <c r="DA32" i="59"/>
  <c r="DA60" i="59"/>
  <c r="DA44" i="59"/>
  <c r="DA72" i="59"/>
  <c r="AS72" i="59"/>
  <c r="AS60" i="59"/>
  <c r="AS44" i="59"/>
  <c r="AS32" i="59"/>
  <c r="BE72" i="59"/>
  <c r="BE47" i="59"/>
  <c r="BE60" i="59"/>
  <c r="DD35" i="14"/>
  <c r="DD70" i="59"/>
  <c r="DD58" i="59"/>
  <c r="CV61" i="59"/>
  <c r="CV73" i="59"/>
  <c r="CV43" i="59"/>
  <c r="CV31" i="59"/>
  <c r="CW98" i="1"/>
  <c r="CW111" i="1"/>
  <c r="CW72" i="1"/>
  <c r="CW13" i="1"/>
  <c r="AC84" i="1"/>
  <c r="X84" i="1"/>
  <c r="X76" i="1"/>
  <c r="X68" i="1"/>
  <c r="CX23" i="1"/>
  <c r="CX68" i="1"/>
  <c r="CX84" i="1"/>
  <c r="DD67" i="1"/>
  <c r="DD167" i="1"/>
  <c r="DD83" i="1"/>
  <c r="CK60" i="59"/>
  <c r="CK32" i="59"/>
  <c r="CK72" i="59"/>
  <c r="AC85" i="1"/>
  <c r="X85" i="1"/>
  <c r="X131" i="1"/>
  <c r="X69" i="1"/>
  <c r="CO131" i="1"/>
  <c r="CO69" i="1"/>
  <c r="CO28" i="1"/>
  <c r="CO85" i="1"/>
  <c r="DB131" i="1"/>
  <c r="DF25" i="1"/>
  <c r="DB69" i="1"/>
  <c r="DB85" i="1"/>
  <c r="CP66" i="1"/>
  <c r="CP134" i="1"/>
  <c r="CP82" i="1"/>
  <c r="CP132" i="1"/>
  <c r="CU134" i="1"/>
  <c r="CU66" i="1"/>
  <c r="CU82" i="1"/>
  <c r="CU132" i="1"/>
  <c r="DA66" i="1"/>
  <c r="DA132" i="1"/>
  <c r="DA82" i="1"/>
  <c r="DA134" i="1"/>
  <c r="DF134" i="1"/>
  <c r="DF132" i="1"/>
  <c r="DF66" i="1"/>
  <c r="DF82" i="1"/>
  <c r="BS25" i="7"/>
  <c r="BS362" i="7"/>
  <c r="DE189" i="56"/>
  <c r="BY22" i="59"/>
  <c r="CW12" i="7"/>
  <c r="DA19" i="1"/>
  <c r="CP189" i="56"/>
  <c r="CP83" i="1"/>
  <c r="CP167" i="1"/>
  <c r="CP67" i="1"/>
  <c r="CV67" i="1"/>
  <c r="CV167" i="1"/>
  <c r="CV83" i="1"/>
  <c r="CK71" i="59"/>
  <c r="CK59" i="59"/>
  <c r="CK36" i="14"/>
  <c r="CM55" i="66"/>
  <c r="CQ160" i="1"/>
  <c r="CQ158" i="1"/>
  <c r="CQ178" i="1"/>
  <c r="CW82" i="1"/>
  <c r="CW134" i="1"/>
  <c r="CW132" i="1"/>
  <c r="CW66" i="1"/>
  <c r="DB132" i="1"/>
  <c r="DB134" i="1"/>
  <c r="DB66" i="1"/>
  <c r="DB82" i="1"/>
  <c r="CM111" i="1"/>
  <c r="CM13" i="1"/>
  <c r="CM98" i="1"/>
  <c r="CM72" i="1"/>
  <c r="DC72" i="1"/>
  <c r="DC111" i="1"/>
  <c r="DC13" i="1"/>
  <c r="DC98" i="1"/>
  <c r="DC71" i="59"/>
  <c r="DC59" i="59"/>
  <c r="DC36" i="14"/>
  <c r="CZ75" i="1"/>
  <c r="CZ79" i="1"/>
  <c r="CZ61" i="1"/>
  <c r="CU84" i="1"/>
  <c r="CU23" i="1"/>
  <c r="CU68" i="1"/>
  <c r="AP22" i="59"/>
  <c r="AP44" i="59"/>
  <c r="CJ43" i="59"/>
  <c r="CJ70" i="59"/>
  <c r="CJ58" i="59"/>
  <c r="CJ35" i="14"/>
  <c r="CP42" i="5"/>
  <c r="CP81" i="1"/>
  <c r="CP73" i="1"/>
  <c r="CX24" i="5"/>
  <c r="CX35" i="5"/>
  <c r="CX66" i="1"/>
  <c r="CX82" i="1"/>
  <c r="CX132" i="1"/>
  <c r="CX134" i="1"/>
  <c r="CR98" i="1"/>
  <c r="CR72" i="1"/>
  <c r="CR13" i="1"/>
  <c r="CR111" i="1"/>
  <c r="AZ56" i="56"/>
  <c r="AZ52" i="56"/>
  <c r="AZ59" i="56"/>
  <c r="BE40" i="56"/>
  <c r="AZ40" i="56"/>
  <c r="AZ58" i="56"/>
  <c r="BI52" i="56"/>
  <c r="BI58" i="56"/>
  <c r="BI40" i="56"/>
  <c r="BI59" i="56"/>
  <c r="BQ40" i="56"/>
  <c r="BQ59" i="56"/>
  <c r="BQ58" i="56"/>
  <c r="BQ52" i="56"/>
  <c r="BU52" i="56"/>
  <c r="BU40" i="56"/>
  <c r="BU59" i="56"/>
  <c r="BU58" i="56"/>
  <c r="BY52" i="56"/>
  <c r="BY40" i="56"/>
  <c r="BY58" i="56"/>
  <c r="BY59" i="56"/>
  <c r="CC40" i="56"/>
  <c r="CC52" i="56"/>
  <c r="CC59" i="56"/>
  <c r="CC58" i="56"/>
  <c r="CC28" i="5"/>
  <c r="CC25" i="5"/>
  <c r="CC34" i="5"/>
  <c r="CC30" i="5"/>
  <c r="CK52" i="56"/>
  <c r="CK40" i="56"/>
  <c r="CK59" i="56"/>
  <c r="CK58" i="56"/>
  <c r="DC12" i="7"/>
  <c r="CO44" i="59"/>
  <c r="CC12" i="57"/>
  <c r="CR189" i="56"/>
  <c r="CI59" i="59"/>
  <c r="CI36" i="14"/>
  <c r="CI71" i="59"/>
  <c r="CM25" i="5"/>
  <c r="CQ9" i="5"/>
  <c r="CM50" i="59"/>
  <c r="DC25" i="5"/>
  <c r="DC50" i="59"/>
  <c r="CL59" i="59"/>
  <c r="CL36" i="14"/>
  <c r="CL71" i="59"/>
  <c r="CL42" i="59"/>
  <c r="CL30" i="59"/>
  <c r="DB83" i="1"/>
  <c r="DB167" i="1"/>
  <c r="DB67" i="1"/>
  <c r="CZ23" i="1"/>
  <c r="CZ68" i="1"/>
  <c r="CZ84" i="1"/>
  <c r="BZ60" i="59"/>
  <c r="BZ72" i="59"/>
  <c r="BZ32" i="59"/>
  <c r="AR72" i="59"/>
  <c r="AR47" i="59"/>
  <c r="AR60" i="59"/>
  <c r="CO58" i="56"/>
  <c r="CO59" i="56"/>
  <c r="CO52" i="56"/>
  <c r="CO40" i="56"/>
  <c r="CS52" i="56"/>
  <c r="CS59" i="56"/>
  <c r="CS40" i="56"/>
  <c r="CS58" i="56"/>
  <c r="CW40" i="56"/>
  <c r="CW59" i="56"/>
  <c r="CW58" i="56"/>
  <c r="CW52" i="56"/>
  <c r="DE52" i="56"/>
  <c r="DE40" i="56"/>
  <c r="DE58" i="56"/>
  <c r="DE59" i="56"/>
  <c r="BV25" i="5"/>
  <c r="BV27" i="5"/>
  <c r="BV34" i="5"/>
  <c r="BV28" i="5"/>
  <c r="BZ34" i="5"/>
  <c r="BZ30" i="5"/>
  <c r="BZ28" i="5"/>
  <c r="BZ25" i="5"/>
  <c r="CD30" i="5"/>
  <c r="CD28" i="5"/>
  <c r="CD25" i="5"/>
  <c r="CD34" i="5"/>
  <c r="CH25" i="5"/>
  <c r="CH28" i="5"/>
  <c r="CH34" i="5"/>
  <c r="CH30" i="5"/>
  <c r="CX189" i="56"/>
  <c r="AT61" i="59"/>
  <c r="AT47" i="59"/>
  <c r="AT73" i="59"/>
  <c r="CQ73" i="59"/>
  <c r="CQ31" i="59"/>
  <c r="CQ41" i="59"/>
  <c r="CQ43" i="59"/>
  <c r="CQ61" i="59"/>
  <c r="CN79" i="1"/>
  <c r="CN61" i="1"/>
  <c r="CN75" i="1"/>
  <c r="CX25" i="5"/>
  <c r="CX50" i="59"/>
  <c r="BU34" i="5"/>
  <c r="BU28" i="5"/>
  <c r="BU25" i="5"/>
  <c r="BU30" i="5"/>
  <c r="CA34" i="5"/>
  <c r="CA30" i="5"/>
  <c r="CA25" i="5"/>
  <c r="CA28" i="5"/>
  <c r="CE28" i="5"/>
  <c r="CE25" i="5"/>
  <c r="CE30" i="5"/>
  <c r="CE34" i="5"/>
  <c r="CI30" i="5"/>
  <c r="CI28" i="5"/>
  <c r="CI25" i="5"/>
  <c r="CI34" i="5"/>
  <c r="DC82" i="1"/>
  <c r="DC66" i="1"/>
  <c r="DC132" i="1"/>
  <c r="DC134" i="1"/>
  <c r="CM66" i="1"/>
  <c r="CM82" i="1"/>
  <c r="CM134" i="1"/>
  <c r="CM132" i="1"/>
  <c r="CS66" i="1"/>
  <c r="CS82" i="1"/>
  <c r="CS134" i="1"/>
  <c r="CS132" i="1"/>
  <c r="BA40" i="56"/>
  <c r="BA59" i="56"/>
  <c r="BA56" i="56"/>
  <c r="BA58" i="56"/>
  <c r="BA52" i="56"/>
  <c r="BF40" i="56"/>
  <c r="DC60" i="59"/>
  <c r="DC72" i="59"/>
  <c r="DC32" i="59"/>
  <c r="CN68" i="1"/>
  <c r="CN84" i="1"/>
  <c r="CN23" i="1"/>
  <c r="CD71" i="59"/>
  <c r="CD59" i="59"/>
  <c r="CD36" i="14"/>
  <c r="CP68" i="1"/>
  <c r="CP84" i="1"/>
  <c r="CP23" i="1"/>
  <c r="CV41" i="59"/>
  <c r="CR35" i="14"/>
  <c r="CR58" i="59"/>
  <c r="CR70" i="59"/>
  <c r="CT84" i="1"/>
  <c r="CT23" i="1"/>
  <c r="CT68" i="1"/>
  <c r="BP36" i="14"/>
  <c r="BP59" i="59"/>
  <c r="BP71" i="59"/>
  <c r="DF83" i="1"/>
  <c r="DF67" i="1"/>
  <c r="DF167" i="1"/>
  <c r="CX75" i="1"/>
  <c r="CX61" i="1"/>
  <c r="CX79" i="1"/>
  <c r="CP35" i="5"/>
  <c r="CP24" i="5"/>
  <c r="CR42" i="59"/>
  <c r="CV16" i="59"/>
  <c r="DA31" i="59"/>
  <c r="DA61" i="59"/>
  <c r="DA41" i="59"/>
  <c r="DA43" i="59"/>
  <c r="DA73" i="59"/>
  <c r="CB61" i="59"/>
  <c r="CB73" i="59"/>
  <c r="BX41" i="59"/>
  <c r="CB41" i="59"/>
  <c r="CB43" i="59"/>
  <c r="CB31" i="59"/>
  <c r="CE19" i="59"/>
  <c r="CP36" i="14"/>
  <c r="CP59" i="59"/>
  <c r="CP71" i="59"/>
  <c r="CH44" i="59"/>
  <c r="BV12" i="57"/>
  <c r="DF25" i="5"/>
  <c r="DF9" i="5"/>
  <c r="DF50" i="59"/>
  <c r="CA189" i="56"/>
  <c r="BS28" i="7"/>
  <c r="DC189" i="56"/>
  <c r="AQ22" i="59"/>
  <c r="BI42" i="59"/>
  <c r="BM16" i="59"/>
  <c r="BQ19" i="59"/>
  <c r="BM15" i="59"/>
  <c r="BW15" i="59"/>
  <c r="BK189" i="56"/>
  <c r="CT19" i="59"/>
  <c r="AQ72" i="59"/>
  <c r="AQ47" i="59"/>
  <c r="AQ44" i="59"/>
  <c r="AQ60" i="59"/>
  <c r="DE25" i="5"/>
  <c r="DE50" i="59"/>
  <c r="CP22" i="59"/>
  <c r="BO41" i="59"/>
  <c r="CE41" i="59"/>
  <c r="CX36" i="14"/>
  <c r="CX59" i="59"/>
  <c r="CX71" i="59"/>
  <c r="CN67" i="1"/>
  <c r="CN83" i="1"/>
  <c r="CN167" i="1"/>
  <c r="CT22" i="59"/>
  <c r="CS25" i="5"/>
  <c r="CS50" i="59"/>
  <c r="DB42" i="5"/>
  <c r="DB81" i="1"/>
  <c r="DB73" i="1"/>
  <c r="DC79" i="1"/>
  <c r="DC75" i="1"/>
  <c r="DC61" i="1"/>
  <c r="BN32" i="59"/>
  <c r="BN19" i="59"/>
  <c r="BR19" i="59"/>
  <c r="BR17" i="59"/>
  <c r="BN22" i="59"/>
  <c r="CF19" i="59"/>
  <c r="CQ73" i="1"/>
  <c r="CQ42" i="5"/>
  <c r="CQ81" i="1"/>
  <c r="CM13" i="7"/>
  <c r="AV189" i="56"/>
  <c r="DE19" i="59"/>
  <c r="AV22" i="59"/>
  <c r="BI189" i="56"/>
  <c r="CQ15" i="59"/>
  <c r="DC192" i="1"/>
  <c r="BJ32" i="59"/>
  <c r="BJ40" i="56"/>
  <c r="BJ59" i="56"/>
  <c r="BJ52" i="56"/>
  <c r="BJ58" i="56"/>
  <c r="BN40" i="56"/>
  <c r="BN59" i="56"/>
  <c r="BN58" i="56"/>
  <c r="BN52" i="56"/>
  <c r="BV59" i="56"/>
  <c r="BV40" i="56"/>
  <c r="BV58" i="56"/>
  <c r="BV52" i="56"/>
  <c r="BZ52" i="56"/>
  <c r="BZ58" i="56"/>
  <c r="BZ59" i="56"/>
  <c r="BZ40" i="56"/>
  <c r="CD40" i="56"/>
  <c r="CD59" i="56"/>
  <c r="CD52" i="56"/>
  <c r="CD58" i="56"/>
  <c r="CH52" i="56"/>
  <c r="CH59" i="56"/>
  <c r="CH58" i="56"/>
  <c r="CH40" i="56"/>
  <c r="CW158" i="1"/>
  <c r="CW160" i="1"/>
  <c r="CW178" i="1"/>
  <c r="BT61" i="59"/>
  <c r="BT47" i="59"/>
  <c r="BT73" i="59"/>
  <c r="CP40" i="56"/>
  <c r="CP58" i="56"/>
  <c r="CP52" i="56"/>
  <c r="CP59" i="56"/>
  <c r="CT40" i="56"/>
  <c r="CT58" i="56"/>
  <c r="CT59" i="56"/>
  <c r="CT52" i="56"/>
  <c r="CX58" i="56"/>
  <c r="CX59" i="56"/>
  <c r="CX40" i="56"/>
  <c r="CX52" i="56"/>
  <c r="CE59" i="59"/>
  <c r="CE71" i="59"/>
  <c r="CE36" i="14"/>
  <c r="CT85" i="1"/>
  <c r="CT131" i="1"/>
  <c r="CT69" i="1"/>
  <c r="CR73" i="1"/>
  <c r="CR81" i="1"/>
  <c r="CR42" i="5"/>
  <c r="CZ167" i="1"/>
  <c r="CZ67" i="1"/>
  <c r="CZ83" i="1"/>
  <c r="BR31" i="59"/>
  <c r="BR61" i="59"/>
  <c r="BR43" i="59"/>
  <c r="BR73" i="59"/>
  <c r="CZ59" i="59"/>
  <c r="CZ36" i="14"/>
  <c r="CZ71" i="59"/>
  <c r="CX69" i="1"/>
  <c r="CX85" i="1"/>
  <c r="CX131" i="1"/>
  <c r="BT43" i="59"/>
  <c r="BT58" i="59"/>
  <c r="BT70" i="59"/>
  <c r="BT35" i="14"/>
  <c r="BT71" i="59"/>
  <c r="BT59" i="59"/>
  <c r="BT36" i="14"/>
  <c r="CS84" i="1"/>
  <c r="CS68" i="1"/>
  <c r="CS23" i="1"/>
  <c r="BU22" i="59"/>
  <c r="DC44" i="59"/>
  <c r="CQ12" i="57"/>
  <c r="CM42" i="59"/>
  <c r="CQ16" i="59"/>
  <c r="CO67" i="1"/>
  <c r="CO83" i="1"/>
  <c r="CO167" i="1"/>
  <c r="DB52" i="56"/>
  <c r="DB40" i="56"/>
  <c r="DB58" i="56"/>
  <c r="DB59" i="56"/>
  <c r="BQ30" i="5"/>
  <c r="BQ28" i="5"/>
  <c r="BQ25" i="5"/>
  <c r="BQ34" i="5"/>
  <c r="CF28" i="5"/>
  <c r="CF30" i="5"/>
  <c r="CF34" i="5"/>
  <c r="CF25" i="5"/>
  <c r="CJ28" i="5"/>
  <c r="CJ25" i="5"/>
  <c r="CJ30" i="5"/>
  <c r="CJ34" i="5"/>
  <c r="DB178" i="1"/>
  <c r="DB158" i="1"/>
  <c r="DB160" i="1"/>
  <c r="BB58" i="56"/>
  <c r="BB40" i="56"/>
  <c r="BB52" i="56"/>
  <c r="BB56" i="56"/>
  <c r="BB59" i="56"/>
  <c r="BG40" i="56"/>
  <c r="BK58" i="56"/>
  <c r="BK59" i="56"/>
  <c r="BK40" i="56"/>
  <c r="BK52" i="56"/>
  <c r="BO59" i="56"/>
  <c r="BO58" i="56"/>
  <c r="BO52" i="56"/>
  <c r="BO40" i="56"/>
  <c r="BS40" i="56"/>
  <c r="BS59" i="56"/>
  <c r="BS52" i="56"/>
  <c r="BS58" i="56"/>
  <c r="CA59" i="56"/>
  <c r="CA52" i="56"/>
  <c r="CA40" i="56"/>
  <c r="CA58" i="56"/>
  <c r="CE58" i="56"/>
  <c r="CE59" i="56"/>
  <c r="CE40" i="56"/>
  <c r="CE52" i="56"/>
  <c r="CI59" i="56"/>
  <c r="CI58" i="56"/>
  <c r="CI52" i="56"/>
  <c r="CI40" i="56"/>
  <c r="CM59" i="56"/>
  <c r="CM40" i="56"/>
  <c r="CM52" i="56"/>
  <c r="CM58" i="56"/>
  <c r="CU59" i="56"/>
  <c r="CU52" i="56"/>
  <c r="CU40" i="56"/>
  <c r="CU58" i="56"/>
  <c r="CY58" i="56"/>
  <c r="CY59" i="56"/>
  <c r="CY40" i="56"/>
  <c r="CY52" i="56"/>
  <c r="DC59" i="56"/>
  <c r="DC58" i="56"/>
  <c r="DC52" i="56"/>
  <c r="DC40" i="56"/>
  <c r="BP30" i="5"/>
  <c r="BP25" i="5"/>
  <c r="BP28" i="5"/>
  <c r="BP27" i="5"/>
  <c r="BP31" i="5"/>
  <c r="BT34" i="5"/>
  <c r="BT30" i="5"/>
  <c r="BT25" i="5"/>
  <c r="BT28" i="5"/>
  <c r="BY34" i="5"/>
  <c r="BY28" i="5"/>
  <c r="BY30" i="5"/>
  <c r="BY25" i="5"/>
  <c r="CK30" i="5"/>
  <c r="CK28" i="5"/>
  <c r="CK25" i="5"/>
  <c r="CK34" i="5"/>
  <c r="BP59" i="56"/>
  <c r="BP40" i="56"/>
  <c r="BP58" i="56"/>
  <c r="BP52" i="56"/>
  <c r="CF59" i="56"/>
  <c r="CF58" i="56"/>
  <c r="CF40" i="56"/>
  <c r="CF52" i="56"/>
  <c r="BV30" i="5"/>
  <c r="BV41" i="5"/>
  <c r="CA38" i="5"/>
  <c r="BV38" i="5"/>
  <c r="CO79" i="1"/>
  <c r="CO75" i="1"/>
  <c r="CO61" i="1"/>
  <c r="CY36" i="14"/>
  <c r="CY59" i="59"/>
  <c r="CY71" i="59"/>
  <c r="CQ131" i="1"/>
  <c r="CQ69" i="1"/>
  <c r="CQ39" i="1"/>
  <c r="CQ25" i="1"/>
  <c r="CQ85" i="1"/>
  <c r="DE61" i="1"/>
  <c r="DE79" i="1"/>
  <c r="DE75" i="1"/>
  <c r="BI25" i="5"/>
  <c r="BI28" i="5"/>
  <c r="BI30" i="5"/>
  <c r="AY56" i="56"/>
  <c r="AY59" i="56"/>
  <c r="AY52" i="56"/>
  <c r="AY40" i="56"/>
  <c r="AY58" i="56"/>
  <c r="BT52" i="56"/>
  <c r="BT40" i="56"/>
  <c r="BT59" i="56"/>
  <c r="BT58" i="56"/>
  <c r="CJ58" i="56"/>
  <c r="CJ40" i="56"/>
  <c r="CJ52" i="56"/>
  <c r="CJ59" i="56"/>
  <c r="CZ58" i="56"/>
  <c r="CZ40" i="56"/>
  <c r="CZ52" i="56"/>
  <c r="CZ59" i="56"/>
  <c r="BL58" i="56"/>
  <c r="BL40" i="56"/>
  <c r="BL59" i="56"/>
  <c r="BL52" i="56"/>
  <c r="CR52" i="56"/>
  <c r="CR40" i="56"/>
  <c r="CR58" i="56"/>
  <c r="CR59" i="56"/>
  <c r="BW25" i="5"/>
  <c r="BW30" i="5"/>
  <c r="BW28" i="5"/>
  <c r="BW34" i="5"/>
  <c r="CB34" i="5"/>
  <c r="CB30" i="5"/>
  <c r="CB25" i="5"/>
  <c r="CB28" i="5"/>
  <c r="CV28" i="5"/>
  <c r="CV22" i="5"/>
  <c r="CV30" i="5"/>
  <c r="CV34" i="5"/>
  <c r="BD59" i="56"/>
  <c r="BD52" i="56"/>
  <c r="BD40" i="56"/>
  <c r="BD58" i="56"/>
  <c r="DF34" i="5"/>
  <c r="DF28" i="5"/>
  <c r="DF22" i="5"/>
  <c r="DF30" i="5"/>
  <c r="BR157" i="56"/>
  <c r="BR35" i="56"/>
  <c r="BR158" i="56"/>
  <c r="BR54" i="56"/>
  <c r="BR159" i="56"/>
  <c r="CR158" i="1"/>
  <c r="CR160" i="1"/>
  <c r="CR178" i="1"/>
  <c r="CD54" i="56"/>
  <c r="CD159" i="56"/>
  <c r="CD35" i="56"/>
  <c r="AQ114" i="56"/>
  <c r="AQ112" i="56"/>
  <c r="AQ13" i="14"/>
  <c r="AQ110" i="56"/>
  <c r="AQ108" i="56"/>
  <c r="AV103" i="56"/>
  <c r="AQ103" i="56"/>
  <c r="AQ106" i="56"/>
  <c r="CS67" i="1"/>
  <c r="CS167" i="1"/>
  <c r="CS83" i="1"/>
  <c r="BG12" i="57"/>
  <c r="BS44" i="59"/>
  <c r="BK28" i="5"/>
  <c r="BK30" i="5"/>
  <c r="BK25" i="5"/>
  <c r="CJ59" i="59"/>
  <c r="CJ71" i="59"/>
  <c r="CJ36" i="14"/>
  <c r="CM83" i="1"/>
  <c r="CM167" i="1"/>
  <c r="CM67" i="1"/>
  <c r="BA50" i="59"/>
  <c r="BA25" i="5"/>
  <c r="CM81" i="1"/>
  <c r="CM42" i="5"/>
  <c r="CM73" i="1"/>
  <c r="BW12" i="57"/>
  <c r="CI44" i="59"/>
  <c r="CN160" i="1"/>
  <c r="CN178" i="1"/>
  <c r="CN158" i="1"/>
  <c r="BD25" i="5"/>
  <c r="BD28" i="5"/>
  <c r="BD30" i="5"/>
  <c r="CT36" i="14"/>
  <c r="CT71" i="59"/>
  <c r="CT59" i="59"/>
  <c r="CV160" i="1"/>
  <c r="CV178" i="1"/>
  <c r="CV158" i="1"/>
  <c r="CU42" i="5"/>
  <c r="CU81" i="1"/>
  <c r="CU73" i="1"/>
  <c r="CU67" i="1"/>
  <c r="CU83" i="1"/>
  <c r="CU167" i="1"/>
  <c r="DF73" i="1"/>
  <c r="DF42" i="5"/>
  <c r="DF81" i="1"/>
  <c r="BJ25" i="5"/>
  <c r="BJ30" i="5"/>
  <c r="BJ28" i="5"/>
  <c r="DC68" i="1"/>
  <c r="DC84" i="1"/>
  <c r="DC23" i="1"/>
  <c r="DD160" i="1"/>
  <c r="DD178" i="1"/>
  <c r="DD158" i="1"/>
  <c r="BN12" i="57"/>
  <c r="BZ44" i="59"/>
  <c r="BE35" i="56"/>
  <c r="AZ54" i="56"/>
  <c r="AZ35" i="56"/>
  <c r="CN189" i="56"/>
  <c r="BT180" i="7"/>
  <c r="DB189" i="56"/>
  <c r="AP189" i="56"/>
  <c r="AP19" i="59"/>
  <c r="CY189" i="56"/>
  <c r="AS19" i="59"/>
  <c r="AO44" i="59"/>
  <c r="BB61" i="59"/>
  <c r="BB73" i="59"/>
  <c r="CA41" i="59"/>
  <c r="BG44" i="59"/>
  <c r="BG22" i="59"/>
  <c r="CX22" i="59"/>
  <c r="CJ41" i="59"/>
  <c r="BN17" i="59"/>
  <c r="BR15" i="59"/>
  <c r="CC189" i="56"/>
  <c r="BL189" i="56"/>
  <c r="CJ17" i="59"/>
  <c r="CJ22" i="59"/>
  <c r="CW167" i="1"/>
  <c r="CW67" i="1"/>
  <c r="CW83" i="1"/>
  <c r="DF79" i="1"/>
  <c r="DF75" i="1"/>
  <c r="CO35" i="14"/>
  <c r="CO70" i="59"/>
  <c r="CO58" i="59"/>
  <c r="CP72" i="1"/>
  <c r="CP13" i="1"/>
  <c r="BY12" i="57"/>
  <c r="CK44" i="59"/>
  <c r="CW86" i="1"/>
  <c r="BH1" i="33"/>
  <c r="CU85" i="1"/>
  <c r="CU69" i="1"/>
  <c r="CU131" i="1"/>
  <c r="CL28" i="5"/>
  <c r="CL25" i="5"/>
  <c r="CL34" i="5"/>
  <c r="CL7" i="5"/>
  <c r="CL30" i="5"/>
  <c r="DE68" i="1"/>
  <c r="DE23" i="1"/>
  <c r="DE84" i="1"/>
  <c r="CN25" i="5"/>
  <c r="CN50" i="59"/>
  <c r="DA160" i="1"/>
  <c r="DA158" i="1"/>
  <c r="DA178" i="1"/>
  <c r="CO158" i="1"/>
  <c r="CO160" i="1"/>
  <c r="CO178" i="1"/>
  <c r="BE1" i="33"/>
  <c r="CT28" i="1"/>
  <c r="CT86" i="1"/>
  <c r="AY54" i="56"/>
  <c r="AY163" i="56"/>
  <c r="AY35" i="56"/>
  <c r="CV7" i="5"/>
  <c r="CR34" i="5"/>
  <c r="CR28" i="5"/>
  <c r="BW158" i="56"/>
  <c r="BW35" i="56"/>
  <c r="BW159" i="56"/>
  <c r="BW54" i="56"/>
  <c r="BW157" i="56"/>
  <c r="BA54" i="56"/>
  <c r="BF35" i="56"/>
  <c r="BA35" i="56"/>
  <c r="CB159" i="56"/>
  <c r="CB35" i="56"/>
  <c r="CB54" i="56"/>
  <c r="BX40" i="56"/>
  <c r="BX52" i="56"/>
  <c r="BX58" i="56"/>
  <c r="BX59" i="56"/>
  <c r="AW103" i="56"/>
  <c r="AR110" i="56"/>
  <c r="AR114" i="56"/>
  <c r="AR103" i="56"/>
  <c r="AR108" i="56"/>
  <c r="AR112" i="56"/>
  <c r="AR106" i="56"/>
  <c r="BM54" i="56"/>
  <c r="BM158" i="56"/>
  <c r="BM157" i="56"/>
  <c r="BM35" i="56"/>
  <c r="BM159" i="56"/>
  <c r="CX36" i="5"/>
  <c r="CX27" i="5"/>
  <c r="CC159" i="56"/>
  <c r="CC35" i="56"/>
  <c r="CC54" i="56"/>
  <c r="CD27" i="5"/>
  <c r="CD36" i="5"/>
  <c r="BR28" i="5"/>
  <c r="BR25" i="5"/>
  <c r="BR34" i="5"/>
  <c r="BR30" i="5"/>
  <c r="CL35" i="56"/>
  <c r="CL54" i="56"/>
  <c r="CL159" i="56"/>
  <c r="BX15" i="59"/>
  <c r="BX17" i="59"/>
  <c r="BX22" i="59"/>
  <c r="CB22" i="59"/>
  <c r="BO17" i="59"/>
  <c r="BO22" i="59"/>
  <c r="CD189" i="56"/>
  <c r="CQ9" i="7"/>
  <c r="BW17" i="59"/>
  <c r="DB192" i="1"/>
  <c r="CS12" i="7"/>
  <c r="CM189" i="56"/>
  <c r="CA15" i="59"/>
  <c r="CA17" i="59"/>
  <c r="CA22" i="59"/>
  <c r="BY189" i="56"/>
  <c r="CZ19" i="59"/>
  <c r="AR22" i="59"/>
  <c r="AR44" i="59"/>
  <c r="CF189" i="56"/>
  <c r="CT17" i="59"/>
  <c r="BT22" i="59"/>
  <c r="CG17" i="59"/>
  <c r="AW71" i="59"/>
  <c r="AW36" i="14"/>
  <c r="AW59" i="59"/>
  <c r="CP44" i="59"/>
  <c r="CD12" i="57"/>
  <c r="BE44" i="59"/>
  <c r="BE22" i="59"/>
  <c r="CZ131" i="1"/>
  <c r="CZ69" i="1"/>
  <c r="CZ85" i="1"/>
  <c r="CY44" i="59"/>
  <c r="CM12" i="57"/>
  <c r="CN42" i="5"/>
  <c r="CN81" i="1"/>
  <c r="CN73" i="1"/>
  <c r="CQ35" i="56"/>
  <c r="CQ54" i="56"/>
  <c r="CQ159" i="56"/>
  <c r="BZ36" i="14"/>
  <c r="BZ71" i="59"/>
  <c r="BZ59" i="59"/>
  <c r="BL159" i="56"/>
  <c r="BL54" i="56"/>
  <c r="BL35" i="56"/>
  <c r="DC34" i="5"/>
  <c r="DC28" i="5"/>
  <c r="BM25" i="5"/>
  <c r="BM30" i="5"/>
  <c r="BM26" i="5"/>
  <c r="BM7" i="5"/>
  <c r="BM28" i="5"/>
  <c r="DC167" i="1"/>
  <c r="DC67" i="1"/>
  <c r="DC83" i="1"/>
  <c r="CH54" i="56"/>
  <c r="CH35" i="56"/>
  <c r="CH159" i="56"/>
  <c r="BU159" i="56"/>
  <c r="BU54" i="56"/>
  <c r="BU35" i="56"/>
  <c r="Y160" i="1"/>
  <c r="Y178" i="1"/>
  <c r="Y158" i="1"/>
  <c r="CY61" i="1"/>
  <c r="CY79" i="1"/>
  <c r="CY75" i="1"/>
  <c r="BK59" i="59"/>
  <c r="BK36" i="14"/>
  <c r="BK71" i="59"/>
  <c r="BN54" i="56"/>
  <c r="BN159" i="56"/>
  <c r="BN35" i="56"/>
  <c r="DF7" i="5"/>
  <c r="DB34" i="5"/>
  <c r="DB28" i="5"/>
  <c r="CO23" i="1"/>
  <c r="CO84" i="1"/>
  <c r="CO68" i="1"/>
  <c r="CB12" i="57"/>
  <c r="CN44" i="59"/>
  <c r="DF159" i="56"/>
  <c r="DF35" i="56"/>
  <c r="DF54" i="56"/>
  <c r="DE83" i="1"/>
  <c r="DE167" i="1"/>
  <c r="DE67" i="1"/>
  <c r="CX159" i="56"/>
  <c r="CX54" i="56"/>
  <c r="CX35" i="56"/>
  <c r="CT35" i="56"/>
  <c r="CT54" i="56"/>
  <c r="CT159" i="56"/>
  <c r="CM75" i="1"/>
  <c r="CM79" i="1"/>
  <c r="CQ167" i="1"/>
  <c r="CQ67" i="1"/>
  <c r="CQ83" i="1"/>
  <c r="CA59" i="59"/>
  <c r="CA36" i="14"/>
  <c r="CA71" i="59"/>
  <c r="CN36" i="14"/>
  <c r="CN59" i="59"/>
  <c r="CN71" i="59"/>
  <c r="CK12" i="57"/>
  <c r="CW44" i="59"/>
  <c r="CW73" i="1"/>
  <c r="CW42" i="5"/>
  <c r="CW81" i="1"/>
  <c r="CJ15" i="59"/>
  <c r="CJ189" i="56"/>
  <c r="BR12" i="57"/>
  <c r="CD44" i="59"/>
  <c r="DC85" i="1"/>
  <c r="DC69" i="1"/>
  <c r="DC131" i="1"/>
  <c r="X86" i="1"/>
  <c r="X28" i="1"/>
  <c r="AC86" i="1"/>
  <c r="CY160" i="1"/>
  <c r="CY158" i="1"/>
  <c r="CY178" i="1"/>
  <c r="X158" i="1"/>
  <c r="X178" i="1"/>
  <c r="X160" i="1"/>
  <c r="BN30" i="5"/>
  <c r="BN28" i="5"/>
  <c r="BN25" i="5"/>
  <c r="BR7" i="5"/>
  <c r="AU36" i="14"/>
  <c r="AU59" i="59"/>
  <c r="AU71" i="59"/>
  <c r="DE58" i="59"/>
  <c r="DE35" i="14"/>
  <c r="DE70" i="59"/>
  <c r="CH35" i="5"/>
  <c r="CH24" i="5"/>
  <c r="BS12" i="57"/>
  <c r="CE44" i="59"/>
  <c r="DD81" i="1"/>
  <c r="DD42" i="5"/>
  <c r="DD73" i="1"/>
  <c r="CS85" i="1"/>
  <c r="CS69" i="1"/>
  <c r="CS131" i="1"/>
  <c r="CH12" i="57"/>
  <c r="CT44" i="59"/>
  <c r="DF13" i="1"/>
  <c r="DF12" i="1"/>
  <c r="DF72" i="1"/>
  <c r="CY73" i="1"/>
  <c r="CY42" i="5"/>
  <c r="CY81" i="1"/>
  <c r="AR56" i="56"/>
  <c r="AR163" i="56"/>
  <c r="AW37" i="56"/>
  <c r="CV35" i="56"/>
  <c r="CV54" i="56"/>
  <c r="CV159" i="56"/>
  <c r="DE42" i="5"/>
  <c r="DE81" i="1"/>
  <c r="DE73" i="1"/>
  <c r="AW35" i="14"/>
  <c r="AW58" i="59"/>
  <c r="AW70" i="59"/>
  <c r="BO28" i="5"/>
  <c r="BO30" i="5"/>
  <c r="BO25" i="5"/>
  <c r="DA15" i="14"/>
  <c r="DA13" i="14"/>
  <c r="CM72" i="66"/>
  <c r="BD54" i="56"/>
  <c r="BD159" i="56"/>
  <c r="BD35" i="56"/>
  <c r="CN54" i="56"/>
  <c r="CN159" i="56"/>
  <c r="CN35" i="56"/>
  <c r="CY135" i="1"/>
  <c r="CY133" i="1"/>
  <c r="BV44" i="59"/>
  <c r="BJ12" i="57"/>
  <c r="CL15" i="59"/>
  <c r="DB79" i="1"/>
  <c r="DB75" i="1"/>
  <c r="AT17" i="59"/>
  <c r="AT22" i="59"/>
  <c r="AX22" i="59"/>
  <c r="CM12" i="7"/>
  <c r="CQ19" i="1"/>
  <c r="CZ35" i="5"/>
  <c r="CZ24" i="5"/>
  <c r="BO12" i="57"/>
  <c r="BU19" i="59"/>
  <c r="BC159" i="56"/>
  <c r="BC35" i="56"/>
  <c r="BC54" i="56"/>
  <c r="BZ35" i="56"/>
  <c r="BZ54" i="56"/>
  <c r="BZ159" i="56"/>
  <c r="BJ35" i="56"/>
  <c r="BJ54" i="56"/>
  <c r="BJ159" i="56"/>
  <c r="AU163" i="56"/>
  <c r="AU54" i="56"/>
  <c r="AU35" i="56"/>
  <c r="CM159" i="56"/>
  <c r="CM54" i="56"/>
  <c r="CM35" i="56"/>
  <c r="BZ35" i="5"/>
  <c r="BZ8" i="5"/>
  <c r="BZ24" i="5"/>
  <c r="AS163" i="56"/>
  <c r="AS56" i="56"/>
  <c r="AX37" i="56"/>
  <c r="CP35" i="56"/>
  <c r="CP54" i="56"/>
  <c r="CP159" i="56"/>
  <c r="DA28" i="5"/>
  <c r="DA22" i="5"/>
  <c r="DA30" i="5"/>
  <c r="DA34" i="5"/>
  <c r="CG34" i="5"/>
  <c r="CG28" i="5"/>
  <c r="CG30" i="5"/>
  <c r="CG7" i="5"/>
  <c r="CG25" i="5"/>
  <c r="DD40" i="56"/>
  <c r="DD58" i="56"/>
  <c r="DD52" i="56"/>
  <c r="DD59" i="56"/>
  <c r="AS114" i="56"/>
  <c r="AS110" i="56"/>
  <c r="AS112" i="56"/>
  <c r="AS103" i="56"/>
  <c r="AS106" i="56"/>
  <c r="AX103" i="56"/>
  <c r="AS108" i="56"/>
  <c r="AU103" i="56"/>
  <c r="AP110" i="56"/>
  <c r="AP114" i="56"/>
  <c r="AP106" i="56"/>
  <c r="AP112" i="56"/>
  <c r="AP13" i="14"/>
  <c r="AP108" i="56"/>
  <c r="AP103" i="56"/>
  <c r="BB63" i="56"/>
  <c r="BG45" i="56"/>
  <c r="BB45" i="56"/>
  <c r="BB61" i="56"/>
  <c r="BB187" i="56"/>
  <c r="AO40" i="56"/>
  <c r="AO52" i="56"/>
  <c r="AO58" i="56"/>
  <c r="AO59" i="56"/>
  <c r="AO54" i="56"/>
  <c r="CY84" i="1"/>
  <c r="CY23" i="1"/>
  <c r="CY68" i="1"/>
  <c r="CT24" i="5"/>
  <c r="CT35" i="5"/>
  <c r="BH160" i="1"/>
  <c r="BH178" i="1"/>
  <c r="BH158" i="1"/>
  <c r="DF178" i="1"/>
  <c r="DF158" i="1"/>
  <c r="DF160" i="1"/>
  <c r="CU75" i="1"/>
  <c r="CU61" i="1"/>
  <c r="CU79" i="1"/>
  <c r="CA72" i="59"/>
  <c r="CA44" i="59"/>
  <c r="CA60" i="59"/>
  <c r="CT81" i="1"/>
  <c r="CT42" i="5"/>
  <c r="CT73" i="1"/>
  <c r="CW159" i="56"/>
  <c r="CW35" i="56"/>
  <c r="CW54" i="56"/>
  <c r="BY31" i="5"/>
  <c r="BY39" i="5"/>
  <c r="DD36" i="14"/>
  <c r="DD59" i="59"/>
  <c r="DD71" i="59"/>
  <c r="BO35" i="56"/>
  <c r="BO54" i="56"/>
  <c r="BO159" i="56"/>
  <c r="CX42" i="5"/>
  <c r="CX73" i="1"/>
  <c r="CX81" i="1"/>
  <c r="BC12" i="57"/>
  <c r="BO44" i="59"/>
  <c r="BA71" i="59"/>
  <c r="BA36" i="14"/>
  <c r="BA59" i="59"/>
  <c r="CI189" i="56"/>
  <c r="BT17" i="59"/>
  <c r="BT41" i="59"/>
  <c r="BU189" i="56"/>
  <c r="BA22" i="14"/>
  <c r="BA21" i="14"/>
  <c r="BF22" i="14"/>
  <c r="BB24" i="5"/>
  <c r="BB7" i="11"/>
  <c r="CQ17" i="59"/>
  <c r="BM17" i="59"/>
  <c r="BH19" i="59"/>
  <c r="DD50" i="59"/>
  <c r="DD25" i="5"/>
  <c r="DC17" i="59"/>
  <c r="DC22" i="59"/>
  <c r="BP44" i="59"/>
  <c r="BD12" i="57"/>
  <c r="CK189" i="56"/>
  <c r="CN12" i="7"/>
  <c r="CE189" i="56"/>
  <c r="CS19" i="59"/>
  <c r="BH73" i="59"/>
  <c r="BH61" i="59"/>
  <c r="CY12" i="7"/>
  <c r="CW50" i="59"/>
  <c r="CW25" i="5"/>
  <c r="CJ44" i="59"/>
  <c r="BX12" i="57"/>
  <c r="CQ31" i="5"/>
  <c r="CQ39" i="5"/>
  <c r="DE12" i="7"/>
  <c r="CE15" i="59"/>
  <c r="CE17" i="59"/>
  <c r="CE22" i="59"/>
  <c r="DD189" i="56"/>
  <c r="BS183" i="7"/>
  <c r="DD12" i="7"/>
  <c r="BE19" i="59"/>
  <c r="BQ41" i="59"/>
  <c r="CT160" i="1"/>
  <c r="CT178" i="1"/>
  <c r="CT158" i="1"/>
  <c r="BA35" i="14"/>
  <c r="BA70" i="59"/>
  <c r="BA58" i="59"/>
  <c r="CS71" i="59"/>
  <c r="CS59" i="59"/>
  <c r="CS36" i="14"/>
  <c r="BJ71" i="59"/>
  <c r="BJ59" i="59"/>
  <c r="BJ36" i="14"/>
  <c r="DD19" i="59"/>
  <c r="CR19" i="59"/>
  <c r="CV19" i="59"/>
  <c r="CV25" i="5"/>
  <c r="CV9" i="5"/>
  <c r="CV50" i="59"/>
  <c r="CS73" i="1"/>
  <c r="CS42" i="5"/>
  <c r="CS81" i="1"/>
  <c r="BW19" i="59"/>
  <c r="CE35" i="5"/>
  <c r="CE8" i="5"/>
  <c r="CE24" i="5"/>
  <c r="DA72" i="1"/>
  <c r="DA12" i="1"/>
  <c r="DA13" i="1"/>
  <c r="CW36" i="5"/>
  <c r="CW27" i="5"/>
  <c r="BT19" i="7"/>
  <c r="CA27" i="5"/>
  <c r="CA36" i="5"/>
  <c r="BU41" i="59"/>
  <c r="BU15" i="59"/>
  <c r="BU17" i="59"/>
  <c r="CH42" i="59"/>
  <c r="CL16" i="59"/>
  <c r="DE13" i="1"/>
  <c r="DE72" i="1"/>
  <c r="CY35" i="5"/>
  <c r="CY24" i="5"/>
  <c r="AO22" i="59"/>
  <c r="AS22" i="59"/>
  <c r="CR35" i="56"/>
  <c r="CR54" i="56"/>
  <c r="CR159" i="56"/>
  <c r="DB86" i="1"/>
  <c r="BM1" i="33"/>
  <c r="DE160" i="1"/>
  <c r="DE158" i="1"/>
  <c r="DE178" i="1"/>
  <c r="CB26" i="5"/>
  <c r="CB21" i="5"/>
  <c r="BH12" i="57"/>
  <c r="CL185" i="56"/>
  <c r="CZ12" i="7"/>
  <c r="CK41" i="59"/>
  <c r="BL30" i="5"/>
  <c r="BL25" i="5"/>
  <c r="BL28" i="5"/>
  <c r="CU159" i="56"/>
  <c r="CU54" i="56"/>
  <c r="CU35" i="56"/>
  <c r="AW56" i="56"/>
  <c r="AW40" i="56"/>
  <c r="AW58" i="56"/>
  <c r="AW52" i="56"/>
  <c r="AW59" i="56"/>
  <c r="BH58" i="56"/>
  <c r="BH40" i="56"/>
  <c r="BH59" i="56"/>
  <c r="BH52" i="56"/>
  <c r="CB58" i="56"/>
  <c r="CB52" i="56"/>
  <c r="CB59" i="56"/>
  <c r="CB40" i="56"/>
  <c r="CN59" i="56"/>
  <c r="CN52" i="56"/>
  <c r="CN40" i="56"/>
  <c r="CN58" i="56"/>
  <c r="CV59" i="56"/>
  <c r="CV58" i="56"/>
  <c r="CV40" i="56"/>
  <c r="CV52" i="56"/>
  <c r="AR59" i="56"/>
  <c r="AR54" i="56"/>
  <c r="AR52" i="56"/>
  <c r="AR58" i="56"/>
  <c r="AR40" i="56"/>
  <c r="AV59" i="56"/>
  <c r="AV40" i="56"/>
  <c r="AV58" i="56"/>
  <c r="AV56" i="56"/>
  <c r="AV52" i="56"/>
  <c r="BC45" i="56"/>
  <c r="BC61" i="56"/>
  <c r="BH45" i="56"/>
  <c r="BC187" i="56"/>
  <c r="BC63" i="56"/>
  <c r="BW40" i="56"/>
  <c r="BW59" i="56"/>
  <c r="BW58" i="56"/>
  <c r="BW52" i="56"/>
  <c r="CQ59" i="56"/>
  <c r="CQ52" i="56"/>
  <c r="CQ58" i="56"/>
  <c r="CQ40" i="56"/>
  <c r="AS59" i="56"/>
  <c r="AS58" i="56"/>
  <c r="AS54" i="56"/>
  <c r="AS40" i="56"/>
  <c r="AS19" i="56"/>
  <c r="AS52" i="56"/>
  <c r="CV86" i="1"/>
  <c r="BG1" i="33"/>
  <c r="CI1" i="5"/>
  <c r="CR28" i="1"/>
  <c r="CV28" i="1"/>
  <c r="CI1" i="56"/>
  <c r="CJ54" i="56"/>
  <c r="CJ159" i="56"/>
  <c r="CJ35" i="56"/>
  <c r="CZ81" i="1"/>
  <c r="CZ73" i="1"/>
  <c r="CZ42" i="5"/>
  <c r="CW34" i="5"/>
  <c r="CW28" i="5"/>
  <c r="DA7" i="5"/>
  <c r="BS35" i="56"/>
  <c r="BS54" i="56"/>
  <c r="BS159" i="56"/>
  <c r="BQ54" i="56"/>
  <c r="BQ159" i="56"/>
  <c r="BQ35" i="56"/>
  <c r="CI54" i="56"/>
  <c r="CI35" i="56"/>
  <c r="CI159" i="56"/>
  <c r="BS24" i="5"/>
  <c r="BS35" i="5"/>
  <c r="AT58" i="56"/>
  <c r="AT59" i="56"/>
  <c r="AT52" i="56"/>
  <c r="AT56" i="56"/>
  <c r="AT40" i="56"/>
  <c r="AX40" i="56"/>
  <c r="AX52" i="56"/>
  <c r="AX59" i="56"/>
  <c r="AX58" i="56"/>
  <c r="AX56" i="56"/>
  <c r="AQ52" i="56"/>
  <c r="AQ40" i="56"/>
  <c r="AQ59" i="56"/>
  <c r="AQ58" i="56"/>
  <c r="AQ54" i="56"/>
  <c r="AU59" i="56"/>
  <c r="AU40" i="56"/>
  <c r="AU52" i="56"/>
  <c r="AU56" i="56"/>
  <c r="AU58" i="56"/>
  <c r="BC58" i="56"/>
  <c r="BC40" i="56"/>
  <c r="BC56" i="56"/>
  <c r="BC59" i="56"/>
  <c r="BC19" i="56"/>
  <c r="BC52" i="56"/>
  <c r="BR40" i="56"/>
  <c r="BR52" i="56"/>
  <c r="BR59" i="56"/>
  <c r="BR58" i="56"/>
  <c r="CL59" i="56"/>
  <c r="CL58" i="56"/>
  <c r="CL52" i="56"/>
  <c r="CL40" i="56"/>
  <c r="DF58" i="56"/>
  <c r="DF59" i="56"/>
  <c r="DF52" i="56"/>
  <c r="DF40" i="56"/>
  <c r="AP40" i="56"/>
  <c r="AP52" i="56"/>
  <c r="AP58" i="56"/>
  <c r="AP54" i="56"/>
  <c r="AP59" i="56"/>
  <c r="BM52" i="56"/>
  <c r="BM59" i="56"/>
  <c r="BM58" i="56"/>
  <c r="BM40" i="56"/>
  <c r="CG59" i="56"/>
  <c r="CG40" i="56"/>
  <c r="CG58" i="56"/>
  <c r="CG52" i="56"/>
  <c r="DA40" i="56"/>
  <c r="DA59" i="56"/>
  <c r="DA52" i="56"/>
  <c r="DA58" i="56"/>
  <c r="AO110" i="56"/>
  <c r="AO108" i="56"/>
  <c r="AO13" i="14"/>
  <c r="AO106" i="56"/>
  <c r="AO114" i="56"/>
  <c r="AT103" i="56"/>
  <c r="AO103" i="56"/>
  <c r="AO112" i="56"/>
  <c r="BI47" i="56"/>
  <c r="BI194" i="56"/>
  <c r="BI191" i="56"/>
  <c r="BI195" i="56"/>
  <c r="AR119" i="56"/>
  <c r="AW119" i="56"/>
  <c r="AR128" i="56"/>
  <c r="AT120" i="56"/>
  <c r="AR120" i="56"/>
  <c r="AQ119" i="56"/>
  <c r="AQ128" i="56"/>
  <c r="AV119" i="56"/>
  <c r="AQ120" i="56"/>
  <c r="AU119" i="56"/>
  <c r="AP120" i="56"/>
  <c r="AP119" i="56"/>
  <c r="AP128" i="56"/>
  <c r="AO119" i="56"/>
  <c r="AO120" i="56"/>
  <c r="AT119" i="56"/>
  <c r="AO128" i="56"/>
  <c r="CK37" i="56"/>
  <c r="CK56" i="56"/>
  <c r="CG35" i="56"/>
  <c r="CG159" i="56"/>
  <c r="CG54" i="56"/>
  <c r="AX148" i="56"/>
  <c r="AX189" i="56"/>
  <c r="BW16" i="57"/>
  <c r="BW31" i="57"/>
  <c r="BK35" i="56"/>
  <c r="BK54" i="56"/>
  <c r="BK159" i="56"/>
  <c r="CP27" i="5"/>
  <c r="CP36" i="5"/>
  <c r="BB47" i="56"/>
  <c r="BG47" i="56"/>
  <c r="BB191" i="56"/>
  <c r="CO36" i="5"/>
  <c r="CO27" i="5"/>
  <c r="AO163" i="56"/>
  <c r="AT37" i="56"/>
  <c r="AO56" i="56"/>
  <c r="AQ56" i="56"/>
  <c r="AV37" i="56"/>
  <c r="AQ163" i="56"/>
  <c r="CQ30" i="5"/>
  <c r="CQ22" i="5"/>
  <c r="CQ34" i="5"/>
  <c r="CQ28" i="5"/>
  <c r="BF8" i="14"/>
  <c r="BA7" i="14"/>
  <c r="BA8" i="14"/>
  <c r="CQ35" i="5"/>
  <c r="CQ24" i="5"/>
  <c r="CI35" i="5"/>
  <c r="CI8" i="5"/>
  <c r="CI24" i="5"/>
  <c r="CQ31" i="57"/>
  <c r="CQ16" i="57"/>
  <c r="AO189" i="56"/>
  <c r="AO19" i="59"/>
  <c r="BO189" i="56"/>
  <c r="BO15" i="59"/>
  <c r="AT189" i="56"/>
  <c r="AX183" i="56"/>
  <c r="BY21" i="5"/>
  <c r="CB10" i="5"/>
  <c r="AY30" i="5"/>
  <c r="AY28" i="5"/>
  <c r="BZ36" i="5"/>
  <c r="BZ27" i="5"/>
  <c r="DA75" i="1"/>
  <c r="DA79" i="1"/>
  <c r="BG43" i="56"/>
  <c r="BB43" i="56"/>
  <c r="BB62" i="56"/>
  <c r="CX37" i="56"/>
  <c r="CX56" i="56"/>
  <c r="DB159" i="56"/>
  <c r="DB35" i="56"/>
  <c r="DB54" i="56"/>
  <c r="BB54" i="56"/>
  <c r="BG35" i="56"/>
  <c r="BB35" i="56"/>
  <c r="CO159" i="56"/>
  <c r="CO54" i="56"/>
  <c r="CO35" i="56"/>
  <c r="BS23" i="7"/>
  <c r="BS26" i="7"/>
  <c r="AV71" i="59"/>
  <c r="AV59" i="59"/>
  <c r="AV36" i="14"/>
  <c r="BS38" i="5"/>
  <c r="BX38" i="5"/>
  <c r="BS30" i="5"/>
  <c r="CS158" i="1"/>
  <c r="CS160" i="1"/>
  <c r="CS178" i="1"/>
  <c r="AZ50" i="59"/>
  <c r="AZ25" i="5"/>
  <c r="BR16" i="59"/>
  <c r="BN42" i="59"/>
  <c r="CR79" i="1"/>
  <c r="CR75" i="1"/>
  <c r="CZ158" i="1"/>
  <c r="CZ178" i="1"/>
  <c r="CZ160" i="1"/>
  <c r="BY171" i="56"/>
  <c r="BG158" i="1"/>
  <c r="BG160" i="1"/>
  <c r="BG178" i="1"/>
  <c r="AV163" i="56"/>
  <c r="AV54" i="56"/>
  <c r="AV35" i="56"/>
  <c r="CZ159" i="56"/>
  <c r="CZ54" i="56"/>
  <c r="CZ35" i="56"/>
  <c r="BY24" i="5"/>
  <c r="BY8" i="5"/>
  <c r="BY35" i="5"/>
  <c r="CZ38" i="5"/>
  <c r="CZ41" i="5"/>
  <c r="AZ47" i="56"/>
  <c r="AZ191" i="56"/>
  <c r="BE47" i="56"/>
  <c r="BM56" i="56"/>
  <c r="BM37" i="56"/>
  <c r="CZ135" i="1"/>
  <c r="CZ133" i="1"/>
  <c r="CD37" i="56"/>
  <c r="CD56" i="56"/>
  <c r="BQ1" i="33"/>
  <c r="DB28" i="1"/>
  <c r="DF28" i="1"/>
  <c r="DF86" i="1"/>
  <c r="BO47" i="56"/>
  <c r="BO191" i="56"/>
  <c r="BD72" i="59"/>
  <c r="BH44" i="59"/>
  <c r="BD44" i="59"/>
  <c r="BD60" i="59"/>
  <c r="CU25" i="5"/>
  <c r="CU50" i="59"/>
  <c r="DB133" i="1"/>
  <c r="DB135" i="1"/>
  <c r="BT54" i="56"/>
  <c r="BT159" i="56"/>
  <c r="BT35" i="56"/>
  <c r="CZ36" i="5"/>
  <c r="CZ27" i="5"/>
  <c r="CQ124" i="1"/>
  <c r="CP28" i="5"/>
  <c r="CP34" i="5"/>
  <c r="DA9" i="7"/>
  <c r="CW79" i="1"/>
  <c r="CW75" i="1"/>
  <c r="AQ19" i="59"/>
  <c r="AQ189" i="56"/>
  <c r="BA189" i="56"/>
  <c r="DD36" i="5"/>
  <c r="DD27" i="5"/>
  <c r="CN35" i="5"/>
  <c r="CN24" i="5"/>
  <c r="BW37" i="56"/>
  <c r="BW56" i="56"/>
  <c r="CV135" i="1"/>
  <c r="CV133" i="1"/>
  <c r="CA47" i="56"/>
  <c r="CA191" i="56"/>
  <c r="DA168" i="1"/>
  <c r="BY36" i="5"/>
  <c r="BY27" i="5"/>
  <c r="BQ189" i="56"/>
  <c r="CM16" i="59"/>
  <c r="CF41" i="59"/>
  <c r="AV17" i="59"/>
  <c r="DF17" i="59"/>
  <c r="CT190" i="1"/>
  <c r="CZ42" i="59"/>
  <c r="CX17" i="59"/>
  <c r="BR189" i="56"/>
  <c r="BR148" i="56"/>
  <c r="BJ47" i="56"/>
  <c r="BJ191" i="56"/>
  <c r="BR41" i="5"/>
  <c r="BR10" i="11"/>
  <c r="BR18" i="5"/>
  <c r="BR38" i="5"/>
  <c r="DD133" i="1"/>
  <c r="DD135" i="1"/>
  <c r="CQ135" i="1"/>
  <c r="CQ133" i="1"/>
  <c r="AP191" i="56"/>
  <c r="AP26" i="56"/>
  <c r="AP47" i="56"/>
  <c r="BT16" i="57"/>
  <c r="BT31" i="57"/>
  <c r="CS31" i="5"/>
  <c r="CS39" i="5"/>
  <c r="CT27" i="5"/>
  <c r="CT36" i="5"/>
  <c r="CQ84" i="1"/>
  <c r="CQ21" i="1"/>
  <c r="CQ68" i="1"/>
  <c r="DF24" i="5"/>
  <c r="DF35" i="5"/>
  <c r="BK172" i="56"/>
  <c r="BV54" i="56"/>
  <c r="BV35" i="56"/>
  <c r="BV159" i="56"/>
  <c r="CP178" i="1"/>
  <c r="CP158" i="1"/>
  <c r="CP160" i="1"/>
  <c r="CS159" i="56"/>
  <c r="CS54" i="56"/>
  <c r="CS35" i="56"/>
  <c r="CZ86" i="1"/>
  <c r="CZ28" i="1"/>
  <c r="BK1" i="33"/>
  <c r="BV35" i="5"/>
  <c r="BV7" i="5"/>
  <c r="BV8" i="5"/>
  <c r="BV24" i="5"/>
  <c r="DC27" i="5"/>
  <c r="DC36" i="5"/>
  <c r="CU158" i="1"/>
  <c r="CU178" i="1"/>
  <c r="CU160" i="1"/>
  <c r="BY159" i="56"/>
  <c r="BY54" i="56"/>
  <c r="BY35" i="56"/>
  <c r="BB50" i="59"/>
  <c r="BB25" i="5"/>
  <c r="AX54" i="56"/>
  <c r="AX35" i="56"/>
  <c r="AX163" i="56"/>
  <c r="DA133" i="1"/>
  <c r="DA135" i="1"/>
  <c r="CZ124" i="1"/>
  <c r="BH159" i="56"/>
  <c r="BH35" i="56"/>
  <c r="BH54" i="56"/>
  <c r="CG16" i="57"/>
  <c r="CG31" i="57"/>
  <c r="DD159" i="56"/>
  <c r="DD54" i="56"/>
  <c r="DD35" i="56"/>
  <c r="CV79" i="1"/>
  <c r="CV75" i="1"/>
  <c r="CS36" i="5"/>
  <c r="CS19" i="5"/>
  <c r="CS43" i="59"/>
  <c r="CS47" i="59"/>
  <c r="CS9" i="5"/>
  <c r="CS12" i="5"/>
  <c r="CS27" i="5"/>
  <c r="CN176" i="1"/>
  <c r="DB35" i="5"/>
  <c r="DB24" i="5"/>
  <c r="DF8" i="5"/>
  <c r="CB37" i="56"/>
  <c r="CB56" i="56"/>
  <c r="CN135" i="1"/>
  <c r="CN133" i="1"/>
  <c r="CU28" i="5"/>
  <c r="CU34" i="5"/>
  <c r="CV27" i="1"/>
  <c r="CH21" i="5"/>
  <c r="CO191" i="56"/>
  <c r="CO47" i="56"/>
  <c r="BM16" i="57"/>
  <c r="BM31" i="57"/>
  <c r="BS56" i="56"/>
  <c r="BS37" i="56"/>
  <c r="CR12" i="57"/>
  <c r="DD44" i="59"/>
  <c r="CD16" i="57"/>
  <c r="CD31" i="57"/>
  <c r="CM37" i="56"/>
  <c r="CM56" i="56"/>
  <c r="CF27" i="5"/>
  <c r="CF36" i="5"/>
  <c r="BJ31" i="57"/>
  <c r="BJ16" i="57"/>
  <c r="DA47" i="56"/>
  <c r="DA19" i="56"/>
  <c r="DA26" i="56"/>
  <c r="DA191" i="56"/>
  <c r="CF171" i="56"/>
  <c r="BX35" i="5"/>
  <c r="BT27" i="5"/>
  <c r="BT36" i="5"/>
  <c r="AP163" i="56"/>
  <c r="AP19" i="56"/>
  <c r="AP56" i="56"/>
  <c r="AU37" i="56"/>
  <c r="CE31" i="5"/>
  <c r="CE39" i="5"/>
  <c r="CA159" i="56"/>
  <c r="CA35" i="56"/>
  <c r="CA54" i="56"/>
  <c r="BS47" i="56"/>
  <c r="BS191" i="56"/>
  <c r="DD86" i="1"/>
  <c r="DD28" i="1"/>
  <c r="BO1" i="33"/>
  <c r="CQ56" i="56"/>
  <c r="CQ37" i="56"/>
  <c r="Y86" i="1"/>
  <c r="Y28" i="1"/>
  <c r="AD86" i="1"/>
  <c r="BE8" i="14"/>
  <c r="AZ7" i="14"/>
  <c r="AZ8" i="14"/>
  <c r="DF21" i="5"/>
  <c r="DF26" i="5"/>
  <c r="CS61" i="1"/>
  <c r="CS75" i="1"/>
  <c r="CS79" i="1"/>
  <c r="CY85" i="1"/>
  <c r="CY131" i="1"/>
  <c r="CY69" i="1"/>
  <c r="CE35" i="56"/>
  <c r="CE54" i="56"/>
  <c r="CE159" i="56"/>
  <c r="BB25" i="14"/>
  <c r="BB24" i="14"/>
  <c r="BG25" i="14"/>
  <c r="BW191" i="56"/>
  <c r="BW19" i="56"/>
  <c r="BW26" i="56"/>
  <c r="BW47" i="56"/>
  <c r="CQ191" i="56"/>
  <c r="CQ19" i="56"/>
  <c r="CQ26" i="56"/>
  <c r="CQ47" i="56"/>
  <c r="BD1" i="33"/>
  <c r="CS28" i="1"/>
  <c r="CS86" i="1"/>
  <c r="BQ24" i="5"/>
  <c r="BQ8" i="5"/>
  <c r="BQ35" i="5"/>
  <c r="CF159" i="56"/>
  <c r="CF54" i="56"/>
  <c r="CF35" i="56"/>
  <c r="AX11" i="14"/>
  <c r="AS10" i="14"/>
  <c r="AS11" i="14"/>
  <c r="AZ172" i="56"/>
  <c r="BE172" i="56"/>
  <c r="CU24" i="5"/>
  <c r="CU35" i="5"/>
  <c r="CS37" i="56"/>
  <c r="CS56" i="56"/>
  <c r="CX192" i="1"/>
  <c r="BU36" i="5"/>
  <c r="BU27" i="5"/>
  <c r="BF172" i="56"/>
  <c r="BA172" i="56"/>
  <c r="CZ56" i="56"/>
  <c r="CZ37" i="56"/>
  <c r="CY191" i="56"/>
  <c r="CY47" i="56"/>
  <c r="CQ149" i="56"/>
  <c r="CQ184" i="56"/>
  <c r="DG184" i="56"/>
  <c r="DE38" i="5"/>
  <c r="DE41" i="5"/>
  <c r="CY167" i="1"/>
  <c r="CY67" i="1"/>
  <c r="CY83" i="1"/>
  <c r="CX133" i="1"/>
  <c r="CX135" i="1"/>
  <c r="CX28" i="5"/>
  <c r="CX34" i="5"/>
  <c r="DA42" i="5"/>
  <c r="DA73" i="1"/>
  <c r="DA81" i="1"/>
  <c r="DE69" i="1"/>
  <c r="DE85" i="1"/>
  <c r="DE131" i="1"/>
  <c r="BV189" i="56"/>
  <c r="BL32" i="59"/>
  <c r="CD41" i="59"/>
  <c r="DB44" i="59"/>
  <c r="CP12" i="57"/>
  <c r="BA61" i="59"/>
  <c r="BA73" i="59"/>
  <c r="CC19" i="59"/>
  <c r="CG19" i="59"/>
  <c r="CZ17" i="59"/>
  <c r="CZ22" i="59"/>
  <c r="CX160" i="1"/>
  <c r="CX178" i="1"/>
  <c r="CX158" i="1"/>
  <c r="CN12" i="57"/>
  <c r="CZ44" i="59"/>
  <c r="DC158" i="1"/>
  <c r="DC160" i="1"/>
  <c r="DC178" i="1"/>
  <c r="DA50" i="59"/>
  <c r="DA9" i="5"/>
  <c r="DA25" i="5"/>
  <c r="BT60" i="59"/>
  <c r="BT44" i="59"/>
  <c r="BT72" i="59"/>
  <c r="BT15" i="59"/>
  <c r="BT189" i="56"/>
  <c r="CS24" i="5"/>
  <c r="CS35" i="5"/>
  <c r="CR36" i="5"/>
  <c r="CR27" i="5"/>
  <c r="CF157" i="56"/>
  <c r="CF183" i="56"/>
  <c r="CF15" i="59"/>
  <c r="CF17" i="59"/>
  <c r="CF22" i="59"/>
  <c r="CO73" i="1"/>
  <c r="CO42" i="5"/>
  <c r="CO81" i="1"/>
  <c r="DA36" i="5"/>
  <c r="DA12" i="5"/>
  <c r="DA27" i="5"/>
  <c r="DC159" i="56"/>
  <c r="DC54" i="56"/>
  <c r="DC35" i="56"/>
  <c r="CV73" i="1"/>
  <c r="CV81" i="1"/>
  <c r="CV42" i="5"/>
  <c r="CR135" i="1"/>
  <c r="CR133" i="1"/>
  <c r="BP159" i="56"/>
  <c r="BP35" i="56"/>
  <c r="BP54" i="56"/>
  <c r="CO25" i="5"/>
  <c r="CO50" i="59"/>
  <c r="BC43" i="56"/>
  <c r="BH43" i="56"/>
  <c r="BC62" i="56"/>
  <c r="DA54" i="56"/>
  <c r="DA159" i="56"/>
  <c r="DA35" i="56"/>
  <c r="BX39" i="5"/>
  <c r="BS39" i="5"/>
  <c r="CU191" i="56"/>
  <c r="CU47" i="56"/>
  <c r="CM48" i="66"/>
  <c r="CQ13" i="14"/>
  <c r="CQ15" i="14"/>
  <c r="DC73" i="1"/>
  <c r="DC42" i="5"/>
  <c r="DC81" i="1"/>
  <c r="CI37" i="56"/>
  <c r="CI56" i="56"/>
  <c r="BP19" i="59"/>
  <c r="CY36" i="5"/>
  <c r="CY27" i="5"/>
  <c r="CM24" i="5"/>
  <c r="CM35" i="5"/>
  <c r="CQ8" i="5"/>
  <c r="BH17" i="59"/>
  <c r="BX35" i="56"/>
  <c r="BX159" i="56"/>
  <c r="BX54" i="56"/>
  <c r="CY34" i="5"/>
  <c r="CY28" i="5"/>
  <c r="AY189" i="56"/>
  <c r="CV72" i="1"/>
  <c r="CV12" i="1"/>
  <c r="CV13" i="1"/>
  <c r="CM44" i="59"/>
  <c r="CA12" i="57"/>
  <c r="DA68" i="1"/>
  <c r="DA21" i="1"/>
  <c r="DA84" i="1"/>
  <c r="CQ13" i="1"/>
  <c r="CQ12" i="1"/>
  <c r="CQ72" i="1"/>
  <c r="CA35" i="5"/>
  <c r="CA8" i="5"/>
  <c r="CA24" i="5"/>
  <c r="DC190" i="1"/>
  <c r="CZ123" i="1"/>
  <c r="CZ190" i="1"/>
  <c r="CA39" i="5"/>
  <c r="CA19" i="5"/>
  <c r="CA31" i="5"/>
  <c r="DE133" i="1"/>
  <c r="DE135" i="1"/>
  <c r="CP41" i="5"/>
  <c r="CP38" i="5"/>
  <c r="CY19" i="59"/>
  <c r="CX86" i="1"/>
  <c r="CX28" i="1"/>
  <c r="BI1" i="33"/>
  <c r="BZ189" i="56"/>
  <c r="BP189" i="56"/>
  <c r="BI16" i="59"/>
  <c r="CR68" i="1"/>
  <c r="CR84" i="1"/>
  <c r="CR16" i="59"/>
  <c r="CN22" i="59"/>
  <c r="BT21" i="5"/>
  <c r="BS15" i="11"/>
  <c r="BS7" i="11"/>
  <c r="CI41" i="59"/>
  <c r="BZ41" i="59"/>
  <c r="BL42" i="59"/>
  <c r="CN190" i="1"/>
  <c r="CN123" i="1"/>
  <c r="BF19" i="59"/>
  <c r="CM27" i="5"/>
  <c r="CM36" i="5"/>
  <c r="CT56" i="56"/>
  <c r="CT37" i="56"/>
  <c r="BF47" i="56"/>
  <c r="BA191" i="56"/>
  <c r="BA47" i="56"/>
  <c r="CW56" i="56"/>
  <c r="CW37" i="56"/>
  <c r="CB36" i="5"/>
  <c r="CB12" i="5"/>
  <c r="CB27" i="5"/>
  <c r="AZ22" i="14"/>
  <c r="AZ21" i="14"/>
  <c r="BE22" i="14"/>
  <c r="BI35" i="56"/>
  <c r="BI54" i="56"/>
  <c r="BI159" i="56"/>
  <c r="DE35" i="56"/>
  <c r="DE159" i="56"/>
  <c r="DE54" i="56"/>
  <c r="AT163" i="56"/>
  <c r="AT35" i="56"/>
  <c r="AT54" i="56"/>
  <c r="CJ35" i="5"/>
  <c r="CJ8" i="5"/>
  <c r="CJ24" i="5"/>
  <c r="CC21" i="5"/>
  <c r="AU172" i="56"/>
  <c r="DB36" i="5"/>
  <c r="DB27" i="5"/>
  <c r="CS135" i="1"/>
  <c r="CS133" i="1"/>
  <c r="CV84" i="1"/>
  <c r="CV21" i="1"/>
  <c r="CV68" i="1"/>
  <c r="CB39" i="5"/>
  <c r="BY7" i="5"/>
  <c r="BY10" i="5"/>
  <c r="BY12" i="5"/>
  <c r="BY19" i="5"/>
  <c r="CB19" i="5"/>
  <c r="CB31" i="5"/>
  <c r="CN34" i="5"/>
  <c r="CN28" i="5"/>
  <c r="BZ47" i="56"/>
  <c r="BZ191" i="56"/>
  <c r="CQ7" i="5"/>
  <c r="CM28" i="5"/>
  <c r="CM34" i="5"/>
  <c r="CR7" i="14"/>
  <c r="CR8" i="14"/>
  <c r="BQ171" i="56"/>
  <c r="CD24" i="5"/>
  <c r="CD8" i="5"/>
  <c r="CD35" i="5"/>
  <c r="CA37" i="56"/>
  <c r="CA56" i="56"/>
  <c r="CR123" i="1"/>
  <c r="CM52" i="66"/>
  <c r="BT39" i="5"/>
  <c r="BT19" i="5"/>
  <c r="BT31" i="5"/>
  <c r="CV24" i="5"/>
  <c r="CV35" i="5"/>
  <c r="BC189" i="56"/>
  <c r="BC183" i="56"/>
  <c r="BC148" i="56"/>
  <c r="CX176" i="1"/>
  <c r="BT24" i="5"/>
  <c r="BT8" i="5"/>
  <c r="BT35" i="5"/>
  <c r="DF84" i="1"/>
  <c r="DF21" i="1"/>
  <c r="DF68" i="1"/>
  <c r="DF189" i="56"/>
  <c r="DF183" i="56"/>
  <c r="DF148" i="56"/>
  <c r="CL12" i="57"/>
  <c r="CX44" i="59"/>
  <c r="CP25" i="5"/>
  <c r="CP50" i="59"/>
  <c r="AY16" i="59"/>
  <c r="BT12" i="57"/>
  <c r="CF44" i="59"/>
  <c r="AY25" i="5"/>
  <c r="BL22" i="59"/>
  <c r="DE9" i="7"/>
  <c r="AW22" i="59"/>
  <c r="DF15" i="59"/>
  <c r="DF8" i="7"/>
  <c r="CP133" i="1"/>
  <c r="CP135" i="1"/>
  <c r="BX34" i="5"/>
  <c r="CB7" i="5"/>
  <c r="CL26" i="5"/>
  <c r="CL10" i="5"/>
  <c r="CL21" i="5"/>
  <c r="CC56" i="56"/>
  <c r="CC37" i="56"/>
  <c r="CH189" i="56"/>
  <c r="BW21" i="5"/>
  <c r="BW10" i="5"/>
  <c r="BW26" i="5"/>
  <c r="BD17" i="59"/>
  <c r="BD22" i="59"/>
  <c r="BH22" i="59"/>
  <c r="CC36" i="5"/>
  <c r="CC27" i="5"/>
  <c r="CH31" i="5"/>
  <c r="CH39" i="5"/>
  <c r="BQ42" i="59"/>
  <c r="CO13" i="7"/>
  <c r="BS42" i="59"/>
  <c r="BW16" i="59"/>
  <c r="AV42" i="59"/>
  <c r="CE36" i="5"/>
  <c r="CE27" i="5"/>
  <c r="CE19" i="5"/>
  <c r="BY41" i="59"/>
  <c r="BY157" i="56"/>
  <c r="BY183" i="56"/>
  <c r="BY15" i="59"/>
  <c r="BY17" i="59"/>
  <c r="CK15" i="59"/>
  <c r="CK17" i="59"/>
  <c r="CK22" i="59"/>
  <c r="DE35" i="5"/>
  <c r="DE24" i="5"/>
  <c r="CL56" i="56"/>
  <c r="CL37" i="56"/>
  <c r="CM133" i="1"/>
  <c r="CM135" i="1"/>
  <c r="BI16" i="57"/>
  <c r="BI31" i="57"/>
  <c r="BD19" i="59"/>
  <c r="BH185" i="56"/>
  <c r="CY192" i="1"/>
  <c r="CW135" i="1"/>
  <c r="CW133" i="1"/>
  <c r="CX123" i="1"/>
  <c r="CX190" i="1"/>
  <c r="CY50" i="59"/>
  <c r="CY25" i="5"/>
  <c r="DA74" i="1"/>
  <c r="BP41" i="59"/>
  <c r="CH27" i="5"/>
  <c r="CH36" i="5"/>
  <c r="CD15" i="59"/>
  <c r="CD17" i="59"/>
  <c r="CD22" i="59"/>
  <c r="CY17" i="59"/>
  <c r="CY22" i="59"/>
  <c r="CP12" i="7"/>
  <c r="CP13" i="7"/>
  <c r="DF133" i="1"/>
  <c r="DF135" i="1"/>
  <c r="CU13" i="1"/>
  <c r="CU72" i="1"/>
  <c r="CR39" i="5"/>
  <c r="CR31" i="5"/>
  <c r="DF31" i="5"/>
  <c r="DF39" i="5"/>
  <c r="CS16" i="57"/>
  <c r="CS31" i="57"/>
  <c r="CO28" i="5"/>
  <c r="CO34" i="5"/>
  <c r="BQ157" i="56"/>
  <c r="BQ183" i="56"/>
  <c r="BQ15" i="59"/>
  <c r="BQ17" i="59"/>
  <c r="BQ22" i="59"/>
  <c r="CI15" i="59"/>
  <c r="CI17" i="59"/>
  <c r="CI22" i="59"/>
  <c r="CS19" i="1"/>
  <c r="CY29" i="56"/>
  <c r="BQ56" i="56"/>
  <c r="BQ37" i="56"/>
  <c r="CB24" i="5"/>
  <c r="BX7" i="5"/>
  <c r="BX8" i="5"/>
  <c r="CB8" i="5"/>
  <c r="CB35" i="5"/>
  <c r="CW68" i="1"/>
  <c r="CW84" i="1"/>
  <c r="CS123" i="1"/>
  <c r="CS190" i="1"/>
  <c r="CI36" i="5"/>
  <c r="CI27" i="5"/>
  <c r="BX16" i="57"/>
  <c r="BX31" i="57"/>
  <c r="CO37" i="56"/>
  <c r="CO56" i="56"/>
  <c r="CO24" i="5"/>
  <c r="CO35" i="5"/>
  <c r="DA37" i="56"/>
  <c r="DA56" i="56"/>
  <c r="BI31" i="5"/>
  <c r="BG172" i="56"/>
  <c r="BB172" i="56"/>
  <c r="CV37" i="56"/>
  <c r="CV56" i="56"/>
  <c r="DE21" i="5"/>
  <c r="CI172" i="56"/>
  <c r="CO173" i="56"/>
  <c r="DD19" i="1"/>
  <c r="BS182" i="7"/>
  <c r="BS184" i="7"/>
  <c r="AT16" i="59"/>
  <c r="CS176" i="1"/>
  <c r="BI37" i="56"/>
  <c r="BI56" i="56"/>
  <c r="CP123" i="1"/>
  <c r="CP190" i="1"/>
  <c r="CQ27" i="1"/>
  <c r="BT47" i="56"/>
  <c r="BT191" i="56"/>
  <c r="BR56" i="56"/>
  <c r="BR37" i="56"/>
  <c r="CK35" i="56"/>
  <c r="CK159" i="56"/>
  <c r="CK54" i="56"/>
  <c r="BR26" i="5"/>
  <c r="BR21" i="5"/>
  <c r="BN191" i="56"/>
  <c r="BN47" i="56"/>
  <c r="CY159" i="56"/>
  <c r="CY54" i="56"/>
  <c r="CY35" i="56"/>
  <c r="CP17" i="59"/>
  <c r="DD22" i="59"/>
  <c r="CO22" i="59"/>
  <c r="BJ17" i="59"/>
  <c r="BJ22" i="59"/>
  <c r="BG19" i="59"/>
  <c r="DF41" i="1"/>
  <c r="DE22" i="59"/>
  <c r="AU17" i="59"/>
  <c r="AU22" i="59"/>
  <c r="CJ19" i="59"/>
  <c r="BL19" i="59"/>
  <c r="DA185" i="56"/>
  <c r="BP15" i="59"/>
  <c r="BP17" i="59"/>
  <c r="BP22" i="59"/>
  <c r="AU42" i="59"/>
  <c r="BN189" i="56"/>
  <c r="BR183" i="56"/>
  <c r="CU19" i="59"/>
  <c r="CO42" i="59"/>
  <c r="BI17" i="59"/>
  <c r="BI22" i="59"/>
  <c r="BM22" i="59"/>
  <c r="BX16" i="59"/>
  <c r="AW189" i="56"/>
  <c r="CW22" i="59"/>
  <c r="DA22" i="59"/>
  <c r="BA17" i="59"/>
  <c r="BA22" i="59"/>
  <c r="BI21" i="5"/>
  <c r="CO21" i="14"/>
  <c r="CO22" i="14"/>
  <c r="AV172" i="56"/>
  <c r="CQ41" i="1"/>
  <c r="CM27" i="1"/>
  <c r="CM193" i="1"/>
  <c r="CU22" i="59"/>
  <c r="BZ21" i="5"/>
  <c r="BG8" i="14"/>
  <c r="BB7" i="14"/>
  <c r="BB8" i="14"/>
  <c r="CD31" i="5"/>
  <c r="CD19" i="5"/>
  <c r="CD39" i="5"/>
  <c r="BS41" i="59"/>
  <c r="BS43" i="59"/>
  <c r="BS47" i="59"/>
  <c r="BS51" i="59"/>
  <c r="BW51" i="59"/>
  <c r="BM189" i="56"/>
  <c r="BM183" i="56"/>
  <c r="BM148" i="56"/>
  <c r="CM39" i="5"/>
  <c r="CM31" i="5"/>
  <c r="CM19" i="5"/>
  <c r="CQ19" i="5"/>
  <c r="CL27" i="5"/>
  <c r="CL12" i="5"/>
  <c r="CL36" i="5"/>
  <c r="BZ39" i="5"/>
  <c r="BZ7" i="5"/>
  <c r="BZ10" i="5"/>
  <c r="BZ12" i="5"/>
  <c r="BZ19" i="5"/>
  <c r="BZ31" i="5"/>
  <c r="AX119" i="56"/>
  <c r="AS128" i="56"/>
  <c r="AS119" i="56"/>
  <c r="BS36" i="5"/>
  <c r="BN27" i="5"/>
  <c r="BK47" i="56"/>
  <c r="BK191" i="56"/>
  <c r="AQ77" i="56"/>
  <c r="AQ109" i="56"/>
  <c r="CG36" i="5"/>
  <c r="CG12" i="5"/>
  <c r="CG27" i="5"/>
  <c r="BE31" i="57"/>
  <c r="BE16" i="57"/>
  <c r="CB189" i="56"/>
  <c r="CB183" i="56"/>
  <c r="CB148" i="56"/>
  <c r="Y176" i="1"/>
  <c r="CG56" i="56"/>
  <c r="CG37" i="56"/>
  <c r="DF185" i="56"/>
  <c r="BX44" i="59"/>
  <c r="BL12" i="57"/>
  <c r="AY31" i="57"/>
  <c r="AY16" i="57"/>
  <c r="DF47" i="56"/>
  <c r="DF19" i="56"/>
  <c r="DF26" i="56"/>
  <c r="DF191" i="56"/>
  <c r="CK172" i="56"/>
  <c r="DF37" i="56"/>
  <c r="DF56" i="56"/>
  <c r="BH189" i="56"/>
  <c r="BH148" i="56"/>
  <c r="CA154" i="1"/>
  <c r="DE86" i="1"/>
  <c r="DE28" i="1"/>
  <c r="BP1" i="33"/>
  <c r="CL189" i="56"/>
  <c r="CL183" i="56"/>
  <c r="CL148" i="56"/>
  <c r="CT133" i="1"/>
  <c r="CT123" i="1"/>
  <c r="CT135" i="1"/>
  <c r="AW35" i="56"/>
  <c r="AW163" i="56"/>
  <c r="AW54" i="56"/>
  <c r="BF1" i="33"/>
  <c r="CU28" i="1"/>
  <c r="CU86" i="1"/>
  <c r="CY86" i="1"/>
  <c r="CY28" i="1"/>
  <c r="BJ1" i="33"/>
  <c r="CO16" i="59"/>
  <c r="BP183" i="56"/>
  <c r="BP157" i="56"/>
  <c r="BP171" i="56"/>
  <c r="DH184" i="56"/>
  <c r="CV184" i="56"/>
  <c r="CV149" i="56"/>
  <c r="CF35" i="5"/>
  <c r="CF8" i="5"/>
  <c r="CF24" i="5"/>
  <c r="CC24" i="5"/>
  <c r="CC35" i="5"/>
  <c r="CD47" i="56"/>
  <c r="CD191" i="56"/>
  <c r="CS47" i="56"/>
  <c r="CS191" i="56"/>
  <c r="CV8" i="5"/>
  <c r="CR24" i="5"/>
  <c r="CR35" i="5"/>
  <c r="CI16" i="57"/>
  <c r="CI31" i="57"/>
  <c r="CU133" i="1"/>
  <c r="CU135" i="1"/>
  <c r="CW24" i="5"/>
  <c r="CW35" i="5"/>
  <c r="CO38" i="5"/>
  <c r="AR109" i="56"/>
  <c r="BS34" i="5"/>
  <c r="BW7" i="5"/>
  <c r="BQ27" i="5"/>
  <c r="BV36" i="5"/>
  <c r="BQ36" i="5"/>
  <c r="BA28" i="5"/>
  <c r="BA30" i="5"/>
  <c r="AR31" i="57"/>
  <c r="CA42" i="59"/>
  <c r="BG27" i="1"/>
  <c r="CI173" i="56"/>
  <c r="CC47" i="56"/>
  <c r="CC191" i="56"/>
  <c r="CR191" i="56"/>
  <c r="CR47" i="56"/>
  <c r="BX24" i="14"/>
  <c r="BX25" i="14"/>
  <c r="AX191" i="56"/>
  <c r="AX19" i="56"/>
  <c r="AX26" i="56"/>
  <c r="AX47" i="56"/>
  <c r="BA25" i="14"/>
  <c r="BA24" i="14"/>
  <c r="BF25" i="14"/>
  <c r="CK24" i="5"/>
  <c r="CK8" i="5"/>
  <c r="CK35" i="5"/>
  <c r="DC135" i="1"/>
  <c r="DC123" i="1"/>
  <c r="DC133" i="1"/>
  <c r="CD183" i="56"/>
  <c r="CD157" i="56"/>
  <c r="CD171" i="56"/>
  <c r="CH31" i="57"/>
  <c r="CH16" i="57"/>
  <c r="DC193" i="1"/>
  <c r="BU191" i="56"/>
  <c r="BU47" i="56"/>
  <c r="CU123" i="1"/>
  <c r="CU190" i="1"/>
  <c r="DD35" i="5"/>
  <c r="DD24" i="5"/>
  <c r="CR56" i="56"/>
  <c r="CR37" i="56"/>
  <c r="CG47" i="56"/>
  <c r="CG19" i="56"/>
  <c r="CG26" i="56"/>
  <c r="CG191" i="56"/>
  <c r="CO133" i="1"/>
  <c r="CO135" i="1"/>
  <c r="CC39" i="5"/>
  <c r="CC31" i="5"/>
  <c r="CU41" i="5"/>
  <c r="CU38" i="5"/>
  <c r="CQ79" i="1"/>
  <c r="CQ75" i="1"/>
  <c r="CD21" i="5"/>
  <c r="CD7" i="5"/>
  <c r="CD10" i="5"/>
  <c r="CD12" i="5"/>
  <c r="AS141" i="56"/>
  <c r="BL1" i="33"/>
  <c r="CW28" i="1"/>
  <c r="DA28" i="1"/>
  <c r="DA86" i="1"/>
  <c r="DF129" i="1"/>
  <c r="BY16" i="57"/>
  <c r="BY31" i="57"/>
  <c r="AR27" i="14"/>
  <c r="AW28" i="14"/>
  <c r="CW17" i="59"/>
  <c r="CH17" i="59"/>
  <c r="CH22" i="59"/>
  <c r="CL22" i="59"/>
  <c r="DC27" i="1"/>
  <c r="CB158" i="1"/>
  <c r="CK27" i="5"/>
  <c r="CK36" i="5"/>
  <c r="DB68" i="1"/>
  <c r="DB84" i="1"/>
  <c r="AT191" i="56"/>
  <c r="AT47" i="56"/>
  <c r="BZ171" i="56"/>
  <c r="DB21" i="5"/>
  <c r="DB10" i="5"/>
  <c r="DF10" i="5"/>
  <c r="DE176" i="1"/>
  <c r="CK21" i="5"/>
  <c r="BV19" i="59"/>
  <c r="CX124" i="1"/>
  <c r="BB22" i="59"/>
  <c r="BV15" i="59"/>
  <c r="BV17" i="59"/>
  <c r="BV22" i="59"/>
  <c r="BK42" i="59"/>
  <c r="AP77" i="56"/>
  <c r="AP109" i="56"/>
  <c r="CO168" i="1"/>
  <c r="CA183" i="56"/>
  <c r="CA157" i="56"/>
  <c r="CA171" i="56"/>
  <c r="BH163" i="56"/>
  <c r="BH175" i="56"/>
  <c r="BD29" i="56"/>
  <c r="CV47" i="56"/>
  <c r="CV19" i="56"/>
  <c r="CV26" i="56"/>
  <c r="CV191" i="56"/>
  <c r="CN16" i="57"/>
  <c r="CN31" i="57"/>
  <c r="BW189" i="56"/>
  <c r="BW183" i="56"/>
  <c r="BW148" i="56"/>
  <c r="BQ21" i="5"/>
  <c r="CB16" i="57"/>
  <c r="CB31" i="57"/>
  <c r="AP27" i="14"/>
  <c r="AU28" i="14"/>
  <c r="BT157" i="56"/>
  <c r="BT183" i="56"/>
  <c r="BJ56" i="56"/>
  <c r="BJ37" i="56"/>
  <c r="AY27" i="5"/>
  <c r="BF33" i="57"/>
  <c r="BL27" i="5"/>
  <c r="BY172" i="56"/>
  <c r="BL37" i="56"/>
  <c r="BL56" i="56"/>
  <c r="DA31" i="5"/>
  <c r="DA39" i="5"/>
  <c r="CY56" i="56"/>
  <c r="CY37" i="56"/>
  <c r="DC56" i="56"/>
  <c r="DC37" i="56"/>
  <c r="BC24" i="14"/>
  <c r="BC25" i="14"/>
  <c r="CU42" i="59"/>
  <c r="DA21" i="5"/>
  <c r="DA26" i="5"/>
  <c r="BH16" i="57"/>
  <c r="BH31" i="57"/>
  <c r="CM21" i="5"/>
  <c r="AQ91" i="56"/>
  <c r="AQ87" i="56"/>
  <c r="AQ90" i="56"/>
  <c r="AQ27" i="14"/>
  <c r="AV28" i="14"/>
  <c r="DA165" i="1"/>
  <c r="CG35" i="5"/>
  <c r="CC8" i="5"/>
  <c r="CG8" i="5"/>
  <c r="CG24" i="5"/>
  <c r="CL16" i="57"/>
  <c r="CL31" i="57"/>
  <c r="BR24" i="5"/>
  <c r="BR35" i="5"/>
  <c r="AZ42" i="59"/>
  <c r="CW39" i="5"/>
  <c r="DA19" i="5"/>
  <c r="CW41" i="59"/>
  <c r="CW43" i="59"/>
  <c r="CW47" i="59"/>
  <c r="CW9" i="5"/>
  <c r="CW12" i="5"/>
  <c r="CW19" i="5"/>
  <c r="CW31" i="5"/>
  <c r="BB28" i="5"/>
  <c r="BB30" i="5"/>
  <c r="CT47" i="56"/>
  <c r="CT191" i="56"/>
  <c r="DE37" i="56"/>
  <c r="DE56" i="56"/>
  <c r="CE56" i="56"/>
  <c r="CE37" i="56"/>
  <c r="AQ47" i="56"/>
  <c r="AQ19" i="56"/>
  <c r="AQ26" i="56"/>
  <c r="AQ191" i="56"/>
  <c r="BR191" i="56"/>
  <c r="BR19" i="56"/>
  <c r="BR26" i="56"/>
  <c r="BR47" i="56"/>
  <c r="DB176" i="1"/>
  <c r="CP191" i="56"/>
  <c r="CP47" i="56"/>
  <c r="CX168" i="1"/>
  <c r="AZ30" i="5"/>
  <c r="AZ28" i="5"/>
  <c r="CN191" i="56"/>
  <c r="CN47" i="56"/>
  <c r="BE15" i="57"/>
  <c r="AX184" i="56"/>
  <c r="AX149" i="56"/>
  <c r="CZ21" i="14"/>
  <c r="CZ22" i="14"/>
  <c r="CO33" i="57"/>
  <c r="AO109" i="56"/>
  <c r="CY7" i="14"/>
  <c r="CY8" i="14"/>
  <c r="CS21" i="14"/>
  <c r="CS22" i="14"/>
  <c r="BO19" i="59"/>
  <c r="CL31" i="5"/>
  <c r="CH10" i="5"/>
  <c r="CH12" i="5"/>
  <c r="CH19" i="5"/>
  <c r="CL19" i="5"/>
  <c r="CL39" i="5"/>
  <c r="CE31" i="57"/>
  <c r="BU24" i="14"/>
  <c r="BU25" i="14"/>
  <c r="BB33" i="57"/>
  <c r="BF23" i="57"/>
  <c r="CB47" i="56"/>
  <c r="CB19" i="56"/>
  <c r="CB26" i="56"/>
  <c r="CB191" i="56"/>
  <c r="BL21" i="5"/>
  <c r="DE47" i="56"/>
  <c r="DE191" i="56"/>
  <c r="CF56" i="56"/>
  <c r="CF37" i="56"/>
  <c r="CS38" i="5"/>
  <c r="CW21" i="14"/>
  <c r="CW22" i="14"/>
  <c r="CF29" i="56"/>
  <c r="AX43" i="59"/>
  <c r="AX31" i="59"/>
  <c r="I24" i="33"/>
  <c r="CO17" i="59"/>
  <c r="CL15" i="57"/>
  <c r="X27" i="1"/>
  <c r="DE7" i="14"/>
  <c r="DE8" i="14"/>
  <c r="BR27" i="5"/>
  <c r="BR12" i="5"/>
  <c r="BR36" i="5"/>
  <c r="BO183" i="56"/>
  <c r="BO157" i="56"/>
  <c r="BO171" i="56"/>
  <c r="CA173" i="56"/>
  <c r="CE171" i="56"/>
  <c r="CE157" i="56"/>
  <c r="CE183" i="56"/>
  <c r="DE10" i="14"/>
  <c r="DE11" i="14"/>
  <c r="CM16" i="57"/>
  <c r="CM31" i="57"/>
  <c r="CY19" i="1"/>
  <c r="BQ191" i="56"/>
  <c r="BQ47" i="56"/>
  <c r="CF31" i="5"/>
  <c r="CF19" i="5"/>
  <c r="CF39" i="5"/>
  <c r="CE191" i="56"/>
  <c r="CE47" i="56"/>
  <c r="BO27" i="5"/>
  <c r="CW189" i="56"/>
  <c r="CE24" i="14"/>
  <c r="CE25" i="14"/>
  <c r="BS171" i="56"/>
  <c r="BS157" i="56"/>
  <c r="BS183" i="56"/>
  <c r="BS15" i="59"/>
  <c r="BS17" i="59"/>
  <c r="BS22" i="59"/>
  <c r="BW22" i="59"/>
  <c r="BN1" i="33"/>
  <c r="DC28" i="1"/>
  <c r="DC86" i="1"/>
  <c r="CQ176" i="1"/>
  <c r="AR189" i="56"/>
  <c r="AR19" i="59"/>
  <c r="BH76" i="1"/>
  <c r="BH25" i="1"/>
  <c r="AP90" i="56"/>
  <c r="AP87" i="56"/>
  <c r="AP91" i="56"/>
  <c r="CC16" i="59"/>
  <c r="BV47" i="56"/>
  <c r="BV191" i="56"/>
  <c r="CK39" i="5"/>
  <c r="CK7" i="5"/>
  <c r="CK10" i="5"/>
  <c r="CK12" i="5"/>
  <c r="CK19" i="5"/>
  <c r="CK31" i="5"/>
  <c r="BV21" i="14"/>
  <c r="BV22" i="14"/>
  <c r="AO7" i="14"/>
  <c r="AO8" i="14"/>
  <c r="BO172" i="56"/>
  <c r="DB163" i="56"/>
  <c r="DB175" i="56"/>
  <c r="BM29" i="56"/>
  <c r="CI191" i="56"/>
  <c r="CI47" i="56"/>
  <c r="DF36" i="5"/>
  <c r="DF12" i="5"/>
  <c r="DF27" i="5"/>
  <c r="BU37" i="56"/>
  <c r="BU56" i="56"/>
  <c r="CZ117" i="1"/>
  <c r="BG176" i="1"/>
  <c r="AW7" i="14"/>
  <c r="AW8" i="14"/>
  <c r="CN168" i="1"/>
  <c r="CV193" i="1"/>
  <c r="BY191" i="56"/>
  <c r="BY47" i="56"/>
  <c r="AY191" i="56"/>
  <c r="AY47" i="56"/>
  <c r="BB31" i="57"/>
  <c r="BT19" i="59"/>
  <c r="BW27" i="5"/>
  <c r="BT7" i="5"/>
  <c r="BT10" i="5"/>
  <c r="BT12" i="5"/>
  <c r="BW12" i="5"/>
  <c r="BW36" i="5"/>
  <c r="DE27" i="1"/>
  <c r="CW10" i="14"/>
  <c r="CW11" i="14"/>
  <c r="AO191" i="56"/>
  <c r="AO47" i="56"/>
  <c r="CS28" i="5"/>
  <c r="CS34" i="5"/>
  <c r="DD191" i="56"/>
  <c r="DD47" i="56"/>
  <c r="BX171" i="56"/>
  <c r="BX157" i="56"/>
  <c r="BX183" i="56"/>
  <c r="BQ31" i="57"/>
  <c r="BZ19" i="56"/>
  <c r="BZ26" i="56"/>
  <c r="BZ28" i="56"/>
  <c r="BZ29" i="56"/>
  <c r="BV37" i="56"/>
  <c r="BV56" i="56"/>
  <c r="BX173" i="56"/>
  <c r="CA12" i="5"/>
  <c r="CA7" i="5"/>
  <c r="CA10" i="5"/>
  <c r="CA21" i="5"/>
  <c r="DB16" i="59"/>
  <c r="BG171" i="56"/>
  <c r="BB171" i="56"/>
  <c r="BP191" i="56"/>
  <c r="BP47" i="56"/>
  <c r="BC163" i="56"/>
  <c r="BC175" i="56"/>
  <c r="CR148" i="56"/>
  <c r="CR149" i="56"/>
  <c r="DA163" i="56"/>
  <c r="DA175" i="56"/>
  <c r="CW191" i="56"/>
  <c r="CW47" i="56"/>
  <c r="BK24" i="14"/>
  <c r="BK25" i="14"/>
  <c r="BX172" i="56"/>
  <c r="DE124" i="1"/>
  <c r="CU36" i="5"/>
  <c r="CU27" i="5"/>
  <c r="CE172" i="56"/>
  <c r="CM191" i="56"/>
  <c r="CM47" i="56"/>
  <c r="BT56" i="56"/>
  <c r="BT37" i="56"/>
  <c r="BL173" i="56"/>
  <c r="CL47" i="56"/>
  <c r="CL19" i="56"/>
  <c r="CL26" i="56"/>
  <c r="CL191" i="56"/>
  <c r="BM163" i="56"/>
  <c r="BM175" i="56"/>
  <c r="DE36" i="5"/>
  <c r="DE27" i="5"/>
  <c r="DC110" i="1"/>
  <c r="DC117" i="1"/>
  <c r="DC124" i="1"/>
  <c r="CC16" i="57"/>
  <c r="CC31" i="57"/>
  <c r="CF12" i="5"/>
  <c r="CF7" i="5"/>
  <c r="CF10" i="5"/>
  <c r="CF21" i="5"/>
  <c r="DB29" i="56"/>
  <c r="DD165" i="1"/>
  <c r="BO28" i="14"/>
  <c r="AZ31" i="59"/>
  <c r="K24" i="33"/>
  <c r="CX13" i="14"/>
  <c r="CX15" i="14"/>
  <c r="AR191" i="56"/>
  <c r="AR19" i="56"/>
  <c r="AR26" i="56"/>
  <c r="AR47" i="56"/>
  <c r="BJ172" i="56"/>
  <c r="CO24" i="14"/>
  <c r="CO25" i="14"/>
  <c r="CU168" i="1"/>
  <c r="CV165" i="1"/>
  <c r="CJ16" i="57"/>
  <c r="AW172" i="56"/>
  <c r="CO41" i="5"/>
  <c r="CO43" i="5"/>
  <c r="BZ42" i="59"/>
  <c r="BU31" i="5"/>
  <c r="BU19" i="5"/>
  <c r="BU39" i="5"/>
  <c r="CH47" i="56"/>
  <c r="CH191" i="56"/>
  <c r="CD21" i="14"/>
  <c r="CD22" i="14"/>
  <c r="DC21" i="14"/>
  <c r="DC22" i="14"/>
  <c r="BV16" i="56"/>
  <c r="BV27" i="14"/>
  <c r="BV28" i="14"/>
  <c r="CK7" i="14"/>
  <c r="CK8" i="14"/>
  <c r="CV130" i="1"/>
  <c r="BQ173" i="56"/>
  <c r="CC15" i="57"/>
  <c r="CN24" i="14"/>
  <c r="CN25" i="14"/>
  <c r="BB31" i="59"/>
  <c r="M24" i="33"/>
  <c r="CE173" i="56"/>
  <c r="AZ31" i="57"/>
  <c r="AZ16" i="57"/>
  <c r="CQ173" i="56"/>
  <c r="DF76" i="1"/>
  <c r="CM192" i="1"/>
  <c r="CL21" i="14"/>
  <c r="CL22" i="14"/>
  <c r="CC21" i="14"/>
  <c r="CC22" i="14"/>
  <c r="CT42" i="59"/>
  <c r="CS27" i="1"/>
  <c r="BW38" i="5"/>
  <c r="CB38" i="5"/>
  <c r="BW10" i="11"/>
  <c r="BW18" i="5"/>
  <c r="BW41" i="5"/>
  <c r="CF191" i="56"/>
  <c r="CF47" i="56"/>
  <c r="CF19" i="56"/>
  <c r="CF26" i="56"/>
  <c r="CF28" i="56"/>
  <c r="CZ176" i="1"/>
  <c r="CV26" i="5"/>
  <c r="CV21" i="5"/>
  <c r="CE21" i="5"/>
  <c r="CE7" i="5"/>
  <c r="CE10" i="5"/>
  <c r="CE12" i="5"/>
  <c r="BD8" i="5"/>
  <c r="BD24" i="5"/>
  <c r="CG163" i="56"/>
  <c r="CG175" i="56"/>
  <c r="DE17" i="59"/>
  <c r="Y25" i="1"/>
  <c r="Y39" i="1"/>
  <c r="Y41" i="1"/>
  <c r="Y27" i="1"/>
  <c r="DA148" i="56"/>
  <c r="DA183" i="56"/>
  <c r="DA189" i="56"/>
  <c r="AZ25" i="14"/>
  <c r="AZ24" i="14"/>
  <c r="BE25" i="14"/>
  <c r="AR90" i="56"/>
  <c r="AR87" i="56"/>
  <c r="AR91" i="56"/>
  <c r="CY27" i="1"/>
  <c r="BX7" i="14"/>
  <c r="BX8" i="14"/>
  <c r="CH37" i="56"/>
  <c r="CH56" i="56"/>
  <c r="CO123" i="1"/>
  <c r="CO190" i="1"/>
  <c r="CQ117" i="1"/>
  <c r="CQ129" i="1"/>
  <c r="BH56" i="56"/>
  <c r="BH37" i="56"/>
  <c r="AU24" i="14"/>
  <c r="AU25" i="14"/>
  <c r="CN37" i="56"/>
  <c r="CN56" i="56"/>
  <c r="CW15" i="59"/>
  <c r="DA15" i="59"/>
  <c r="DB35" i="59"/>
  <c r="BK22" i="59"/>
  <c r="BL47" i="56"/>
  <c r="BL191" i="56"/>
  <c r="BO56" i="56"/>
  <c r="BO37" i="56"/>
  <c r="BO27" i="14"/>
  <c r="CT31" i="5"/>
  <c r="CT15" i="59"/>
  <c r="CT41" i="59"/>
  <c r="CT43" i="59"/>
  <c r="CT47" i="59"/>
  <c r="CT9" i="5"/>
  <c r="CT12" i="5"/>
  <c r="CT19" i="5"/>
  <c r="CT39" i="5"/>
  <c r="CJ172" i="56"/>
  <c r="CG31" i="5"/>
  <c r="CC12" i="5"/>
  <c r="CC19" i="5"/>
  <c r="CG19" i="5"/>
  <c r="CG39" i="5"/>
  <c r="BX21" i="14"/>
  <c r="BX22" i="14"/>
  <c r="CA27" i="14"/>
  <c r="CA28" i="14"/>
  <c r="CU17" i="59"/>
  <c r="CN17" i="59"/>
  <c r="BJ27" i="14"/>
  <c r="BJ28" i="14"/>
  <c r="CP24" i="14"/>
  <c r="CP25" i="14"/>
  <c r="CM123" i="1"/>
  <c r="BU21" i="5"/>
  <c r="BU10" i="5"/>
  <c r="BU12" i="5"/>
  <c r="BD172" i="56"/>
  <c r="BY56" i="56"/>
  <c r="BY37" i="56"/>
  <c r="CS189" i="56"/>
  <c r="BD37" i="56"/>
  <c r="BD56" i="56"/>
  <c r="DD37" i="56"/>
  <c r="DD56" i="56"/>
  <c r="BS31" i="57"/>
  <c r="BS16" i="57"/>
  <c r="BC16" i="57"/>
  <c r="BC31" i="57"/>
  <c r="DD163" i="56"/>
  <c r="DD175" i="56"/>
  <c r="BX163" i="56"/>
  <c r="BX175" i="56"/>
  <c r="CV148" i="56"/>
  <c r="DH183" i="56"/>
  <c r="BT7" i="14"/>
  <c r="BT8" i="14"/>
  <c r="DC24" i="5"/>
  <c r="DC12" i="1"/>
  <c r="DC8" i="5"/>
  <c r="DC35" i="5"/>
  <c r="DD28" i="5"/>
  <c r="DD34" i="5"/>
  <c r="CQ26" i="5"/>
  <c r="CM10" i="5"/>
  <c r="CQ10" i="5"/>
  <c r="CQ21" i="5"/>
  <c r="DC47" i="56"/>
  <c r="DC191" i="56"/>
  <c r="BD191" i="56"/>
  <c r="BD47" i="56"/>
  <c r="BQ172" i="56"/>
  <c r="CV39" i="5"/>
  <c r="CR19" i="5"/>
  <c r="CV19" i="5"/>
  <c r="CV31" i="5"/>
  <c r="BN21" i="5"/>
  <c r="BR10" i="5"/>
  <c r="DE165" i="1"/>
  <c r="CN175" i="1"/>
  <c r="BN31" i="57"/>
  <c r="BN16" i="57"/>
  <c r="BU35" i="5"/>
  <c r="BU7" i="5"/>
  <c r="BU8" i="5"/>
  <c r="BU24" i="5"/>
  <c r="CL35" i="5"/>
  <c r="CH7" i="5"/>
  <c r="CH8" i="5"/>
  <c r="CL8" i="5"/>
  <c r="CL24" i="5"/>
  <c r="CJ7" i="14"/>
  <c r="CJ8" i="14"/>
  <c r="DB38" i="5"/>
  <c r="BC21" i="14"/>
  <c r="BC22" i="14"/>
  <c r="BM19" i="5"/>
  <c r="BM31" i="5"/>
  <c r="BL172" i="56"/>
  <c r="AV47" i="56"/>
  <c r="AV191" i="56"/>
  <c r="CY185" i="56"/>
  <c r="CY16" i="56"/>
  <c r="CY27" i="14"/>
  <c r="CY28" i="14"/>
  <c r="BJ171" i="56"/>
  <c r="CX24" i="14"/>
  <c r="CX25" i="14"/>
  <c r="CA21" i="14"/>
  <c r="CA22" i="14"/>
  <c r="CO161" i="56"/>
  <c r="BB163" i="56"/>
  <c r="BG175" i="56"/>
  <c r="BD189" i="56"/>
  <c r="BH183" i="56"/>
  <c r="DB21" i="14"/>
  <c r="DB22" i="14"/>
  <c r="CS42" i="59"/>
  <c r="BL7" i="14"/>
  <c r="BL8" i="14"/>
  <c r="CM84" i="1"/>
  <c r="CM68" i="1"/>
  <c r="BN16" i="59"/>
  <c r="BP56" i="56"/>
  <c r="BP37" i="56"/>
  <c r="BU27" i="14"/>
  <c r="BU28" i="14"/>
  <c r="CY41" i="1"/>
  <c r="DC163" i="56"/>
  <c r="DC175" i="56"/>
  <c r="CX173" i="56"/>
  <c r="CO193" i="1"/>
  <c r="AU159" i="56"/>
  <c r="AU175" i="56"/>
  <c r="CN148" i="56"/>
  <c r="CN149" i="56"/>
  <c r="CI163" i="56"/>
  <c r="CI175" i="56"/>
  <c r="CY148" i="56"/>
  <c r="CY149" i="56"/>
  <c r="BS29" i="56"/>
  <c r="BT21" i="14"/>
  <c r="BT22" i="14"/>
  <c r="CM8" i="5"/>
  <c r="CM12" i="1"/>
  <c r="CM110" i="1"/>
  <c r="CM117" i="1"/>
  <c r="CM124" i="1"/>
  <c r="BB22" i="14"/>
  <c r="BB21" i="14"/>
  <c r="BG22" i="14"/>
  <c r="CA16" i="56"/>
  <c r="CA185" i="56"/>
  <c r="CA19" i="59"/>
  <c r="BO16" i="57"/>
  <c r="BO31" i="57"/>
  <c r="CM178" i="1"/>
  <c r="CM160" i="1"/>
  <c r="DF28" i="56"/>
  <c r="DF29" i="56"/>
  <c r="CE19" i="56"/>
  <c r="CE26" i="56"/>
  <c r="CE28" i="56"/>
  <c r="CE29" i="56"/>
  <c r="DE185" i="56"/>
  <c r="DE16" i="56"/>
  <c r="DE27" i="14"/>
  <c r="DE28" i="14"/>
  <c r="BH47" i="56"/>
  <c r="BH19" i="56"/>
  <c r="BH26" i="56"/>
  <c r="BH191" i="56"/>
  <c r="BK16" i="57"/>
  <c r="AX158" i="56"/>
  <c r="AX172" i="56"/>
  <c r="CP37" i="56"/>
  <c r="CP56" i="56"/>
  <c r="CR29" i="56"/>
  <c r="CE20" i="57"/>
  <c r="CE24" i="57"/>
  <c r="CT28" i="5"/>
  <c r="CT34" i="5"/>
  <c r="CZ191" i="56"/>
  <c r="CZ47" i="56"/>
  <c r="CJ27" i="5"/>
  <c r="CJ36" i="5"/>
  <c r="DE190" i="1"/>
  <c r="DE123" i="1"/>
  <c r="CR176" i="1"/>
  <c r="CV10" i="5"/>
  <c r="CR10" i="5"/>
  <c r="CR21" i="5"/>
  <c r="CN10" i="14"/>
  <c r="CN11" i="14"/>
  <c r="CP31" i="57"/>
  <c r="BK158" i="56"/>
  <c r="BK184" i="56"/>
  <c r="BK16" i="59"/>
  <c r="CJ56" i="56"/>
  <c r="CJ37" i="56"/>
  <c r="CZ193" i="1"/>
  <c r="DA193" i="1"/>
  <c r="CG21" i="14"/>
  <c r="CG22" i="14"/>
  <c r="CX19" i="59"/>
  <c r="DB173" i="56"/>
  <c r="BA31" i="57"/>
  <c r="CQ163" i="56"/>
  <c r="CQ175" i="56"/>
  <c r="BA31" i="5"/>
  <c r="AO27" i="14"/>
  <c r="AT28" i="14"/>
  <c r="CZ29" i="56"/>
  <c r="CR27" i="1"/>
  <c r="CV41" i="1"/>
  <c r="CZ175" i="1"/>
  <c r="CS10" i="5"/>
  <c r="CS21" i="5"/>
  <c r="CB158" i="56"/>
  <c r="CB172" i="56"/>
  <c r="BS180" i="7"/>
  <c r="BS181" i="7"/>
  <c r="BT179" i="7"/>
  <c r="BT183" i="7"/>
  <c r="BT17" i="7"/>
  <c r="BC184" i="56"/>
  <c r="BC149" i="56"/>
  <c r="DF7" i="14"/>
  <c r="DF8" i="14"/>
  <c r="BN24" i="14"/>
  <c r="BN25" i="14"/>
  <c r="CY175" i="1"/>
  <c r="CY176" i="1"/>
  <c r="BN172" i="56"/>
  <c r="CT29" i="56"/>
  <c r="CY16" i="59"/>
  <c r="CY42" i="59"/>
  <c r="CU189" i="56"/>
  <c r="CY123" i="1"/>
  <c r="CY190" i="1"/>
  <c r="DB191" i="56"/>
  <c r="DB47" i="56"/>
  <c r="CU56" i="56"/>
  <c r="CU37" i="56"/>
  <c r="CU39" i="5"/>
  <c r="CU15" i="59"/>
  <c r="CU41" i="59"/>
  <c r="CU43" i="59"/>
  <c r="CU47" i="59"/>
  <c r="CU9" i="5"/>
  <c r="CU12" i="5"/>
  <c r="CU19" i="5"/>
  <c r="CU31" i="5"/>
  <c r="BD173" i="56"/>
  <c r="BD16" i="57"/>
  <c r="BD31" i="57"/>
  <c r="CR193" i="1"/>
  <c r="CI21" i="5"/>
  <c r="CY184" i="56"/>
  <c r="DB123" i="1"/>
  <c r="CA31" i="57"/>
  <c r="BA26" i="56"/>
  <c r="BA28" i="56"/>
  <c r="BA29" i="56"/>
  <c r="CP192" i="1"/>
  <c r="CQ192" i="1"/>
  <c r="BD24" i="14"/>
  <c r="BD25" i="14"/>
  <c r="CC172" i="56"/>
  <c r="CV21" i="14"/>
  <c r="CV22" i="14"/>
  <c r="BY21" i="14"/>
  <c r="BY22" i="14"/>
  <c r="CO43" i="14"/>
  <c r="BS16" i="59"/>
  <c r="BM7" i="14"/>
  <c r="BM8" i="14"/>
  <c r="DE11" i="7"/>
  <c r="DE19" i="1"/>
  <c r="CY43" i="14"/>
  <c r="CA148" i="1"/>
  <c r="CA158" i="1"/>
  <c r="CH29" i="56"/>
  <c r="CR163" i="56"/>
  <c r="CR175" i="56"/>
  <c r="BF31" i="57"/>
  <c r="CS24" i="14"/>
  <c r="CS25" i="14"/>
  <c r="CV185" i="56"/>
  <c r="DH185" i="56"/>
  <c r="CW173" i="56"/>
  <c r="CR163" i="1"/>
  <c r="CR166" i="1"/>
  <c r="CR168" i="1"/>
  <c r="CR22" i="59"/>
  <c r="CV22" i="59"/>
  <c r="CM107" i="1"/>
  <c r="CM125" i="1"/>
  <c r="BJ15" i="57"/>
  <c r="AX24" i="14"/>
  <c r="AX25" i="14"/>
  <c r="CW176" i="1"/>
  <c r="CS163" i="56"/>
  <c r="CS175" i="56"/>
  <c r="CZ13" i="1"/>
  <c r="CZ72" i="1"/>
  <c r="DD168" i="1"/>
  <c r="CN36" i="5"/>
  <c r="CN27" i="5"/>
  <c r="CN27" i="1"/>
  <c r="AU47" i="56"/>
  <c r="AU191" i="56"/>
  <c r="CY10" i="5"/>
  <c r="CY21" i="5"/>
  <c r="DC38" i="5"/>
  <c r="CB7" i="14"/>
  <c r="CB8" i="14"/>
  <c r="CS29" i="56"/>
  <c r="DD38" i="5"/>
  <c r="CQ74" i="1"/>
  <c r="CI19" i="59"/>
  <c r="BB8" i="5"/>
  <c r="CV7" i="14"/>
  <c r="CV8" i="14"/>
  <c r="CV163" i="56"/>
  <c r="CV175" i="56"/>
  <c r="CK21" i="14"/>
  <c r="CK22" i="14"/>
  <c r="CK42" i="59"/>
  <c r="BO158" i="56"/>
  <c r="BO184" i="56"/>
  <c r="BO16" i="59"/>
  <c r="BO42" i="59"/>
  <c r="DD123" i="1"/>
  <c r="DD190" i="1"/>
  <c r="BN24" i="5"/>
  <c r="BN8" i="5"/>
  <c r="BR8" i="5"/>
  <c r="DB56" i="56"/>
  <c r="DB37" i="56"/>
  <c r="CS148" i="56"/>
  <c r="CS149" i="56"/>
  <c r="BR27" i="14"/>
  <c r="BR28" i="14"/>
  <c r="BR31" i="5"/>
  <c r="BR39" i="5"/>
  <c r="CZ165" i="1"/>
  <c r="CZ141" i="1"/>
  <c r="DA141" i="1"/>
  <c r="BQ39" i="5"/>
  <c r="BQ7" i="5"/>
  <c r="BQ10" i="5"/>
  <c r="BQ12" i="5"/>
  <c r="BQ19" i="5"/>
  <c r="BQ31" i="5"/>
  <c r="CW38" i="5"/>
  <c r="CQ148" i="56"/>
  <c r="DG183" i="56"/>
  <c r="BC47" i="56"/>
  <c r="BB22" i="56"/>
  <c r="BC22" i="56"/>
  <c r="BC24" i="56"/>
  <c r="BC26" i="56"/>
  <c r="BC191" i="56"/>
  <c r="CJ47" i="56"/>
  <c r="CJ191" i="56"/>
  <c r="AZ27" i="5"/>
  <c r="BD16" i="59"/>
  <c r="CR19" i="1"/>
  <c r="DE141" i="1"/>
  <c r="DF141" i="1"/>
  <c r="DF165" i="1"/>
  <c r="CR38" i="5"/>
  <c r="CM38" i="5"/>
  <c r="CG15" i="57"/>
  <c r="BI29" i="56"/>
  <c r="BI26" i="56"/>
  <c r="BI28" i="56"/>
  <c r="BM28" i="56"/>
  <c r="BN28" i="14"/>
  <c r="CC72" i="66"/>
  <c r="BL27" i="14"/>
  <c r="BL28" i="14"/>
  <c r="CT185" i="56"/>
  <c r="CT16" i="56"/>
  <c r="CT27" i="14"/>
  <c r="CT28" i="14"/>
  <c r="CF173" i="56"/>
  <c r="CJ31" i="5"/>
  <c r="CJ19" i="5"/>
  <c r="CJ39" i="5"/>
  <c r="BT15" i="57"/>
  <c r="DF43" i="14"/>
  <c r="BT24" i="14"/>
  <c r="BT25" i="14"/>
  <c r="BL171" i="56"/>
  <c r="AV21" i="14"/>
  <c r="AV22" i="14"/>
  <c r="BR21" i="14"/>
  <c r="BR22" i="14"/>
  <c r="CZ189" i="56"/>
  <c r="CE27" i="14"/>
  <c r="CE28" i="14"/>
  <c r="CJ183" i="56"/>
  <c r="CJ171" i="56"/>
  <c r="CB148" i="1"/>
  <c r="CB146" i="1"/>
  <c r="CA146" i="1"/>
  <c r="CC171" i="56"/>
  <c r="BT38" i="5"/>
  <c r="BW27" i="14"/>
  <c r="BW28" i="14"/>
  <c r="BH176" i="1"/>
  <c r="AY172" i="56"/>
  <c r="AY158" i="56"/>
  <c r="AY184" i="56"/>
  <c r="DC42" i="59"/>
  <c r="BR7" i="14"/>
  <c r="BR8" i="14"/>
  <c r="CR31" i="57"/>
  <c r="CR16" i="57"/>
  <c r="BJ27" i="5"/>
  <c r="CN16" i="59"/>
  <c r="CN42" i="59"/>
  <c r="DB193" i="1"/>
  <c r="CX191" i="56"/>
  <c r="CX47" i="56"/>
  <c r="CV16" i="56"/>
  <c r="CV27" i="14"/>
  <c r="CV28" i="14"/>
  <c r="CB21" i="14"/>
  <c r="CB22" i="14"/>
  <c r="BX56" i="56"/>
  <c r="BX37" i="56"/>
  <c r="CC173" i="56"/>
  <c r="BB27" i="5"/>
  <c r="DE13" i="14"/>
  <c r="DE15" i="14"/>
  <c r="AT24" i="14"/>
  <c r="AT25" i="14"/>
  <c r="AW43" i="59"/>
  <c r="AW31" i="59"/>
  <c r="H24" i="33"/>
  <c r="BZ37" i="56"/>
  <c r="BZ56" i="56"/>
  <c r="CH7" i="14"/>
  <c r="CH8" i="14"/>
  <c r="BH41" i="1"/>
  <c r="BH27" i="1"/>
  <c r="CG29" i="56"/>
  <c r="CV129" i="1"/>
  <c r="BB189" i="56"/>
  <c r="BZ7" i="14"/>
  <c r="BZ8" i="14"/>
  <c r="DD173" i="56"/>
  <c r="DB24" i="14"/>
  <c r="DB25" i="14"/>
  <c r="CK171" i="56"/>
  <c r="CK183" i="56"/>
  <c r="BI24" i="5"/>
  <c r="CT38" i="5"/>
  <c r="CK47" i="56"/>
  <c r="CK191" i="56"/>
  <c r="CP165" i="1"/>
  <c r="CW13" i="14"/>
  <c r="CW15" i="14"/>
  <c r="CP13" i="14"/>
  <c r="CP15" i="14"/>
  <c r="BX158" i="56"/>
  <c r="BX184" i="56"/>
  <c r="CB184" i="56"/>
  <c r="CB149" i="56"/>
  <c r="CX10" i="14"/>
  <c r="CX11" i="14"/>
  <c r="CW29" i="56"/>
  <c r="BR16" i="57"/>
  <c r="BR31" i="57"/>
  <c r="CO19" i="59"/>
  <c r="CI39" i="5"/>
  <c r="CI7" i="5"/>
  <c r="CI10" i="5"/>
  <c r="CI12" i="5"/>
  <c r="CI19" i="5"/>
  <c r="CI31" i="5"/>
  <c r="AU158" i="56"/>
  <c r="AU184" i="56"/>
  <c r="AU16" i="59"/>
  <c r="BN31" i="5"/>
  <c r="BN7" i="5"/>
  <c r="BN10" i="5"/>
  <c r="BN12" i="5"/>
  <c r="BN19" i="5"/>
  <c r="BR19" i="5"/>
  <c r="CW168" i="1"/>
  <c r="DE107" i="1"/>
  <c r="DE125" i="1"/>
  <c r="CK27" i="14"/>
  <c r="CK28" i="14"/>
  <c r="DE148" i="56"/>
  <c r="DE149" i="56"/>
  <c r="CS41" i="1"/>
  <c r="DD13" i="14"/>
  <c r="DD15" i="14"/>
  <c r="DA16" i="56"/>
  <c r="DA27" i="14"/>
  <c r="DA28" i="14"/>
  <c r="CO163" i="56"/>
  <c r="CO175" i="56"/>
  <c r="CQ43" i="14"/>
  <c r="BS7" i="14"/>
  <c r="BS8" i="14"/>
  <c r="CR15" i="57"/>
  <c r="AU189" i="56"/>
  <c r="AW158" i="56"/>
  <c r="AW184" i="56"/>
  <c r="AW16" i="59"/>
  <c r="AW42" i="59"/>
  <c r="DF19" i="5"/>
  <c r="DB39" i="5"/>
  <c r="DB41" i="59"/>
  <c r="DB43" i="59"/>
  <c r="DB47" i="59"/>
  <c r="DB9" i="5"/>
  <c r="DB12" i="5"/>
  <c r="DB19" i="5"/>
  <c r="DB31" i="5"/>
  <c r="CW40" i="14"/>
  <c r="CW42" i="14"/>
  <c r="CW43" i="14"/>
  <c r="CU16" i="59"/>
  <c r="AW171" i="56"/>
  <c r="DD176" i="1"/>
  <c r="AU15" i="59"/>
  <c r="AU41" i="59"/>
  <c r="AU43" i="59"/>
  <c r="AU31" i="59"/>
  <c r="F24" i="33"/>
  <c r="DB41" i="5"/>
  <c r="DB43" i="5"/>
  <c r="DF161" i="56"/>
  <c r="DF173" i="56"/>
  <c r="CB161" i="56"/>
  <c r="CB173" i="56"/>
  <c r="DA7" i="14"/>
  <c r="DA8" i="14"/>
  <c r="CN21" i="14"/>
  <c r="CN22" i="14"/>
  <c r="BW24" i="14"/>
  <c r="BW25" i="14"/>
  <c r="CZ192" i="1"/>
  <c r="DA192" i="1"/>
  <c r="DC29" i="56"/>
  <c r="BI27" i="5"/>
  <c r="BI19" i="5"/>
  <c r="DC41" i="1"/>
  <c r="AW17" i="59"/>
  <c r="AW15" i="59"/>
  <c r="AW41" i="59"/>
  <c r="AY50" i="59"/>
  <c r="BC50" i="59"/>
  <c r="CB27" i="14"/>
  <c r="CB28" i="14"/>
  <c r="DE98" i="1"/>
  <c r="DF98" i="1"/>
  <c r="BK21" i="5"/>
  <c r="DE117" i="1"/>
  <c r="BW35" i="5"/>
  <c r="BS7" i="5"/>
  <c r="BS8" i="5"/>
  <c r="BW8" i="5"/>
  <c r="BW24" i="5"/>
  <c r="CT193" i="1"/>
  <c r="DC10" i="14"/>
  <c r="DC11" i="14"/>
  <c r="AY10" i="5"/>
  <c r="AY21" i="5"/>
  <c r="CU43" i="14"/>
  <c r="CL16" i="56"/>
  <c r="CL27" i="14"/>
  <c r="CL28" i="14"/>
  <c r="CO176" i="1"/>
  <c r="CS41" i="59"/>
  <c r="BK163" i="56"/>
  <c r="BK175" i="56"/>
  <c r="CN39" i="5"/>
  <c r="CN15" i="59"/>
  <c r="CN41" i="59"/>
  <c r="CN43" i="59"/>
  <c r="CN47" i="59"/>
  <c r="CN9" i="5"/>
  <c r="CN12" i="5"/>
  <c r="CN19" i="5"/>
  <c r="CN31" i="5"/>
  <c r="CW41" i="5"/>
  <c r="CW43" i="5"/>
  <c r="CZ7" i="14"/>
  <c r="CZ8" i="14"/>
  <c r="CQ175" i="1"/>
  <c r="BX29" i="56"/>
  <c r="CN43" i="5"/>
  <c r="AR7" i="14"/>
  <c r="AR8" i="14"/>
  <c r="CY11" i="7"/>
  <c r="BN158" i="56"/>
  <c r="BN184" i="56"/>
  <c r="BR184" i="56"/>
  <c r="BR149" i="56"/>
  <c r="CR107" i="1"/>
  <c r="CR125" i="1"/>
  <c r="CW165" i="1"/>
  <c r="DE43" i="14"/>
  <c r="BQ24" i="14"/>
  <c r="BQ25" i="14"/>
  <c r="BG173" i="56"/>
  <c r="CR41" i="1"/>
  <c r="CT41" i="5"/>
  <c r="CT43" i="5"/>
  <c r="BU19" i="56"/>
  <c r="BU26" i="56"/>
  <c r="BU28" i="56"/>
  <c r="BU29" i="56"/>
  <c r="BB12" i="57"/>
  <c r="CX43" i="14"/>
  <c r="Y21" i="1"/>
  <c r="BD21" i="5"/>
  <c r="AY29" i="56"/>
  <c r="DD148" i="56"/>
  <c r="DD149" i="56"/>
  <c r="DD185" i="56"/>
  <c r="DD16" i="56"/>
  <c r="DD27" i="14"/>
  <c r="DD28" i="14"/>
  <c r="DC10" i="5"/>
  <c r="DC21" i="5"/>
  <c r="CM168" i="1"/>
  <c r="BV185" i="56"/>
  <c r="BV173" i="56"/>
  <c r="CG7" i="14"/>
  <c r="CG8" i="14"/>
  <c r="CI19" i="56"/>
  <c r="CI26" i="56"/>
  <c r="CI28" i="56"/>
  <c r="CI29" i="56"/>
  <c r="CG189" i="56"/>
  <c r="BW15" i="57"/>
  <c r="CO175" i="1"/>
  <c r="BI12" i="5"/>
  <c r="BM12" i="5"/>
  <c r="BM27" i="5"/>
  <c r="CB154" i="1"/>
  <c r="CM61" i="1"/>
  <c r="CQ61" i="1"/>
  <c r="AW33" i="57"/>
  <c r="DE168" i="1"/>
  <c r="CH27" i="14"/>
  <c r="CH28" i="14"/>
  <c r="BZ173" i="56"/>
  <c r="BV31" i="5"/>
  <c r="BV10" i="11"/>
  <c r="BV18" i="5"/>
  <c r="BV19" i="5"/>
  <c r="BV39" i="5"/>
  <c r="AS7" i="14"/>
  <c r="AS8" i="14"/>
  <c r="CP173" i="56"/>
  <c r="BL163" i="56"/>
  <c r="BL175" i="56"/>
  <c r="AR7" i="57"/>
  <c r="AX159" i="56"/>
  <c r="AX175" i="56"/>
  <c r="CB28" i="56"/>
  <c r="CB29" i="56"/>
  <c r="BW184" i="56"/>
  <c r="BW149" i="56"/>
  <c r="CN10" i="5"/>
  <c r="CN21" i="5"/>
  <c r="AZ171" i="56"/>
  <c r="BE171" i="56"/>
  <c r="DF158" i="56"/>
  <c r="DF172" i="56"/>
  <c r="AZ189" i="56"/>
  <c r="DE28" i="5"/>
  <c r="DE10" i="5"/>
  <c r="DE34" i="5"/>
  <c r="CX175" i="1"/>
  <c r="BA27" i="5"/>
  <c r="BA47" i="59"/>
  <c r="BA9" i="5"/>
  <c r="BA12" i="5"/>
  <c r="BA19" i="5"/>
  <c r="BN37" i="56"/>
  <c r="BN56" i="56"/>
  <c r="BN27" i="14"/>
  <c r="BR16" i="56"/>
  <c r="BS41" i="5"/>
  <c r="BS43" i="5"/>
  <c r="CP107" i="1"/>
  <c r="CP125" i="1"/>
  <c r="CR16" i="56"/>
  <c r="CR27" i="14"/>
  <c r="CR28" i="14"/>
  <c r="BP24" i="14"/>
  <c r="BP25" i="14"/>
  <c r="AO118" i="56"/>
  <c r="BL26" i="56"/>
  <c r="BL28" i="56"/>
  <c r="BL29" i="56"/>
  <c r="CU10" i="14"/>
  <c r="CU11" i="14"/>
  <c r="BN171" i="56"/>
  <c r="BA15" i="57"/>
  <c r="BF173" i="56"/>
  <c r="BY173" i="56"/>
  <c r="CW148" i="56"/>
  <c r="CW149" i="56"/>
  <c r="DE18" i="5"/>
  <c r="DE15" i="1"/>
  <c r="DE40" i="14"/>
  <c r="DE42" i="14"/>
  <c r="BO15" i="57"/>
  <c r="CZ148" i="56"/>
  <c r="CZ149" i="56"/>
  <c r="BX47" i="56"/>
  <c r="BX191" i="56"/>
  <c r="BX14" i="56"/>
  <c r="BX19" i="56"/>
  <c r="BX26" i="56"/>
  <c r="BX28" i="56"/>
  <c r="CI12" i="57"/>
  <c r="CU44" i="59"/>
  <c r="CT27" i="1"/>
  <c r="CF31" i="57"/>
  <c r="CF16" i="57"/>
  <c r="CR185" i="56"/>
  <c r="BI21" i="14"/>
  <c r="BI22" i="14"/>
  <c r="CZ163" i="56"/>
  <c r="CZ175" i="56"/>
  <c r="BM24" i="14"/>
  <c r="BM25" i="14"/>
  <c r="DB23" i="1"/>
  <c r="DF23" i="1"/>
  <c r="BV72" i="66"/>
  <c r="CM13" i="14"/>
  <c r="CM15" i="14"/>
  <c r="DD11" i="7"/>
  <c r="DB27" i="14"/>
  <c r="DB28" i="14"/>
  <c r="CT31" i="57"/>
  <c r="DD24" i="14"/>
  <c r="DD25" i="14"/>
  <c r="CY38" i="5"/>
  <c r="CJ24" i="14"/>
  <c r="CJ25" i="14"/>
  <c r="AZ8" i="5"/>
  <c r="AZ24" i="5"/>
  <c r="AZ159" i="56"/>
  <c r="AZ175" i="56"/>
  <c r="CZ34" i="5"/>
  <c r="CZ28" i="5"/>
  <c r="AY12" i="57"/>
  <c r="CV125" i="1"/>
  <c r="AW191" i="56"/>
  <c r="AW47" i="56"/>
  <c r="CJ31" i="57"/>
  <c r="DB168" i="1"/>
  <c r="CZ171" i="1"/>
  <c r="CZ173" i="1"/>
  <c r="AS87" i="56"/>
  <c r="BL158" i="56"/>
  <c r="BL184" i="56"/>
  <c r="BL16" i="59"/>
  <c r="DE21" i="14"/>
  <c r="DE22" i="14"/>
  <c r="DD29" i="56"/>
  <c r="CJ149" i="56"/>
  <c r="BJ26" i="56"/>
  <c r="BJ28" i="56"/>
  <c r="BJ29" i="56"/>
  <c r="BJ19" i="5"/>
  <c r="BJ31" i="5"/>
  <c r="DC165" i="1"/>
  <c r="CT7" i="14"/>
  <c r="CT8" i="14"/>
  <c r="CQ36" i="5"/>
  <c r="CM41" i="59"/>
  <c r="CM43" i="59"/>
  <c r="CM47" i="59"/>
  <c r="CM9" i="5"/>
  <c r="CM12" i="5"/>
  <c r="CQ12" i="5"/>
  <c r="CQ27" i="5"/>
  <c r="BS15" i="57"/>
  <c r="BW21" i="14"/>
  <c r="BW22" i="14"/>
  <c r="DD17" i="59"/>
  <c r="CU13" i="14"/>
  <c r="CU15" i="14"/>
  <c r="CJ12" i="57"/>
  <c r="CL157" i="56"/>
  <c r="CL171" i="56"/>
  <c r="CW175" i="1"/>
  <c r="CE15" i="57"/>
  <c r="CE12" i="57"/>
  <c r="BZ16" i="59"/>
  <c r="DC31" i="5"/>
  <c r="DC15" i="59"/>
  <c r="DC41" i="59"/>
  <c r="DC43" i="59"/>
  <c r="DC47" i="59"/>
  <c r="DC9" i="5"/>
  <c r="DC12" i="5"/>
  <c r="DC19" i="5"/>
  <c r="DC39" i="5"/>
  <c r="X176" i="1"/>
  <c r="CK19" i="56"/>
  <c r="CK26" i="56"/>
  <c r="CK28" i="56"/>
  <c r="CK29" i="56"/>
  <c r="DC7" i="14"/>
  <c r="DC8" i="14"/>
  <c r="CL7" i="14"/>
  <c r="CL8" i="14"/>
  <c r="CJ20" i="57"/>
  <c r="CJ24" i="57"/>
  <c r="CH171" i="56"/>
  <c r="BM14" i="56"/>
  <c r="BM21" i="14"/>
  <c r="BM22" i="14"/>
  <c r="CH21" i="14"/>
  <c r="CH22" i="14"/>
  <c r="DD192" i="1"/>
  <c r="BM173" i="56"/>
  <c r="BM191" i="56"/>
  <c r="BM19" i="56"/>
  <c r="BM26" i="56"/>
  <c r="BM47" i="56"/>
  <c r="BK31" i="57"/>
  <c r="DC176" i="1"/>
  <c r="BU15" i="57"/>
  <c r="BU12" i="57"/>
  <c r="CT10" i="14"/>
  <c r="CT11" i="14"/>
  <c r="AV7" i="14"/>
  <c r="AV8" i="14"/>
  <c r="CD172" i="56"/>
  <c r="CX29" i="56"/>
  <c r="DC19" i="59"/>
  <c r="BG33" i="57"/>
  <c r="BK32" i="59"/>
  <c r="CG16" i="56"/>
  <c r="CG27" i="14"/>
  <c r="CG28" i="14"/>
  <c r="BI43" i="59"/>
  <c r="BI31" i="59"/>
  <c r="T24" i="33"/>
  <c r="DA130" i="1"/>
  <c r="CO97" i="1"/>
  <c r="CO141" i="1"/>
  <c r="CO165" i="1"/>
  <c r="CM41" i="5"/>
  <c r="CM43" i="5"/>
  <c r="BR15" i="57"/>
  <c r="CO29" i="56"/>
  <c r="DD10" i="14"/>
  <c r="DD11" i="14"/>
  <c r="CH16" i="59"/>
  <c r="BJ8" i="5"/>
  <c r="BJ24" i="5"/>
  <c r="CZ173" i="56"/>
  <c r="DE41" i="1"/>
  <c r="CZ13" i="14"/>
  <c r="CZ15" i="14"/>
  <c r="BD26" i="56"/>
  <c r="BD28" i="56"/>
  <c r="BH28" i="56"/>
  <c r="BH29" i="56"/>
  <c r="DB19" i="59"/>
  <c r="DF19" i="59"/>
  <c r="CO7" i="14"/>
  <c r="CO8" i="14"/>
  <c r="BU7" i="14"/>
  <c r="BU8" i="14"/>
  <c r="DA158" i="56"/>
  <c r="DA172" i="56"/>
  <c r="BC29" i="59"/>
  <c r="N13" i="33"/>
  <c r="CP111" i="1"/>
  <c r="CQ111" i="1"/>
  <c r="CQ130" i="1"/>
  <c r="BP172" i="56"/>
  <c r="CU111" i="1"/>
  <c r="CV111" i="1"/>
  <c r="BF15" i="57"/>
  <c r="BF12" i="57"/>
  <c r="CQ161" i="56"/>
  <c r="CM173" i="56"/>
  <c r="AZ17" i="59"/>
  <c r="AZ22" i="59"/>
  <c r="CQ24" i="14"/>
  <c r="CQ25" i="14"/>
  <c r="CY193" i="1"/>
  <c r="CQ121" i="1"/>
  <c r="CQ123" i="1"/>
  <c r="BN163" i="56"/>
  <c r="BN175" i="56"/>
  <c r="AY26" i="56"/>
  <c r="AY28" i="56"/>
  <c r="BC28" i="56"/>
  <c r="BC29" i="56"/>
  <c r="CI184" i="56"/>
  <c r="CI16" i="59"/>
  <c r="CI42" i="59"/>
  <c r="DB190" i="1"/>
  <c r="DF190" i="1"/>
  <c r="BD31" i="5"/>
  <c r="DC13" i="14"/>
  <c r="DC15" i="14"/>
  <c r="CO107" i="1"/>
  <c r="CO125" i="1"/>
  <c r="BB7" i="5"/>
  <c r="BB10" i="5"/>
  <c r="BB21" i="5"/>
  <c r="BA15" i="59"/>
  <c r="BA41" i="59"/>
  <c r="BA43" i="59"/>
  <c r="BA31" i="59"/>
  <c r="L24" i="33"/>
  <c r="CM10" i="14"/>
  <c r="CM11" i="14"/>
  <c r="AX15" i="14"/>
  <c r="AO77" i="56"/>
  <c r="AS77" i="56"/>
  <c r="AS13" i="14"/>
  <c r="AS15" i="14"/>
  <c r="BB17" i="59"/>
  <c r="CF27" i="14"/>
  <c r="CF28" i="14"/>
  <c r="CA172" i="56"/>
  <c r="CQ158" i="56"/>
  <c r="CQ172" i="56"/>
  <c r="CN163" i="56"/>
  <c r="CN175" i="56"/>
  <c r="CI149" i="56"/>
  <c r="CO10" i="14"/>
  <c r="CO11" i="14"/>
  <c r="BK27" i="5"/>
  <c r="CM11" i="7"/>
  <c r="CM19" i="1"/>
  <c r="BZ172" i="56"/>
  <c r="BZ158" i="56"/>
  <c r="BZ184" i="56"/>
  <c r="CU193" i="1"/>
  <c r="CP21" i="14"/>
  <c r="CP22" i="14"/>
  <c r="DA43" i="14"/>
  <c r="AV171" i="56"/>
  <c r="CJ26" i="56"/>
  <c r="CJ28" i="56"/>
  <c r="CJ29" i="56"/>
  <c r="AX21" i="14"/>
  <c r="AX22" i="14"/>
  <c r="BE33" i="57"/>
  <c r="BC15" i="57"/>
  <c r="BS173" i="56"/>
  <c r="CM184" i="56"/>
  <c r="CR17" i="59"/>
  <c r="BU31" i="57"/>
  <c r="CY21" i="14"/>
  <c r="CY22" i="14"/>
  <c r="CQ21" i="14"/>
  <c r="CQ22" i="14"/>
  <c r="BM16" i="56"/>
  <c r="BM27" i="14"/>
  <c r="BM28" i="14"/>
  <c r="CI27" i="14"/>
  <c r="CI28" i="14"/>
  <c r="AO76" i="56"/>
  <c r="AS76" i="56"/>
  <c r="AS118" i="56"/>
  <c r="CT21" i="14"/>
  <c r="CT22" i="14"/>
  <c r="BD171" i="56"/>
  <c r="BL21" i="14"/>
  <c r="BL22" i="14"/>
  <c r="CB163" i="56"/>
  <c r="CB175" i="56"/>
  <c r="CM165" i="1"/>
  <c r="BG185" i="56"/>
  <c r="BG189" i="56"/>
  <c r="BG191" i="56"/>
  <c r="AS73" i="56"/>
  <c r="AS109" i="56"/>
  <c r="BI172" i="56"/>
  <c r="CP42" i="59"/>
  <c r="BV15" i="57"/>
  <c r="BZ15" i="57"/>
  <c r="BZ12" i="57"/>
  <c r="CN193" i="1"/>
  <c r="DA8" i="7"/>
  <c r="AX41" i="59"/>
  <c r="AX29" i="59"/>
  <c r="I13" i="33"/>
  <c r="CY10" i="14"/>
  <c r="CY11" i="14"/>
  <c r="CK184" i="56"/>
  <c r="CK16" i="59"/>
  <c r="CO163" i="1"/>
  <c r="CO166" i="1"/>
  <c r="CJ27" i="14"/>
  <c r="CJ28" i="14"/>
  <c r="CV141" i="1"/>
  <c r="CU165" i="1"/>
  <c r="AZ12" i="57"/>
  <c r="CV171" i="56"/>
  <c r="CZ18" i="5"/>
  <c r="CZ15" i="1"/>
  <c r="CZ40" i="14"/>
  <c r="CZ42" i="14"/>
  <c r="CZ43" i="14"/>
  <c r="AS185" i="56"/>
  <c r="AS189" i="56"/>
  <c r="AY33" i="57"/>
  <c r="DA35" i="5"/>
  <c r="DA8" i="5"/>
  <c r="DA24" i="5"/>
  <c r="CC27" i="14"/>
  <c r="CC28" i="14"/>
  <c r="BS184" i="56"/>
  <c r="BS158" i="56"/>
  <c r="BS172" i="56"/>
  <c r="CX38" i="5"/>
  <c r="AT184" i="56"/>
  <c r="AT158" i="56"/>
  <c r="AT172" i="56"/>
  <c r="CX7" i="14"/>
  <c r="CX8" i="14"/>
  <c r="DD41" i="5"/>
  <c r="DD43" i="5"/>
  <c r="CH172" i="56"/>
  <c r="BZ31" i="57"/>
  <c r="BH15" i="57"/>
  <c r="CN171" i="1"/>
  <c r="CN173" i="1"/>
  <c r="CH149" i="56"/>
  <c r="CR21" i="14"/>
  <c r="CR22" i="14"/>
  <c r="CH173" i="56"/>
  <c r="CP98" i="1"/>
  <c r="CQ98" i="1"/>
  <c r="BK173" i="56"/>
  <c r="DE111" i="1"/>
  <c r="DF111" i="1"/>
  <c r="DF130" i="1"/>
  <c r="BD19" i="5"/>
  <c r="BD19" i="56"/>
  <c r="BD7" i="5"/>
  <c r="BD10" i="5"/>
  <c r="BD12" i="5"/>
  <c r="BD27" i="5"/>
  <c r="DD43" i="14"/>
  <c r="BQ7" i="14"/>
  <c r="BQ8" i="14"/>
  <c r="BJ7" i="14"/>
  <c r="BJ8" i="14"/>
  <c r="CP141" i="1"/>
  <c r="CQ141" i="1"/>
  <c r="CQ165" i="1"/>
  <c r="BK171" i="56"/>
  <c r="CR190" i="1"/>
  <c r="CV190" i="1"/>
  <c r="BL24" i="14"/>
  <c r="BL25" i="14"/>
  <c r="CI21" i="14"/>
  <c r="CI22" i="14"/>
  <c r="CQ183" i="56"/>
  <c r="CQ189" i="56"/>
  <c r="DG189" i="56"/>
  <c r="BK56" i="56"/>
  <c r="BK37" i="56"/>
  <c r="CD27" i="14"/>
  <c r="CD28" i="14"/>
  <c r="DD41" i="1"/>
  <c r="DD27" i="1"/>
  <c r="DB10" i="14"/>
  <c r="DB11" i="14"/>
  <c r="BL8" i="5"/>
  <c r="BL24" i="5"/>
  <c r="CD173" i="56"/>
  <c r="DC41" i="5"/>
  <c r="DC43" i="5"/>
  <c r="AR77" i="56"/>
  <c r="AR13" i="14"/>
  <c r="AW15" i="14"/>
  <c r="AO90" i="56"/>
  <c r="AS90" i="56"/>
  <c r="CU184" i="56"/>
  <c r="DE163" i="56"/>
  <c r="DE175" i="56"/>
  <c r="CR24" i="14"/>
  <c r="CR25" i="14"/>
  <c r="CJ173" i="56"/>
  <c r="CL163" i="56"/>
  <c r="CL175" i="56"/>
  <c r="CW193" i="1"/>
  <c r="CM43" i="14"/>
  <c r="CM7" i="14"/>
  <c r="CM8" i="14"/>
  <c r="DB185" i="56"/>
  <c r="DB16" i="56"/>
  <c r="DF16" i="56"/>
  <c r="DF27" i="14"/>
  <c r="DF28" i="14"/>
  <c r="BQ15" i="57"/>
  <c r="BR163" i="56"/>
  <c r="BR175" i="56"/>
  <c r="DD9" i="7"/>
  <c r="DE8" i="7"/>
  <c r="BD21" i="14"/>
  <c r="BD22" i="14"/>
  <c r="AY19" i="56"/>
  <c r="AY7" i="5"/>
  <c r="AY8" i="5"/>
  <c r="AY24" i="5"/>
  <c r="BK20" i="57"/>
  <c r="BK24" i="57"/>
  <c r="CZ98" i="1"/>
  <c r="DA98" i="1"/>
  <c r="CT16" i="59"/>
  <c r="CU192" i="1"/>
  <c r="CV192" i="1"/>
  <c r="CW21" i="5"/>
  <c r="CW10" i="5"/>
  <c r="DA10" i="5"/>
  <c r="DB107" i="1"/>
  <c r="DB125" i="1"/>
  <c r="BD158" i="56"/>
  <c r="BD184" i="56"/>
  <c r="BH184" i="56"/>
  <c r="BH149" i="56"/>
  <c r="CP97" i="1"/>
  <c r="CQ97" i="1"/>
  <c r="CQ127" i="1"/>
  <c r="AS31" i="57"/>
  <c r="CX97" i="1"/>
  <c r="CX141" i="1"/>
  <c r="CX165" i="1"/>
  <c r="AX31" i="57"/>
  <c r="CY163" i="56"/>
  <c r="CY175" i="56"/>
  <c r="CZ168" i="1"/>
  <c r="AP76" i="56"/>
  <c r="AP118" i="56"/>
  <c r="BN29" i="56"/>
  <c r="CP29" i="56"/>
  <c r="BL17" i="59"/>
  <c r="BA8" i="5"/>
  <c r="BA24" i="5"/>
  <c r="CJ163" i="56"/>
  <c r="CJ175" i="56"/>
  <c r="CN163" i="1"/>
  <c r="CN166" i="1"/>
  <c r="DA129" i="1"/>
  <c r="BP7" i="14"/>
  <c r="BP8" i="14"/>
  <c r="DF24" i="14"/>
  <c r="DF25" i="14"/>
  <c r="CY97" i="1"/>
  <c r="CY141" i="1"/>
  <c r="CY165" i="1"/>
  <c r="CQ107" i="1"/>
  <c r="CQ125" i="1"/>
  <c r="BF161" i="56"/>
  <c r="BF185" i="56"/>
  <c r="BF189" i="56"/>
  <c r="BF191" i="56"/>
  <c r="CS15" i="57"/>
  <c r="BQ185" i="56"/>
  <c r="BQ16" i="56"/>
  <c r="BQ27" i="14"/>
  <c r="BQ28" i="14"/>
  <c r="BD33" i="57"/>
  <c r="CO31" i="5"/>
  <c r="CO15" i="59"/>
  <c r="CO41" i="59"/>
  <c r="CO43" i="59"/>
  <c r="CO47" i="59"/>
  <c r="CO9" i="5"/>
  <c r="CO12" i="5"/>
  <c r="CO19" i="5"/>
  <c r="CO39" i="5"/>
  <c r="BJ24" i="14"/>
  <c r="BJ25" i="14"/>
  <c r="DD193" i="1"/>
  <c r="BN21" i="14"/>
  <c r="BN22" i="14"/>
  <c r="DB61" i="1"/>
  <c r="DF61" i="1"/>
  <c r="DF74" i="1"/>
  <c r="CM23" i="1"/>
  <c r="CQ23" i="1"/>
  <c r="CQ76" i="1"/>
  <c r="CR175" i="1"/>
  <c r="BP7" i="5"/>
  <c r="BP8" i="5"/>
  <c r="BP24" i="5"/>
  <c r="CV28" i="56"/>
  <c r="CV29" i="56"/>
  <c r="CA161" i="56"/>
  <c r="CT43" i="14"/>
  <c r="CJ33" i="57"/>
  <c r="CS124" i="1"/>
  <c r="BN19" i="56"/>
  <c r="BN26" i="56"/>
  <c r="BN28" i="56"/>
  <c r="BR28" i="56"/>
  <c r="BR29" i="56"/>
  <c r="CT10" i="5"/>
  <c r="CT21" i="5"/>
  <c r="BI173" i="56"/>
  <c r="BM161" i="56"/>
  <c r="CQ16" i="56"/>
  <c r="CQ27" i="14"/>
  <c r="CQ28" i="14"/>
  <c r="DE175" i="1"/>
  <c r="CV76" i="1"/>
  <c r="CP7" i="14"/>
  <c r="CP8" i="14"/>
  <c r="CI148" i="56"/>
  <c r="CJ148" i="56"/>
  <c r="CK148" i="56"/>
  <c r="CK149" i="56"/>
  <c r="CN7" i="14"/>
  <c r="CN8" i="14"/>
  <c r="CI24" i="14"/>
  <c r="CI25" i="14"/>
  <c r="DE163" i="1"/>
  <c r="DE166" i="1"/>
  <c r="CF7" i="14"/>
  <c r="CF8" i="14"/>
  <c r="AV19" i="56"/>
  <c r="AV26" i="56"/>
  <c r="AV28" i="56"/>
  <c r="AV29" i="56"/>
  <c r="BH139" i="1"/>
  <c r="BH143" i="1"/>
  <c r="BH171" i="1"/>
  <c r="BH173" i="1"/>
  <c r="BH175" i="1"/>
  <c r="DC158" i="56"/>
  <c r="DC184" i="56"/>
  <c r="DC16" i="59"/>
  <c r="CV110" i="1"/>
  <c r="CV117" i="1"/>
  <c r="CV124" i="1"/>
  <c r="CC163" i="56"/>
  <c r="CC175" i="56"/>
  <c r="CP161" i="56"/>
  <c r="CT165" i="1"/>
  <c r="BI163" i="56"/>
  <c r="BI175" i="56"/>
  <c r="BN157" i="56"/>
  <c r="BN183" i="56"/>
  <c r="BN15" i="59"/>
  <c r="BN41" i="59"/>
  <c r="BR41" i="59"/>
  <c r="BR29" i="59"/>
  <c r="AC13" i="33"/>
  <c r="AX7" i="14"/>
  <c r="AX8" i="14"/>
  <c r="AQ7" i="14"/>
  <c r="AQ8" i="14"/>
  <c r="CX39" i="5"/>
  <c r="CX15" i="59"/>
  <c r="CX41" i="59"/>
  <c r="CX43" i="59"/>
  <c r="CX47" i="59"/>
  <c r="CX9" i="5"/>
  <c r="CX12" i="5"/>
  <c r="CX19" i="5"/>
  <c r="CX31" i="5"/>
  <c r="CS175" i="1"/>
  <c r="AY7" i="14"/>
  <c r="AY8" i="14"/>
  <c r="BA171" i="56"/>
  <c r="BF171" i="56"/>
  <c r="CR10" i="14"/>
  <c r="CR11" i="14"/>
  <c r="CZ24" i="14"/>
  <c r="CZ25" i="14"/>
  <c r="AS191" i="56"/>
  <c r="AO19" i="56"/>
  <c r="AO26" i="56"/>
  <c r="AS26" i="56"/>
  <c r="AS47" i="56"/>
  <c r="CM163" i="1"/>
  <c r="CM166" i="1"/>
  <c r="DC43" i="14"/>
  <c r="CZ111" i="1"/>
  <c r="DA111" i="1"/>
  <c r="BD27" i="14"/>
  <c r="BD28" i="14"/>
  <c r="AT29" i="56"/>
  <c r="CA158" i="56"/>
  <c r="CA184" i="56"/>
  <c r="CA16" i="59"/>
  <c r="BI158" i="56"/>
  <c r="BI184" i="56"/>
  <c r="BM184" i="56"/>
  <c r="BM149" i="56"/>
  <c r="BU20" i="57"/>
  <c r="BU24" i="57"/>
  <c r="BG31" i="57"/>
  <c r="BG16" i="57"/>
  <c r="DF13" i="14"/>
  <c r="DF15" i="14"/>
  <c r="BV24" i="14"/>
  <c r="BV25" i="14"/>
  <c r="BG161" i="56"/>
  <c r="DA176" i="1"/>
  <c r="CR13" i="14"/>
  <c r="CR15" i="14"/>
  <c r="CX19" i="1"/>
  <c r="CO184" i="56"/>
  <c r="BY27" i="14"/>
  <c r="BY28" i="14"/>
  <c r="CV43" i="14"/>
  <c r="CE7" i="14"/>
  <c r="CE8" i="14"/>
  <c r="CU10" i="5"/>
  <c r="CU21" i="5"/>
  <c r="AY15" i="57"/>
  <c r="BP24" i="57"/>
  <c r="CM15" i="57"/>
  <c r="AY159" i="56"/>
  <c r="AY175" i="56"/>
  <c r="CT173" i="56"/>
  <c r="BO163" i="56"/>
  <c r="BO175" i="56"/>
  <c r="CX42" i="59"/>
  <c r="CQ110" i="1"/>
  <c r="AU31" i="57"/>
  <c r="CZ185" i="56"/>
  <c r="CZ16" i="56"/>
  <c r="CZ27" i="14"/>
  <c r="CZ28" i="14"/>
  <c r="CQ168" i="1"/>
  <c r="DB163" i="1"/>
  <c r="DB166" i="1"/>
  <c r="BP173" i="56"/>
  <c r="CA19" i="56"/>
  <c r="CA26" i="56"/>
  <c r="CA28" i="56"/>
  <c r="CA29" i="56"/>
  <c r="BH29" i="59"/>
  <c r="S13" i="33"/>
  <c r="CO185" i="56"/>
  <c r="CO16" i="56"/>
  <c r="CO27" i="14"/>
  <c r="CO28" i="14"/>
  <c r="AZ20" i="57"/>
  <c r="AZ24" i="57"/>
  <c r="BA23" i="57"/>
  <c r="BA33" i="57"/>
  <c r="CP10" i="5"/>
  <c r="CP21" i="5"/>
  <c r="BS19" i="59"/>
  <c r="BW185" i="56"/>
  <c r="BA159" i="56"/>
  <c r="BA175" i="56"/>
  <c r="BY15" i="57"/>
  <c r="DC97" i="1"/>
  <c r="DC141" i="1"/>
  <c r="CW163" i="1"/>
  <c r="CW166" i="1"/>
  <c r="CW61" i="1"/>
  <c r="DA61" i="1"/>
  <c r="CJ21" i="14"/>
  <c r="CJ22" i="14"/>
  <c r="BM15" i="57"/>
  <c r="CM163" i="56"/>
  <c r="CM175" i="56"/>
  <c r="DF157" i="56"/>
  <c r="DF171" i="56"/>
  <c r="BA163" i="56"/>
  <c r="BF175" i="56"/>
  <c r="BI15" i="59"/>
  <c r="BI41" i="59"/>
  <c r="BM41" i="59"/>
  <c r="BM29" i="59"/>
  <c r="X13" i="33"/>
  <c r="AT19" i="56"/>
  <c r="AT26" i="56"/>
  <c r="AT28" i="56"/>
  <c r="AX28" i="56"/>
  <c r="AX29" i="56"/>
  <c r="BC33" i="57"/>
  <c r="CV107" i="1"/>
  <c r="CJ21" i="5"/>
  <c r="CJ19" i="56"/>
  <c r="CJ7" i="5"/>
  <c r="CJ10" i="5"/>
  <c r="CJ12" i="5"/>
  <c r="DB19" i="1"/>
  <c r="CI183" i="56"/>
  <c r="CI171" i="56"/>
  <c r="CW171" i="1"/>
  <c r="CW173" i="1"/>
  <c r="BQ16" i="57"/>
  <c r="BU16" i="57"/>
  <c r="CF21" i="14"/>
  <c r="CF22" i="14"/>
  <c r="AT171" i="56"/>
  <c r="CG149" i="56"/>
  <c r="BN173" i="56"/>
  <c r="BJ21" i="14"/>
  <c r="BJ22" i="14"/>
  <c r="CK31" i="57"/>
  <c r="CP16" i="57"/>
  <c r="CT16" i="57"/>
  <c r="CH183" i="56"/>
  <c r="CH15" i="59"/>
  <c r="CH41" i="59"/>
  <c r="CH43" i="59"/>
  <c r="CH47" i="59"/>
  <c r="CL47" i="59"/>
  <c r="CL78" i="59"/>
  <c r="CL79" i="59"/>
  <c r="CN41" i="5"/>
  <c r="CN38" i="5"/>
  <c r="CA163" i="56"/>
  <c r="CA175" i="56"/>
  <c r="DD175" i="1"/>
  <c r="CG161" i="56"/>
  <c r="CG173" i="56"/>
  <c r="BH157" i="56"/>
  <c r="BH171" i="56"/>
  <c r="CS41" i="5"/>
  <c r="CS43" i="5"/>
  <c r="BJ19" i="59"/>
  <c r="BL19" i="56"/>
  <c r="BL7" i="5"/>
  <c r="BL10" i="5"/>
  <c r="BL12" i="5"/>
  <c r="BL19" i="5"/>
  <c r="BL31" i="5"/>
  <c r="CM21" i="14"/>
  <c r="CM22" i="14"/>
  <c r="DA16" i="1"/>
  <c r="DA59" i="1"/>
  <c r="DA62" i="1"/>
  <c r="DA163" i="1"/>
  <c r="DA166" i="1"/>
  <c r="CV10" i="14"/>
  <c r="CV11" i="14"/>
  <c r="BW163" i="56"/>
  <c r="BW175" i="56"/>
  <c r="CY173" i="56"/>
  <c r="BK17" i="59"/>
  <c r="CH24" i="14"/>
  <c r="CH25" i="14"/>
  <c r="BP21" i="14"/>
  <c r="BP22" i="14"/>
  <c r="CP176" i="1"/>
  <c r="CS171" i="1"/>
  <c r="CS173" i="1"/>
  <c r="CD24" i="14"/>
  <c r="CD25" i="14"/>
  <c r="CX21" i="14"/>
  <c r="CX22" i="14"/>
  <c r="DE31" i="5"/>
  <c r="DE15" i="59"/>
  <c r="DE41" i="59"/>
  <c r="DE43" i="59"/>
  <c r="DE47" i="59"/>
  <c r="DE9" i="5"/>
  <c r="DE12" i="5"/>
  <c r="DE19" i="5"/>
  <c r="DE39" i="5"/>
  <c r="DC148" i="56"/>
  <c r="DC149" i="56"/>
  <c r="CE7" i="57"/>
  <c r="DC7" i="5"/>
  <c r="DC18" i="5"/>
  <c r="DC15" i="1"/>
  <c r="DC40" i="14"/>
  <c r="DC42" i="14"/>
  <c r="CU24" i="14"/>
  <c r="CU25" i="14"/>
  <c r="BO9" i="11"/>
  <c r="BO10" i="11"/>
  <c r="BO18" i="5"/>
  <c r="BO41" i="5"/>
  <c r="BO43" i="5"/>
  <c r="BZ16" i="57"/>
  <c r="CT12" i="7"/>
  <c r="CX41" i="5"/>
  <c r="CX43" i="5"/>
  <c r="BY7" i="14"/>
  <c r="BY8" i="14"/>
  <c r="CS185" i="56"/>
  <c r="CS16" i="56"/>
  <c r="CS27" i="14"/>
  <c r="CS28" i="14"/>
  <c r="AT21" i="14"/>
  <c r="AT22" i="14"/>
  <c r="CP193" i="1"/>
  <c r="CQ193" i="1"/>
  <c r="BW39" i="5"/>
  <c r="BS17" i="11"/>
  <c r="BS10" i="11"/>
  <c r="BS18" i="5"/>
  <c r="BS19" i="5"/>
  <c r="BW19" i="5"/>
  <c r="BW31" i="5"/>
  <c r="BG190" i="1"/>
  <c r="BH190" i="1"/>
  <c r="AZ26" i="56"/>
  <c r="AZ28" i="56"/>
  <c r="AZ29" i="56"/>
  <c r="CR41" i="5"/>
  <c r="CR43" i="5"/>
  <c r="DA125" i="1"/>
  <c r="BE173" i="56"/>
  <c r="BI183" i="56"/>
  <c r="BI157" i="56"/>
  <c r="BI171" i="56"/>
  <c r="CG28" i="56"/>
  <c r="CC26" i="56"/>
  <c r="CC28" i="56"/>
  <c r="CC29" i="56"/>
  <c r="BK10" i="5"/>
  <c r="BK12" i="5"/>
  <c r="BK19" i="5"/>
  <c r="BK31" i="5"/>
  <c r="CZ161" i="56"/>
  <c r="CT13" i="14"/>
  <c r="CT15" i="14"/>
  <c r="CR44" i="59"/>
  <c r="CJ15" i="57"/>
  <c r="CF12" i="57"/>
  <c r="CX117" i="1"/>
  <c r="CX8" i="5"/>
  <c r="CX12" i="1"/>
  <c r="CX110" i="1"/>
  <c r="CX193" i="1"/>
  <c r="CS11" i="7"/>
  <c r="CX205" i="56"/>
  <c r="CJ184" i="56"/>
  <c r="CJ16" i="59"/>
  <c r="CJ42" i="59"/>
  <c r="BH24" i="14"/>
  <c r="BH25" i="14"/>
  <c r="CG24" i="14"/>
  <c r="CG25" i="14"/>
  <c r="BP19" i="56"/>
  <c r="BP26" i="56"/>
  <c r="BP28" i="56"/>
  <c r="BP29" i="56"/>
  <c r="CE21" i="14"/>
  <c r="CE22" i="14"/>
  <c r="BA42" i="59"/>
  <c r="BO21" i="5"/>
  <c r="BV157" i="56"/>
  <c r="BV183" i="56"/>
  <c r="CP41" i="1"/>
  <c r="CP27" i="1"/>
  <c r="AZ33" i="57"/>
  <c r="BZ23" i="57"/>
  <c r="BZ33" i="57"/>
  <c r="BI8" i="5"/>
  <c r="BM8" i="5"/>
  <c r="BM24" i="5"/>
  <c r="CP8" i="5"/>
  <c r="CP12" i="1"/>
  <c r="CP110" i="1"/>
  <c r="CP117" i="1"/>
  <c r="CP124" i="1"/>
  <c r="BO21" i="14"/>
  <c r="BO22" i="14"/>
  <c r="CP31" i="5"/>
  <c r="CP15" i="59"/>
  <c r="CP41" i="59"/>
  <c r="CP43" i="59"/>
  <c r="CP47" i="59"/>
  <c r="CP9" i="5"/>
  <c r="CP12" i="5"/>
  <c r="CP19" i="5"/>
  <c r="CP39" i="5"/>
  <c r="CS97" i="1"/>
  <c r="CS141" i="1"/>
  <c r="CS165" i="1"/>
  <c r="CU29" i="56"/>
  <c r="BP163" i="56"/>
  <c r="BP175" i="56"/>
  <c r="CZ39" i="5"/>
  <c r="CZ15" i="59"/>
  <c r="CZ41" i="59"/>
  <c r="CZ43" i="59"/>
  <c r="CZ47" i="59"/>
  <c r="CZ9" i="5"/>
  <c r="CZ12" i="5"/>
  <c r="CZ19" i="5"/>
  <c r="CZ31" i="5"/>
  <c r="BH161" i="56"/>
  <c r="BH173" i="56"/>
  <c r="CO31" i="57"/>
  <c r="CQ10" i="14"/>
  <c r="CQ11" i="14"/>
  <c r="CN8" i="5"/>
  <c r="CN12" i="1"/>
  <c r="CN110" i="1"/>
  <c r="CN117" i="1"/>
  <c r="CN124" i="1"/>
  <c r="DD97" i="1"/>
  <c r="DD141" i="1"/>
  <c r="CY171" i="1"/>
  <c r="CY173" i="1"/>
  <c r="CO8" i="5"/>
  <c r="CO12" i="1"/>
  <c r="CO110" i="1"/>
  <c r="CO117" i="1"/>
  <c r="CO124" i="1"/>
  <c r="CW23" i="1"/>
  <c r="DA23" i="1"/>
  <c r="DA76" i="1"/>
  <c r="CV15" i="1"/>
  <c r="CV40" i="14"/>
  <c r="CV42" i="14"/>
  <c r="CX158" i="56"/>
  <c r="CX184" i="56"/>
  <c r="CX16" i="59"/>
  <c r="CM29" i="56"/>
  <c r="BI15" i="57"/>
  <c r="CI15" i="57"/>
  <c r="CT18" i="5"/>
  <c r="CT15" i="1"/>
  <c r="CT40" i="14"/>
  <c r="CT42" i="14"/>
  <c r="CA20" i="57"/>
  <c r="CA24" i="57"/>
  <c r="CM161" i="56"/>
  <c r="CZ9" i="7"/>
  <c r="DB8" i="7"/>
  <c r="DB11" i="7"/>
  <c r="BB16" i="57"/>
  <c r="BF16" i="57"/>
  <c r="CX41" i="1"/>
  <c r="CX27" i="1"/>
  <c r="CA15" i="57"/>
  <c r="CE6" i="57"/>
  <c r="CN184" i="56"/>
  <c r="BE185" i="56"/>
  <c r="BE189" i="56"/>
  <c r="BE191" i="56"/>
  <c r="DD171" i="1"/>
  <c r="DD173" i="1"/>
  <c r="AV31" i="57"/>
  <c r="CL20" i="57"/>
  <c r="CL24" i="57"/>
  <c r="CX161" i="56"/>
  <c r="BS19" i="56"/>
  <c r="BS26" i="56"/>
  <c r="BS28" i="56"/>
  <c r="BW28" i="56"/>
  <c r="BW29" i="56"/>
  <c r="CY161" i="56"/>
  <c r="BO173" i="56"/>
  <c r="AY17" i="59"/>
  <c r="AY22" i="59"/>
  <c r="BC22" i="59"/>
  <c r="CP175" i="1"/>
  <c r="CX21" i="1"/>
  <c r="CX25" i="1"/>
  <c r="CX39" i="1"/>
  <c r="CX139" i="1"/>
  <c r="CX143" i="1"/>
  <c r="CX171" i="1"/>
  <c r="CX173" i="1"/>
  <c r="CZ143" i="1"/>
  <c r="AW21" i="14"/>
  <c r="AW22" i="14"/>
  <c r="AS16" i="56"/>
  <c r="AS27" i="14"/>
  <c r="AX28" i="14"/>
  <c r="CM97" i="1"/>
  <c r="CM141" i="1"/>
  <c r="BO15" i="11"/>
  <c r="BO7" i="11"/>
  <c r="CT41" i="1"/>
  <c r="DD42" i="59"/>
  <c r="AU6" i="57"/>
  <c r="AU7" i="57"/>
  <c r="CE42" i="59"/>
  <c r="DC163" i="1"/>
  <c r="DC166" i="1"/>
  <c r="DC168" i="1"/>
  <c r="CU173" i="56"/>
  <c r="DA24" i="14"/>
  <c r="DA25" i="14"/>
  <c r="CX206" i="56"/>
  <c r="AU7" i="14"/>
  <c r="AU8" i="14"/>
  <c r="BJ173" i="56"/>
  <c r="CH19" i="56"/>
  <c r="CH26" i="56"/>
  <c r="CH28" i="56"/>
  <c r="CL28" i="56"/>
  <c r="CL29" i="56"/>
  <c r="CV168" i="1"/>
  <c r="CF42" i="59"/>
  <c r="CW205" i="56"/>
  <c r="CV173" i="56"/>
  <c r="CP16" i="59"/>
  <c r="BN7" i="14"/>
  <c r="BN8" i="14"/>
  <c r="CL161" i="56"/>
  <c r="CL173" i="56"/>
  <c r="BB43" i="5"/>
  <c r="CD19" i="56"/>
  <c r="CD26" i="56"/>
  <c r="CD28" i="56"/>
  <c r="CD29" i="56"/>
  <c r="AZ19" i="56"/>
  <c r="AZ7" i="5"/>
  <c r="AZ10" i="5"/>
  <c r="AZ21" i="5"/>
  <c r="CT15" i="57"/>
  <c r="CT12" i="57"/>
  <c r="DB165" i="1"/>
  <c r="BV19" i="56"/>
  <c r="BV26" i="56"/>
  <c r="BV28" i="56"/>
  <c r="BV29" i="56"/>
  <c r="BK7" i="57"/>
  <c r="CU12" i="7"/>
  <c r="CX163" i="1"/>
  <c r="CX166" i="1"/>
  <c r="CV27" i="5"/>
  <c r="CR41" i="59"/>
  <c r="CR43" i="59"/>
  <c r="CR47" i="59"/>
  <c r="CR9" i="5"/>
  <c r="CR12" i="5"/>
  <c r="CV12" i="5"/>
  <c r="CV36" i="5"/>
  <c r="BZ163" i="56"/>
  <c r="BZ175" i="56"/>
  <c r="AW159" i="56"/>
  <c r="AW175" i="56"/>
  <c r="DB43" i="14"/>
  <c r="AX14" i="56"/>
  <c r="AX157" i="56"/>
  <c r="AX171" i="56"/>
  <c r="AU21" i="14"/>
  <c r="AU22" i="14"/>
  <c r="BK7" i="14"/>
  <c r="BK8" i="14"/>
  <c r="CU176" i="1"/>
  <c r="CU141" i="1"/>
  <c r="CS168" i="1"/>
  <c r="CQ28" i="56"/>
  <c r="CQ29" i="56"/>
  <c r="CO27" i="1"/>
  <c r="CO20" i="57"/>
  <c r="CO24" i="57"/>
  <c r="CV176" i="1"/>
  <c r="CP15" i="57"/>
  <c r="CC158" i="56"/>
  <c r="CC184" i="56"/>
  <c r="CG184" i="56"/>
  <c r="CG158" i="56"/>
  <c r="CG172" i="56"/>
  <c r="BM32" i="59"/>
  <c r="CX107" i="1"/>
  <c r="CX125" i="1"/>
  <c r="CF15" i="57"/>
  <c r="CN107" i="1"/>
  <c r="CN125" i="1"/>
  <c r="CO41" i="1"/>
  <c r="BV161" i="56"/>
  <c r="CU161" i="56"/>
  <c r="DC9" i="7"/>
  <c r="DD8" i="7"/>
  <c r="DA41" i="1"/>
  <c r="CU98" i="1"/>
  <c r="CV98" i="1"/>
  <c r="BU163" i="56"/>
  <c r="BU175" i="56"/>
  <c r="BQ21" i="14"/>
  <c r="BQ22" i="14"/>
  <c r="CC7" i="14"/>
  <c r="CC8" i="14"/>
  <c r="BP31" i="57"/>
  <c r="BP20" i="57"/>
  <c r="BK19" i="59"/>
  <c r="BK157" i="56"/>
  <c r="BK183" i="56"/>
  <c r="BK15" i="59"/>
  <c r="BK41" i="59"/>
  <c r="BK43" i="59"/>
  <c r="BK31" i="59"/>
  <c r="V24" i="33"/>
  <c r="BL31" i="57"/>
  <c r="BG41" i="1"/>
  <c r="BG175" i="1"/>
  <c r="CP168" i="1"/>
  <c r="CT97" i="1"/>
  <c r="CT141" i="1"/>
  <c r="CQ15" i="57"/>
  <c r="CO23" i="57"/>
  <c r="BW161" i="56"/>
  <c r="BW173" i="56"/>
  <c r="CT7" i="5"/>
  <c r="CT8" i="5"/>
  <c r="CT12" i="1"/>
  <c r="CT110" i="1"/>
  <c r="CT117" i="1"/>
  <c r="CT124" i="1"/>
  <c r="BN15" i="57"/>
  <c r="BB41" i="5"/>
  <c r="CT163" i="56"/>
  <c r="CT175" i="56"/>
  <c r="CP10" i="14"/>
  <c r="CP11" i="14"/>
  <c r="BD15" i="57"/>
  <c r="CW123" i="1"/>
  <c r="CR173" i="56"/>
  <c r="CV161" i="56"/>
  <c r="CN185" i="56"/>
  <c r="CN16" i="56"/>
  <c r="CN27" i="14"/>
  <c r="CN28" i="14"/>
  <c r="DC161" i="56"/>
  <c r="DC173" i="56"/>
  <c r="CR25" i="1"/>
  <c r="CR39" i="1"/>
  <c r="CR139" i="1"/>
  <c r="CR143" i="1"/>
  <c r="CR171" i="1"/>
  <c r="CR173" i="1"/>
  <c r="BV163" i="56"/>
  <c r="BV175" i="56"/>
  <c r="CZ59" i="1"/>
  <c r="CZ62" i="1"/>
  <c r="CZ163" i="1"/>
  <c r="CZ166" i="1"/>
  <c r="CH15" i="57"/>
  <c r="AV15" i="59"/>
  <c r="AV41" i="59"/>
  <c r="AV43" i="59"/>
  <c r="AV31" i="59"/>
  <c r="G24" i="33"/>
  <c r="CL7" i="57"/>
  <c r="CX185" i="56"/>
  <c r="CX16" i="56"/>
  <c r="CX27" i="14"/>
  <c r="CX28" i="14"/>
  <c r="CP7" i="5"/>
  <c r="CP18" i="5"/>
  <c r="CP15" i="1"/>
  <c r="CP40" i="14"/>
  <c r="CP42" i="14"/>
  <c r="CP43" i="14"/>
  <c r="CK173" i="56"/>
  <c r="CO12" i="7"/>
  <c r="CG183" i="56"/>
  <c r="CG148" i="56"/>
  <c r="CH148" i="56"/>
  <c r="BV16" i="57"/>
  <c r="BV31" i="57"/>
  <c r="CS10" i="14"/>
  <c r="CS11" i="14"/>
  <c r="CM190" i="1"/>
  <c r="CQ190" i="1"/>
  <c r="BA19" i="56"/>
  <c r="BA7" i="5"/>
  <c r="BA10" i="5"/>
  <c r="BA21" i="5"/>
  <c r="CD15" i="57"/>
  <c r="CJ6" i="57"/>
  <c r="CJ7" i="57"/>
  <c r="CR184" i="56"/>
  <c r="CX26" i="56"/>
  <c r="CX28" i="56"/>
  <c r="CX11" i="1"/>
  <c r="CX14" i="1"/>
  <c r="CX16" i="1"/>
  <c r="CX59" i="1"/>
  <c r="CX62" i="1"/>
  <c r="DA121" i="1"/>
  <c r="DA123" i="1"/>
  <c r="CP184" i="56"/>
  <c r="CN165" i="1"/>
  <c r="CM176" i="1"/>
  <c r="AR6" i="57"/>
  <c r="AV6" i="57"/>
  <c r="AV7" i="57"/>
  <c r="CJ23" i="57"/>
  <c r="CN143" i="1"/>
  <c r="DF168" i="1"/>
  <c r="CV13" i="14"/>
  <c r="CV15" i="14"/>
  <c r="BH23" i="1"/>
  <c r="CX10" i="5"/>
  <c r="CX21" i="5"/>
  <c r="DB15" i="59"/>
  <c r="DB17" i="59"/>
  <c r="DB22" i="59"/>
  <c r="DF22" i="59"/>
  <c r="CV9" i="7"/>
  <c r="DD10" i="5"/>
  <c r="DD21" i="5"/>
  <c r="DE173" i="56"/>
  <c r="BT19" i="56"/>
  <c r="BT26" i="56"/>
  <c r="BT28" i="56"/>
  <c r="BT29" i="56"/>
  <c r="CS107" i="1"/>
  <c r="CS125" i="1"/>
  <c r="CO10" i="5"/>
  <c r="CO21" i="5"/>
  <c r="BY19" i="56"/>
  <c r="BY26" i="56"/>
  <c r="BY28" i="56"/>
  <c r="BY29" i="56"/>
  <c r="CW24" i="14"/>
  <c r="CW25" i="14"/>
  <c r="CY107" i="1"/>
  <c r="CY125" i="1"/>
  <c r="CP9" i="7"/>
  <c r="CR8" i="7"/>
  <c r="CR11" i="7"/>
  <c r="DB8" i="5"/>
  <c r="DB12" i="1"/>
  <c r="DB110" i="1"/>
  <c r="DB117" i="1"/>
  <c r="DB124" i="1"/>
  <c r="CQ185" i="56"/>
  <c r="DG185" i="56"/>
  <c r="BQ158" i="56"/>
  <c r="BQ184" i="56"/>
  <c r="BQ16" i="59"/>
  <c r="CB153" i="1"/>
  <c r="CA153" i="1"/>
  <c r="CA190" i="1"/>
  <c r="CB190" i="1"/>
  <c r="CT23" i="57"/>
  <c r="CT33" i="57"/>
  <c r="CX163" i="56"/>
  <c r="CX175" i="56"/>
  <c r="AT6" i="57"/>
  <c r="AT7" i="57"/>
  <c r="AT31" i="57"/>
  <c r="DE97" i="1"/>
  <c r="DF97" i="1"/>
  <c r="DF127" i="1"/>
  <c r="CK163" i="56"/>
  <c r="CK175" i="56"/>
  <c r="CV183" i="56"/>
  <c r="CV189" i="56"/>
  <c r="DH189" i="56"/>
  <c r="CW7" i="14"/>
  <c r="CW8" i="14"/>
  <c r="BO7" i="57"/>
  <c r="BO20" i="57"/>
  <c r="BO24" i="57"/>
  <c r="CT176" i="1"/>
  <c r="CY9" i="7"/>
  <c r="CZ8" i="7"/>
  <c r="CZ11" i="7"/>
  <c r="CZ19" i="1"/>
  <c r="BY163" i="56"/>
  <c r="BY175" i="56"/>
  <c r="CY15" i="1"/>
  <c r="CY40" i="14"/>
  <c r="CY42" i="14"/>
  <c r="BB19" i="56"/>
  <c r="BB24" i="56"/>
  <c r="BB26" i="56"/>
  <c r="BB28" i="56"/>
  <c r="BB29" i="56"/>
  <c r="AX33" i="57"/>
  <c r="CS193" i="1"/>
  <c r="CS8" i="5"/>
  <c r="CS12" i="1"/>
  <c r="CS110" i="1"/>
  <c r="CS117" i="1"/>
  <c r="DE59" i="1"/>
  <c r="DE62" i="1"/>
  <c r="CY39" i="5"/>
  <c r="CY15" i="59"/>
  <c r="CY41" i="59"/>
  <c r="CY43" i="59"/>
  <c r="CY47" i="59"/>
  <c r="CY9" i="5"/>
  <c r="CY12" i="5"/>
  <c r="CY19" i="5"/>
  <c r="CY31" i="5"/>
  <c r="BK27" i="14"/>
  <c r="BK28" i="14"/>
  <c r="CX148" i="56"/>
  <c r="CX149" i="56"/>
  <c r="BY158" i="56"/>
  <c r="BY184" i="56"/>
  <c r="BY16" i="59"/>
  <c r="BY42" i="59"/>
  <c r="CA16" i="57"/>
  <c r="CE16" i="57"/>
  <c r="CW163" i="56"/>
  <c r="CW175" i="56"/>
  <c r="CL6" i="57"/>
  <c r="BH41" i="59"/>
  <c r="BH43" i="59"/>
  <c r="BH31" i="59"/>
  <c r="S24" i="33"/>
  <c r="BZ27" i="14"/>
  <c r="BZ28" i="14"/>
  <c r="CI158" i="56"/>
  <c r="CN158" i="56"/>
  <c r="CS158" i="56"/>
  <c r="CS184" i="56"/>
  <c r="CS16" i="59"/>
  <c r="BY185" i="56"/>
  <c r="BY16" i="56"/>
  <c r="BY14" i="56"/>
  <c r="BY24" i="14"/>
  <c r="BY25" i="14"/>
  <c r="DD8" i="5"/>
  <c r="DD12" i="1"/>
  <c r="DD110" i="1"/>
  <c r="DD117" i="1"/>
  <c r="DD124" i="1"/>
  <c r="CN15" i="57"/>
  <c r="BJ158" i="56"/>
  <c r="BJ184" i="56"/>
  <c r="BJ16" i="59"/>
  <c r="BJ42" i="59"/>
  <c r="AZ15" i="59"/>
  <c r="AZ41" i="59"/>
  <c r="AZ43" i="59"/>
  <c r="AZ47" i="59"/>
  <c r="AZ9" i="5"/>
  <c r="AZ12" i="5"/>
  <c r="AZ19" i="5"/>
  <c r="AZ31" i="5"/>
  <c r="AZ15" i="57"/>
  <c r="AZ6" i="57"/>
  <c r="AZ7" i="57"/>
  <c r="CP163" i="56"/>
  <c r="CP175" i="56"/>
  <c r="BO7" i="14"/>
  <c r="BO8" i="14"/>
  <c r="BO8" i="5"/>
  <c r="BO24" i="5"/>
  <c r="CT11" i="7"/>
  <c r="CT19" i="1"/>
  <c r="CG21" i="5"/>
  <c r="CC19" i="56"/>
  <c r="CC7" i="5"/>
  <c r="CC10" i="5"/>
  <c r="CG10" i="5"/>
  <c r="CG26" i="5"/>
  <c r="CW59" i="1"/>
  <c r="CW62" i="1"/>
  <c r="BP15" i="57"/>
  <c r="BP12" i="57"/>
  <c r="BP23" i="57"/>
  <c r="BP33" i="57"/>
  <c r="CR97" i="1"/>
  <c r="CR141" i="1"/>
  <c r="CR165" i="1"/>
  <c r="BJ163" i="56"/>
  <c r="BJ175" i="56"/>
  <c r="DA107" i="1"/>
  <c r="DD21" i="14"/>
  <c r="DD22" i="14"/>
  <c r="DC185" i="56"/>
  <c r="DC16" i="56"/>
  <c r="DC27" i="14"/>
  <c r="DC28" i="14"/>
  <c r="BI7" i="14"/>
  <c r="BI8" i="14"/>
  <c r="CR59" i="1"/>
  <c r="CR62" i="1"/>
  <c r="BE161" i="56"/>
  <c r="CU148" i="56"/>
  <c r="CU149" i="56"/>
  <c r="DA11" i="1"/>
  <c r="DA14" i="1"/>
  <c r="DA10" i="14"/>
  <c r="DA11" i="14"/>
  <c r="CP185" i="56"/>
  <c r="CP16" i="56"/>
  <c r="CP27" i="14"/>
  <c r="CP28" i="14"/>
  <c r="DE192" i="1"/>
  <c r="DF192" i="1"/>
  <c r="CU41" i="1"/>
  <c r="CU27" i="1"/>
  <c r="AY47" i="59"/>
  <c r="AY9" i="5"/>
  <c r="AY12" i="5"/>
  <c r="AY19" i="5"/>
  <c r="AY31" i="5"/>
  <c r="AX16" i="57"/>
  <c r="BA16" i="57"/>
  <c r="BH7" i="14"/>
  <c r="BH8" i="14"/>
  <c r="CC7" i="57"/>
  <c r="CC20" i="57"/>
  <c r="CC24" i="57"/>
  <c r="CW19" i="59"/>
  <c r="DA19" i="59"/>
  <c r="CM15" i="59"/>
  <c r="CM17" i="59"/>
  <c r="CM22" i="59"/>
  <c r="CQ22" i="59"/>
  <c r="DC24" i="14"/>
  <c r="DC25" i="14"/>
  <c r="BJ157" i="56"/>
  <c r="BJ183" i="56"/>
  <c r="BJ15" i="59"/>
  <c r="BJ41" i="59"/>
  <c r="BJ43" i="59"/>
  <c r="BJ31" i="59"/>
  <c r="U24" i="33"/>
  <c r="AT15" i="59"/>
  <c r="AT41" i="59"/>
  <c r="AT43" i="59"/>
  <c r="AT31" i="59"/>
  <c r="E24" i="33"/>
  <c r="BK21" i="14"/>
  <c r="BK22" i="14"/>
  <c r="CY18" i="5"/>
  <c r="CY41" i="5"/>
  <c r="CY43" i="5"/>
  <c r="CU185" i="56"/>
  <c r="CU16" i="56"/>
  <c r="CU27" i="14"/>
  <c r="CU28" i="14"/>
  <c r="DA161" i="56"/>
  <c r="DA173" i="56"/>
  <c r="BD7" i="14"/>
  <c r="BD8" i="14"/>
  <c r="CC6" i="57"/>
  <c r="X175" i="1"/>
  <c r="CV157" i="56"/>
  <c r="CW203" i="56"/>
  <c r="CX203" i="56"/>
  <c r="CO11" i="7"/>
  <c r="CO19" i="1"/>
  <c r="DC11" i="7"/>
  <c r="DC19" i="1"/>
  <c r="DD7" i="14"/>
  <c r="DD8" i="14"/>
  <c r="CR8" i="5"/>
  <c r="CR12" i="1"/>
  <c r="CR110" i="1"/>
  <c r="CR117" i="1"/>
  <c r="CR124" i="1"/>
  <c r="BJ21" i="5"/>
  <c r="BJ161" i="56"/>
  <c r="BJ185" i="56"/>
  <c r="BJ16" i="56"/>
  <c r="BJ14" i="56"/>
  <c r="BJ19" i="56"/>
  <c r="BJ7" i="5"/>
  <c r="BJ10" i="5"/>
  <c r="BJ12" i="5"/>
  <c r="BZ157" i="56"/>
  <c r="BZ183" i="56"/>
  <c r="BZ15" i="59"/>
  <c r="BZ17" i="59"/>
  <c r="BZ22" i="59"/>
  <c r="CN161" i="56"/>
  <c r="CN173" i="56"/>
  <c r="DA28" i="56"/>
  <c r="DA29" i="56"/>
  <c r="CA24" i="14"/>
  <c r="CA25" i="14"/>
  <c r="BM6" i="57"/>
  <c r="BM7" i="57"/>
  <c r="BM20" i="57"/>
  <c r="BM24" i="57"/>
  <c r="BY161" i="56"/>
  <c r="CM19" i="59"/>
  <c r="CQ19" i="59"/>
  <c r="CN97" i="1"/>
  <c r="CN141" i="1"/>
  <c r="CU97" i="1"/>
  <c r="CV97" i="1"/>
  <c r="CV127" i="1"/>
  <c r="CM175" i="1"/>
  <c r="DC21" i="1"/>
  <c r="DC25" i="1"/>
  <c r="DC39" i="1"/>
  <c r="DC139" i="1"/>
  <c r="DC143" i="1"/>
  <c r="DC171" i="1"/>
  <c r="DC173" i="1"/>
  <c r="DC175" i="1"/>
  <c r="AV159" i="56"/>
  <c r="AV175" i="56"/>
  <c r="AY21" i="14"/>
  <c r="AY22" i="14"/>
  <c r="BP27" i="14"/>
  <c r="BP28" i="14"/>
  <c r="AW19" i="56"/>
  <c r="AW26" i="56"/>
  <c r="AW28" i="56"/>
  <c r="AW29" i="56"/>
  <c r="CC157" i="56"/>
  <c r="CC183" i="56"/>
  <c r="CC15" i="59"/>
  <c r="CC17" i="59"/>
  <c r="CC22" i="59"/>
  <c r="CG22" i="59"/>
  <c r="Y171" i="1"/>
  <c r="Y173" i="1"/>
  <c r="Y175" i="1"/>
  <c r="BH21" i="14"/>
  <c r="BH22" i="14"/>
  <c r="CZ8" i="5"/>
  <c r="CZ12" i="1"/>
  <c r="CZ110" i="1"/>
  <c r="DA110" i="1"/>
  <c r="DA117" i="1"/>
  <c r="DA124" i="1"/>
  <c r="AQ141" i="56"/>
  <c r="AQ185" i="56"/>
  <c r="AQ16" i="56"/>
  <c r="AQ73" i="56"/>
  <c r="AQ76" i="56"/>
  <c r="AQ118" i="56"/>
  <c r="CN139" i="1"/>
  <c r="CN21" i="1"/>
  <c r="CN25" i="1"/>
  <c r="CN39" i="1"/>
  <c r="CN41" i="1"/>
  <c r="CW27" i="1"/>
  <c r="DA27" i="1"/>
  <c r="DF16" i="1"/>
  <c r="DF59" i="1"/>
  <c r="DF62" i="1"/>
  <c r="DF163" i="1"/>
  <c r="DF166" i="1"/>
  <c r="AW157" i="56"/>
  <c r="AW183" i="56"/>
  <c r="AW14" i="56"/>
  <c r="AW24" i="14"/>
  <c r="AW25" i="14"/>
  <c r="BO7" i="5"/>
  <c r="BO10" i="5"/>
  <c r="BO12" i="5"/>
  <c r="BO19" i="5"/>
  <c r="BO31" i="5"/>
  <c r="CW41" i="1"/>
  <c r="BO19" i="56"/>
  <c r="BO26" i="56"/>
  <c r="BO28" i="56"/>
  <c r="BO29" i="56"/>
  <c r="BK6" i="57"/>
  <c r="BL16" i="57"/>
  <c r="BP16" i="57"/>
  <c r="CN14" i="1"/>
  <c r="CN16" i="1"/>
  <c r="CN59" i="1"/>
  <c r="CN62" i="1"/>
  <c r="CN13" i="14"/>
  <c r="CN15" i="14"/>
  <c r="CX11" i="7"/>
  <c r="CH163" i="56"/>
  <c r="CH175" i="56"/>
  <c r="DB161" i="56"/>
  <c r="CT168" i="1"/>
  <c r="BB42" i="59"/>
  <c r="CF172" i="56"/>
  <c r="CB15" i="57"/>
  <c r="CS9" i="7"/>
  <c r="CT8" i="7"/>
  <c r="BD163" i="56"/>
  <c r="BD175" i="56"/>
  <c r="CA14" i="56"/>
  <c r="CA7" i="14"/>
  <c r="CA8" i="14"/>
  <c r="AY24" i="14"/>
  <c r="AY25" i="14"/>
  <c r="BB15" i="57"/>
  <c r="CW19" i="1"/>
  <c r="CM148" i="56"/>
  <c r="CM149" i="56"/>
  <c r="DE96" i="1"/>
  <c r="DF96" i="1"/>
  <c r="DF107" i="1"/>
  <c r="DF125" i="1"/>
  <c r="AZ158" i="56"/>
  <c r="AZ184" i="56"/>
  <c r="AZ16" i="59"/>
  <c r="CR14" i="1"/>
  <c r="CR16" i="1"/>
  <c r="CR21" i="1"/>
  <c r="CR23" i="1"/>
  <c r="CV23" i="1"/>
  <c r="AT7" i="14"/>
  <c r="AT8" i="14"/>
  <c r="CS13" i="14"/>
  <c r="CS15" i="14"/>
  <c r="CU21" i="14"/>
  <c r="CU22" i="14"/>
  <c r="BK7" i="5"/>
  <c r="BK8" i="5"/>
  <c r="BK24" i="5"/>
  <c r="CW185" i="56"/>
  <c r="CW16" i="56"/>
  <c r="CW27" i="14"/>
  <c r="CW28" i="14"/>
  <c r="CQ11" i="1"/>
  <c r="CQ14" i="1"/>
  <c r="CQ16" i="1"/>
  <c r="CQ59" i="1"/>
  <c r="CQ62" i="1"/>
  <c r="CQ163" i="1"/>
  <c r="CQ166" i="1"/>
  <c r="AY171" i="56"/>
  <c r="AV158" i="56"/>
  <c r="AV184" i="56"/>
  <c r="AV16" i="59"/>
  <c r="CU7" i="14"/>
  <c r="CU8" i="14"/>
  <c r="CB157" i="56"/>
  <c r="CB171" i="56"/>
  <c r="CS15" i="59"/>
  <c r="CS17" i="59"/>
  <c r="CS22" i="59"/>
  <c r="BK161" i="56"/>
  <c r="BK185" i="56"/>
  <c r="BK16" i="56"/>
  <c r="BK14" i="56"/>
  <c r="BK19" i="56"/>
  <c r="BK26" i="56"/>
  <c r="BK28" i="56"/>
  <c r="BK29" i="56"/>
  <c r="BU21" i="14"/>
  <c r="BU22" i="14"/>
  <c r="AX15" i="57"/>
  <c r="AX6" i="57"/>
  <c r="AX7" i="57"/>
  <c r="CV121" i="1"/>
  <c r="CV123" i="1"/>
  <c r="DB41" i="1"/>
  <c r="DB27" i="1"/>
  <c r="DF27" i="1"/>
  <c r="BH14" i="56"/>
  <c r="BH158" i="56"/>
  <c r="BH172" i="56"/>
  <c r="BP158" i="56"/>
  <c r="BP184" i="56"/>
  <c r="BP16" i="59"/>
  <c r="BP42" i="59"/>
  <c r="CW16" i="59"/>
  <c r="CB16" i="56"/>
  <c r="CB14" i="56"/>
  <c r="CB24" i="14"/>
  <c r="CB25" i="14"/>
  <c r="CN29" i="56"/>
  <c r="CN26" i="56"/>
  <c r="CN28" i="56"/>
  <c r="CN11" i="1"/>
  <c r="BV7" i="14"/>
  <c r="BV8" i="14"/>
  <c r="CE163" i="56"/>
  <c r="CE175" i="56"/>
  <c r="AP73" i="56"/>
  <c r="AP141" i="56"/>
  <c r="AP185" i="56"/>
  <c r="AP16" i="56"/>
  <c r="AP7" i="14"/>
  <c r="AP8" i="14"/>
  <c r="CZ107" i="1"/>
  <c r="CZ125" i="1"/>
  <c r="CY24" i="14"/>
  <c r="CY25" i="14"/>
  <c r="CT184" i="56"/>
  <c r="BW14" i="56"/>
  <c r="BW7" i="14"/>
  <c r="BW8" i="14"/>
  <c r="CW107" i="1"/>
  <c r="CW125" i="1"/>
  <c r="BL15" i="57"/>
  <c r="DF110" i="1"/>
  <c r="DF117" i="1"/>
  <c r="DF124" i="1"/>
  <c r="BF20" i="57"/>
  <c r="BF24" i="57"/>
  <c r="BE6" i="57"/>
  <c r="BE7" i="57"/>
  <c r="BE20" i="57"/>
  <c r="BE24" i="57"/>
  <c r="BQ161" i="56"/>
  <c r="CZ97" i="1"/>
  <c r="DA97" i="1"/>
  <c r="DA127" i="1"/>
  <c r="CZ10" i="14"/>
  <c r="CZ11" i="14"/>
  <c r="CM24" i="14"/>
  <c r="CM25" i="14"/>
  <c r="BB15" i="59"/>
  <c r="BB41" i="59"/>
  <c r="BB43" i="59"/>
  <c r="BB47" i="59"/>
  <c r="BB9" i="5"/>
  <c r="BB12" i="5"/>
  <c r="BB19" i="5"/>
  <c r="BB31" i="5"/>
  <c r="DE184" i="56"/>
  <c r="DE16" i="59"/>
  <c r="DE42" i="59"/>
  <c r="DB21" i="1"/>
  <c r="DB25" i="1"/>
  <c r="DB39" i="1"/>
  <c r="DB139" i="1"/>
  <c r="DB143" i="1"/>
  <c r="DB171" i="1"/>
  <c r="DB173" i="1"/>
  <c r="DB175" i="1"/>
  <c r="BN185" i="56"/>
  <c r="BN16" i="56"/>
  <c r="BN14" i="56"/>
  <c r="BR14" i="56"/>
  <c r="BR24" i="14"/>
  <c r="BR25" i="14"/>
  <c r="CR15" i="59"/>
  <c r="CV15" i="59"/>
  <c r="CW35" i="59"/>
  <c r="CO9" i="7"/>
  <c r="CP8" i="7"/>
  <c r="CP11" i="7"/>
  <c r="CP19" i="1"/>
  <c r="CI7" i="14"/>
  <c r="CI8" i="14"/>
  <c r="DE24" i="14"/>
  <c r="DE25" i="14"/>
  <c r="AO141" i="56"/>
  <c r="AO185" i="56"/>
  <c r="AO16" i="56"/>
  <c r="AO73" i="56"/>
  <c r="AO87" i="56"/>
  <c r="AO91" i="56"/>
  <c r="AS91" i="56"/>
  <c r="CX14" i="56"/>
  <c r="CX19" i="56"/>
  <c r="CX7" i="5"/>
  <c r="CX18" i="5"/>
  <c r="CX15" i="1"/>
  <c r="CX40" i="14"/>
  <c r="CX42" i="14"/>
  <c r="BO6" i="57"/>
  <c r="CS23" i="57"/>
  <c r="CS6" i="57"/>
  <c r="CS7" i="57"/>
  <c r="CS20" i="57"/>
  <c r="CS24" i="57"/>
  <c r="DE161" i="56"/>
  <c r="AY43" i="59"/>
  <c r="AY31" i="59"/>
  <c r="J24" i="33"/>
  <c r="DF163" i="56"/>
  <c r="DF175" i="56"/>
  <c r="CG6" i="57"/>
  <c r="CG7" i="57"/>
  <c r="CG20" i="57"/>
  <c r="CG24" i="57"/>
  <c r="CS161" i="56"/>
  <c r="CS173" i="56"/>
  <c r="CG14" i="56"/>
  <c r="CG157" i="56"/>
  <c r="CG171" i="56"/>
  <c r="CL158" i="56"/>
  <c r="CL172" i="56"/>
  <c r="CK24" i="14"/>
  <c r="CK25" i="14"/>
  <c r="CW8" i="5"/>
  <c r="CW12" i="1"/>
  <c r="CW110" i="1"/>
  <c r="CW117" i="1"/>
  <c r="CW124" i="1"/>
  <c r="BU6" i="57"/>
  <c r="BU7" i="57"/>
  <c r="CR23" i="57"/>
  <c r="CR6" i="57"/>
  <c r="CR7" i="57"/>
  <c r="CR20" i="57"/>
  <c r="CR24" i="57"/>
  <c r="DD161" i="56"/>
  <c r="CM59" i="1"/>
  <c r="CM62" i="1"/>
  <c r="CQ7" i="14"/>
  <c r="CQ8" i="14"/>
  <c r="AU171" i="56"/>
  <c r="BQ19" i="56"/>
  <c r="BQ26" i="56"/>
  <c r="BQ28" i="56"/>
  <c r="BQ29" i="56"/>
  <c r="BS27" i="14"/>
  <c r="BS28" i="14"/>
  <c r="CA6" i="57"/>
  <c r="CA7" i="57"/>
  <c r="CM185" i="56"/>
  <c r="CM16" i="56"/>
  <c r="CM27" i="14"/>
  <c r="CM28" i="14"/>
  <c r="CD6" i="57"/>
  <c r="CD7" i="57"/>
  <c r="CD20" i="57"/>
  <c r="CD24" i="57"/>
  <c r="CN19" i="1"/>
  <c r="BA157" i="56"/>
  <c r="BA183" i="56"/>
  <c r="BA14" i="56"/>
  <c r="BA158" i="56"/>
  <c r="BA184" i="56"/>
  <c r="BA16" i="59"/>
  <c r="DB7" i="14"/>
  <c r="DB8" i="14"/>
  <c r="BL161" i="56"/>
  <c r="BL185" i="56"/>
  <c r="BL16" i="56"/>
  <c r="BL14" i="56"/>
  <c r="BL157" i="56"/>
  <c r="BL183" i="56"/>
  <c r="BL15" i="59"/>
  <c r="BL41" i="59"/>
  <c r="BL43" i="59"/>
  <c r="BL31" i="59"/>
  <c r="W24" i="33"/>
  <c r="CZ7" i="5"/>
  <c r="CZ10" i="5"/>
  <c r="CZ21" i="5"/>
  <c r="BS24" i="14"/>
  <c r="BS25" i="14"/>
  <c r="CJ158" i="56"/>
  <c r="CO158" i="56"/>
  <c r="CT158" i="56"/>
  <c r="CY158" i="56"/>
  <c r="DD158" i="56"/>
  <c r="DD184" i="56"/>
  <c r="DD16" i="59"/>
  <c r="CK16" i="57"/>
  <c r="CO16" i="57"/>
  <c r="CD42" i="59"/>
  <c r="BT158" i="56"/>
  <c r="BT184" i="56"/>
  <c r="BT16" i="59"/>
  <c r="BT42" i="59"/>
  <c r="CY7" i="5"/>
  <c r="CY8" i="5"/>
  <c r="CY12" i="1"/>
  <c r="CY110" i="1"/>
  <c r="CY117" i="1"/>
  <c r="CY124" i="1"/>
  <c r="CZ139" i="1"/>
  <c r="DA139" i="1"/>
  <c r="DA143" i="1"/>
  <c r="DA171" i="1"/>
  <c r="DA173" i="1"/>
  <c r="DA175" i="1"/>
  <c r="BH16" i="56"/>
  <c r="BH27" i="14"/>
  <c r="BH28" i="14"/>
  <c r="CX121" i="1"/>
  <c r="CY121" i="1"/>
  <c r="CZ121" i="1"/>
  <c r="DB121" i="1"/>
  <c r="DC121" i="1"/>
  <c r="DD121" i="1"/>
  <c r="DE121" i="1"/>
  <c r="DF121" i="1"/>
  <c r="DF123" i="1"/>
  <c r="BI27" i="14"/>
  <c r="BI28" i="14"/>
  <c r="CU18" i="5"/>
  <c r="CU15" i="1"/>
  <c r="CU40" i="14"/>
  <c r="CU42" i="14"/>
  <c r="DB158" i="56"/>
  <c r="DB184" i="56"/>
  <c r="DF184" i="56"/>
  <c r="DF149" i="56"/>
  <c r="DE171" i="1"/>
  <c r="DE173" i="1"/>
  <c r="CT175" i="1"/>
  <c r="BR161" i="56"/>
  <c r="BR173" i="56"/>
  <c r="CM158" i="56"/>
  <c r="CR158" i="56"/>
  <c r="CW158" i="56"/>
  <c r="CW184" i="56"/>
  <c r="DA184" i="56"/>
  <c r="DA149" i="56"/>
  <c r="CK15" i="57"/>
  <c r="CO15" i="57"/>
  <c r="CO12" i="57"/>
  <c r="BP161" i="56"/>
  <c r="BP185" i="56"/>
  <c r="BP16" i="56"/>
  <c r="BP14" i="56"/>
  <c r="BQ14" i="56"/>
  <c r="BQ163" i="56"/>
  <c r="BQ175" i="56"/>
  <c r="DC14" i="56"/>
  <c r="DC19" i="56"/>
  <c r="DC26" i="56"/>
  <c r="DC28" i="56"/>
  <c r="DC11" i="1"/>
  <c r="DC14" i="1"/>
  <c r="DC16" i="1"/>
  <c r="DC59" i="1"/>
  <c r="DC62" i="1"/>
  <c r="CY21" i="1"/>
  <c r="CY25" i="1"/>
  <c r="CY39" i="1"/>
  <c r="CY139" i="1"/>
  <c r="CY143" i="1"/>
  <c r="CH19" i="59"/>
  <c r="CL19" i="59"/>
  <c r="DC107" i="1"/>
  <c r="DC125" i="1"/>
  <c r="CZ183" i="56"/>
  <c r="CZ14" i="56"/>
  <c r="CZ19" i="56"/>
  <c r="CZ26" i="56"/>
  <c r="CZ28" i="56"/>
  <c r="CZ11" i="1"/>
  <c r="CZ14" i="1"/>
  <c r="CZ16" i="1"/>
  <c r="CZ21" i="1"/>
  <c r="CZ25" i="1"/>
  <c r="CZ39" i="1"/>
  <c r="CZ41" i="1"/>
  <c r="CZ27" i="1"/>
  <c r="BI19" i="56"/>
  <c r="BI7" i="5"/>
  <c r="BI10" i="5"/>
  <c r="BM10" i="5"/>
  <c r="BM21" i="5"/>
  <c r="DB148" i="56"/>
  <c r="DB149" i="56"/>
  <c r="CZ16" i="59"/>
  <c r="CY13" i="14"/>
  <c r="CY15" i="14"/>
  <c r="BA6" i="57"/>
  <c r="BA7" i="57"/>
  <c r="BA20" i="57"/>
  <c r="BA24" i="57"/>
  <c r="DA157" i="56"/>
  <c r="DA171" i="56"/>
  <c r="BZ24" i="14"/>
  <c r="BZ25" i="14"/>
  <c r="CN9" i="7"/>
  <c r="CO8" i="7"/>
  <c r="DB9" i="7"/>
  <c r="DC8" i="7"/>
  <c r="CU107" i="1"/>
  <c r="CU125" i="1"/>
  <c r="DE29" i="56"/>
  <c r="DF143" i="1"/>
  <c r="DF171" i="1"/>
  <c r="DF173" i="1"/>
  <c r="DF175" i="1"/>
  <c r="DF176" i="1"/>
  <c r="CU59" i="1"/>
  <c r="CU62" i="1"/>
  <c r="CU163" i="1"/>
  <c r="CU166" i="1"/>
  <c r="DB97" i="1"/>
  <c r="DB141" i="1"/>
  <c r="DE158" i="56"/>
  <c r="CK158" i="56"/>
  <c r="CP158" i="56"/>
  <c r="CU158" i="56"/>
  <c r="CZ158" i="56"/>
  <c r="CZ184" i="56"/>
  <c r="CT9" i="7"/>
  <c r="CU8" i="7"/>
  <c r="CU11" i="7"/>
  <c r="CU19" i="1"/>
  <c r="DF14" i="56"/>
  <c r="DF21" i="14"/>
  <c r="DF22" i="14"/>
  <c r="AT157" i="56"/>
  <c r="AT183" i="56"/>
  <c r="AT14" i="56"/>
  <c r="AT159" i="56"/>
  <c r="AT175" i="56"/>
  <c r="CF6" i="57"/>
  <c r="CF7" i="57"/>
  <c r="CF20" i="57"/>
  <c r="CF24" i="57"/>
  <c r="CR161" i="56"/>
  <c r="BC157" i="56"/>
  <c r="BC171" i="56"/>
  <c r="BX15" i="57"/>
  <c r="DB40" i="14"/>
  <c r="DB42" i="14"/>
  <c r="CY168" i="1"/>
  <c r="CU171" i="1"/>
  <c r="CU173" i="1"/>
  <c r="CU175" i="1"/>
  <c r="CS59" i="1"/>
  <c r="CS62" i="1"/>
  <c r="CS163" i="1"/>
  <c r="CS166" i="1"/>
  <c r="BS6" i="57"/>
  <c r="BS7" i="57"/>
  <c r="BS20" i="57"/>
  <c r="BS24" i="57"/>
  <c r="CE161" i="56"/>
  <c r="CE185" i="56"/>
  <c r="CE16" i="56"/>
  <c r="CE14" i="56"/>
  <c r="CE158" i="56"/>
  <c r="CE184" i="56"/>
  <c r="CE16" i="59"/>
  <c r="CU143" i="1"/>
  <c r="CU26" i="56"/>
  <c r="CU28" i="56"/>
  <c r="CU11" i="1"/>
  <c r="CU14" i="1"/>
  <c r="CU16" i="1"/>
  <c r="CU21" i="1"/>
  <c r="CU25" i="1"/>
  <c r="CU39" i="1"/>
  <c r="CU139" i="1"/>
  <c r="CV139" i="1"/>
  <c r="CV143" i="1"/>
  <c r="CV171" i="1"/>
  <c r="CV173" i="1"/>
  <c r="CV175" i="1"/>
  <c r="BO161" i="56"/>
  <c r="BO185" i="56"/>
  <c r="BO16" i="56"/>
  <c r="BO14" i="56"/>
  <c r="BO24" i="14"/>
  <c r="BO25" i="14"/>
  <c r="CT6" i="57"/>
  <c r="CT7" i="57"/>
  <c r="CT20" i="57"/>
  <c r="CT24" i="57"/>
  <c r="DD39" i="5"/>
  <c r="DD15" i="59"/>
  <c r="DD41" i="59"/>
  <c r="DD43" i="59"/>
  <c r="DD47" i="59"/>
  <c r="DD9" i="5"/>
  <c r="DD12" i="5"/>
  <c r="DD19" i="5"/>
  <c r="DD31" i="5"/>
  <c r="CT21" i="1"/>
  <c r="CT25" i="1"/>
  <c r="CT39" i="1"/>
  <c r="CT139" i="1"/>
  <c r="CT143" i="1"/>
  <c r="CT171" i="1"/>
  <c r="CT173" i="1"/>
  <c r="CL14" i="56"/>
  <c r="CL24" i="14"/>
  <c r="CL25" i="14"/>
  <c r="BZ6" i="57"/>
  <c r="BZ7" i="57"/>
  <c r="BZ20" i="57"/>
  <c r="BZ24" i="57"/>
  <c r="DD21" i="1"/>
  <c r="DD25" i="1"/>
  <c r="DD39" i="1"/>
  <c r="DD139" i="1"/>
  <c r="DD143" i="1"/>
  <c r="CP148" i="56"/>
  <c r="CP149" i="56"/>
  <c r="CS7" i="5"/>
  <c r="CS18" i="5"/>
  <c r="CS15" i="1"/>
  <c r="CS40" i="14"/>
  <c r="CS42" i="14"/>
  <c r="CS43" i="14"/>
  <c r="BI19" i="59"/>
  <c r="BM19" i="59"/>
  <c r="AY15" i="59"/>
  <c r="AY41" i="59"/>
  <c r="BC41" i="59"/>
  <c r="BC43" i="59"/>
  <c r="BC31" i="59"/>
  <c r="N24" i="33"/>
  <c r="CR7" i="5"/>
  <c r="CR18" i="5"/>
  <c r="CR15" i="1"/>
  <c r="CR40" i="14"/>
  <c r="CR42" i="14"/>
  <c r="CR43" i="14"/>
  <c r="CO21" i="1"/>
  <c r="CO25" i="1"/>
  <c r="CO39" i="1"/>
  <c r="CO139" i="1"/>
  <c r="CO143" i="1"/>
  <c r="CO171" i="1"/>
  <c r="CO173" i="1"/>
  <c r="BJ6" i="57"/>
  <c r="BJ7" i="57"/>
  <c r="BJ20" i="57"/>
  <c r="BJ24" i="57"/>
  <c r="CI7" i="57"/>
  <c r="CI20" i="57"/>
  <c r="CI24" i="57"/>
  <c r="CS19" i="56"/>
  <c r="CS26" i="56"/>
  <c r="CS28" i="56"/>
  <c r="CS11" i="1"/>
  <c r="CS14" i="1"/>
  <c r="CS16" i="1"/>
  <c r="CS21" i="1"/>
  <c r="CS25" i="1"/>
  <c r="CS39" i="1"/>
  <c r="CS139" i="1"/>
  <c r="CS143" i="1"/>
  <c r="BK23" i="57"/>
  <c r="BK33" i="57"/>
  <c r="CW97" i="1"/>
  <c r="CW141" i="1"/>
  <c r="BP6" i="57"/>
  <c r="BP7" i="57"/>
  <c r="BG15" i="57"/>
  <c r="BK15" i="57"/>
  <c r="BK12" i="57"/>
  <c r="CT148" i="56"/>
  <c r="CT149" i="56"/>
  <c r="BG25" i="1"/>
  <c r="BG39" i="1"/>
  <c r="BG139" i="1"/>
  <c r="BG143" i="1"/>
  <c r="BG171" i="1"/>
  <c r="BG173" i="1"/>
  <c r="CQ15" i="1"/>
  <c r="CQ40" i="14"/>
  <c r="CQ42" i="14"/>
  <c r="CF24" i="14"/>
  <c r="CF25" i="14"/>
  <c r="DD26" i="56"/>
  <c r="DD28" i="56"/>
  <c r="DD11" i="1"/>
  <c r="DD14" i="1"/>
  <c r="DD16" i="1"/>
  <c r="DD59" i="1"/>
  <c r="DD62" i="1"/>
  <c r="DD163" i="1"/>
  <c r="DD166" i="1"/>
  <c r="CH158" i="56"/>
  <c r="CH184" i="56"/>
  <c r="CL184" i="56"/>
  <c r="CL149" i="56"/>
  <c r="BT14" i="56"/>
  <c r="BT163" i="56"/>
  <c r="BT175" i="56"/>
  <c r="CN183" i="56"/>
  <c r="CN14" i="56"/>
  <c r="CN19" i="56"/>
  <c r="CN7" i="5"/>
  <c r="CN18" i="5"/>
  <c r="CN15" i="1"/>
  <c r="CN40" i="14"/>
  <c r="CN42" i="14"/>
  <c r="CN43" i="14"/>
  <c r="BD161" i="56"/>
  <c r="BD185" i="56"/>
  <c r="BD16" i="56"/>
  <c r="BD14" i="56"/>
  <c r="BD157" i="56"/>
  <c r="BD183" i="56"/>
  <c r="BD15" i="59"/>
  <c r="BD41" i="59"/>
  <c r="BD43" i="59"/>
  <c r="BD31" i="59"/>
  <c r="O24" i="33"/>
  <c r="CT161" i="56"/>
  <c r="CM7" i="5"/>
  <c r="CM18" i="5"/>
  <c r="CM15" i="1"/>
  <c r="CM40" i="14"/>
  <c r="CM42" i="14"/>
  <c r="CV163" i="1"/>
  <c r="CV166" i="1"/>
  <c r="CB6" i="57"/>
  <c r="CB7" i="57"/>
  <c r="CB20" i="57"/>
  <c r="CB24" i="57"/>
  <c r="DE7" i="5"/>
  <c r="DE8" i="5"/>
  <c r="DE12" i="1"/>
  <c r="DE110" i="1"/>
  <c r="DE193" i="1"/>
  <c r="DF193" i="1"/>
  <c r="BS21" i="14"/>
  <c r="BS22" i="14"/>
  <c r="CD163" i="56"/>
  <c r="CD175" i="56"/>
  <c r="CV24" i="14"/>
  <c r="CV25" i="14"/>
  <c r="DA14" i="56"/>
  <c r="DA21" i="14"/>
  <c r="DA22" i="14"/>
  <c r="CM171" i="1"/>
  <c r="CM173" i="1"/>
  <c r="CD7" i="14"/>
  <c r="CD8" i="14"/>
  <c r="BD6" i="57"/>
  <c r="BD7" i="57"/>
  <c r="BD20" i="57"/>
  <c r="BD24" i="57"/>
  <c r="CI6" i="57"/>
  <c r="BC6" i="57"/>
  <c r="BC7" i="57"/>
  <c r="BC20" i="57"/>
  <c r="BC24" i="57"/>
  <c r="BB10" i="11"/>
  <c r="BB13" i="5"/>
  <c r="BB15" i="5"/>
  <c r="BB18" i="5"/>
  <c r="BF6" i="57"/>
  <c r="BF7" i="57"/>
  <c r="X41" i="1"/>
  <c r="CX183" i="56"/>
  <c r="CM23" i="57"/>
  <c r="CM6" i="57"/>
  <c r="CM7" i="57"/>
  <c r="CM20" i="57"/>
  <c r="CM24" i="57"/>
  <c r="CK7" i="57"/>
  <c r="CK20" i="57"/>
  <c r="CK24" i="57"/>
  <c r="CW161" i="56"/>
  <c r="AY6" i="57"/>
  <c r="AY7" i="57"/>
  <c r="AY20" i="57"/>
  <c r="AY24" i="57"/>
  <c r="CW9" i="7"/>
  <c r="CX8" i="7"/>
  <c r="CV74" i="1"/>
  <c r="CP23" i="57"/>
  <c r="CP6" i="57"/>
  <c r="CP7" i="57"/>
  <c r="CP20" i="57"/>
  <c r="CP24" i="57"/>
  <c r="CO13" i="14"/>
  <c r="CO15" i="14"/>
  <c r="CT163" i="1"/>
  <c r="CT166" i="1"/>
  <c r="BB158" i="56"/>
  <c r="BB184" i="56"/>
  <c r="BB16" i="59"/>
  <c r="Y139" i="1"/>
  <c r="Y143" i="1"/>
  <c r="CQ14" i="56"/>
  <c r="CQ157" i="56"/>
  <c r="CQ171" i="56"/>
  <c r="CU19" i="56"/>
  <c r="CU7" i="5"/>
  <c r="CU8" i="5"/>
  <c r="CU12" i="1"/>
  <c r="CU110" i="1"/>
  <c r="CU117" i="1"/>
  <c r="CU124" i="1"/>
  <c r="BB6" i="57"/>
  <c r="BB7" i="57"/>
  <c r="BB20" i="57"/>
  <c r="BB24" i="57"/>
  <c r="BN161" i="56"/>
  <c r="BV16" i="59"/>
  <c r="BV42" i="59"/>
  <c r="CU9" i="7"/>
  <c r="CW8" i="7"/>
  <c r="CW11" i="7"/>
  <c r="BS14" i="56"/>
  <c r="BS163" i="56"/>
  <c r="BS175" i="56"/>
  <c r="CF23" i="57"/>
  <c r="CK23" i="57"/>
  <c r="CK6" i="57"/>
  <c r="CO6" i="57"/>
  <c r="CO7" i="57"/>
  <c r="CX157" i="56"/>
  <c r="DC157" i="56"/>
  <c r="DC183" i="56"/>
  <c r="CT24" i="14"/>
  <c r="CT25" i="14"/>
  <c r="CP59" i="1"/>
  <c r="CP62" i="1"/>
  <c r="CP163" i="1"/>
  <c r="CP166" i="1"/>
  <c r="AU157" i="56"/>
  <c r="AU183" i="56"/>
  <c r="AU14" i="56"/>
  <c r="AU19" i="56"/>
  <c r="AU26" i="56"/>
  <c r="AU28" i="56"/>
  <c r="AU29" i="56"/>
  <c r="CU183" i="56"/>
  <c r="CU14" i="56"/>
  <c r="CU163" i="56"/>
  <c r="CU175" i="56"/>
  <c r="DB14" i="1"/>
  <c r="DB16" i="1"/>
  <c r="DB59" i="1"/>
  <c r="DB62" i="1"/>
  <c r="DB13" i="14"/>
  <c r="DB15" i="14"/>
  <c r="AZ157" i="56"/>
  <c r="AZ183" i="56"/>
  <c r="AZ14" i="56"/>
  <c r="AZ163" i="56"/>
  <c r="BE175" i="56"/>
  <c r="BC158" i="56"/>
  <c r="BC172" i="56"/>
  <c r="AV157" i="56"/>
  <c r="AV183" i="56"/>
  <c r="AV14" i="56"/>
  <c r="AV24" i="14"/>
  <c r="AV25" i="14"/>
  <c r="CX9" i="7"/>
  <c r="CY8" i="7"/>
  <c r="CO7" i="5"/>
  <c r="CO18" i="5"/>
  <c r="CO15" i="1"/>
  <c r="CO40" i="14"/>
  <c r="CO42" i="14"/>
  <c r="CM9" i="7"/>
  <c r="CN8" i="7"/>
  <c r="CN11" i="7"/>
  <c r="AW6" i="57"/>
  <c r="AW7" i="57"/>
  <c r="AW31" i="57"/>
  <c r="DB26" i="56"/>
  <c r="DB28" i="56"/>
  <c r="DB11" i="1"/>
  <c r="DF11" i="1"/>
  <c r="DF14" i="1"/>
  <c r="DF10" i="14"/>
  <c r="DF11" i="14"/>
  <c r="CD185" i="56"/>
  <c r="CD16" i="56"/>
  <c r="CD14" i="56"/>
  <c r="CD158" i="56"/>
  <c r="CD184" i="56"/>
  <c r="CD16" i="59"/>
  <c r="BU23" i="57"/>
  <c r="BU33" i="57"/>
  <c r="DE143" i="1"/>
  <c r="CU157" i="56"/>
  <c r="CZ157" i="56"/>
  <c r="DE157" i="56"/>
  <c r="DE183" i="56"/>
  <c r="DE14" i="56"/>
  <c r="DE19" i="56"/>
  <c r="DE26" i="56"/>
  <c r="DE28" i="56"/>
  <c r="DE11" i="1"/>
  <c r="DE14" i="1"/>
  <c r="DE16" i="1"/>
  <c r="DE21" i="1"/>
  <c r="DE25" i="1"/>
  <c r="DE39" i="1"/>
  <c r="DE139" i="1"/>
  <c r="DF139" i="1"/>
  <c r="AS6" i="57"/>
  <c r="AS7" i="57"/>
  <c r="DD157" i="56"/>
  <c r="DD183" i="56"/>
  <c r="DD14" i="56"/>
  <c r="DD19" i="56"/>
  <c r="DD7" i="5"/>
  <c r="DD18" i="5"/>
  <c r="DD15" i="1"/>
  <c r="DD40" i="14"/>
  <c r="DD42" i="14"/>
  <c r="CM41" i="1"/>
  <c r="CM121" i="1"/>
  <c r="CN121" i="1"/>
  <c r="CO121" i="1"/>
  <c r="CP121" i="1"/>
  <c r="CR121" i="1"/>
  <c r="CS121" i="1"/>
  <c r="CT121" i="1"/>
  <c r="CU121" i="1"/>
  <c r="CW121" i="1"/>
  <c r="CW190" i="1"/>
  <c r="DA190" i="1"/>
  <c r="AR141" i="56"/>
  <c r="AR185" i="56"/>
  <c r="AR16" i="56"/>
  <c r="AR73" i="56"/>
  <c r="AR76" i="56"/>
  <c r="AR118" i="56"/>
  <c r="CV14" i="56"/>
  <c r="CV158" i="56"/>
  <c r="CV172" i="56"/>
  <c r="BU157" i="56"/>
  <c r="BU183" i="56"/>
  <c r="CY157" i="56"/>
  <c r="CY183" i="56"/>
  <c r="CY14" i="56"/>
  <c r="CY19" i="56"/>
  <c r="CY26" i="56"/>
  <c r="CY28" i="56"/>
  <c r="CY11" i="1"/>
  <c r="CY14" i="1"/>
  <c r="CY16" i="1"/>
  <c r="CY59" i="1"/>
  <c r="CY62" i="1"/>
  <c r="CY163" i="1"/>
  <c r="CY166" i="1"/>
  <c r="BT185" i="56"/>
  <c r="BT16" i="56"/>
  <c r="BT27" i="14"/>
  <c r="BT28" i="14"/>
  <c r="CU96" i="1"/>
  <c r="CV96" i="1"/>
  <c r="CW96" i="1"/>
  <c r="CX96" i="1"/>
  <c r="CY96" i="1"/>
  <c r="CZ96" i="1"/>
  <c r="DA96" i="1"/>
  <c r="DB96" i="1"/>
  <c r="DC96" i="1"/>
  <c r="DD96" i="1"/>
  <c r="DD107" i="1"/>
  <c r="DD125" i="1"/>
  <c r="BI6" i="57"/>
  <c r="BI7" i="57"/>
  <c r="BI20" i="57"/>
  <c r="BI24" i="57"/>
  <c r="BU161" i="56"/>
  <c r="BU185" i="56"/>
  <c r="BU16" i="56"/>
  <c r="BU14" i="56"/>
  <c r="BU158" i="56"/>
  <c r="BU184" i="56"/>
  <c r="BU16" i="59"/>
  <c r="BU42" i="59"/>
  <c r="BZ161" i="56"/>
  <c r="BZ185" i="56"/>
  <c r="BZ16" i="56"/>
  <c r="BZ14" i="56"/>
  <c r="BZ21" i="14"/>
  <c r="BZ22" i="14"/>
  <c r="AY157" i="56"/>
  <c r="AY183" i="56"/>
  <c r="AY14" i="56"/>
  <c r="BC14" i="56"/>
  <c r="BC7" i="14"/>
  <c r="BC8" i="14"/>
  <c r="CA23" i="57"/>
  <c r="CE23" i="57"/>
  <c r="CE33" i="57"/>
  <c r="CP143" i="1"/>
  <c r="CP171" i="1"/>
  <c r="CP173" i="1"/>
  <c r="CW26" i="56"/>
  <c r="CW28" i="56"/>
  <c r="CW11" i="1"/>
  <c r="CW14" i="1"/>
  <c r="CW16" i="1"/>
  <c r="CW21" i="1"/>
  <c r="CW25" i="1"/>
  <c r="CW39" i="1"/>
  <c r="CW139" i="1"/>
  <c r="CW143" i="1"/>
  <c r="CW183" i="56"/>
  <c r="CW14" i="56"/>
  <c r="CW19" i="56"/>
  <c r="CW7" i="5"/>
  <c r="CW18" i="5"/>
  <c r="CW15" i="1"/>
  <c r="DA15" i="1"/>
  <c r="DA40" i="14"/>
  <c r="DA42" i="14"/>
  <c r="CI161" i="56"/>
  <c r="CI185" i="56"/>
  <c r="CI16" i="56"/>
  <c r="CI14" i="56"/>
  <c r="CI157" i="56"/>
  <c r="CN157" i="56"/>
  <c r="CS157" i="56"/>
  <c r="CS183" i="56"/>
  <c r="CS14" i="56"/>
  <c r="CS7" i="14"/>
  <c r="CS8" i="14"/>
  <c r="BH6" i="57"/>
  <c r="BH7" i="57"/>
  <c r="BH20" i="57"/>
  <c r="BH24" i="57"/>
  <c r="BT161" i="56"/>
  <c r="CR9" i="7"/>
  <c r="CS8" i="7"/>
  <c r="BY6" i="57"/>
  <c r="BY7" i="57"/>
  <c r="BY20" i="57"/>
  <c r="BY24" i="57"/>
  <c r="CK161" i="56"/>
  <c r="CK185" i="56"/>
  <c r="CK16" i="56"/>
  <c r="CK14" i="56"/>
  <c r="CK157" i="56"/>
  <c r="CP157" i="56"/>
  <c r="CP183" i="56"/>
  <c r="CP14" i="56"/>
  <c r="CP19" i="56"/>
  <c r="CP26" i="56"/>
  <c r="CP28" i="56"/>
  <c r="CP11" i="1"/>
  <c r="CP14" i="1"/>
  <c r="CP16" i="1"/>
  <c r="CP21" i="1"/>
  <c r="CP25" i="1"/>
  <c r="CP39" i="1"/>
  <c r="CP139" i="1"/>
  <c r="CQ139" i="1"/>
  <c r="CQ143" i="1"/>
  <c r="CQ171" i="1"/>
  <c r="CQ173" i="1"/>
  <c r="Y18" i="1"/>
  <c r="X18" i="1"/>
  <c r="X21" i="1"/>
  <c r="X25" i="1"/>
  <c r="X39" i="1"/>
  <c r="X139" i="1"/>
  <c r="X143" i="1"/>
  <c r="X171" i="1"/>
  <c r="X173" i="1"/>
  <c r="BS161" i="56"/>
  <c r="BS185" i="56"/>
  <c r="BS16" i="56"/>
  <c r="BW16" i="56"/>
  <c r="BV14" i="56"/>
  <c r="BV158" i="56"/>
  <c r="BV184" i="56"/>
  <c r="BQ6" i="57"/>
  <c r="BQ7" i="57"/>
  <c r="BQ20" i="57"/>
  <c r="BQ24" i="57"/>
  <c r="CC161" i="56"/>
  <c r="CC185" i="56"/>
  <c r="CC16" i="56"/>
  <c r="CC14" i="56"/>
  <c r="CC24" i="14"/>
  <c r="CC25" i="14"/>
  <c r="CB23" i="57"/>
  <c r="CG23" i="57"/>
  <c r="CL23" i="57"/>
  <c r="CQ23" i="57"/>
  <c r="CQ6" i="57"/>
  <c r="CQ7" i="57"/>
  <c r="CQ20" i="57"/>
  <c r="CQ24" i="57"/>
  <c r="DB14" i="56"/>
  <c r="DB19" i="56"/>
  <c r="DB7" i="5"/>
  <c r="DB18" i="5"/>
  <c r="DB15" i="1"/>
  <c r="DF15" i="1"/>
  <c r="DF40" i="14"/>
  <c r="DF42" i="14"/>
  <c r="CR61" i="1"/>
  <c r="CV61" i="1"/>
  <c r="CM183" i="56"/>
  <c r="CM14" i="56"/>
  <c r="CM19" i="56"/>
  <c r="CM26" i="56"/>
  <c r="CM28" i="56"/>
  <c r="CM11" i="1"/>
  <c r="CM14" i="1"/>
  <c r="CM16" i="1"/>
  <c r="CM21" i="1"/>
  <c r="CM25" i="1"/>
  <c r="CM39" i="1"/>
  <c r="CM139" i="1"/>
  <c r="CM143" i="1"/>
  <c r="CM158" i="1"/>
  <c r="CM96" i="1"/>
  <c r="CN96" i="1"/>
  <c r="CO96" i="1"/>
  <c r="CP96" i="1"/>
  <c r="CQ96" i="1"/>
  <c r="CR96" i="1"/>
  <c r="CS96" i="1"/>
  <c r="CT96" i="1"/>
  <c r="CT107" i="1"/>
  <c r="CT125" i="1"/>
  <c r="BG6" i="57"/>
  <c r="BG7" i="57"/>
  <c r="BG20" i="57"/>
  <c r="BG24" i="57"/>
  <c r="CC23" i="57"/>
  <c r="CH23" i="57"/>
  <c r="CH6" i="57"/>
  <c r="CH7" i="57"/>
  <c r="CH20" i="57"/>
  <c r="CH24" i="57"/>
  <c r="CO14" i="56"/>
  <c r="CO19" i="56"/>
  <c r="CO26" i="56"/>
  <c r="CO28" i="56"/>
  <c r="CO11" i="1"/>
  <c r="CO14" i="1"/>
  <c r="CO16" i="1"/>
  <c r="CO59" i="1"/>
  <c r="CO62" i="1"/>
  <c r="CF158" i="56"/>
  <c r="CF184" i="56"/>
  <c r="CF16" i="59"/>
  <c r="CO183" i="56"/>
  <c r="CO148" i="56"/>
  <c r="CO149" i="56"/>
  <c r="CW157" i="56"/>
  <c r="DB157" i="56"/>
  <c r="DB183" i="56"/>
  <c r="BT6" i="57"/>
  <c r="BT7" i="57"/>
  <c r="BT20" i="57"/>
  <c r="BT24" i="57"/>
  <c r="CF161" i="56"/>
  <c r="CF185" i="56"/>
  <c r="CF16" i="56"/>
  <c r="CF14" i="56"/>
  <c r="CF163" i="56"/>
  <c r="CF175" i="56"/>
  <c r="BI161" i="56"/>
  <c r="BI185" i="56"/>
  <c r="BI16" i="56"/>
  <c r="BI14" i="56"/>
  <c r="BI24" i="14"/>
  <c r="BI25" i="14"/>
  <c r="BG76" i="1"/>
  <c r="BG23" i="1"/>
  <c r="BW23" i="57"/>
  <c r="BW6" i="57"/>
  <c r="BW7" i="57"/>
  <c r="BW20" i="57"/>
  <c r="BW24" i="57"/>
  <c r="BL6" i="57"/>
  <c r="BL7" i="57"/>
  <c r="BL20" i="57"/>
  <c r="BL24" i="57"/>
  <c r="BX161" i="56"/>
  <c r="BX185" i="56"/>
  <c r="BX16" i="56"/>
  <c r="BX27" i="14"/>
  <c r="BX28" i="14"/>
  <c r="CJ185" i="56"/>
  <c r="CJ16" i="56"/>
  <c r="CJ14" i="56"/>
  <c r="CJ157" i="56"/>
  <c r="CO157" i="56"/>
  <c r="CT157" i="56"/>
  <c r="CT183" i="56"/>
  <c r="CT14" i="56"/>
  <c r="CT19" i="56"/>
  <c r="CT26" i="56"/>
  <c r="CT28" i="56"/>
  <c r="CT11" i="1"/>
  <c r="CT14" i="1"/>
  <c r="CT16" i="1"/>
  <c r="CT59" i="1"/>
  <c r="CT62" i="1"/>
  <c r="BN6" i="57"/>
  <c r="BN7" i="57"/>
  <c r="BN20" i="57"/>
  <c r="BN24" i="57"/>
  <c r="AR33" i="57"/>
  <c r="AR23" i="57"/>
  <c r="AW23" i="57"/>
  <c r="BB23" i="57"/>
  <c r="BG23" i="57"/>
  <c r="BL23" i="57"/>
  <c r="BQ23" i="57"/>
  <c r="BV23" i="57"/>
  <c r="BV6" i="57"/>
  <c r="BV7" i="57"/>
  <c r="BV20" i="57"/>
  <c r="BV24" i="57"/>
  <c r="CH161" i="56"/>
  <c r="CH185" i="56"/>
  <c r="CH16" i="56"/>
  <c r="CH14" i="56"/>
  <c r="CH157" i="56"/>
  <c r="CM157" i="56"/>
  <c r="CR157" i="56"/>
  <c r="CR183" i="56"/>
  <c r="CR14" i="56"/>
  <c r="CR19" i="56"/>
  <c r="CR26" i="56"/>
  <c r="CR28" i="56"/>
  <c r="CR11" i="1"/>
  <c r="CV11" i="1"/>
  <c r="CV14" i="1"/>
  <c r="CV16" i="1"/>
  <c r="CV59" i="1"/>
  <c r="CV62" i="1"/>
  <c r="AT33" i="57"/>
  <c r="AT23" i="57"/>
  <c r="AY23" i="57"/>
  <c r="BD23" i="57"/>
  <c r="BI23" i="57"/>
  <c r="BN23" i="57"/>
  <c r="BS23" i="57"/>
  <c r="BX23" i="57"/>
  <c r="BX6" i="57"/>
  <c r="BX7" i="57"/>
  <c r="BX20" i="57"/>
  <c r="BX24" i="57"/>
  <c r="CJ161" i="56"/>
  <c r="AS33" i="57"/>
  <c r="AS23" i="57"/>
  <c r="AX23" i="57"/>
  <c r="BC23" i="57"/>
  <c r="BH23" i="57"/>
  <c r="BM23" i="57"/>
  <c r="BR23" i="57"/>
  <c r="BR6" i="57"/>
  <c r="BR7" i="57"/>
  <c r="BR20" i="57"/>
  <c r="BR24" i="57"/>
  <c r="CD161" i="56"/>
  <c r="AU33" i="57"/>
  <c r="AU23" i="57"/>
  <c r="AZ23" i="57"/>
  <c r="BE23" i="57"/>
  <c r="BJ23" i="57"/>
  <c r="BO23" i="57"/>
  <c r="BT23" i="57"/>
  <c r="BY23" i="57"/>
  <c r="CD23" i="57"/>
  <c r="CI23" i="57"/>
  <c r="CN23" i="57"/>
  <c r="CN6" i="57"/>
  <c r="CN7" i="57"/>
  <c r="CN20" i="57"/>
  <c r="CN24" i="57"/>
  <c r="BB157" i="56"/>
  <c r="BB183" i="56"/>
  <c r="BB14" i="56"/>
  <c r="BB159" i="56"/>
  <c r="BB175" i="56"/>
</calcChain>
</file>

<file path=xl/comments1.xml><?xml version="1.0" encoding="utf-8"?>
<comments xmlns="http://schemas.openxmlformats.org/spreadsheetml/2006/main">
  <authors>
    <author>scheandr</author>
    <author>zhanmay</author>
    <author>Garcia, Liza (Research)</author>
    <author>Editor</author>
    <author>rickgold</author>
    <author>sopcak</author>
    <author>Sopcak, Zachary (Research)</author>
    <author>Murphy, Julie (Research)</author>
    <author>Rosenblum, Mark (Research)</author>
    <author>saursing</author>
    <author>everetti</author>
    <author>murphjul</author>
  </authors>
  <commentList>
    <comment ref="AZ11" authorId="0">
      <text>
        <r>
          <rPr>
            <b/>
            <sz val="8"/>
            <color indexed="81"/>
            <rFont val="Tahoma"/>
            <family val="2"/>
          </rPr>
          <t>2QCC:</t>
        </r>
        <r>
          <rPr>
            <sz val="8"/>
            <color indexed="81"/>
            <rFont val="Tahoma"/>
            <family val="2"/>
          </rPr>
          <t xml:space="preserve">
a benefit of $30.0 million ($18.9 million net of tax) related to an amendment of a client contract which is reflected in revenue
Intangible amortization of $28.5 million ($17.9 million net of tax)</t>
        </r>
      </text>
    </comment>
    <comment ref="BA11" authorId="0">
      <text>
        <r>
          <rPr>
            <b/>
            <sz val="8"/>
            <color indexed="81"/>
            <rFont val="Tahoma"/>
            <family val="2"/>
          </rPr>
          <t>3QCC:</t>
        </r>
        <r>
          <rPr>
            <sz val="8"/>
            <color indexed="81"/>
            <rFont val="Tahoma"/>
            <family val="2"/>
          </rPr>
          <t xml:space="preserve">
Intangible amortization of $28.5 million ($17.9 million net of tax) is included as a reduction to revenue in the three ended September 30, 2010</t>
        </r>
      </text>
    </comment>
    <comment ref="BJ11" authorId="1">
      <text>
        <r>
          <rPr>
            <sz val="8"/>
            <color indexed="81"/>
            <rFont val="Tahoma"/>
            <family val="2"/>
          </rPr>
          <t xml:space="preserve">4Q restatement includes -187.9 adj for discont ops
</t>
        </r>
      </text>
    </comment>
    <comment ref="BK11" authorId="1">
      <text>
        <r>
          <rPr>
            <sz val="8"/>
            <color indexed="81"/>
            <rFont val="Tahoma"/>
            <family val="2"/>
          </rPr>
          <t>4Q restatement of -189.2 for discont ops</t>
        </r>
      </text>
    </comment>
    <comment ref="BY11" authorId="2">
      <text>
        <r>
          <rPr>
            <b/>
            <sz val="9"/>
            <color indexed="81"/>
            <rFont val="Tahoma"/>
            <family val="2"/>
          </rPr>
          <t>Garcia, Liza (Research):</t>
        </r>
        <r>
          <rPr>
            <sz val="9"/>
            <color indexed="81"/>
            <rFont val="Tahoma"/>
            <family val="2"/>
          </rPr>
          <t xml:space="preserve">
Revenue related to payment from large client of $141.7mm per 10-K</t>
        </r>
      </text>
    </comment>
    <comment ref="CD11" authorId="2">
      <text>
        <r>
          <rPr>
            <b/>
            <sz val="9"/>
            <color indexed="81"/>
            <rFont val="Tahoma"/>
            <family val="2"/>
          </rPr>
          <t>Garcia, Liza (Research):</t>
        </r>
        <r>
          <rPr>
            <sz val="9"/>
            <color indexed="81"/>
            <rFont val="Tahoma"/>
            <family val="2"/>
          </rPr>
          <t xml:space="preserve">
Revenue related to payment from large client of $106.6mm per 10-K</t>
        </r>
      </text>
    </comment>
    <comment ref="U12" authorId="3">
      <text>
        <r>
          <rPr>
            <sz val="8"/>
            <color indexed="81"/>
            <rFont val="Tahoma"/>
            <family val="2"/>
          </rPr>
          <t xml:space="preserve">termination payment received </t>
        </r>
      </text>
    </comment>
    <comment ref="Y12" authorId="3">
      <text>
        <r>
          <rPr>
            <sz val="8"/>
            <color indexed="81"/>
            <rFont val="Tahoma"/>
            <family val="2"/>
          </rPr>
          <t xml:space="preserve">termination payment received </t>
        </r>
      </text>
    </comment>
    <comment ref="AJ12" authorId="3">
      <text>
        <r>
          <rPr>
            <sz val="8"/>
            <color indexed="81"/>
            <rFont val="Tahoma"/>
            <family val="2"/>
          </rPr>
          <t>Adjusted to exclude Settlement of contractual item with supply chain vendor of $9.0M.
Source: 1Q08 earnings release.</t>
        </r>
      </text>
    </comment>
    <comment ref="AZ12" authorId="0">
      <text>
        <r>
          <rPr>
            <b/>
            <sz val="8"/>
            <color indexed="81"/>
            <rFont val="Tahoma"/>
            <family val="2"/>
          </rPr>
          <t>2QCC:</t>
        </r>
        <r>
          <rPr>
            <sz val="8"/>
            <color indexed="81"/>
            <rFont val="Tahoma"/>
            <family val="2"/>
          </rPr>
          <t xml:space="preserve">
Integration related costs include those costs directly related to the acquisition of NextRx, primarily comprised of transition services, integration, site closures and severance costs of $21.7 million ($13.6 million net of tax)</t>
        </r>
      </text>
    </comment>
    <comment ref="BA12" authorId="0">
      <text>
        <r>
          <rPr>
            <b/>
            <sz val="8"/>
            <color indexed="81"/>
            <rFont val="Tahoma"/>
            <family val="2"/>
          </rPr>
          <t>3QCC:</t>
        </r>
        <r>
          <rPr>
            <sz val="8"/>
            <color indexed="81"/>
            <rFont val="Tahoma"/>
            <family val="2"/>
          </rPr>
          <t xml:space="preserve">
The Company has now successfully implemented 90% of NextRx membership onto Express Scripts’ IT systems.
Integration-related costs include those costs directly related to the acquisition of NextRx, primarily comprised of transition services, integration, site closures and severance costs of $15.1 million ($9.5 million net of tax) included in cost of revenues
</t>
        </r>
      </text>
    </comment>
    <comment ref="BB12" authorId="0">
      <text>
        <r>
          <rPr>
            <b/>
            <sz val="8"/>
            <color indexed="81"/>
            <rFont val="Tahoma"/>
            <family val="2"/>
          </rPr>
          <t>3QCC:</t>
        </r>
        <r>
          <rPr>
            <sz val="8"/>
            <color indexed="81"/>
            <rFont val="Tahoma"/>
            <family val="2"/>
          </rPr>
          <t xml:space="preserve">
The migration of the remaining membership is expected to be completed by the end of the year.</t>
        </r>
      </text>
    </comment>
    <comment ref="BD12" authorId="0">
      <text>
        <r>
          <rPr>
            <b/>
            <sz val="8"/>
            <color indexed="81"/>
            <rFont val="Tahoma"/>
            <family val="2"/>
          </rPr>
          <t>scheandr:</t>
        </r>
        <r>
          <rPr>
            <sz val="8"/>
            <color indexed="81"/>
            <rFont val="Tahoma"/>
            <family val="2"/>
          </rPr>
          <t xml:space="preserve">
The Company expects to complete the integration, including retirement of NextRx IT systems and rationalization of operational footprint during the first quarter of 2011.</t>
        </r>
      </text>
    </comment>
    <comment ref="BJ12" authorId="1">
      <text>
        <r>
          <rPr>
            <sz val="8"/>
            <color indexed="81"/>
            <rFont val="Tahoma"/>
            <family val="2"/>
          </rPr>
          <t xml:space="preserve">4Q restatement includes 162.1 adj for discontinued ops
</t>
        </r>
      </text>
    </comment>
    <comment ref="BK12" authorId="1">
      <text>
        <r>
          <rPr>
            <sz val="8"/>
            <color indexed="81"/>
            <rFont val="Tahoma"/>
            <family val="2"/>
          </rPr>
          <t>4Q restatement of -162.9 for discont ops</t>
        </r>
      </text>
    </comment>
    <comment ref="W15" authorId="3">
      <text>
        <r>
          <rPr>
            <sz val="8"/>
            <color indexed="81"/>
            <rFont val="Tahoma"/>
            <family val="2"/>
          </rPr>
          <t xml:space="preserve">charge for legal defense costs </t>
        </r>
      </text>
    </comment>
    <comment ref="Y15" authorId="3">
      <text>
        <r>
          <rPr>
            <sz val="8"/>
            <color indexed="81"/>
            <rFont val="Tahoma"/>
            <family val="2"/>
          </rPr>
          <t xml:space="preserve">charge for legal defense costs </t>
        </r>
      </text>
    </comment>
    <comment ref="AL15" authorId="3">
      <text>
        <r>
          <rPr>
            <sz val="8"/>
            <color indexed="81"/>
            <rFont val="Tahoma"/>
            <family val="2"/>
          </rPr>
          <t>Adjusted to exclude bad debt charge of $18.5M.
Source: 3Q08 earnings release.</t>
        </r>
      </text>
    </comment>
    <comment ref="AM15" authorId="0">
      <text>
        <r>
          <rPr>
            <b/>
            <sz val="8"/>
            <color indexed="81"/>
            <rFont val="Tahoma"/>
            <family val="2"/>
          </rPr>
          <t>scheandr:</t>
        </r>
        <r>
          <rPr>
            <sz val="8"/>
            <color indexed="81"/>
            <rFont val="Tahoma"/>
            <family val="2"/>
          </rPr>
          <t xml:space="preserve">
Adjusted to exclude $6M for legal expense, $9.1M for inventory charges in specialty distribution, and $3M for bad debt charge in specialty distribution</t>
        </r>
      </text>
    </comment>
    <comment ref="AP15" authorId="3">
      <text>
        <r>
          <rPr>
            <sz val="8"/>
            <color indexed="81"/>
            <rFont val="Tahoma"/>
            <family val="2"/>
          </rPr>
          <t>Includes depreciation expense of $17.8M (per CY2Q08 PR)</t>
        </r>
      </text>
    </comment>
    <comment ref="AU15" authorId="3">
      <text>
        <r>
          <rPr>
            <sz val="8"/>
            <color indexed="81"/>
            <rFont val="Tahoma"/>
            <family val="2"/>
          </rPr>
          <t xml:space="preserve">Adjusted to exclude Non-recurring benefit related to insurance recovery of $ 15.0M (after tax $9.5M) and Non-recurring transaction related costs of $11.7M (after tax $7.4M). 
Included $23.6M for IT investment
Source: 2Q09 earnings release. </t>
        </r>
      </text>
    </comment>
    <comment ref="AV15" authorId="4">
      <text>
        <r>
          <rPr>
            <b/>
            <sz val="8"/>
            <color indexed="81"/>
            <rFont val="Tahoma"/>
            <family val="2"/>
          </rPr>
          <t>rickgold:</t>
        </r>
        <r>
          <rPr>
            <sz val="8"/>
            <color indexed="81"/>
            <rFont val="Tahoma"/>
            <family val="2"/>
          </rPr>
          <t xml:space="preserve">
SG&amp;A includes: 1. $27.1m in IT  infrastructure , 2.$4.3M of comps. IT infrastructure related to DoD and behavioral economic inititatives
Excludes $9.6M  for NetRx related costs + Non-recurring charge related to legal settlement of $35M</t>
        </r>
      </text>
    </comment>
    <comment ref="AW15" authorId="0">
      <text>
        <r>
          <rPr>
            <b/>
            <sz val="8"/>
            <color indexed="81"/>
            <rFont val="Tahoma"/>
            <family val="2"/>
          </rPr>
          <t>scheandr:</t>
        </r>
        <r>
          <rPr>
            <sz val="8"/>
            <color indexed="81"/>
            <rFont val="Tahoma"/>
            <family val="2"/>
          </rPr>
          <t xml:space="preserve">
Higher costs (ie staffing call centers) in anticipation of new account wins (3Q09 CC)</t>
        </r>
      </text>
    </comment>
    <comment ref="AX15" authorId="3">
      <text>
        <r>
          <rPr>
            <sz val="8"/>
            <color indexed="81"/>
            <rFont val="Tahoma"/>
            <family val="2"/>
          </rPr>
          <t>Assume SG&amp;A grows by approximately the inflation rate (per CC w/ David)</t>
        </r>
      </text>
    </comment>
    <comment ref="AY15" authorId="0">
      <text>
        <r>
          <rPr>
            <b/>
            <sz val="8"/>
            <color indexed="81"/>
            <rFont val="Tahoma"/>
            <family val="2"/>
          </rPr>
          <t>scheandr:</t>
        </r>
        <r>
          <rPr>
            <sz val="8"/>
            <color indexed="81"/>
            <rFont val="Tahoma"/>
            <family val="2"/>
          </rPr>
          <t xml:space="preserve">
higer call volumes, tranferrring mail orders increases expenses in Q1 for a new account </t>
        </r>
      </text>
    </comment>
    <comment ref="BA15" authorId="0">
      <text>
        <r>
          <rPr>
            <b/>
            <sz val="8"/>
            <color indexed="81"/>
            <rFont val="Tahoma"/>
            <family val="2"/>
          </rPr>
          <t>3QCC:</t>
        </r>
        <r>
          <rPr>
            <sz val="8"/>
            <color indexed="81"/>
            <rFont val="Tahoma"/>
            <family val="2"/>
          </rPr>
          <t xml:space="preserve">
the Company incurred integration-related costs of $12.3 million ($7.7 million net of tax) included in SG&amp;A expense
Intangible amortization of $8.6 million ($5.4 million net of tax) is included in SG&amp;A.
NextRx-related intangible amortization of $1.6 million ($1.0 million net of tax) is included in SG&amp;A expense</t>
        </r>
      </text>
    </comment>
    <comment ref="BC15" authorId="0">
      <text>
        <r>
          <rPr>
            <b/>
            <sz val="8"/>
            <color indexed="81"/>
            <rFont val="Tahoma"/>
            <family val="2"/>
          </rPr>
          <t>4Q09CC:</t>
        </r>
        <r>
          <rPr>
            <sz val="8"/>
            <color indexed="81"/>
            <rFont val="Tahoma"/>
            <family val="2"/>
          </rPr>
          <t xml:space="preserve">
6-8% growth</t>
        </r>
      </text>
    </comment>
    <comment ref="BE15" authorId="0">
      <text>
        <r>
          <rPr>
            <b/>
            <sz val="8"/>
            <color indexed="81"/>
            <rFont val="Tahoma"/>
            <family val="2"/>
          </rPr>
          <t>1Q11cc:</t>
        </r>
        <r>
          <rPr>
            <sz val="8"/>
            <color indexed="81"/>
            <rFont val="Tahoma"/>
            <family val="2"/>
          </rPr>
          <t xml:space="preserve">
non-capital expenses during the remainder of the year will offset the reduction in first quarter implementation expenses</t>
        </r>
      </text>
    </comment>
    <comment ref="BF15" authorId="0">
      <text>
        <r>
          <rPr>
            <b/>
            <sz val="8"/>
            <color indexed="81"/>
            <rFont val="Tahoma"/>
            <family val="2"/>
          </rPr>
          <t>3Q11:</t>
        </r>
        <r>
          <rPr>
            <sz val="8"/>
            <color indexed="81"/>
            <rFont val="Tahoma"/>
            <family val="2"/>
          </rPr>
          <t xml:space="preserve">
SG&amp;A costs were down year-over-year, reflecting lower management compensation and synergies resulting from the NextRx integration. 
These items were partially offset by the additional spending in both COGS and SG&amp;A including acceleration of projects to free up capacity for integration activities next year, investing to support clients and members as they move away from Walgreens, and compliance with new regulatory guidance. </t>
        </r>
        <r>
          <rPr>
            <b/>
            <sz val="8"/>
            <color indexed="81"/>
            <rFont val="Tahoma"/>
            <family val="2"/>
          </rPr>
          <t>Spending in these areas is expected to increase in the fourth quarter.</t>
        </r>
      </text>
    </comment>
    <comment ref="BG15" authorId="0">
      <text>
        <r>
          <rPr>
            <b/>
            <sz val="8"/>
            <color indexed="81"/>
            <rFont val="Tahoma"/>
            <family val="2"/>
          </rPr>
          <t>3Q11:</t>
        </r>
        <r>
          <rPr>
            <sz val="8"/>
            <color indexed="81"/>
            <rFont val="Tahoma"/>
            <family val="2"/>
          </rPr>
          <t xml:space="preserve">
Additional spending in both COGS and SG&amp;A including acceleration of projects to free up capacity for integration activities next year, investing to support clients and members as they move away from Walgreens, and compliance with new regulatory guidance. </t>
        </r>
        <r>
          <rPr>
            <b/>
            <sz val="8"/>
            <color indexed="81"/>
            <rFont val="Tahoma"/>
            <family val="2"/>
          </rPr>
          <t>Spending in these areas is expected to increase in the fourth quarter.</t>
        </r>
      </text>
    </comment>
    <comment ref="BH15" authorId="0">
      <text>
        <r>
          <rPr>
            <b/>
            <sz val="8"/>
            <color indexed="81"/>
            <rFont val="Tahoma"/>
            <family val="2"/>
          </rPr>
          <t>1Q11cc:</t>
        </r>
        <r>
          <rPr>
            <sz val="8"/>
            <color indexed="81"/>
            <rFont val="Tahoma"/>
            <family val="2"/>
          </rPr>
          <t xml:space="preserve">
I don’t see SG&amp;A as a percent of revenues really being the way that we
manage SG&amp;A. I tend to think of those costs for the most part as fixed, as most of them are people and buildings and other and the variable part of them is really the investments that we’re making. So what I said earlier was that as we move through the course of the year, we expect to see that level of investment increase as we move through the year. But at the end of the day, the core of that is really fixed, so if revenue comes up the percentage could come down. But I think looking at percent of revenues is the wrong way to look at it. We’re always looking at ways to get more efficient and we’re balancing that with making investments so that we can deliver the products and services that our clients want and need to manage their trend and to give us the long-term growth and profitability that we’re looking for.</t>
        </r>
      </text>
    </comment>
    <comment ref="BI15" authorId="1">
      <text>
        <r>
          <rPr>
            <sz val="8"/>
            <color indexed="81"/>
            <rFont val="Tahoma"/>
            <family val="2"/>
          </rPr>
          <t xml:space="preserve">4Q adjustment for non-controlling interest of 2.4
</t>
        </r>
      </text>
    </comment>
    <comment ref="BJ15" authorId="1">
      <text>
        <r>
          <rPr>
            <sz val="8"/>
            <color indexed="81"/>
            <rFont val="Tahoma"/>
            <family val="2"/>
          </rPr>
          <t>4Q restatement of -3.4 for non-controlling interest, -26.1 for discontinued ops, +36.4 for transaction expense error
Update: 3Q12 is $723.8M</t>
        </r>
      </text>
    </comment>
    <comment ref="BK15" authorId="1">
      <text>
        <r>
          <rPr>
            <sz val="8"/>
            <color indexed="81"/>
            <rFont val="Tahoma"/>
            <family val="2"/>
          </rPr>
          <t>4Q restatement of -4.5 for non-controlling interest and -37 for discont ops</t>
        </r>
      </text>
    </comment>
    <comment ref="BP15" authorId="5">
      <text>
        <r>
          <rPr>
            <b/>
            <sz val="8"/>
            <color indexed="81"/>
            <rFont val="Tahoma"/>
            <family val="2"/>
          </rPr>
          <t>3Q13 cc:
The decline in SG&amp;A expense reflects efficiencies
gained from the integration of our Medco acquisition and the inclusion of Liberty's SG&amp;A in last year's numbers. We do expect SG&amp;A expenses to
increase in the fourth quarter, as we prepare for new client implementations on 1/1 and healthcare reform.</t>
        </r>
        <r>
          <rPr>
            <sz val="8"/>
            <color indexed="81"/>
            <rFont val="Tahoma"/>
            <family val="2"/>
          </rPr>
          <t xml:space="preserve">
</t>
        </r>
      </text>
    </comment>
    <comment ref="BR15" authorId="5">
      <text>
        <r>
          <rPr>
            <sz val="8"/>
            <color indexed="81"/>
            <rFont val="Tahoma"/>
            <family val="2"/>
          </rPr>
          <t xml:space="preserve">2Q13 ~8% declline (implies ~$2200)
</t>
        </r>
      </text>
    </comment>
    <comment ref="BW15" authorId="5">
      <text>
        <r>
          <rPr>
            <b/>
            <sz val="8"/>
            <color indexed="81"/>
            <rFont val="Tahoma"/>
            <family val="2"/>
          </rPr>
          <t>3Q14
$2025 to $2100
2Q14
$1,950 to $2,025</t>
        </r>
        <r>
          <rPr>
            <sz val="8"/>
            <color indexed="81"/>
            <rFont val="Tahoma"/>
            <family val="2"/>
          </rPr>
          <t xml:space="preserve">
</t>
        </r>
      </text>
    </comment>
    <comment ref="CB15" authorId="6">
      <text>
        <r>
          <rPr>
            <b/>
            <sz val="9"/>
            <color indexed="81"/>
            <rFont val="Tahoma"/>
            <family val="2"/>
          </rPr>
          <t xml:space="preserve">3Q15:
2,000-2,075 (mid 2037.5)
2Q15:
1,950 to 2,025
4Q14:
1,925 to 2000
</t>
        </r>
      </text>
    </comment>
    <comment ref="CE15" authorId="2">
      <text>
        <r>
          <rPr>
            <b/>
            <sz val="9"/>
            <color indexed="81"/>
            <rFont val="Tahoma"/>
            <family val="2"/>
          </rPr>
          <t>Garcia, Liza (Research):</t>
        </r>
        <r>
          <rPr>
            <sz val="9"/>
            <color indexed="81"/>
            <rFont val="Tahoma"/>
            <family val="2"/>
          </rPr>
          <t xml:space="preserve">
Adjusted SG&amp;A decreased by 15% year over year. As discussed throughout this year, we remain firmly committed to expense management. As
mentioned in prior quarters, we had one-time charges realized in the first half of 2016 that did not repeat, helping to reduce third-quarter selling,
general and administrative expenses.</t>
        </r>
      </text>
    </comment>
    <comment ref="CG16" authorId="5">
      <text>
        <r>
          <rPr>
            <b/>
            <sz val="8"/>
            <color indexed="81"/>
            <rFont val="Tahoma"/>
            <family val="2"/>
          </rPr>
          <t>Includes 1.5% discount on repricing of WLP (~12% of revs)</t>
        </r>
        <r>
          <rPr>
            <sz val="8"/>
            <color indexed="81"/>
            <rFont val="Tahoma"/>
            <family val="2"/>
          </rPr>
          <t xml:space="preserve">
</t>
        </r>
      </text>
    </comment>
    <comment ref="B17" authorId="3">
      <text>
        <r>
          <rPr>
            <sz val="8"/>
            <color indexed="81"/>
            <rFont val="Tahoma"/>
            <family val="2"/>
          </rPr>
          <t>RX Hub venture with CMX and MHS</t>
        </r>
      </text>
    </comment>
    <comment ref="AQ17" authorId="3">
      <text>
        <r>
          <rPr>
            <sz val="8"/>
            <color indexed="81"/>
            <rFont val="Tahoma"/>
            <family val="2"/>
          </rPr>
          <t>Company is using cost method for merger of RxHub &amp; Surescripts biz. Will be accounted for using cost method where dividends are basis of recognition of earnings. ESRX will retain a 1/6 ownership in the merged company (2Q08 -10Q)</t>
        </r>
      </text>
    </comment>
    <comment ref="BR17" authorId="5">
      <text>
        <r>
          <rPr>
            <b/>
            <sz val="8"/>
            <color indexed="81"/>
            <rFont val="Tahoma"/>
            <family val="2"/>
          </rPr>
          <t>4Q12 cc:
Guidance of $20 M</t>
        </r>
        <r>
          <rPr>
            <sz val="8"/>
            <color indexed="81"/>
            <rFont val="Tahoma"/>
            <family val="2"/>
          </rPr>
          <t xml:space="preserve">
</t>
        </r>
      </text>
    </comment>
    <comment ref="AJ18" authorId="3">
      <text>
        <r>
          <rPr>
            <sz val="8"/>
            <color indexed="81"/>
            <rFont val="Tahoma"/>
            <family val="2"/>
          </rPr>
          <t xml:space="preserve">Adjusted to exclude Caremark transaction costs of $23.0M.
Source: 1Q08 earnings release.
</t>
        </r>
      </text>
    </comment>
    <comment ref="AK18" authorId="3">
      <text>
        <r>
          <rPr>
            <sz val="8"/>
            <color indexed="81"/>
            <rFont val="Tahoma"/>
            <family val="2"/>
          </rPr>
          <t xml:space="preserve">Adjusted to exclude Caremark transaction costs of $4.2M.
Source: 2Q08 earnings release.
</t>
        </r>
      </text>
    </comment>
    <comment ref="AL18" authorId="3">
      <text>
        <r>
          <rPr>
            <sz val="8"/>
            <color indexed="81"/>
            <rFont val="Tahoma"/>
            <family val="2"/>
          </rPr>
          <t xml:space="preserve">Adjusted to exclude Caremark transaction costs of $0.2M.
Source: 3Q08 earnings release.
</t>
        </r>
      </text>
    </comment>
    <comment ref="AQ18" authorId="3">
      <text>
        <r>
          <rPr>
            <sz val="8"/>
            <color indexed="81"/>
            <rFont val="Tahoma"/>
            <family val="2"/>
          </rPr>
          <t xml:space="preserve">As of September 30, 2008, short-term investments, included in Prepaid expenses and other current assets in the Unaudited Consolidated Balance Sheet, were carried at fair value and consisted of our investment in the Reserve Primary Fund (the “Primary Fund”), which is a money market fund.  The estimated fair value of ESRX's investment in the Primary Fund was $47.3M &amp; our cost was $49.3M as of 09/30/08.  The NAV of the Primary Fund decreased below $1 per share as a result of the Primary Fund’s valuing at zero its holdings of debt securities by Lehman Brothers Holdings, Inc. Accordingly, we recognized an unrealized loss of $2.0 million in the three months ended 09/30/08, which is included in Non-operating gains (charges) and reclassified the Primary Fund investment from Cash and cash equivalents to Prepaid expenses and other current assets in the Unaudited Consolidated Balance Sheet.  Fair value of the underlying collateral for the Primary Fund through evaluation of the liquidation value of assets held by the Primary Fund, which is classified within Level 3 of the fair value hierarchy (CY3Q08 10-Q)
</t>
        </r>
      </text>
    </comment>
    <comment ref="AR18" authorId="3">
      <text>
        <r>
          <rPr>
            <sz val="8"/>
            <color indexed="81"/>
            <rFont val="Tahoma"/>
            <family val="2"/>
          </rPr>
          <t>Per call with David Myers. ESRX expects to collect $ for $ on their investment from the money market fund, so it should reverse back this qtr (CY3Q08 CC)</t>
        </r>
      </text>
    </comment>
    <comment ref="AV18" authorId="0">
      <text>
        <r>
          <rPr>
            <b/>
            <sz val="8"/>
            <color indexed="81"/>
            <rFont val="Tahoma"/>
            <family val="2"/>
          </rPr>
          <t>scheandr:</t>
        </r>
        <r>
          <rPr>
            <sz val="8"/>
            <color indexed="81"/>
            <rFont val="Tahoma"/>
            <family val="2"/>
          </rPr>
          <t xml:space="preserve">
includes $9.6M  for NetRx related costs + Non-recurring charge related to legal settlement of $36.9M net of tax</t>
        </r>
      </text>
    </comment>
    <comment ref="BT18" authorId="5">
      <text>
        <r>
          <rPr>
            <b/>
            <sz val="8"/>
            <color indexed="81"/>
            <rFont val="Tahoma"/>
            <family val="2"/>
          </rPr>
          <t>Debt redemption costs</t>
        </r>
        <r>
          <rPr>
            <sz val="8"/>
            <color indexed="81"/>
            <rFont val="Tahoma"/>
            <family val="2"/>
          </rPr>
          <t xml:space="preserve">
</t>
        </r>
      </text>
    </comment>
    <comment ref="BU18" authorId="7">
      <text>
        <r>
          <rPr>
            <b/>
            <sz val="9"/>
            <color indexed="81"/>
            <rFont val="Tahoma"/>
            <family val="2"/>
          </rPr>
          <t>Debt repemption costs</t>
        </r>
      </text>
    </comment>
    <comment ref="E20" authorId="3">
      <text>
        <r>
          <rPr>
            <sz val="8"/>
            <color indexed="81"/>
            <rFont val="Tahoma"/>
            <family val="2"/>
          </rPr>
          <t>includes write-off of marketable sec of -165.207</t>
        </r>
      </text>
    </comment>
    <comment ref="U20" authorId="3">
      <text>
        <r>
          <rPr>
            <sz val="8"/>
            <color indexed="81"/>
            <rFont val="Tahoma"/>
            <family val="2"/>
          </rPr>
          <t xml:space="preserve">Charge for early retirement of debt </t>
        </r>
      </text>
    </comment>
    <comment ref="V20" authorId="3">
      <text>
        <r>
          <rPr>
            <sz val="8"/>
            <color indexed="81"/>
            <rFont val="Tahoma"/>
            <family val="2"/>
          </rPr>
          <t xml:space="preserve">Charge for early retirement of debt </t>
        </r>
      </text>
    </comment>
    <comment ref="Y20" authorId="3">
      <text>
        <r>
          <rPr>
            <sz val="8"/>
            <color indexed="81"/>
            <rFont val="Tahoma"/>
            <family val="2"/>
          </rPr>
          <t xml:space="preserve">Charge for early retirement of debt </t>
        </r>
      </text>
    </comment>
    <comment ref="AD20" authorId="3">
      <text>
        <r>
          <rPr>
            <sz val="8"/>
            <color indexed="81"/>
            <rFont val="Tahoma"/>
            <family val="2"/>
          </rPr>
          <t xml:space="preserve">Charge for early retirement of debt </t>
        </r>
      </text>
    </comment>
    <comment ref="AQ20" authorId="3">
      <text>
        <r>
          <rPr>
            <sz val="8"/>
            <color indexed="81"/>
            <rFont val="Tahoma"/>
            <family val="2"/>
          </rPr>
          <t>Net interest expense decreased $15.0 million, or 52.4%, and $25.7 million, or 36.2%  in the three and nine months ended September 30, 2008, respectively, as compared to the same periods in 2007, which is primarily due to decreases in interest rates and lower outstanding debt (CY3Q08 - 10Q)</t>
        </r>
      </text>
    </comment>
    <comment ref="AR20" authorId="3">
      <text>
        <r>
          <rPr>
            <sz val="8"/>
            <color indexed="81"/>
            <rFont val="Tahoma"/>
            <family val="2"/>
          </rPr>
          <t>Increase in interest expense tied to a substantial increase in LIBOR .
LIBOR rates reset every 1,3, &amp; 6 months (can assume approximately 33% of debt resets at each interval per David Myers)</t>
        </r>
      </text>
    </comment>
    <comment ref="AU20" authorId="0">
      <text>
        <r>
          <rPr>
            <b/>
            <sz val="8"/>
            <color indexed="81"/>
            <rFont val="Tahoma"/>
            <family val="2"/>
          </rPr>
          <t>scheandr:</t>
        </r>
        <r>
          <rPr>
            <sz val="8"/>
            <color indexed="81"/>
            <rFont val="Tahoma"/>
            <family val="2"/>
          </rPr>
          <t xml:space="preserve">
excludes impact of $58.4M related to the termination of the bridge loan for financing of NetRx acquisition</t>
        </r>
      </text>
    </comment>
    <comment ref="AY20" authorId="0">
      <text>
        <r>
          <rPr>
            <b/>
            <sz val="8"/>
            <color indexed="81"/>
            <rFont val="Tahoma"/>
            <family val="2"/>
          </rPr>
          <t>scheandr:</t>
        </r>
        <r>
          <rPr>
            <sz val="8"/>
            <color indexed="81"/>
            <rFont val="Tahoma"/>
            <family val="2"/>
          </rPr>
          <t xml:space="preserve">
the financing costs are going to continue (3Q09 CC)</t>
        </r>
      </text>
    </comment>
    <comment ref="BJ20" authorId="1">
      <text>
        <r>
          <rPr>
            <sz val="8"/>
            <color indexed="81"/>
            <rFont val="Tahoma"/>
            <family val="2"/>
          </rPr>
          <t>4Q restatement includes 0.8 adj for discont. ops</t>
        </r>
      </text>
    </comment>
    <comment ref="BK20" authorId="1">
      <text>
        <r>
          <rPr>
            <sz val="8"/>
            <color indexed="81"/>
            <rFont val="Tahoma"/>
            <family val="2"/>
          </rPr>
          <t>4Q restatement includes 0.7 adj for discont. ops</t>
        </r>
        <r>
          <rPr>
            <sz val="8"/>
            <color indexed="81"/>
            <rFont val="Tahoma"/>
            <family val="2"/>
          </rPr>
          <t xml:space="preserve">
</t>
        </r>
      </text>
    </comment>
    <comment ref="BR20" authorId="5">
      <text>
        <r>
          <rPr>
            <b/>
            <sz val="8"/>
            <color indexed="81"/>
            <rFont val="Tahoma"/>
            <family val="2"/>
          </rPr>
          <t>4Q12 cc:
Paydown of $1B in 6.25% notes and $300M in maturities this year</t>
        </r>
        <r>
          <rPr>
            <sz val="8"/>
            <color indexed="81"/>
            <rFont val="Tahoma"/>
            <family val="2"/>
          </rPr>
          <t xml:space="preserve">
</t>
        </r>
      </text>
    </comment>
    <comment ref="CK20" authorId="8">
      <text>
        <r>
          <rPr>
            <b/>
            <sz val="9"/>
            <color indexed="81"/>
            <rFont val="Tahoma"/>
            <family val="2"/>
          </rPr>
          <t>Rosenblum, Mark (Research):</t>
        </r>
        <r>
          <rPr>
            <sz val="9"/>
            <color indexed="81"/>
            <rFont val="Tahoma"/>
            <family val="2"/>
          </rPr>
          <t xml:space="preserve">
excludes $17.7M loss on disposal of UBC</t>
        </r>
      </text>
    </comment>
    <comment ref="Z23" authorId="3">
      <text>
        <r>
          <rPr>
            <sz val="8"/>
            <color indexed="81"/>
            <rFont val="Tahoma"/>
            <family val="2"/>
          </rPr>
          <t>The first quarter of 2005 included a non-recurring tax benefit of $2.3 million from the recognition of the expected state tax benefit associated with certain subsidiary losses generated in 2004.</t>
        </r>
      </text>
    </comment>
    <comment ref="AA23" authorId="3">
      <text>
        <r>
          <rPr>
            <sz val="8"/>
            <color indexed="81"/>
            <rFont val="Tahoma"/>
            <family val="2"/>
          </rPr>
          <t xml:space="preserve">Prior periods' tax benefit from state income apportionment </t>
        </r>
      </text>
    </comment>
    <comment ref="AB23" authorId="3">
      <text>
        <r>
          <rPr>
            <sz val="8"/>
            <color indexed="81"/>
            <rFont val="Tahoma"/>
            <family val="2"/>
          </rPr>
          <t xml:space="preserve">Prior periods' tax benefit from state income apportionment </t>
        </r>
      </text>
    </comment>
    <comment ref="BJ23" authorId="1">
      <text>
        <r>
          <rPr>
            <sz val="8"/>
            <color indexed="81"/>
            <rFont val="Tahoma"/>
            <family val="2"/>
          </rPr>
          <t>4Q restatement includes 0.7 adj for discont ops and -15.1 adj for transaction expense error</t>
        </r>
      </text>
    </comment>
    <comment ref="BK23" authorId="1">
      <text>
        <r>
          <rPr>
            <sz val="8"/>
            <color indexed="81"/>
            <rFont val="Tahoma"/>
            <family val="2"/>
          </rPr>
          <t>4Q restatement includes -4 adj for discont op</t>
        </r>
      </text>
    </comment>
    <comment ref="CF23" authorId="2">
      <text>
        <r>
          <rPr>
            <b/>
            <sz val="9"/>
            <color indexed="81"/>
            <rFont val="Tahoma"/>
            <family val="2"/>
          </rPr>
          <t>Garcia, Liza (Research):</t>
        </r>
        <r>
          <rPr>
            <sz val="9"/>
            <color indexed="81"/>
            <rFont val="Tahoma"/>
            <family val="2"/>
          </rPr>
          <t xml:space="preserve">
During 2016, we resolved the tax treatment of our 2012 disposition of PolyMedica Corporation (Liberty). Accordingly, we recognized a net tax benefit of approximately
$511.0 million, which also impacted our effective tax rate.
</t>
        </r>
      </text>
    </comment>
    <comment ref="K24" authorId="3">
      <text>
        <r>
          <rPr>
            <sz val="8"/>
            <color indexed="81"/>
            <rFont val="Tahoma"/>
            <family val="2"/>
          </rPr>
          <t>Add back Amortization of intangibles</t>
        </r>
      </text>
    </comment>
    <comment ref="L24" authorId="3">
      <text>
        <r>
          <rPr>
            <sz val="8"/>
            <color indexed="81"/>
            <rFont val="Tahoma"/>
            <family val="2"/>
          </rPr>
          <t>Add back Amortization of intangibles</t>
        </r>
      </text>
    </comment>
    <comment ref="M24" authorId="3">
      <text>
        <r>
          <rPr>
            <sz val="8"/>
            <color indexed="81"/>
            <rFont val="Tahoma"/>
            <family val="2"/>
          </rPr>
          <t>Add back Amortization of intangibles</t>
        </r>
      </text>
    </comment>
    <comment ref="N24" authorId="3">
      <text>
        <r>
          <rPr>
            <sz val="8"/>
            <color indexed="81"/>
            <rFont val="Tahoma"/>
            <family val="2"/>
          </rPr>
          <t>Add back Amortization of intangibles</t>
        </r>
      </text>
    </comment>
    <comment ref="P24" authorId="3">
      <text>
        <r>
          <rPr>
            <sz val="8"/>
            <color indexed="81"/>
            <rFont val="Tahoma"/>
            <family val="2"/>
          </rPr>
          <t>Add back Amortization of intangibles; tax effected</t>
        </r>
      </text>
    </comment>
    <comment ref="Q24" authorId="3">
      <text>
        <r>
          <rPr>
            <sz val="8"/>
            <color indexed="81"/>
            <rFont val="Tahoma"/>
            <family val="2"/>
          </rPr>
          <t>Add back Amortization of intangibles; tax effected</t>
        </r>
      </text>
    </comment>
    <comment ref="R24" authorId="3">
      <text>
        <r>
          <rPr>
            <sz val="8"/>
            <color indexed="81"/>
            <rFont val="Tahoma"/>
            <family val="2"/>
          </rPr>
          <t>Add back Amortization of intangibles; tax effected</t>
        </r>
      </text>
    </comment>
    <comment ref="S24" authorId="3">
      <text>
        <r>
          <rPr>
            <sz val="8"/>
            <color indexed="81"/>
            <rFont val="Tahoma"/>
            <family val="2"/>
          </rPr>
          <t>Add back Amortization of intangibles; tax effected</t>
        </r>
      </text>
    </comment>
    <comment ref="U24" authorId="3">
      <text>
        <r>
          <rPr>
            <sz val="8"/>
            <color indexed="81"/>
            <rFont val="Tahoma"/>
            <family val="2"/>
          </rPr>
          <t>Add back Amortization of intangibles; tax effected</t>
        </r>
      </text>
    </comment>
    <comment ref="V24" authorId="3">
      <text>
        <r>
          <rPr>
            <sz val="8"/>
            <color indexed="81"/>
            <rFont val="Tahoma"/>
            <family val="2"/>
          </rPr>
          <t>Add back Amortization of intangibles; tax effected</t>
        </r>
      </text>
    </comment>
    <comment ref="W24" authorId="3">
      <text>
        <r>
          <rPr>
            <sz val="8"/>
            <color indexed="81"/>
            <rFont val="Tahoma"/>
            <family val="2"/>
          </rPr>
          <t>Add back Amortization of intangibles; tax effected</t>
        </r>
      </text>
    </comment>
    <comment ref="X24" authorId="3">
      <text>
        <r>
          <rPr>
            <sz val="8"/>
            <color indexed="81"/>
            <rFont val="Tahoma"/>
            <family val="2"/>
          </rPr>
          <t>Add back Amortization of intangibles; tax effected</t>
        </r>
      </text>
    </comment>
    <comment ref="BH24" authorId="0">
      <text>
        <r>
          <rPr>
            <b/>
            <sz val="8"/>
            <color indexed="81"/>
            <rFont val="Tahoma"/>
            <family val="2"/>
          </rPr>
          <t>3Q10CC:</t>
        </r>
        <r>
          <rPr>
            <sz val="8"/>
            <color indexed="81"/>
            <rFont val="Tahoma"/>
            <family val="2"/>
          </rPr>
          <t xml:space="preserve">
$0.46</t>
        </r>
      </text>
    </comment>
    <comment ref="BD28" authorId="0">
      <text>
        <r>
          <rPr>
            <b/>
            <sz val="8"/>
            <color indexed="81"/>
            <rFont val="Tahoma"/>
            <family val="2"/>
          </rPr>
          <t>4Q10cc:</t>
        </r>
        <r>
          <rPr>
            <sz val="8"/>
            <color indexed="81"/>
            <rFont val="Tahoma"/>
            <family val="2"/>
          </rPr>
          <t xml:space="preserve">
Down sequentially
decline is driven by the normal seasonality of renewals, increased call volumes as a result of plan changes which is even higher this year as a result of the healthcare reform changes.  And unlike prior years, we expect only a minimal increase in generic in the first quarter to offset these normal seasonal pattern</t>
        </r>
      </text>
    </comment>
    <comment ref="BF28" authorId="0">
      <text>
        <r>
          <rPr>
            <b/>
            <sz val="8"/>
            <color indexed="81"/>
            <rFont val="Tahoma"/>
            <family val="2"/>
          </rPr>
          <t>1Q11cc:</t>
        </r>
        <r>
          <rPr>
            <sz val="8"/>
            <color indexed="81"/>
            <rFont val="Tahoma"/>
            <family val="2"/>
          </rPr>
          <t xml:space="preserve">
the second half of the year is going to be a bigger percentage of total year EPS than it has been in the past. But we do expect sequential growth through</t>
        </r>
      </text>
    </comment>
    <comment ref="BH28" authorId="0">
      <text>
        <r>
          <rPr>
            <b/>
            <sz val="8"/>
            <color indexed="81"/>
            <rFont val="Tahoma"/>
            <family val="2"/>
          </rPr>
          <t>3QCC:</t>
        </r>
        <r>
          <rPr>
            <sz val="8"/>
            <color indexed="81"/>
            <rFont val="Tahoma"/>
            <family val="2"/>
          </rPr>
          <t xml:space="preserve">
$3.15 to $3.25</t>
        </r>
      </text>
    </comment>
    <comment ref="BM28" authorId="0">
      <text>
        <r>
          <rPr>
            <b/>
            <sz val="8"/>
            <color indexed="81"/>
            <rFont val="Tahoma"/>
            <family val="2"/>
          </rPr>
          <t>scheandr:</t>
        </r>
        <r>
          <rPr>
            <sz val="8"/>
            <color indexed="81"/>
            <rFont val="Tahoma"/>
            <family val="2"/>
          </rPr>
          <t xml:space="preserve">
$3.65 - $3.75</t>
        </r>
      </text>
    </comment>
    <comment ref="BQ28" authorId="5">
      <text>
        <r>
          <rPr>
            <b/>
            <sz val="8"/>
            <color indexed="81"/>
            <rFont val="Tahoma"/>
            <family val="2"/>
          </rPr>
          <t>3Q13 cc
$1.09 to $1.13</t>
        </r>
      </text>
    </comment>
    <comment ref="BR28" authorId="5">
      <text>
        <r>
          <rPr>
            <b/>
            <sz val="8"/>
            <color indexed="81"/>
            <rFont val="Tahoma"/>
            <family val="2"/>
          </rPr>
          <t>3Q13 pr
guidance of $4.30 to $4.34</t>
        </r>
        <r>
          <rPr>
            <sz val="8"/>
            <color indexed="81"/>
            <rFont val="Tahoma"/>
            <family val="2"/>
          </rPr>
          <t xml:space="preserve">
</t>
        </r>
      </text>
    </comment>
    <comment ref="BS28" authorId="5">
      <text>
        <r>
          <rPr>
            <b/>
            <sz val="8"/>
            <color indexed="81"/>
            <rFont val="Tahoma"/>
            <family val="2"/>
          </rPr>
          <t>4Q13:
$0.98-$1.02</t>
        </r>
      </text>
    </comment>
    <comment ref="BT28" authorId="5">
      <text>
        <r>
          <rPr>
            <b/>
            <sz val="8"/>
            <color indexed="81"/>
            <rFont val="Tahoma"/>
            <family val="2"/>
          </rPr>
          <t>1Q14 cc:
$1.20 to $1.24
2Q seasonally high due to timing of contract</t>
        </r>
        <r>
          <rPr>
            <sz val="8"/>
            <color indexed="81"/>
            <rFont val="Tahoma"/>
            <family val="2"/>
          </rPr>
          <t xml:space="preserve">
</t>
        </r>
      </text>
    </comment>
    <comment ref="BU28" authorId="5">
      <text>
        <r>
          <rPr>
            <b/>
            <sz val="8"/>
            <color indexed="81"/>
            <rFont val="Tahoma"/>
            <family val="2"/>
          </rPr>
          <t>2Q14 cc:
$1.27-$1.31</t>
        </r>
        <r>
          <rPr>
            <sz val="8"/>
            <color indexed="81"/>
            <rFont val="Tahoma"/>
            <family val="2"/>
          </rPr>
          <t xml:space="preserve">
</t>
        </r>
      </text>
    </comment>
    <comment ref="BV28" authorId="6">
      <text>
        <r>
          <rPr>
            <b/>
            <sz val="9"/>
            <color indexed="81"/>
            <rFont val="Tahoma"/>
            <family val="2"/>
          </rPr>
          <t>3Q14 cc:
$1.36 to $1.40</t>
        </r>
        <r>
          <rPr>
            <sz val="9"/>
            <color indexed="81"/>
            <rFont val="Tahoma"/>
            <family val="2"/>
          </rPr>
          <t xml:space="preserve">
</t>
        </r>
      </text>
    </comment>
    <comment ref="BW28" authorId="5">
      <text>
        <r>
          <rPr>
            <sz val="8"/>
            <color indexed="81"/>
            <rFont val="Tahoma"/>
            <family val="2"/>
          </rPr>
          <t xml:space="preserve">3Q14:
$4.86 to $4.90
2Q14 cc:
$4.84 to $4.92
1Q14cc:
$4.82 to $4.94
</t>
        </r>
      </text>
    </comment>
    <comment ref="BX28" authorId="6">
      <text>
        <r>
          <rPr>
            <b/>
            <sz val="9"/>
            <color indexed="81"/>
            <rFont val="Tahoma"/>
            <family val="2"/>
          </rPr>
          <t>4Q14:
1.07 to 1.11</t>
        </r>
        <r>
          <rPr>
            <sz val="9"/>
            <color indexed="81"/>
            <rFont val="Tahoma"/>
            <family val="2"/>
          </rPr>
          <t xml:space="preserve">
</t>
        </r>
      </text>
    </comment>
    <comment ref="BY28" authorId="6">
      <text>
        <r>
          <rPr>
            <b/>
            <sz val="9"/>
            <color indexed="81"/>
            <rFont val="Tahoma"/>
            <family val="2"/>
          </rPr>
          <t>1Q15 cc:
$1.39 to $1.43</t>
        </r>
      </text>
    </comment>
    <comment ref="BZ28" authorId="6">
      <text>
        <r>
          <rPr>
            <b/>
            <sz val="9"/>
            <color indexed="81"/>
            <rFont val="Tahoma"/>
            <family val="2"/>
          </rPr>
          <t>2Q15:
$1.41 to $1.45</t>
        </r>
      </text>
    </comment>
    <comment ref="CB28" authorId="6">
      <text>
        <r>
          <rPr>
            <b/>
            <sz val="9"/>
            <color indexed="81"/>
            <rFont val="Tahoma"/>
            <family val="2"/>
          </rPr>
          <t>3Q15:
$5.51 to $5.55
2Q15:
$5.46 to $5.54
1Q15:
$5.37 to $5.47
4Q14:
5.35 to 5.49</t>
        </r>
      </text>
    </comment>
    <comment ref="CG28" authorId="6">
      <text>
        <r>
          <rPr>
            <b/>
            <sz val="9"/>
            <color indexed="81"/>
            <rFont val="Tahoma"/>
            <family val="2"/>
          </rPr>
          <t xml:space="preserve">4Q15
$6.10 to $6.28
12/22/15
$6.08 to $6.28
</t>
        </r>
      </text>
    </comment>
    <comment ref="AU31" authorId="0">
      <text>
        <r>
          <rPr>
            <b/>
            <sz val="8"/>
            <color indexed="81"/>
            <rFont val="Tahoma"/>
            <family val="2"/>
          </rPr>
          <t>scheandr:</t>
        </r>
        <r>
          <rPr>
            <sz val="8"/>
            <color indexed="81"/>
            <rFont val="Tahoma"/>
            <family val="2"/>
          </rPr>
          <t xml:space="preserve">
 Transaction related costs include those costs directly related to our pending acquisition of  NextRx, primarily comprised of professional fees        of $11.7 million ($7.4 million net of tax) incurred in Q2 2009 included in selling, general and administrative expense.
Financing costs include bridge loan fees of $58.4 million ($36.9  million net of tax) included in interest expense.  These fees were incurred to terminate the temporary bridge financing once permanent financing was secured</t>
        </r>
      </text>
    </comment>
    <comment ref="AV31" authorId="0">
      <text>
        <r>
          <rPr>
            <b/>
            <sz val="8"/>
            <color indexed="81"/>
            <rFont val="Tahoma"/>
            <family val="2"/>
          </rPr>
          <t>scheandr:</t>
        </r>
        <r>
          <rPr>
            <sz val="8"/>
            <color indexed="81"/>
            <rFont val="Tahoma"/>
            <family val="2"/>
          </rPr>
          <t xml:space="preserve">
 Transaction related costs include those costs directly related to our pending acquisition of  NextRx, primarily comprised of professional fees        of $9.6 million ($6.1 million net of tax) incurred in Q3 2009, included in selling, general and administrative expense.
</t>
        </r>
      </text>
    </comment>
    <comment ref="AM32" authorId="0">
      <text>
        <r>
          <rPr>
            <b/>
            <sz val="8"/>
            <color indexed="81"/>
            <rFont val="Tahoma"/>
            <family val="2"/>
          </rPr>
          <t>scheandr:</t>
        </r>
        <r>
          <rPr>
            <sz val="8"/>
            <color indexed="81"/>
            <rFont val="Tahoma"/>
            <family val="2"/>
          </rPr>
          <t xml:space="preserve">
Non-recurring legal expenses</t>
        </r>
      </text>
    </comment>
    <comment ref="AV32" authorId="0">
      <text>
        <r>
          <rPr>
            <b/>
            <sz val="8"/>
            <color indexed="81"/>
            <rFont val="Tahoma"/>
            <family val="2"/>
          </rPr>
          <t>scheandr:</t>
        </r>
        <r>
          <rPr>
            <sz val="8"/>
            <color indexed="81"/>
            <rFont val="Tahoma"/>
            <family val="2"/>
          </rPr>
          <t xml:space="preserve">
Non-recurring charge related to a legal settlement of $35.0 million ($22.1 million, net of tax) in Q3 2009, included in selling, general and administrative expense</t>
        </r>
      </text>
    </comment>
    <comment ref="AU33" authorId="0">
      <text>
        <r>
          <rPr>
            <b/>
            <sz val="8"/>
            <color indexed="81"/>
            <rFont val="Tahoma"/>
            <family val="2"/>
          </rPr>
          <t>scheandr:</t>
        </r>
        <r>
          <rPr>
            <sz val="8"/>
            <color indexed="81"/>
            <rFont val="Tahoma"/>
            <family val="2"/>
          </rPr>
          <t xml:space="preserve">
Non-recurring benefit related to insurance recovery of $15.0 million ($9.5 million, net of tax) in Q2 2009, included as a reduction to selling, general and administrative expense.
</t>
        </r>
      </text>
    </comment>
    <comment ref="AM34" authorId="0">
      <text>
        <r>
          <rPr>
            <b/>
            <sz val="8"/>
            <color indexed="81"/>
            <rFont val="Tahoma"/>
            <family val="2"/>
          </rPr>
          <t>scheandr:</t>
        </r>
        <r>
          <rPr>
            <sz val="8"/>
            <color indexed="81"/>
            <rFont val="Tahoma"/>
            <family val="2"/>
          </rPr>
          <t xml:space="preserve">
$9.1M for Non-recurring inventory charges in specialty distribution line of business
$3M for Non-recurring bad debt charges in specialty distribution line of business                      </t>
        </r>
      </text>
    </comment>
    <comment ref="AD35" authorId="3">
      <text>
        <r>
          <rPr>
            <sz val="8"/>
            <color indexed="81"/>
            <rFont val="Tahoma"/>
            <family val="2"/>
          </rPr>
          <t xml:space="preserve">Charge for early retirement of debt </t>
        </r>
      </text>
    </comment>
    <comment ref="AJ35" authorId="3">
      <text>
        <r>
          <rPr>
            <sz val="8"/>
            <color indexed="81"/>
            <rFont val="Tahoma"/>
            <family val="2"/>
          </rPr>
          <t>Pertains to Settlement of contractual item with supply chain vendor of $9.0M and Caremark transaction costs of $23.0M.
Since after tax amount was not reported, we have assumed statutory tax rate to calculate tax impact on exceptions.
Source: 1Q08 earnings release.</t>
        </r>
      </text>
    </comment>
    <comment ref="AK35" authorId="3">
      <text>
        <r>
          <rPr>
            <sz val="8"/>
            <color indexed="81"/>
            <rFont val="Tahoma"/>
            <family val="2"/>
          </rPr>
          <t xml:space="preserve">Adjusted to exclude Caremark transaction costs of $4.2M.
Source: 2Q08 earnings release.
</t>
        </r>
      </text>
    </comment>
    <comment ref="AL35" authorId="3">
      <text>
        <r>
          <rPr>
            <sz val="8"/>
            <color indexed="81"/>
            <rFont val="Tahoma"/>
            <family val="2"/>
          </rPr>
          <t>Adjusted to exclude bad debt charge of $18.5M.
Source: 3Q08 earnings release.</t>
        </r>
      </text>
    </comment>
    <comment ref="Y36" authorId="3">
      <text>
        <r>
          <rPr>
            <sz val="8"/>
            <color indexed="81"/>
            <rFont val="Tahoma"/>
            <family val="2"/>
          </rPr>
          <t>Tax benefit on one time items</t>
        </r>
      </text>
    </comment>
    <comment ref="Z36" authorId="3">
      <text>
        <r>
          <rPr>
            <sz val="8"/>
            <color indexed="81"/>
            <rFont val="Tahoma"/>
            <family val="2"/>
          </rPr>
          <t>The first quarter of 2005 included a non-recurring tax benefit of $2.3 million from the recognition of the expected state tax benefit associated with certain subsidiary losses generated in 2004.</t>
        </r>
      </text>
    </comment>
    <comment ref="AA36" authorId="3">
      <text>
        <r>
          <rPr>
            <sz val="8"/>
            <color indexed="81"/>
            <rFont val="Tahoma"/>
            <family val="2"/>
          </rPr>
          <t xml:space="preserve">Prior periods' tax benefit from state income apportionment </t>
        </r>
      </text>
    </comment>
    <comment ref="AB36" authorId="3">
      <text>
        <r>
          <rPr>
            <sz val="8"/>
            <color indexed="81"/>
            <rFont val="Tahoma"/>
            <family val="2"/>
          </rPr>
          <t xml:space="preserve">Tax benefit from subsidiary losses </t>
        </r>
      </text>
    </comment>
    <comment ref="AI36" authorId="3">
      <text>
        <r>
          <rPr>
            <sz val="8"/>
            <color indexed="81"/>
            <rFont val="Tahoma"/>
            <family val="2"/>
          </rPr>
          <t>Tax benefit from change in tax rates</t>
        </r>
      </text>
    </comment>
    <comment ref="AM36" authorId="0">
      <text>
        <r>
          <rPr>
            <b/>
            <sz val="8"/>
            <color indexed="81"/>
            <rFont val="Tahoma"/>
            <family val="2"/>
          </rPr>
          <t>scheandr:</t>
        </r>
        <r>
          <rPr>
            <sz val="8"/>
            <color indexed="81"/>
            <rFont val="Tahoma"/>
            <family val="2"/>
          </rPr>
          <t xml:space="preserve">
Adjusted to exclude tax impact from $6M for legal expense, $9.1M for inventory charges in specialty distribution, and $3M for bad debt charge in specialty distribution</t>
        </r>
      </text>
    </comment>
    <comment ref="AU36" authorId="0">
      <text>
        <r>
          <rPr>
            <b/>
            <sz val="8"/>
            <color indexed="81"/>
            <rFont val="Tahoma"/>
            <family val="2"/>
          </rPr>
          <t>scheandr:</t>
        </r>
        <r>
          <rPr>
            <sz val="8"/>
            <color indexed="81"/>
            <rFont val="Tahoma"/>
            <family val="2"/>
          </rPr>
          <t xml:space="preserve">
tax adjusted for impact of one time items
Transaction related costs of $11.7 million ($7.4 million net of tax), Financing costs for bridge loan termination of $58.4 million ($36.9  million net of tax), Non-recurring benefit from insurance recovery of $15.0 million ($9.5 million, net of tax)</t>
        </r>
      </text>
    </comment>
    <comment ref="AV36" authorId="0">
      <text>
        <r>
          <rPr>
            <b/>
            <sz val="8"/>
            <color indexed="81"/>
            <rFont val="Tahoma"/>
            <family val="2"/>
          </rPr>
          <t>scheandr:</t>
        </r>
        <r>
          <rPr>
            <sz val="8"/>
            <color indexed="81"/>
            <rFont val="Tahoma"/>
            <family val="2"/>
          </rPr>
          <t xml:space="preserve">
includes tax impact of $9.6M  for NetRx related costs + Non-recurring charge related to legal settlement of $36.9M net of tax
I.E. 115 -(-3.5-12.9) = 132</t>
        </r>
      </text>
    </comment>
    <comment ref="P38" authorId="3">
      <text>
        <r>
          <rPr>
            <sz val="8"/>
            <color indexed="81"/>
            <rFont val="Tahoma"/>
            <family val="2"/>
          </rPr>
          <t>cumulative effect of accounting change</t>
        </r>
      </text>
    </comment>
    <comment ref="T38" authorId="3">
      <text>
        <r>
          <rPr>
            <sz val="8"/>
            <color indexed="81"/>
            <rFont val="Tahoma"/>
            <family val="2"/>
          </rPr>
          <t>cumulative effect of accounting change</t>
        </r>
      </text>
    </comment>
    <comment ref="AI40" authorId="3">
      <text>
        <r>
          <rPr>
            <sz val="8"/>
            <color indexed="81"/>
            <rFont val="Tahoma"/>
            <family val="2"/>
          </rPr>
          <t>Loss from discontinued operations</t>
        </r>
      </text>
    </comment>
    <comment ref="AK40" authorId="3">
      <text>
        <r>
          <rPr>
            <sz val="8"/>
            <color indexed="81"/>
            <rFont val="Tahoma"/>
            <family val="2"/>
          </rPr>
          <t>Loss from discontinued operations</t>
        </r>
      </text>
    </comment>
    <comment ref="AL40" authorId="3">
      <text>
        <r>
          <rPr>
            <sz val="8"/>
            <color indexed="81"/>
            <rFont val="Tahoma"/>
            <family val="2"/>
          </rPr>
          <t>Loss from discontinued operations</t>
        </r>
      </text>
    </comment>
    <comment ref="AO40" authorId="3">
      <text>
        <r>
          <rPr>
            <sz val="8"/>
            <color indexed="81"/>
            <rFont val="Tahoma"/>
            <family val="2"/>
          </rPr>
          <t>Loss from discontinued operations</t>
        </r>
      </text>
    </comment>
    <comment ref="AP40" authorId="3">
      <text>
        <r>
          <rPr>
            <sz val="8"/>
            <color indexed="81"/>
            <rFont val="Tahoma"/>
            <family val="2"/>
          </rPr>
          <t>Loss from discontinued operations</t>
        </r>
      </text>
    </comment>
    <comment ref="AQ40" authorId="3">
      <text>
        <r>
          <rPr>
            <sz val="8"/>
            <color indexed="81"/>
            <rFont val="Tahoma"/>
            <family val="2"/>
          </rPr>
          <t>Loss from discontinued operations</t>
        </r>
      </text>
    </comment>
    <comment ref="AT40" authorId="3">
      <text>
        <r>
          <rPr>
            <sz val="8"/>
            <color indexed="81"/>
            <rFont val="Tahoma"/>
            <family val="2"/>
          </rPr>
          <t>Loss from discontinued operations</t>
        </r>
      </text>
    </comment>
    <comment ref="AZ40" authorId="0">
      <text>
        <r>
          <rPr>
            <b/>
            <sz val="8"/>
            <color indexed="81"/>
            <rFont val="Tahoma"/>
            <family val="2"/>
          </rPr>
          <t>2QCC:</t>
        </r>
        <r>
          <rPr>
            <sz val="8"/>
            <color indexed="81"/>
            <rFont val="Tahoma"/>
            <family val="2"/>
          </rPr>
          <t xml:space="preserve">
the Company recorded an impairment charge in its Emerging Markets segment of $28.2 million ($17.7 net of tax), which is reflected in “Net (loss) income from discontinued operations” on the income statement</t>
        </r>
      </text>
    </comment>
    <comment ref="AN43" authorId="3">
      <text>
        <r>
          <rPr>
            <sz val="8"/>
            <color indexed="81"/>
            <rFont val="Tahoma"/>
            <family val="2"/>
          </rPr>
          <t>Old guidance: $2.23-$2.29</t>
        </r>
      </text>
    </comment>
    <comment ref="AS43" authorId="3">
      <text>
        <r>
          <rPr>
            <sz val="8"/>
            <color indexed="81"/>
            <rFont val="Tahoma"/>
            <family val="2"/>
          </rPr>
          <t>Company now believes its 2008 earnings per diluted share from continuing operations will be in a range of $3.07 to $3.10 (CY3Q08 PR)
:
Guidance ranged to $3.03-$3.10 from $2.95-$3.03 (CY 2Q08 PR) with midpoint implying ~30% y/y growth
Guidance includes MSC acquisition which is neutral to guidance(CY 2Q08 CC)</t>
        </r>
      </text>
    </comment>
    <comment ref="AX43" authorId="3">
      <text>
        <r>
          <rPr>
            <sz val="8"/>
            <color indexed="81"/>
            <rFont val="Tahoma"/>
            <family val="2"/>
          </rPr>
          <t xml:space="preserve">The following factors are not reflected in the guidance range above
1) NextRx results post-close 
2) 2009 financing costs related to the NextRx transaction of $0.41 per diluted share 
3) Estimated net non-recurring items for the year, mainly pertaining to the NextRx transaction, in a range of $0.30 to $0.32 per diluted share 
Source: 2Q09 - press release
</t>
        </r>
      </text>
    </comment>
    <comment ref="B46" authorId="3">
      <text>
        <r>
          <rPr>
            <sz val="8"/>
            <color indexed="81"/>
            <rFont val="Tahoma"/>
            <family val="2"/>
          </rPr>
          <t xml:space="preserve">Share split on June 22 2007 </t>
        </r>
      </text>
    </comment>
    <comment ref="CC46" authorId="8">
      <text>
        <r>
          <rPr>
            <b/>
            <sz val="9"/>
            <color indexed="81"/>
            <rFont val="Tahoma"/>
            <family val="2"/>
          </rPr>
          <t>Rosenblum, Mark (Research):</t>
        </r>
        <r>
          <rPr>
            <sz val="9"/>
            <color indexed="81"/>
            <rFont val="Tahoma"/>
            <family val="2"/>
          </rPr>
          <t xml:space="preserve">
Based on month end average methodology.</t>
        </r>
      </text>
    </comment>
    <comment ref="B47" authorId="3">
      <text>
        <r>
          <rPr>
            <sz val="8"/>
            <color indexed="81"/>
            <rFont val="Tahoma"/>
            <family val="2"/>
          </rPr>
          <t xml:space="preserve">Share split on June 22 2007 </t>
        </r>
      </text>
    </comment>
    <comment ref="AZ47" authorId="0">
      <text>
        <r>
          <rPr>
            <b/>
            <sz val="8"/>
            <color indexed="81"/>
            <rFont val="Tahoma"/>
            <family val="2"/>
          </rPr>
          <t>scheandr:</t>
        </r>
        <r>
          <rPr>
            <sz val="8"/>
            <color indexed="81"/>
            <rFont val="Tahoma"/>
            <family val="2"/>
          </rPr>
          <t xml:space="preserve">
2:1 stock split as of June 8, 2010</t>
        </r>
      </text>
    </comment>
    <comment ref="BM47" authorId="5">
      <text>
        <r>
          <rPr>
            <b/>
            <sz val="8"/>
            <color indexed="81"/>
            <rFont val="Tahoma"/>
            <family val="2"/>
          </rPr>
          <t>3Q12 cc:
750 million</t>
        </r>
        <r>
          <rPr>
            <sz val="8"/>
            <color indexed="81"/>
            <rFont val="Tahoma"/>
            <family val="2"/>
          </rPr>
          <t xml:space="preserve">
</t>
        </r>
      </text>
    </comment>
    <comment ref="BR47" authorId="5">
      <text>
        <r>
          <rPr>
            <b/>
            <sz val="8"/>
            <color indexed="81"/>
            <rFont val="Tahoma"/>
            <family val="2"/>
          </rPr>
          <t>3Q13 cc:
Guidance of lower end of 825 million to 835 million</t>
        </r>
        <r>
          <rPr>
            <sz val="8"/>
            <color indexed="81"/>
            <rFont val="Tahoma"/>
            <family val="2"/>
          </rPr>
          <t xml:space="preserve">
</t>
        </r>
      </text>
    </comment>
    <comment ref="BW47" authorId="5">
      <text>
        <r>
          <rPr>
            <b/>
            <sz val="8"/>
            <color indexed="81"/>
            <rFont val="Tahoma"/>
            <family val="2"/>
          </rPr>
          <t>2Q14 cc:
750 to 760</t>
        </r>
        <r>
          <rPr>
            <sz val="8"/>
            <color indexed="81"/>
            <rFont val="Tahoma"/>
            <family val="2"/>
          </rPr>
          <t xml:space="preserve">
</t>
        </r>
      </text>
    </comment>
    <comment ref="CB47" authorId="6">
      <text>
        <r>
          <rPr>
            <b/>
            <sz val="9"/>
            <color indexed="81"/>
            <rFont val="Tahoma"/>
            <family val="2"/>
          </rPr>
          <t>Sopcak, Zachary (Research):</t>
        </r>
        <r>
          <rPr>
            <sz val="9"/>
            <color indexed="81"/>
            <rFont val="Tahoma"/>
            <family val="2"/>
          </rPr>
          <t xml:space="preserve">
3Q15: 693 to 703
2Q15: 695 to 705
695 to 715</t>
        </r>
      </text>
    </comment>
    <comment ref="AF51" authorId="3">
      <text>
        <r>
          <rPr>
            <sz val="8"/>
            <color indexed="81"/>
            <rFont val="Tahoma"/>
            <family val="2"/>
          </rPr>
          <t>As of 3/31/06 had 8.1m shares available. On May 24, 2006, the Board of Directors of Express Scripts, Inc. (the “Company”) authorized an increase in the aggregate amount of shares which the Company may repurchase under its share repurchase program from 38 million shares to 48 million shares.</t>
        </r>
      </text>
    </comment>
    <comment ref="AM51" authorId="3">
      <text>
        <r>
          <rPr>
            <sz val="8"/>
            <color indexed="81"/>
            <rFont val="Tahoma"/>
            <family val="2"/>
          </rPr>
          <t>Max number of shares that may be repurchased under stock repurchase program (from 10K)</t>
        </r>
      </text>
    </comment>
    <comment ref="AO51" authorId="3">
      <text>
        <r>
          <rPr>
            <sz val="8"/>
            <color indexed="81"/>
            <rFont val="Tahoma"/>
            <family val="2"/>
          </rPr>
          <t>From 10Q</t>
        </r>
      </text>
    </comment>
    <comment ref="AQ51" authorId="3">
      <text>
        <r>
          <rPr>
            <sz val="8"/>
            <color indexed="81"/>
            <rFont val="Tahoma"/>
            <family val="2"/>
          </rPr>
          <t>Board increased share repurchase program by an additional $15M shares (CYQ208 PR)</t>
        </r>
      </text>
    </comment>
    <comment ref="BE51" authorId="0">
      <text>
        <r>
          <rPr>
            <b/>
            <sz val="8"/>
            <color indexed="81"/>
            <rFont val="Tahoma"/>
            <family val="2"/>
          </rPr>
          <t>4/27/11:</t>
        </r>
        <r>
          <rPr>
            <sz val="8"/>
            <color indexed="81"/>
            <rFont val="Tahoma"/>
            <family val="2"/>
          </rPr>
          <t xml:space="preserve">
increase in the number of shares authorized and available for repurchase by adding 50 million shares to its existing 15.1 million of residual shares under the prior authorization. Therefore, a total of 65.1 million shares are available under the repurchase program</t>
        </r>
      </text>
    </comment>
    <comment ref="AE53" authorId="3">
      <text>
        <r>
          <rPr>
            <sz val="8"/>
            <color indexed="81"/>
            <rFont val="Tahoma"/>
            <family val="2"/>
          </rPr>
          <t>Typically don't repurchase in 1Q</t>
        </r>
      </text>
    </comment>
    <comment ref="AK53" authorId="3">
      <text>
        <r>
          <rPr>
            <sz val="8"/>
            <color indexed="81"/>
            <rFont val="Tahoma"/>
            <family val="2"/>
          </rPr>
          <t>14.1b authorized</t>
        </r>
      </text>
    </comment>
    <comment ref="AN53" authorId="3">
      <text>
        <r>
          <rPr>
            <sz val="8"/>
            <color indexed="81"/>
            <rFont val="Tahoma"/>
            <family val="2"/>
          </rPr>
          <t>During 2007 ESRX repurchased 23.1 mil shrs (from 4QCC)</t>
        </r>
      </text>
    </comment>
    <comment ref="AQ53" authorId="3">
      <text>
        <r>
          <rPr>
            <sz val="8"/>
            <color indexed="81"/>
            <rFont val="Tahoma"/>
            <family val="2"/>
          </rPr>
          <t>Company did not repurchase any shares (CY3Q08 - 10Q)</t>
        </r>
      </text>
    </comment>
    <comment ref="BF53" authorId="0">
      <text>
        <r>
          <rPr>
            <b/>
            <sz val="8"/>
            <color indexed="81"/>
            <rFont val="Tahoma"/>
            <family val="2"/>
          </rPr>
          <t>3Q11cc:</t>
        </r>
        <r>
          <rPr>
            <sz val="8"/>
            <color indexed="81"/>
            <rFont val="Tahoma"/>
            <family val="2"/>
          </rPr>
          <t xml:space="preserve">
During the quarter, one of our accelerated share repurchase agreements was settled, resulting in the receipt of 1.9 million additional shares. The remaining ASR agreement is expected to be settled in the fourth quarter and we anticipate receiving approximately 1.8 million additional shares. </t>
        </r>
      </text>
    </comment>
    <comment ref="BG53" authorId="0">
      <text>
        <r>
          <rPr>
            <b/>
            <sz val="8"/>
            <color indexed="81"/>
            <rFont val="Tahoma"/>
            <family val="2"/>
          </rPr>
          <t xml:space="preserve">3Q11 10Q
</t>
        </r>
        <r>
          <rPr>
            <sz val="8"/>
            <color indexed="81"/>
            <rFont val="Tahoma"/>
            <family val="2"/>
          </rPr>
          <t>As of September 30, 2011, based on the daily
volume-weighted average price of our common stock since the effective date of the agreements, the
investment banks would be required to deliver 1.8 million shares</t>
        </r>
        <r>
          <rPr>
            <b/>
            <sz val="8"/>
            <color indexed="81"/>
            <rFont val="Tahoma"/>
            <family val="2"/>
          </rPr>
          <t xml:space="preserve">
scheandr:</t>
        </r>
        <r>
          <rPr>
            <sz val="8"/>
            <color indexed="81"/>
            <rFont val="Tahoma"/>
            <family val="2"/>
          </rPr>
          <t xml:space="preserve">
additional shares delivered from ASR based on average weighted stock price of $51.62</t>
        </r>
      </text>
    </comment>
    <comment ref="CL53" authorId="2">
      <text>
        <r>
          <rPr>
            <b/>
            <sz val="9"/>
            <color indexed="81"/>
            <rFont val="Tahoma"/>
            <family val="2"/>
          </rPr>
          <t>Garcia, Liza (Research):</t>
        </r>
        <r>
          <rPr>
            <sz val="9"/>
            <color indexed="81"/>
            <rFont val="Tahoma"/>
            <family val="2"/>
          </rPr>
          <t xml:space="preserve">
65.0mn authorized as of 4Q16 call</t>
        </r>
      </text>
    </comment>
    <comment ref="AL55" authorId="3">
      <text>
        <r>
          <rPr>
            <sz val="8"/>
            <color indexed="81"/>
            <rFont val="Tahoma"/>
            <family val="2"/>
          </rPr>
          <t>Average price paid per share (See Unregistered sales of equity securities and use of procees section)</t>
        </r>
      </text>
    </comment>
    <comment ref="AN55" authorId="3">
      <text>
        <r>
          <rPr>
            <sz val="8"/>
            <color indexed="81"/>
            <rFont val="Tahoma"/>
            <family val="2"/>
          </rPr>
          <t>Will be majority of CFO for 2007</t>
        </r>
      </text>
    </comment>
    <comment ref="AO55" authorId="3">
      <text>
        <r>
          <rPr>
            <sz val="8"/>
            <color indexed="81"/>
            <rFont val="Tahoma"/>
            <family val="2"/>
          </rPr>
          <t>From 10Q</t>
        </r>
      </text>
    </comment>
    <comment ref="AS56" authorId="3">
      <text>
        <r>
          <rPr>
            <sz val="8"/>
            <color indexed="81"/>
            <rFont val="Tahoma"/>
            <family val="2"/>
          </rPr>
          <t>Will be majority of CFO for 2008</t>
        </r>
      </text>
    </comment>
    <comment ref="BE56" authorId="0">
      <text>
        <r>
          <rPr>
            <b/>
            <sz val="8"/>
            <color indexed="81"/>
            <rFont val="Tahoma"/>
            <family val="2"/>
          </rPr>
          <t xml:space="preserve">5/28/11
</t>
        </r>
        <r>
          <rPr>
            <sz val="8"/>
            <color indexed="81"/>
            <rFont val="Tahoma"/>
            <family val="2"/>
          </rPr>
          <t>$1,750 million ASR -  initially receive approximately 29.4 million shares 
MS: assumes bought $750 M in open market before ASR</t>
        </r>
        <r>
          <rPr>
            <b/>
            <sz val="8"/>
            <color indexed="81"/>
            <rFont val="Tahoma"/>
            <family val="2"/>
          </rPr>
          <t xml:space="preserve">
4/27/11:</t>
        </r>
        <r>
          <rPr>
            <sz val="8"/>
            <color indexed="81"/>
            <rFont val="Tahoma"/>
            <family val="2"/>
          </rPr>
          <t xml:space="preserve">
$1.5 billion underwritten public offering of 3.125% senior notes due 2016 to yield 3.212%
it intends to use the net proceeds from the debt offering to repurchase its common stock under the existing share repurchase program, and for other general corporate purposes.</t>
        </r>
      </text>
    </comment>
    <comment ref="BG56" authorId="0">
      <text>
        <r>
          <rPr>
            <b/>
            <sz val="8"/>
            <color indexed="81"/>
            <rFont val="Tahoma"/>
            <family val="2"/>
          </rPr>
          <t>5/27/11:</t>
        </r>
        <r>
          <rPr>
            <sz val="8"/>
            <color indexed="81"/>
            <rFont val="Tahoma"/>
            <family val="2"/>
          </rPr>
          <t xml:space="preserve">
The ASR transactions are expected to end in the fourth quarter of 2011</t>
        </r>
      </text>
    </comment>
    <comment ref="BH56" authorId="0">
      <text>
        <r>
          <rPr>
            <b/>
            <sz val="8"/>
            <color indexed="81"/>
            <rFont val="Tahoma"/>
            <family val="2"/>
          </rPr>
          <t xml:space="preserve">1Q11cc: 
</t>
        </r>
        <r>
          <rPr>
            <sz val="8"/>
            <color indexed="81"/>
            <rFont val="Tahoma"/>
            <family val="2"/>
          </rPr>
          <t>issued $1.5 million in debt for share repurchases. 
Also assuming still applying majority of FCF</t>
        </r>
        <r>
          <rPr>
            <b/>
            <sz val="8"/>
            <color indexed="81"/>
            <rFont val="Tahoma"/>
            <family val="2"/>
          </rPr>
          <t xml:space="preserve">
4Q10cc:</t>
        </r>
        <r>
          <rPr>
            <sz val="8"/>
            <color indexed="81"/>
            <rFont val="Tahoma"/>
            <family val="2"/>
          </rPr>
          <t xml:space="preserve">
Use majority of FCF for share repurchases
it intends to use the net proceeds from the debt offering to repurchase its common stock under the existing share repurchase program, and for other general corporate purposes.</t>
        </r>
      </text>
    </comment>
    <comment ref="CF56" authorId="2">
      <text>
        <r>
          <rPr>
            <b/>
            <sz val="9"/>
            <color indexed="81"/>
            <rFont val="Tahoma"/>
            <family val="2"/>
          </rPr>
          <t>Garcia, Liza (Research):</t>
        </r>
        <r>
          <rPr>
            <sz val="9"/>
            <color indexed="81"/>
            <rFont val="Tahoma"/>
            <family val="2"/>
          </rPr>
          <t xml:space="preserve">
ncluding shares received under our accelerated share repurchase agreements (executed in February 2016 and April 2015), the Company repurchased a total of 74.4 million shares under our share repurchase program for $5,571.9 million during 2016.  In December 2016, the Board of Directors of the Company approved an increase in the authorized number of shares that may be repurchased under the share repurchase program by an additional 65.0 million shares. </t>
        </r>
      </text>
    </comment>
    <comment ref="BO60" authorId="9">
      <text>
        <r>
          <rPr>
            <b/>
            <sz val="8"/>
            <color indexed="81"/>
            <rFont val="Tahoma"/>
            <family val="2"/>
          </rPr>
          <t>saursing:</t>
        </r>
        <r>
          <rPr>
            <sz val="8"/>
            <color indexed="81"/>
            <rFont val="Tahoma"/>
            <family val="2"/>
          </rPr>
          <t xml:space="preserve">
$7.5M for non-controlling interest and $2M for depreciation items related to non-recurring transaction and integration costs that do not impact EBITDA calculation (see * footnote for Table 3 in 2Q13 press release)</t>
        </r>
      </text>
    </comment>
    <comment ref="K61" authorId="3">
      <text>
        <r>
          <rPr>
            <sz val="8"/>
            <color indexed="81"/>
            <rFont val="Tahoma"/>
            <family val="2"/>
          </rPr>
          <t>From press release</t>
        </r>
      </text>
    </comment>
    <comment ref="M61" authorId="3">
      <text>
        <r>
          <rPr>
            <sz val="8"/>
            <color indexed="81"/>
            <rFont val="Tahoma"/>
            <family val="2"/>
          </rPr>
          <t>From press release</t>
        </r>
      </text>
    </comment>
    <comment ref="BO61" authorId="9">
      <text>
        <r>
          <rPr>
            <b/>
            <sz val="8"/>
            <color indexed="81"/>
            <rFont val="Tahoma"/>
            <family val="2"/>
          </rPr>
          <t>saursing:</t>
        </r>
        <r>
          <rPr>
            <sz val="8"/>
            <color indexed="81"/>
            <rFont val="Tahoma"/>
            <family val="2"/>
          </rPr>
          <t xml:space="preserve">
$7.5M for non-controlling interest and $2M for depreciation items related to non-recurring transaction and integration costs that do not impact EBITDA calculation (see * footnote for Table 3 in 2Q13 press release)</t>
        </r>
      </text>
    </comment>
    <comment ref="BR61" authorId="5">
      <text>
        <r>
          <rPr>
            <b/>
            <sz val="8"/>
            <color indexed="81"/>
            <rFont val="Tahoma"/>
            <family val="2"/>
          </rPr>
          <t>3Q13 cc:
$395 to $405 million</t>
        </r>
        <r>
          <rPr>
            <sz val="8"/>
            <color indexed="81"/>
            <rFont val="Tahoma"/>
            <family val="2"/>
          </rPr>
          <t xml:space="preserve">
</t>
        </r>
      </text>
    </comment>
    <comment ref="BW61" authorId="5">
      <text>
        <r>
          <rPr>
            <b/>
            <sz val="8"/>
            <color indexed="81"/>
            <rFont val="Tahoma"/>
            <family val="2"/>
          </rPr>
          <t>3Q14 cc:
$400 to $420
1Q14 cc:
$400 to $420</t>
        </r>
        <r>
          <rPr>
            <sz val="8"/>
            <color indexed="81"/>
            <rFont val="Tahoma"/>
            <family val="2"/>
          </rPr>
          <t xml:space="preserve">
</t>
        </r>
      </text>
    </comment>
    <comment ref="CB61" authorId="6">
      <text>
        <r>
          <rPr>
            <sz val="9"/>
            <color indexed="81"/>
            <rFont val="Tahoma"/>
            <family val="2"/>
          </rPr>
          <t>3Q15:
415 to 435
2Q15:
420 to 440
4Q14:
420 to 460</t>
        </r>
      </text>
    </comment>
    <comment ref="CG61" authorId="8">
      <text>
        <r>
          <rPr>
            <b/>
            <sz val="9"/>
            <color indexed="81"/>
            <rFont val="Tahoma"/>
            <family val="2"/>
          </rPr>
          <t>Rosenblum, Mark (Research):</t>
        </r>
        <r>
          <rPr>
            <sz val="9"/>
            <color indexed="81"/>
            <rFont val="Tahoma"/>
            <family val="2"/>
          </rPr>
          <t xml:space="preserve">
1Q16 - 300 to 350</t>
        </r>
      </text>
    </comment>
    <comment ref="AV62" authorId="4">
      <text>
        <r>
          <rPr>
            <b/>
            <sz val="8"/>
            <color indexed="81"/>
            <rFont val="Tahoma"/>
            <family val="2"/>
          </rPr>
          <t>rickgold:</t>
        </r>
        <r>
          <rPr>
            <sz val="8"/>
            <color indexed="81"/>
            <rFont val="Tahoma"/>
            <family val="2"/>
          </rPr>
          <t xml:space="preserve">
Adjusting for non-recurring legal settlement + transaction related costs EBITDA WOULD BE $426.9 mill
</t>
        </r>
      </text>
    </comment>
    <comment ref="BJ62" authorId="9">
      <text>
        <r>
          <rPr>
            <b/>
            <sz val="8"/>
            <color indexed="81"/>
            <rFont val="Tahoma"/>
            <family val="2"/>
          </rPr>
          <t>saursing:</t>
        </r>
        <r>
          <rPr>
            <sz val="8"/>
            <color indexed="81"/>
            <rFont val="Tahoma"/>
            <family val="2"/>
          </rPr>
          <t xml:space="preserve">
$1,482.8M per 2Q13 release</t>
        </r>
      </text>
    </comment>
    <comment ref="BR62" authorId="5">
      <text>
        <r>
          <rPr>
            <b/>
            <sz val="8"/>
            <color indexed="81"/>
            <rFont val="Tahoma"/>
            <family val="2"/>
          </rPr>
          <t>3Qcc:
Up 15-18% over 2012</t>
        </r>
        <r>
          <rPr>
            <sz val="8"/>
            <color indexed="81"/>
            <rFont val="Tahoma"/>
            <family val="2"/>
          </rPr>
          <t xml:space="preserve">
</t>
        </r>
      </text>
    </comment>
    <comment ref="BW62" authorId="5">
      <text>
        <r>
          <rPr>
            <b/>
            <sz val="8"/>
            <color indexed="81"/>
            <rFont val="Tahoma"/>
            <family val="2"/>
          </rPr>
          <t>3Q14cc:
$6,750 to $6,850
1Q14cc:
$6,775 to $6,975</t>
        </r>
        <r>
          <rPr>
            <sz val="8"/>
            <color indexed="81"/>
            <rFont val="Tahoma"/>
            <family val="2"/>
          </rPr>
          <t xml:space="preserve">
</t>
        </r>
      </text>
    </comment>
    <comment ref="CB62" authorId="6">
      <text>
        <r>
          <rPr>
            <b/>
            <sz val="9"/>
            <color indexed="81"/>
            <rFont val="Tahoma"/>
            <family val="2"/>
          </rPr>
          <t>3Q15:
7,000 to 7,100
2Q15:
6960 to 7120
4Q14:
6925 to 7125</t>
        </r>
        <r>
          <rPr>
            <sz val="9"/>
            <color indexed="81"/>
            <rFont val="Tahoma"/>
            <family val="2"/>
          </rPr>
          <t xml:space="preserve">
</t>
        </r>
      </text>
    </comment>
    <comment ref="CG62" authorId="6">
      <text>
        <r>
          <rPr>
            <b/>
            <sz val="9"/>
            <color indexed="81"/>
            <rFont val="Tahoma"/>
            <family val="2"/>
          </rPr>
          <t>1Q16:
7,230 to 7,430
3Q15:
7,000 to 7,100
2Q15:
6960 to 7120
4Q14:
6925 to 7125</t>
        </r>
        <r>
          <rPr>
            <sz val="9"/>
            <color indexed="81"/>
            <rFont val="Tahoma"/>
            <family val="2"/>
          </rPr>
          <t xml:space="preserve">
</t>
        </r>
      </text>
    </comment>
    <comment ref="BO65" authorId="5">
      <text>
        <r>
          <rPr>
            <b/>
            <sz val="8"/>
            <color indexed="81"/>
            <rFont val="Tahoma"/>
            <family val="2"/>
          </rPr>
          <t>Includes $108M from large customer and UNH (8.04% without either)</t>
        </r>
        <r>
          <rPr>
            <sz val="8"/>
            <color indexed="81"/>
            <rFont val="Tahoma"/>
            <family val="2"/>
          </rPr>
          <t xml:space="preserve">
</t>
        </r>
      </text>
    </comment>
    <comment ref="BT65" authorId="5">
      <text>
        <r>
          <rPr>
            <b/>
            <sz val="8"/>
            <color indexed="81"/>
            <rFont val="Tahoma"/>
            <family val="2"/>
          </rPr>
          <t>includes $129.2 million from large client (8.06% without)</t>
        </r>
        <r>
          <rPr>
            <sz val="8"/>
            <color indexed="81"/>
            <rFont val="Tahoma"/>
            <family val="2"/>
          </rPr>
          <t xml:space="preserve">
</t>
        </r>
      </text>
    </comment>
    <comment ref="BO67" authorId="5">
      <text>
        <r>
          <rPr>
            <b/>
            <sz val="8"/>
            <color indexed="81"/>
            <rFont val="Tahoma"/>
            <family val="2"/>
          </rPr>
          <t>5.83% adjusting for large client and UNH</t>
        </r>
        <r>
          <rPr>
            <sz val="8"/>
            <color indexed="81"/>
            <rFont val="Tahoma"/>
            <family val="2"/>
          </rPr>
          <t xml:space="preserve">
</t>
        </r>
      </text>
    </comment>
    <comment ref="BT67" authorId="5">
      <text>
        <r>
          <rPr>
            <b/>
            <sz val="8"/>
            <color indexed="81"/>
            <rFont val="Tahoma"/>
            <family val="2"/>
          </rPr>
          <t>6.05% without large client</t>
        </r>
        <r>
          <rPr>
            <sz val="8"/>
            <color indexed="81"/>
            <rFont val="Tahoma"/>
            <family val="2"/>
          </rPr>
          <t xml:space="preserve">
</t>
        </r>
      </text>
    </comment>
    <comment ref="AA76" authorId="3">
      <text>
        <r>
          <rPr>
            <sz val="8"/>
            <color indexed="81"/>
            <rFont val="Tahoma"/>
            <family val="2"/>
          </rPr>
          <t>Effective tax rate would have been 37.5% if there wasn't a one-time tax benefit.</t>
        </r>
      </text>
    </comment>
    <comment ref="AL76" authorId="3">
      <text>
        <r>
          <rPr>
            <sz val="8"/>
            <color indexed="81"/>
            <rFont val="Tahoma"/>
            <family val="2"/>
          </rPr>
          <t>Increase in effective tax rate is primarily due to nondeductible penalty of $10.5 mil relating to settlement of a legal matter</t>
        </r>
      </text>
    </comment>
    <comment ref="AN76" authorId="3">
      <text>
        <r>
          <rPr>
            <sz val="8"/>
            <color indexed="81"/>
            <rFont val="Tahoma"/>
            <family val="2"/>
          </rPr>
          <t>New guidance is 36.7% to 36.8%</t>
        </r>
      </text>
    </comment>
    <comment ref="AP76" authorId="3">
      <text>
        <r>
          <rPr>
            <sz val="8"/>
            <color indexed="81"/>
            <rFont val="Tahoma"/>
            <family val="2"/>
          </rPr>
          <t>Six months ended June 30th, included discrete tax adjustments resulting in a tax benefit of $2.5M which reflect changes in our unrecognized tax benefits, primarily attributable to a lapse in the applicable statute of limitations (2Q08 - 10Q)</t>
        </r>
      </text>
    </comment>
    <comment ref="AQ76" authorId="3">
      <text>
        <r>
          <rPr>
            <sz val="8"/>
            <color indexed="81"/>
            <rFont val="Tahoma"/>
            <family val="2"/>
          </rPr>
          <t>The three and nine months ended September 30, 2008 include discrete tax adjustments resulting in a net tax benefit of $2.7 million and $5.2 million, respectively, attributable to lapses in the applicable statutes of limitations, favorable audit resolutions, and changes in our unrecognized tax benefits.
:
Includes a $2.7M non-recurring state tax benefit. Excluding this benefit tax rate would have been 36.43%</t>
        </r>
      </text>
    </comment>
    <comment ref="BC76" authorId="0">
      <text>
        <r>
          <rPr>
            <b/>
            <sz val="8"/>
            <color indexed="81"/>
            <rFont val="Tahoma"/>
            <family val="2"/>
          </rPr>
          <t>scheandr:</t>
        </r>
        <r>
          <rPr>
            <sz val="8"/>
            <color indexed="81"/>
            <rFont val="Tahoma"/>
            <family val="2"/>
          </rPr>
          <t xml:space="preserve">
37% - 37.5%</t>
        </r>
      </text>
    </comment>
    <comment ref="BM76" authorId="0">
      <text>
        <r>
          <rPr>
            <b/>
            <sz val="8"/>
            <color indexed="81"/>
            <rFont val="Tahoma"/>
            <family val="2"/>
          </rPr>
          <t>scheandr:</t>
        </r>
        <r>
          <rPr>
            <sz val="8"/>
            <color indexed="81"/>
            <rFont val="Tahoma"/>
            <family val="2"/>
          </rPr>
          <t xml:space="preserve">
ull year and second half 2012 adjusted effective tax rates of approximately 39% and 38%, respectively</t>
        </r>
      </text>
    </comment>
    <comment ref="BR76" authorId="5">
      <text>
        <r>
          <rPr>
            <b/>
            <sz val="8"/>
            <color indexed="81"/>
            <rFont val="Tahoma"/>
            <family val="2"/>
          </rPr>
          <t>3Q13 cc:
Expect 38.5% for the year</t>
        </r>
        <r>
          <rPr>
            <sz val="8"/>
            <color indexed="81"/>
            <rFont val="Tahoma"/>
            <family val="2"/>
          </rPr>
          <t xml:space="preserve">
</t>
        </r>
      </text>
    </comment>
    <comment ref="BW76" authorId="6">
      <text>
        <r>
          <rPr>
            <b/>
            <sz val="9"/>
            <color indexed="81"/>
            <rFont val="Tahoma"/>
            <family val="2"/>
          </rPr>
          <t>3Q14:
37.6% to 37.8%</t>
        </r>
        <r>
          <rPr>
            <sz val="9"/>
            <color indexed="81"/>
            <rFont val="Tahoma"/>
            <family val="2"/>
          </rPr>
          <t xml:space="preserve">
</t>
        </r>
      </text>
    </comment>
    <comment ref="CB76" authorId="6">
      <text>
        <r>
          <rPr>
            <b/>
            <sz val="9"/>
            <color indexed="81"/>
            <rFont val="Tahoma"/>
            <family val="2"/>
          </rPr>
          <t>3Q15: 
37.5% to 37.7%
2Q15: 
37.5% to 37.7%
4Q14:
37.3% to 37.7%</t>
        </r>
        <r>
          <rPr>
            <sz val="9"/>
            <color indexed="81"/>
            <rFont val="Tahoma"/>
            <family val="2"/>
          </rPr>
          <t xml:space="preserve">
</t>
        </r>
      </text>
    </comment>
    <comment ref="BR81" authorId="5">
      <text>
        <r>
          <rPr>
            <b/>
            <sz val="8"/>
            <color indexed="81"/>
            <rFont val="Tahoma"/>
            <family val="2"/>
          </rPr>
          <t xml:space="preserve">4Q12 cc
-8% to -10%
</t>
        </r>
      </text>
    </comment>
    <comment ref="BW83" authorId="5">
      <text>
        <r>
          <rPr>
            <b/>
            <sz val="8"/>
            <color indexed="81"/>
            <rFont val="Tahoma"/>
            <family val="2"/>
          </rPr>
          <t xml:space="preserve">2Q13 cc:
Long term EBIT growth </t>
        </r>
        <r>
          <rPr>
            <sz val="8"/>
            <color indexed="81"/>
            <rFont val="Tahoma"/>
            <family val="2"/>
          </rPr>
          <t xml:space="preserve">
6% to 12%</t>
        </r>
      </text>
    </comment>
    <comment ref="CB83" authorId="5">
      <text>
        <r>
          <rPr>
            <b/>
            <sz val="8"/>
            <color indexed="81"/>
            <rFont val="Tahoma"/>
            <family val="2"/>
          </rPr>
          <t>2Q13 cc:
Long term EBIT growth 
6% to 12%</t>
        </r>
        <r>
          <rPr>
            <sz val="8"/>
            <color indexed="81"/>
            <rFont val="Tahoma"/>
            <family val="2"/>
          </rPr>
          <t xml:space="preserve">
</t>
        </r>
      </text>
    </comment>
    <comment ref="AH86" authorId="3">
      <text>
        <r>
          <rPr>
            <sz val="8"/>
            <color indexed="81"/>
            <rFont val="Tahoma"/>
            <family val="2"/>
          </rPr>
          <t>Guidance is 27% to 35%</t>
        </r>
      </text>
    </comment>
    <comment ref="BW86" authorId="5">
      <text>
        <r>
          <rPr>
            <b/>
            <sz val="8"/>
            <color indexed="81"/>
            <rFont val="Tahoma"/>
            <family val="2"/>
          </rPr>
          <t>2Q13:
Long term guidance 10% to 20%
core 6% to 12%
capital deployment 4%-8%</t>
        </r>
        <r>
          <rPr>
            <sz val="8"/>
            <color indexed="81"/>
            <rFont val="Tahoma"/>
            <family val="2"/>
          </rPr>
          <t xml:space="preserve">
</t>
        </r>
      </text>
    </comment>
    <comment ref="CB86" authorId="5">
      <text>
        <r>
          <rPr>
            <b/>
            <sz val="8"/>
            <color indexed="81"/>
            <rFont val="Tahoma"/>
            <family val="2"/>
          </rPr>
          <t>2Q13:
Long term guidance 10% to 20%
core 6% to 12%
capital deployment 4%-8%</t>
        </r>
        <r>
          <rPr>
            <sz val="8"/>
            <color indexed="81"/>
            <rFont val="Tahoma"/>
            <family val="2"/>
          </rPr>
          <t xml:space="preserve">
</t>
        </r>
      </text>
    </comment>
    <comment ref="CG86" authorId="5">
      <text>
        <r>
          <rPr>
            <b/>
            <sz val="8"/>
            <color indexed="81"/>
            <rFont val="Tahoma"/>
            <family val="2"/>
          </rPr>
          <t>2Q13:
Long term guidance 10% to 20%
core 6% to 12%
capital deployment 4%-8%</t>
        </r>
        <r>
          <rPr>
            <sz val="8"/>
            <color indexed="81"/>
            <rFont val="Tahoma"/>
            <family val="2"/>
          </rPr>
          <t xml:space="preserve">
</t>
        </r>
      </text>
    </comment>
    <comment ref="CL86" authorId="5">
      <text>
        <r>
          <rPr>
            <b/>
            <sz val="8"/>
            <color indexed="81"/>
            <rFont val="Tahoma"/>
            <family val="2"/>
          </rPr>
          <t>2Q13:
Long term guidance 10% to 20%
core 6% to 12%
capital deployment 4%-8%</t>
        </r>
        <r>
          <rPr>
            <sz val="8"/>
            <color indexed="81"/>
            <rFont val="Tahoma"/>
            <family val="2"/>
          </rPr>
          <t xml:space="preserve">
</t>
        </r>
      </text>
    </comment>
    <comment ref="CQ86" authorId="5">
      <text>
        <r>
          <rPr>
            <b/>
            <sz val="8"/>
            <color indexed="81"/>
            <rFont val="Tahoma"/>
            <family val="2"/>
          </rPr>
          <t>2Q13:
Long term guidance 10% to 20%
core 6% to 12%
capital deployment 4%-8%</t>
        </r>
        <r>
          <rPr>
            <sz val="8"/>
            <color indexed="81"/>
            <rFont val="Tahoma"/>
            <family val="2"/>
          </rPr>
          <t xml:space="preserve">
</t>
        </r>
      </text>
    </comment>
    <comment ref="CV86" authorId="5">
      <text>
        <r>
          <rPr>
            <b/>
            <sz val="8"/>
            <color indexed="81"/>
            <rFont val="Tahoma"/>
            <family val="2"/>
          </rPr>
          <t>2Q13:
Long term guidance 10% to 20%
core 6% to 12%
capital deployment 4%-8%</t>
        </r>
        <r>
          <rPr>
            <sz val="8"/>
            <color indexed="81"/>
            <rFont val="Tahoma"/>
            <family val="2"/>
          </rPr>
          <t xml:space="preserve">
</t>
        </r>
      </text>
    </comment>
    <comment ref="DA86" authorId="5">
      <text>
        <r>
          <rPr>
            <b/>
            <sz val="8"/>
            <color indexed="81"/>
            <rFont val="Tahoma"/>
            <family val="2"/>
          </rPr>
          <t>2Q13:
Long term guidance 10% to 20%
core 6% to 12%
capital deployment 4%-8%</t>
        </r>
        <r>
          <rPr>
            <sz val="8"/>
            <color indexed="81"/>
            <rFont val="Tahoma"/>
            <family val="2"/>
          </rPr>
          <t xml:space="preserve">
</t>
        </r>
      </text>
    </comment>
    <comment ref="DF86" authorId="5">
      <text>
        <r>
          <rPr>
            <b/>
            <sz val="8"/>
            <color indexed="81"/>
            <rFont val="Tahoma"/>
            <family val="2"/>
          </rPr>
          <t>2Q13:
Long term guidance 10% to 20%
core 6% to 12%
capital deployment 4%-8%</t>
        </r>
        <r>
          <rPr>
            <sz val="8"/>
            <color indexed="81"/>
            <rFont val="Tahoma"/>
            <family val="2"/>
          </rPr>
          <t xml:space="preserve">
</t>
        </r>
      </text>
    </comment>
    <comment ref="AM96" authorId="3">
      <text>
        <r>
          <rPr>
            <sz val="8"/>
            <color indexed="81"/>
            <rFont val="Tahoma"/>
            <family val="2"/>
          </rPr>
          <t>$2.2 mil of this is restricted cash &amp; investments</t>
        </r>
      </text>
    </comment>
    <comment ref="AP100" authorId="3">
      <text>
        <r>
          <rPr>
            <sz val="8"/>
            <color indexed="81"/>
            <rFont val="Tahoma"/>
            <family val="2"/>
          </rPr>
          <t xml:space="preserve">Includes short term investment, prepaid expense and restricted cash.
</t>
        </r>
      </text>
    </comment>
    <comment ref="AR100" authorId="3">
      <text>
        <r>
          <rPr>
            <sz val="8"/>
            <color indexed="81"/>
            <rFont val="Tahoma"/>
            <family val="2"/>
          </rPr>
          <t xml:space="preserve">Includes short term investment, prepaid expense and restricted cash.
</t>
        </r>
      </text>
    </comment>
    <comment ref="AU100" authorId="3">
      <text>
        <r>
          <rPr>
            <sz val="8"/>
            <color indexed="81"/>
            <rFont val="Tahoma"/>
            <family val="2"/>
          </rPr>
          <t xml:space="preserve">Includes short term investment, prepaid expense and restricted cash.
</t>
        </r>
      </text>
    </comment>
    <comment ref="AV100" authorId="3">
      <text>
        <r>
          <rPr>
            <sz val="8"/>
            <color indexed="81"/>
            <rFont val="Tahoma"/>
            <family val="2"/>
          </rPr>
          <t xml:space="preserve">Includes short term investment, prepaid expense and restricted cash.
</t>
        </r>
      </text>
    </comment>
    <comment ref="AM101" authorId="3">
      <text>
        <r>
          <rPr>
            <sz val="8"/>
            <color indexed="81"/>
            <rFont val="Tahoma"/>
            <family val="2"/>
          </rPr>
          <t>$40.4mil of discontinued operations from specialty infusion</t>
        </r>
      </text>
    </comment>
    <comment ref="AP104" authorId="3">
      <text>
        <r>
          <rPr>
            <sz val="8"/>
            <color indexed="81"/>
            <rFont val="Tahoma"/>
            <family val="2"/>
          </rPr>
          <t>Includes Canadian long-lived assets (mostly fixed) of ~$25.7M (CY 2Q08 - 10Q)</t>
        </r>
      </text>
    </comment>
    <comment ref="AR104" authorId="3">
      <text>
        <r>
          <rPr>
            <sz val="8"/>
            <color indexed="81"/>
            <rFont val="Tahoma"/>
            <family val="2"/>
          </rPr>
          <t>Includes Canadian long-lived assets (mostly fixed) of ~$25.7M (CY 2Q08 - 10Q)</t>
        </r>
      </text>
    </comment>
    <comment ref="AS104" authorId="3">
      <text>
        <r>
          <rPr>
            <sz val="8"/>
            <color indexed="81"/>
            <rFont val="Tahoma"/>
            <family val="2"/>
          </rPr>
          <t>Includes Canadian long-lived assets (mostly fixed) of ~$25.7M (CY 2Q08 - 10Q)</t>
        </r>
      </text>
    </comment>
    <comment ref="AQ105" authorId="3">
      <text>
        <r>
          <rPr>
            <sz val="8"/>
            <color indexed="81"/>
            <rFont val="Tahoma"/>
            <family val="2"/>
          </rPr>
          <t>Added MSC acquisition to goodwill until close ($248M)</t>
        </r>
      </text>
    </comment>
    <comment ref="B113" authorId="0">
      <text>
        <r>
          <rPr>
            <b/>
            <sz val="8"/>
            <color indexed="81"/>
            <rFont val="Tahoma"/>
            <family val="2"/>
          </rPr>
          <t>scheandr:</t>
        </r>
        <r>
          <rPr>
            <sz val="8"/>
            <color indexed="81"/>
            <rFont val="Tahoma"/>
            <family val="2"/>
          </rPr>
          <t xml:space="preserve">
impact of tax benefit of acquisition $115 million a year</t>
        </r>
      </text>
    </comment>
    <comment ref="AO113" authorId="3">
      <text>
        <r>
          <rPr>
            <sz val="8"/>
            <color indexed="81"/>
            <rFont val="Tahoma"/>
            <family val="2"/>
          </rPr>
          <t>$6.4M in discontinued operations</t>
        </r>
      </text>
    </comment>
    <comment ref="AY113" authorId="0">
      <text>
        <r>
          <rPr>
            <b/>
            <sz val="8"/>
            <color indexed="81"/>
            <rFont val="Tahoma"/>
            <family val="2"/>
          </rPr>
          <t>scheandr:</t>
        </r>
        <r>
          <rPr>
            <sz val="8"/>
            <color indexed="81"/>
            <rFont val="Tahoma"/>
            <family val="2"/>
          </rPr>
          <t xml:space="preserve">
impact of tax benefit of acquisition $115 million a year</t>
        </r>
      </text>
    </comment>
    <comment ref="BE113" authorId="10">
      <text>
        <r>
          <rPr>
            <b/>
            <sz val="8"/>
            <color indexed="81"/>
            <rFont val="Tahoma"/>
            <family val="2"/>
          </rPr>
          <t>everetti:</t>
        </r>
        <r>
          <rPr>
            <sz val="8"/>
            <color indexed="81"/>
            <rFont val="Tahoma"/>
            <family val="2"/>
          </rPr>
          <t xml:space="preserve">
accrued expenses
</t>
        </r>
      </text>
    </comment>
    <comment ref="BP122" authorId="11">
      <text>
        <r>
          <rPr>
            <b/>
            <sz val="8"/>
            <color indexed="81"/>
            <rFont val="Tahoma"/>
            <family val="2"/>
          </rPr>
          <t>murphjul:</t>
        </r>
        <r>
          <rPr>
            <sz val="8"/>
            <color indexed="81"/>
            <rFont val="Tahoma"/>
            <family val="2"/>
          </rPr>
          <t xml:space="preserve">
Includes Common stock in treasury at cost, 24.9 and zero shares, and non-controlling interest</t>
        </r>
      </text>
    </comment>
    <comment ref="AW127" authorId="0">
      <text>
        <r>
          <rPr>
            <b/>
            <sz val="8"/>
            <color indexed="81"/>
            <rFont val="Tahoma"/>
            <family val="2"/>
          </rPr>
          <t>scheandr:</t>
        </r>
        <r>
          <rPr>
            <sz val="8"/>
            <color indexed="81"/>
            <rFont val="Tahoma"/>
            <family val="2"/>
          </rPr>
          <t xml:space="preserve">
Change reflects Increase in Revenue for DOD contract</t>
        </r>
      </text>
    </comment>
    <comment ref="AX127" authorId="0">
      <text>
        <r>
          <rPr>
            <b/>
            <sz val="8"/>
            <color indexed="81"/>
            <rFont val="Tahoma"/>
            <family val="2"/>
          </rPr>
          <t>scheandr:</t>
        </r>
        <r>
          <rPr>
            <sz val="8"/>
            <color indexed="81"/>
            <rFont val="Tahoma"/>
            <family val="2"/>
          </rPr>
          <t xml:space="preserve">
excludes assumed impact of NextRx acquired accounts receivable (30.8% including)</t>
        </r>
      </text>
    </comment>
    <comment ref="AW128" authorId="0">
      <text>
        <r>
          <rPr>
            <b/>
            <sz val="8"/>
            <color indexed="81"/>
            <rFont val="Tahoma"/>
            <family val="2"/>
          </rPr>
          <t>scheandr:</t>
        </r>
        <r>
          <rPr>
            <sz val="8"/>
            <color indexed="81"/>
            <rFont val="Tahoma"/>
            <family val="2"/>
          </rPr>
          <t xml:space="preserve">
Change reflects Increase in Revenue for DOD contract</t>
        </r>
      </text>
    </comment>
    <comment ref="AX128" authorId="0">
      <text>
        <r>
          <rPr>
            <b/>
            <sz val="8"/>
            <color indexed="81"/>
            <rFont val="Tahoma"/>
            <family val="2"/>
          </rPr>
          <t>scheandr:</t>
        </r>
        <r>
          <rPr>
            <sz val="8"/>
            <color indexed="81"/>
            <rFont val="Tahoma"/>
            <family val="2"/>
          </rPr>
          <t xml:space="preserve">
excludes assumed impact of NextRx acquired inventory (22.6% Including)</t>
        </r>
      </text>
    </comment>
    <comment ref="AW129" authorId="0">
      <text>
        <r>
          <rPr>
            <b/>
            <sz val="8"/>
            <color indexed="81"/>
            <rFont val="Tahoma"/>
            <family val="2"/>
          </rPr>
          <t>scheandr:</t>
        </r>
        <r>
          <rPr>
            <sz val="8"/>
            <color indexed="81"/>
            <rFont val="Tahoma"/>
            <family val="2"/>
          </rPr>
          <t xml:space="preserve">
Change reflects Increase in Revenue for DOD contract</t>
        </r>
      </text>
    </comment>
    <comment ref="AW130" authorId="0">
      <text>
        <r>
          <rPr>
            <b/>
            <sz val="8"/>
            <color indexed="81"/>
            <rFont val="Tahoma"/>
            <family val="2"/>
          </rPr>
          <t>scheandr:</t>
        </r>
        <r>
          <rPr>
            <sz val="8"/>
            <color indexed="81"/>
            <rFont val="Tahoma"/>
            <family val="2"/>
          </rPr>
          <t xml:space="preserve">
Change reflects Increase in Revenue for DOD contract</t>
        </r>
      </text>
    </comment>
    <comment ref="AX130" authorId="0">
      <text>
        <r>
          <rPr>
            <b/>
            <sz val="8"/>
            <color indexed="81"/>
            <rFont val="Tahoma"/>
            <family val="2"/>
          </rPr>
          <t>scheandr:</t>
        </r>
        <r>
          <rPr>
            <sz val="8"/>
            <color indexed="81"/>
            <rFont val="Tahoma"/>
            <family val="2"/>
          </rPr>
          <t xml:space="preserve">
excludes assumed impact of NextRx acquired accounts payable (44.9% Including)</t>
        </r>
      </text>
    </comment>
    <comment ref="AW134" authorId="0">
      <text>
        <r>
          <rPr>
            <b/>
            <sz val="8"/>
            <color indexed="81"/>
            <rFont val="Tahoma"/>
            <family val="2"/>
          </rPr>
          <t>scheandr:</t>
        </r>
        <r>
          <rPr>
            <sz val="8"/>
            <color indexed="81"/>
            <rFont val="Tahoma"/>
            <family val="2"/>
          </rPr>
          <t xml:space="preserve">
optimal for us is strong investment grade credit, which means one to two times leverage we think. After the close, we are just about there (3Q09 CC)</t>
        </r>
      </text>
    </comment>
    <comment ref="BP134" authorId="5">
      <text>
        <r>
          <rPr>
            <b/>
            <sz val="8"/>
            <color indexed="81"/>
            <rFont val="Tahoma"/>
            <family val="2"/>
          </rPr>
          <t>3Q13 cc:
Over the long term, we expect to maintain our current debt-to-EBITDA ratio of approximately
2 times, and return the majority of our free cash flow to shareholders.</t>
        </r>
        <r>
          <rPr>
            <sz val="8"/>
            <color indexed="81"/>
            <rFont val="Tahoma"/>
            <family val="2"/>
          </rPr>
          <t xml:space="preserve">
</t>
        </r>
      </text>
    </comment>
    <comment ref="AZ139" authorId="0">
      <text>
        <r>
          <rPr>
            <b/>
            <sz val="8"/>
            <color indexed="81"/>
            <rFont val="Tahoma"/>
            <family val="2"/>
          </rPr>
          <t>:2Q10</t>
        </r>
        <r>
          <rPr>
            <sz val="8"/>
            <color indexed="81"/>
            <rFont val="Tahoma"/>
            <family val="2"/>
          </rPr>
          <t xml:space="preserve">
includes $0.4 for tax impact on loss from discontinued operations</t>
        </r>
      </text>
    </comment>
    <comment ref="BH143" authorId="0">
      <text>
        <r>
          <rPr>
            <b/>
            <sz val="8"/>
            <color indexed="81"/>
            <rFont val="Tahoma"/>
            <family val="2"/>
          </rPr>
          <t>3QCC:</t>
        </r>
        <r>
          <rPr>
            <sz val="8"/>
            <color indexed="81"/>
            <rFont val="Tahoma"/>
            <family val="2"/>
          </rPr>
          <t xml:space="preserve">
$2.2 billion to $2.4 billion</t>
        </r>
      </text>
    </comment>
    <comment ref="BP143" authorId="5">
      <text>
        <r>
          <rPr>
            <b/>
            <sz val="8"/>
            <color indexed="81"/>
            <rFont val="Tahoma"/>
            <family val="2"/>
          </rPr>
          <t>3Q13 cc:
We continue to make progress on migrating these cycles. However, we now think some of the cash flow benefits may be realized in early 2014 and
not 2013. Therefore, due to this timing delay, we are adjusting our cash flow guidance range to $4 billion to $4.5 billion for the year. Our year-to-date
cash conversion ratio stands at 1.4 times GAAP net income, which is a healthy measure for cash generation.</t>
        </r>
        <r>
          <rPr>
            <sz val="8"/>
            <color indexed="81"/>
            <rFont val="Tahoma"/>
            <family val="2"/>
          </rPr>
          <t xml:space="preserve">
</t>
        </r>
      </text>
    </comment>
    <comment ref="BR143" authorId="5">
      <text>
        <r>
          <rPr>
            <b/>
            <sz val="8"/>
            <color indexed="81"/>
            <rFont val="Tahoma"/>
            <family val="2"/>
          </rPr>
          <t>3Q13 cc:
$4.0B to $4.5B</t>
        </r>
        <r>
          <rPr>
            <sz val="8"/>
            <color indexed="81"/>
            <rFont val="Tahoma"/>
            <family val="2"/>
          </rPr>
          <t xml:space="preserve">
</t>
        </r>
      </text>
    </comment>
    <comment ref="BW143" authorId="5">
      <text>
        <r>
          <rPr>
            <b/>
            <sz val="8"/>
            <color indexed="81"/>
            <rFont val="Tahoma"/>
            <family val="2"/>
          </rPr>
          <t>3Q14cc:
reiterated
2Q14cc:
$4550 to $5150</t>
        </r>
        <r>
          <rPr>
            <sz val="8"/>
            <color indexed="81"/>
            <rFont val="Tahoma"/>
            <family val="2"/>
          </rPr>
          <t xml:space="preserve">
</t>
        </r>
      </text>
    </comment>
    <comment ref="CB143" authorId="6">
      <text>
        <r>
          <rPr>
            <b/>
            <sz val="9"/>
            <color indexed="81"/>
            <rFont val="Tahoma"/>
            <family val="2"/>
          </rPr>
          <t>3Q15:
4,500 to 5,000
2Q15:
4500 to 5000
4Q14:
4500 to 5000</t>
        </r>
        <r>
          <rPr>
            <sz val="9"/>
            <color indexed="81"/>
            <rFont val="Tahoma"/>
            <family val="2"/>
          </rPr>
          <t xml:space="preserve">
</t>
        </r>
      </text>
    </comment>
    <comment ref="BH145" authorId="0">
      <text>
        <r>
          <rPr>
            <b/>
            <sz val="8"/>
            <color indexed="81"/>
            <rFont val="Tahoma"/>
            <family val="2"/>
          </rPr>
          <t>1Q11cc:</t>
        </r>
        <r>
          <rPr>
            <sz val="8"/>
            <color indexed="81"/>
            <rFont val="Tahoma"/>
            <family val="2"/>
          </rPr>
          <t xml:space="preserve">
capital expenditures to increase year-over-year and non-capital expenses during the remainder of the year will offset the reduction in first quarter implementation expenses</t>
        </r>
      </text>
    </comment>
    <comment ref="BW145" authorId="5">
      <text>
        <r>
          <rPr>
            <b/>
            <sz val="8"/>
            <color indexed="81"/>
            <rFont val="Tahoma"/>
            <family val="2"/>
          </rPr>
          <t>2Q14cc:
$400 to $450</t>
        </r>
        <r>
          <rPr>
            <sz val="8"/>
            <color indexed="81"/>
            <rFont val="Tahoma"/>
            <family val="2"/>
          </rPr>
          <t xml:space="preserve">
</t>
        </r>
      </text>
    </comment>
    <comment ref="CB145" authorId="6">
      <text>
        <r>
          <rPr>
            <b/>
            <sz val="9"/>
            <color indexed="81"/>
            <rFont val="Tahoma"/>
            <family val="2"/>
          </rPr>
          <t>Sopcak, Zachary (Research):</t>
        </r>
        <r>
          <rPr>
            <sz val="9"/>
            <color indexed="81"/>
            <rFont val="Tahoma"/>
            <family val="2"/>
          </rPr>
          <t xml:space="preserve">
3Q15:
300 to 330
2Q15:
300 to 350
300 to 400
</t>
        </r>
      </text>
    </comment>
    <comment ref="CK146" authorId="8">
      <text>
        <r>
          <rPr>
            <b/>
            <sz val="9"/>
            <color indexed="81"/>
            <rFont val="Tahoma"/>
            <family val="2"/>
          </rPr>
          <t>Rosenblum, Mark (Research):</t>
        </r>
        <r>
          <rPr>
            <sz val="9"/>
            <color indexed="81"/>
            <rFont val="Tahoma"/>
            <family val="2"/>
          </rPr>
          <t xml:space="preserve">
Evicore Acquisiiton</t>
        </r>
      </text>
    </comment>
    <comment ref="CO147" authorId="8">
      <text>
        <r>
          <rPr>
            <b/>
            <sz val="9"/>
            <color indexed="81"/>
            <rFont val="Tahoma"/>
            <family val="2"/>
          </rPr>
          <t>Rosenblum, Mark (Research):</t>
        </r>
        <r>
          <rPr>
            <sz val="9"/>
            <color indexed="81"/>
            <rFont val="Tahoma"/>
            <family val="2"/>
          </rPr>
          <t xml:space="preserve">
Lawsuit settlement</t>
        </r>
      </text>
    </comment>
    <comment ref="BL157" authorId="1">
      <text>
        <r>
          <rPr>
            <b/>
            <sz val="8"/>
            <color indexed="81"/>
            <rFont val="Tahoma"/>
            <family val="2"/>
          </rPr>
          <t>4q12:</t>
        </r>
        <r>
          <rPr>
            <sz val="8"/>
            <color indexed="81"/>
            <rFont val="Tahoma"/>
            <family val="2"/>
          </rPr>
          <t xml:space="preserve">
less cash attributable to discontinued operations</t>
        </r>
      </text>
    </comment>
  </commentList>
</comments>
</file>

<file path=xl/comments2.xml><?xml version="1.0" encoding="utf-8"?>
<comments xmlns="http://schemas.openxmlformats.org/spreadsheetml/2006/main">
  <authors>
    <author>Editor</author>
    <author>scheandr</author>
    <author>rickgold</author>
    <author>Garcia, Liza (Research)</author>
    <author>saursing</author>
    <author>Rosenblum, Mark (Research)</author>
    <author>sopcak</author>
    <author>Sopcak, Zachary (Research)</author>
  </authors>
  <commentList>
    <comment ref="M12" authorId="0">
      <text>
        <r>
          <rPr>
            <sz val="8"/>
            <color indexed="81"/>
            <rFont val="Tahoma"/>
            <family val="2"/>
          </rPr>
          <t xml:space="preserve"> estimate</t>
        </r>
      </text>
    </comment>
    <comment ref="V12" authorId="0">
      <text>
        <r>
          <rPr>
            <sz val="8"/>
            <color indexed="81"/>
            <rFont val="Tahoma"/>
            <family val="2"/>
          </rPr>
          <t>DOD retail contract started in June 04</t>
        </r>
      </text>
    </comment>
    <comment ref="AJ12" authorId="1">
      <text>
        <r>
          <rPr>
            <b/>
            <sz val="8"/>
            <color indexed="81"/>
            <rFont val="Tahoma"/>
            <family val="2"/>
          </rPr>
          <t>scheandr:</t>
        </r>
        <r>
          <rPr>
            <sz val="8"/>
            <color indexed="81"/>
            <rFont val="Tahoma"/>
            <family val="2"/>
          </rPr>
          <t xml:space="preserve">
Values restated for inclusion of copayments</t>
        </r>
      </text>
    </comment>
    <comment ref="AK12" authorId="1">
      <text>
        <r>
          <rPr>
            <b/>
            <sz val="8"/>
            <color indexed="81"/>
            <rFont val="Tahoma"/>
            <family val="2"/>
          </rPr>
          <t>scheandr:</t>
        </r>
        <r>
          <rPr>
            <sz val="8"/>
            <color indexed="81"/>
            <rFont val="Tahoma"/>
            <family val="2"/>
          </rPr>
          <t xml:space="preserve">
Values restated for inclusion of copayments</t>
        </r>
      </text>
    </comment>
    <comment ref="AL12" authorId="1">
      <text>
        <r>
          <rPr>
            <b/>
            <sz val="8"/>
            <color indexed="81"/>
            <rFont val="Tahoma"/>
            <family val="2"/>
          </rPr>
          <t>scheandr:</t>
        </r>
        <r>
          <rPr>
            <sz val="8"/>
            <color indexed="81"/>
            <rFont val="Tahoma"/>
            <family val="2"/>
          </rPr>
          <t xml:space="preserve">
Values restated for inclusion of copayments</t>
        </r>
      </text>
    </comment>
    <comment ref="AM12" authorId="1">
      <text>
        <r>
          <rPr>
            <b/>
            <sz val="8"/>
            <color indexed="81"/>
            <rFont val="Tahoma"/>
            <family val="2"/>
          </rPr>
          <t>scheandr:</t>
        </r>
        <r>
          <rPr>
            <sz val="8"/>
            <color indexed="81"/>
            <rFont val="Tahoma"/>
            <family val="2"/>
          </rPr>
          <t xml:space="preserve">
Values restated for inclusion of copayments</t>
        </r>
      </text>
    </comment>
    <comment ref="AO12" authorId="0">
      <text>
        <r>
          <rPr>
            <sz val="8"/>
            <color indexed="81"/>
            <rFont val="Tahoma"/>
            <family val="2"/>
          </rPr>
          <t>$34.8M of this increase is due to higher claims volumes and the other $23.9M was from a 1% increase in avg revenue per claim</t>
        </r>
      </text>
    </comment>
    <comment ref="AQ12" authorId="0">
      <text>
        <r>
          <rPr>
            <sz val="8"/>
            <color indexed="81"/>
            <rFont val="Tahoma"/>
            <family val="2"/>
          </rPr>
          <t xml:space="preserve">Include MSC acquisition in here - assume $200M in rev annually w/ 90% retail, 10% mail breakdown
: 
Network pharmacy revenues increased $36.4 million, or 0.4%, in the nine months ended September 30, 2008 from the same period in 2007.  Approximately $92.5 million of the increase in network pharmacy revenues is attributable to changes in volume.  This was offset by a decrease of approximately $56.1 million in network pharmacy revenues attributable to changes in price (CY3Q08 - 10Q)
</t>
        </r>
      </text>
    </comment>
    <comment ref="AW12" authorId="1">
      <text>
        <r>
          <rPr>
            <b/>
            <sz val="8"/>
            <color indexed="81"/>
            <rFont val="Tahoma"/>
            <family val="2"/>
          </rPr>
          <t>scheandr:</t>
        </r>
        <r>
          <rPr>
            <sz val="8"/>
            <color indexed="81"/>
            <rFont val="Tahoma"/>
            <family val="2"/>
          </rPr>
          <t xml:space="preserve">
New DoD contracts November 2009 $7-8B Annually 
Will be paid for the extra services (still admin fee per script) - about two months of this growth in Q4 So one sixth of $8 billion</t>
        </r>
      </text>
    </comment>
    <comment ref="AZ12" authorId="1">
      <text>
        <r>
          <rPr>
            <b/>
            <sz val="8"/>
            <color indexed="81"/>
            <rFont val="Tahoma"/>
            <family val="2"/>
          </rPr>
          <t>scheandr:</t>
        </r>
        <r>
          <rPr>
            <sz val="8"/>
            <color indexed="81"/>
            <rFont val="Tahoma"/>
            <family val="2"/>
          </rPr>
          <t xml:space="preserve">
a benefit of $30.0 million ($18.9 million net of tax) related to an amendment of a client contract which is reflected in revenue
Intangible amortization of $28.5 million ($17.9 million net of tax)</t>
        </r>
      </text>
    </comment>
    <comment ref="BC12" authorId="1">
      <text>
        <r>
          <rPr>
            <b/>
            <sz val="8"/>
            <color indexed="81"/>
            <rFont val="Tahoma"/>
            <family val="2"/>
          </rPr>
          <t>scheandr:</t>
        </r>
        <r>
          <rPr>
            <sz val="8"/>
            <color indexed="81"/>
            <rFont val="Tahoma"/>
            <family val="2"/>
          </rPr>
          <t xml:space="preserve">
The net impact of DOD from an accounting standpoint is that for a full year is about
an $8 billion increase in revenue again but no change to gross margin</t>
        </r>
      </text>
    </comment>
    <comment ref="BD12" authorId="1">
      <text>
        <r>
          <rPr>
            <b/>
            <sz val="8"/>
            <color indexed="81"/>
            <rFont val="Tahoma"/>
            <family val="2"/>
          </rPr>
          <t>1Q11 10Q:</t>
        </r>
        <r>
          <rPr>
            <sz val="8"/>
            <color indexed="81"/>
            <rFont val="Tahoma"/>
            <family val="2"/>
          </rPr>
          <t xml:space="preserve">
Approximately $138.2 million of this decrease is due to the mix of prescriptions processed at network pharmacies, partially offset by inflation. Our network generic fill rate increased to 75.0% of total network claims in the first quarter of 2011 as compared to 71.3% in the same period of 2010. The remaining decrease, approximately $118.6 million, is due to lower U.S. claims volumes.</t>
        </r>
      </text>
    </comment>
    <comment ref="AO14" authorId="1">
      <text>
        <r>
          <rPr>
            <b/>
            <sz val="8"/>
            <color indexed="81"/>
            <rFont val="Tahoma"/>
            <family val="2"/>
          </rPr>
          <t>scheandr:</t>
        </r>
        <r>
          <rPr>
            <sz val="8"/>
            <color indexed="81"/>
            <rFont val="Tahoma"/>
            <family val="2"/>
          </rPr>
          <t xml:space="preserve">
Mail value from before the change in reporting units</t>
        </r>
      </text>
    </comment>
    <comment ref="B17" authorId="0">
      <text>
        <r>
          <rPr>
            <sz val="8"/>
            <color indexed="81"/>
            <rFont val="Tahoma"/>
            <family val="2"/>
          </rPr>
          <t>PBM service revenue includes administrative fees associated with the administration of retail pharmacy networks contracted by certain clients, market research programs and informed decision counseling services (CY3Q08 - 10Q)</t>
        </r>
      </text>
    </comment>
    <comment ref="E17" authorId="0">
      <text>
        <r>
          <rPr>
            <sz val="8"/>
            <color indexed="81"/>
            <rFont val="Tahoma"/>
            <family val="2"/>
          </rPr>
          <t>includes "Other Rev" of $10.423 mm</t>
        </r>
      </text>
    </comment>
    <comment ref="F17" authorId="0">
      <text>
        <r>
          <rPr>
            <sz val="8"/>
            <color indexed="81"/>
            <rFont val="Tahoma"/>
            <family val="2"/>
          </rPr>
          <t>Estimate</t>
        </r>
      </text>
    </comment>
    <comment ref="K17" authorId="0">
      <text>
        <r>
          <rPr>
            <sz val="8"/>
            <color indexed="81"/>
            <rFont val="Tahoma"/>
            <family val="2"/>
          </rPr>
          <t>Estimate</t>
        </r>
      </text>
    </comment>
    <comment ref="AQ17" authorId="0">
      <text>
        <r>
          <rPr>
            <sz val="8"/>
            <color indexed="81"/>
            <rFont val="Tahoma"/>
            <family val="2"/>
          </rPr>
          <t>From 10-Q</t>
        </r>
      </text>
    </comment>
    <comment ref="BD17" authorId="1">
      <text>
        <r>
          <rPr>
            <b/>
            <sz val="8"/>
            <color indexed="81"/>
            <rFont val="Tahoma"/>
            <family val="2"/>
          </rPr>
          <t>1Q11 10Q:</t>
        </r>
        <r>
          <rPr>
            <sz val="8"/>
            <color indexed="81"/>
            <rFont val="Tahoma"/>
            <family val="2"/>
          </rPr>
          <t xml:space="preserve">
Revenue related to Canadian claims represents administrative fees received for processing claims and is reflected in service revenues.
Service revenue includes administrative fees associated with the administration of retail pharmacy networks contracted by certain clients, medication counseling services and certain specialty distribution services.</t>
        </r>
      </text>
    </comment>
    <comment ref="AV21" authorId="2">
      <text>
        <r>
          <rPr>
            <b/>
            <sz val="8"/>
            <color indexed="81"/>
            <rFont val="Tahoma"/>
            <family val="2"/>
          </rPr>
          <t>rickgold:</t>
        </r>
        <r>
          <rPr>
            <sz val="8"/>
            <color indexed="81"/>
            <rFont val="Tahoma"/>
            <family val="2"/>
          </rPr>
          <t xml:space="preserve">
Rev down y/y due to decline in Specialty Distribution relating to slowdown in sales volume of a few specific drugs</t>
        </r>
      </text>
    </comment>
    <comment ref="AY22" authorId="1">
      <text>
        <r>
          <rPr>
            <b/>
            <sz val="8"/>
            <color indexed="81"/>
            <rFont val="Tahoma"/>
            <family val="2"/>
          </rPr>
          <t>scheandr:</t>
        </r>
        <r>
          <rPr>
            <sz val="8"/>
            <color indexed="81"/>
            <rFont val="Tahoma"/>
            <family val="2"/>
          </rPr>
          <t xml:space="preserve">
adjusted for discontinued operations</t>
        </r>
      </text>
    </comment>
    <comment ref="CF22" authorId="3">
      <text>
        <r>
          <rPr>
            <b/>
            <sz val="9"/>
            <color indexed="81"/>
            <rFont val="Tahoma"/>
            <family val="2"/>
          </rPr>
          <t>Garcia, Liza (Research): 10-K page 74</t>
        </r>
        <r>
          <rPr>
            <sz val="9"/>
            <color indexed="81"/>
            <rFont val="Tahoma"/>
            <family val="2"/>
          </rPr>
          <t xml:space="preserve">
Other Business Operations service revenues, total revenues and operating income as of December 31, 2016 includes an out-of-period adjustment due
to an overstatement of prior period revenues which decreased service revenues, total revenues and operating income by $86.1 million. We recognized
the cumulative effect of this correction within our consolidated statement of operations in the fourth quarter of 2016. If we had presented this out-ofperiod
adjustment within the respective prior years, the correction would have decreased service revenues, total revenues and operating income by
$70.5 million during 2015 and $19.7 million for 2014 and increased service revenues, total revenues and operating income by $4.1 million for 2013
through 2012. We consider these adjustments to be immaterial to 2016 and prior periods, individually and in the aggregate.
</t>
        </r>
      </text>
    </comment>
    <comment ref="B24" authorId="4">
      <text>
        <r>
          <rPr>
            <b/>
            <sz val="8"/>
            <color indexed="81"/>
            <rFont val="Tahoma"/>
            <family val="2"/>
          </rPr>
          <t>saursing:</t>
        </r>
        <r>
          <rPr>
            <sz val="8"/>
            <color indexed="81"/>
            <rFont val="Tahoma"/>
            <family val="2"/>
          </rPr>
          <t xml:space="preserve">
Other Business Ops + Service Revenues</t>
        </r>
      </text>
    </comment>
    <comment ref="AJ33" authorId="1">
      <text>
        <r>
          <rPr>
            <b/>
            <sz val="8"/>
            <color indexed="81"/>
            <rFont val="Tahoma"/>
            <family val="2"/>
          </rPr>
          <t>scheandr:</t>
        </r>
        <r>
          <rPr>
            <sz val="8"/>
            <color indexed="81"/>
            <rFont val="Tahoma"/>
            <family val="2"/>
          </rPr>
          <t xml:space="preserve">
6.1% excluding impact of copayment restatement</t>
        </r>
      </text>
    </comment>
    <comment ref="AK33" authorId="1">
      <text>
        <r>
          <rPr>
            <b/>
            <sz val="8"/>
            <color indexed="81"/>
            <rFont val="Tahoma"/>
            <family val="2"/>
          </rPr>
          <t>scheandr:</t>
        </r>
        <r>
          <rPr>
            <sz val="8"/>
            <color indexed="81"/>
            <rFont val="Tahoma"/>
            <family val="2"/>
          </rPr>
          <t xml:space="preserve">
8.1% excluding impact of copayment restatement</t>
        </r>
      </text>
    </comment>
    <comment ref="AL33" authorId="1">
      <text>
        <r>
          <rPr>
            <b/>
            <sz val="8"/>
            <color indexed="81"/>
            <rFont val="Tahoma"/>
            <family val="2"/>
          </rPr>
          <t>scheandr:</t>
        </r>
        <r>
          <rPr>
            <sz val="8"/>
            <color indexed="81"/>
            <rFont val="Tahoma"/>
            <family val="2"/>
          </rPr>
          <t xml:space="preserve">
7.4% excluding impact of copayment restatement</t>
        </r>
      </text>
    </comment>
    <comment ref="AM33" authorId="1">
      <text>
        <r>
          <rPr>
            <b/>
            <sz val="8"/>
            <color indexed="81"/>
            <rFont val="Tahoma"/>
            <family val="2"/>
          </rPr>
          <t>scheandr:</t>
        </r>
        <r>
          <rPr>
            <sz val="8"/>
            <color indexed="81"/>
            <rFont val="Tahoma"/>
            <family val="2"/>
          </rPr>
          <t xml:space="preserve">
5.5% excluding impact of copayment restatement</t>
        </r>
      </text>
    </comment>
    <comment ref="AO33" authorId="0">
      <text>
        <r>
          <rPr>
            <sz val="8"/>
            <color indexed="81"/>
            <rFont val="Tahoma"/>
            <family val="2"/>
          </rPr>
          <t>Approximately $34.5M of the increase in revenues was from a change in volume ($84.3M - $49.8M (2Q)) &amp; $24.2M of the change was from price ($72.7M - $48.5M (2Q)) - 2Q08 10Q</t>
        </r>
      </text>
    </comment>
    <comment ref="AP33" authorId="0">
      <text>
        <r>
          <rPr>
            <sz val="8"/>
            <color indexed="81"/>
            <rFont val="Tahoma"/>
            <family val="2"/>
          </rPr>
          <t>Total network pharmacy revenues increase $98.3M due to a change in volumes and a change in price. ~$49.8M of the increase is due to higher claim volumes w/ the other $48.5M due to a change in price (which was driven by inflation and the mix of the generic prescriptions processed at network pharmacies) - 2Q08 - 10Q</t>
        </r>
      </text>
    </comment>
    <comment ref="B39" authorId="0">
      <text>
        <r>
          <rPr>
            <sz val="8"/>
            <color indexed="81"/>
            <rFont val="Tahoma"/>
            <family val="2"/>
          </rPr>
          <t>PBM service revenue includes administrative fees associated with the administration of retail pharmacy networks contracted by certain clients, market research programs and informed decision counseling services (CY3Q08 - 10Q)</t>
        </r>
      </text>
    </comment>
    <comment ref="AO39" authorId="1">
      <text>
        <r>
          <rPr>
            <sz val="8"/>
            <color indexed="81"/>
            <rFont val="Tahoma"/>
            <family val="2"/>
          </rPr>
          <t>9.0% y/y growth rate excluding impact of reporting unit restatement</t>
        </r>
      </text>
    </comment>
    <comment ref="AP39" authorId="1">
      <text>
        <r>
          <rPr>
            <sz val="8"/>
            <color indexed="81"/>
            <rFont val="Tahoma"/>
            <family val="2"/>
          </rPr>
          <t>15.2% y/y growth rate excluding impact of reporting unit restatement</t>
        </r>
      </text>
    </comment>
    <comment ref="AQ39" authorId="1">
      <text>
        <r>
          <rPr>
            <sz val="8"/>
            <color indexed="81"/>
            <rFont val="Tahoma"/>
            <family val="2"/>
          </rPr>
          <t>14.1% y/y growth rate excluding impact of reporting unit restatement</t>
        </r>
      </text>
    </comment>
    <comment ref="AR39" authorId="1">
      <text>
        <r>
          <rPr>
            <sz val="8"/>
            <color indexed="81"/>
            <rFont val="Tahoma"/>
            <family val="2"/>
          </rPr>
          <t>-4.7% y/y growth rate excluding impact of reporting unit restatement</t>
        </r>
      </text>
    </comment>
    <comment ref="AS39" authorId="1">
      <text>
        <r>
          <rPr>
            <sz val="8"/>
            <color indexed="81"/>
            <rFont val="Tahoma"/>
            <family val="2"/>
          </rPr>
          <t>8.2% y/y growth rate excluding impact of reporting unit restatement</t>
        </r>
      </text>
    </comment>
    <comment ref="CM39" authorId="5">
      <text>
        <r>
          <rPr>
            <b/>
            <sz val="9"/>
            <color indexed="81"/>
            <rFont val="Tahoma"/>
            <family val="2"/>
          </rPr>
          <t>Rosenblum, Mark (Research):</t>
        </r>
        <r>
          <rPr>
            <sz val="9"/>
            <color indexed="81"/>
            <rFont val="Tahoma"/>
            <family val="2"/>
          </rPr>
          <t xml:space="preserve">
loss of CTRX service fees - equalts ~$220M </t>
        </r>
      </text>
    </comment>
    <comment ref="CN39" authorId="5">
      <text>
        <r>
          <rPr>
            <b/>
            <sz val="9"/>
            <color indexed="81"/>
            <rFont val="Tahoma"/>
            <family val="2"/>
          </rPr>
          <t>Rosenblum, Mark (Research):</t>
        </r>
        <r>
          <rPr>
            <sz val="9"/>
            <color indexed="81"/>
            <rFont val="Tahoma"/>
            <family val="2"/>
          </rPr>
          <t xml:space="preserve">
loss of CTRX service fees</t>
        </r>
      </text>
    </comment>
    <comment ref="CO39" authorId="5">
      <text>
        <r>
          <rPr>
            <b/>
            <sz val="9"/>
            <color indexed="81"/>
            <rFont val="Tahoma"/>
            <family val="2"/>
          </rPr>
          <t>Rosenblum, Mark (Research):</t>
        </r>
        <r>
          <rPr>
            <sz val="9"/>
            <color indexed="81"/>
            <rFont val="Tahoma"/>
            <family val="2"/>
          </rPr>
          <t xml:space="preserve">
loss of CTRX service fees</t>
        </r>
      </text>
    </comment>
    <comment ref="CP39" authorId="5">
      <text>
        <r>
          <rPr>
            <b/>
            <sz val="9"/>
            <color indexed="81"/>
            <rFont val="Tahoma"/>
            <family val="2"/>
          </rPr>
          <t>Rosenblum, Mark (Research):</t>
        </r>
        <r>
          <rPr>
            <sz val="9"/>
            <color indexed="81"/>
            <rFont val="Tahoma"/>
            <family val="2"/>
          </rPr>
          <t xml:space="preserve">
loss of CTRX service fees</t>
        </r>
      </text>
    </comment>
    <comment ref="B58" authorId="0">
      <text>
        <r>
          <rPr>
            <sz val="8"/>
            <color indexed="81"/>
            <rFont val="Tahoma"/>
            <family val="2"/>
          </rPr>
          <t>PBM service revenue includes administrative fees associated with the administration of retail pharmacy networks contracted by certain clients, market research programs and informed decision counseling services (CY3Q08 - 10Q)</t>
        </r>
      </text>
    </comment>
    <comment ref="B65" authorId="0">
      <text>
        <r>
          <rPr>
            <sz val="8"/>
            <color indexed="81"/>
            <rFont val="Tahoma"/>
            <family val="2"/>
          </rPr>
          <t>source: 8-K's and earnings press-release</t>
        </r>
      </text>
    </comment>
    <comment ref="E67" authorId="0">
      <text>
        <r>
          <rPr>
            <sz val="8"/>
            <color indexed="81"/>
            <rFont val="Tahoma"/>
            <family val="2"/>
          </rPr>
          <t>includes 57.765 in claims from United Healthcare (contract ended on 5/31/00)</t>
        </r>
      </text>
    </comment>
    <comment ref="V67" authorId="0">
      <text>
        <r>
          <rPr>
            <sz val="8"/>
            <color indexed="81"/>
            <rFont val="Tahoma"/>
            <family val="2"/>
          </rPr>
          <t>DOD Tricare Retail contract started in 6/1/04</t>
        </r>
      </text>
    </comment>
    <comment ref="W67" authorId="0">
      <text>
        <r>
          <rPr>
            <sz val="8"/>
            <color indexed="81"/>
            <rFont val="Tahoma"/>
            <family val="2"/>
          </rPr>
          <t>Tri-care (DOD) retail implemented 6/1/04</t>
        </r>
      </text>
    </comment>
    <comment ref="AQ67" authorId="0">
      <text>
        <r>
          <rPr>
            <sz val="8"/>
            <color indexed="81"/>
            <rFont val="Tahoma"/>
            <family val="2"/>
          </rPr>
          <t>From CY 3Q08 PR</t>
        </r>
      </text>
    </comment>
    <comment ref="BW67" authorId="3">
      <text>
        <r>
          <rPr>
            <b/>
            <sz val="9"/>
            <color indexed="81"/>
            <rFont val="Tahoma"/>
            <family val="2"/>
          </rPr>
          <t>Garcia, Liza (Research):</t>
        </r>
        <r>
          <rPr>
            <sz val="9"/>
            <color indexed="81"/>
            <rFont val="Tahoma"/>
            <family val="2"/>
          </rPr>
          <t xml:space="preserve">
10-K 1073.8 per page 32</t>
        </r>
      </text>
    </comment>
    <comment ref="B71" authorId="2">
      <text>
        <r>
          <rPr>
            <b/>
            <sz val="8"/>
            <color indexed="81"/>
            <rFont val="Tahoma"/>
            <family val="2"/>
          </rPr>
          <t>rickgold:</t>
        </r>
        <r>
          <rPr>
            <sz val="8"/>
            <color indexed="81"/>
            <rFont val="Tahoma"/>
            <family val="2"/>
          </rPr>
          <t xml:space="preserve">
No adjustments for Specialty claims. Mail claims are multiplied by 3 </t>
        </r>
      </text>
    </comment>
    <comment ref="BW71" authorId="3">
      <text>
        <r>
          <rPr>
            <b/>
            <sz val="9"/>
            <color indexed="81"/>
            <rFont val="Tahoma"/>
            <family val="2"/>
          </rPr>
          <t>Garcia, Liza (Research):</t>
        </r>
        <r>
          <rPr>
            <sz val="9"/>
            <color indexed="81"/>
            <rFont val="Tahoma"/>
            <family val="2"/>
          </rPr>
          <t xml:space="preserve">
376.2 per 10-K page 32</t>
        </r>
      </text>
    </comment>
    <comment ref="AQ74" authorId="0">
      <text>
        <r>
          <rPr>
            <sz val="8"/>
            <color indexed="81"/>
            <rFont val="Tahoma"/>
            <family val="2"/>
          </rPr>
          <t>From CY 3Q08 PR</t>
        </r>
      </text>
    </comment>
    <comment ref="BO74" authorId="4">
      <text>
        <r>
          <rPr>
            <b/>
            <sz val="8"/>
            <color indexed="81"/>
            <rFont val="Tahoma"/>
            <family val="2"/>
          </rPr>
          <t>saursing:</t>
        </r>
        <r>
          <rPr>
            <sz val="8"/>
            <color indexed="81"/>
            <rFont val="Tahoma"/>
            <family val="2"/>
          </rPr>
          <t xml:space="preserve">
Adjustment to tie to total adjusted claims reported</t>
        </r>
      </text>
    </comment>
    <comment ref="AY77" authorId="1">
      <text>
        <r>
          <rPr>
            <b/>
            <sz val="8"/>
            <color indexed="81"/>
            <rFont val="Tahoma"/>
            <family val="2"/>
          </rPr>
          <t>scheandr:</t>
        </r>
        <r>
          <rPr>
            <sz val="8"/>
            <color indexed="81"/>
            <rFont val="Tahoma"/>
            <family val="2"/>
          </rPr>
          <t xml:space="preserve">
won eight new signature accounts, which we define as those accounts with a million or more annual scripts
Overall, we have won 238 new accounts
utilization trends have picked up some, but still trailing historic levels fairly broadly on pretty big margin (3Q09 CC)</t>
        </r>
      </text>
    </comment>
    <comment ref="BC77" authorId="1">
      <text>
        <r>
          <rPr>
            <b/>
            <sz val="8"/>
            <color indexed="81"/>
            <rFont val="Tahoma"/>
            <family val="2"/>
          </rPr>
          <t>scheandr:</t>
        </r>
        <r>
          <rPr>
            <sz val="8"/>
            <color indexed="81"/>
            <rFont val="Tahoma"/>
            <family val="2"/>
          </rPr>
          <t xml:space="preserve">
740-760 2-4% organic growth</t>
        </r>
      </text>
    </comment>
    <comment ref="BH77" authorId="1">
      <text>
        <r>
          <rPr>
            <b/>
            <sz val="8"/>
            <color indexed="81"/>
            <rFont val="Tahoma"/>
            <family val="2"/>
          </rPr>
          <t>3QCC:</t>
        </r>
        <r>
          <rPr>
            <sz val="8"/>
            <color indexed="81"/>
            <rFont val="Tahoma"/>
            <family val="2"/>
          </rPr>
          <t xml:space="preserve">
750 to 780 million</t>
        </r>
      </text>
    </comment>
    <comment ref="BM77" authorId="6">
      <text>
        <r>
          <rPr>
            <b/>
            <sz val="8"/>
            <color indexed="81"/>
            <rFont val="Tahoma"/>
            <family val="2"/>
          </rPr>
          <t>3Q12 cc:
1.4 billion</t>
        </r>
        <r>
          <rPr>
            <sz val="8"/>
            <color indexed="81"/>
            <rFont val="Tahoma"/>
            <family val="2"/>
          </rPr>
          <t xml:space="preserve">
</t>
        </r>
      </text>
    </comment>
    <comment ref="BR77" authorId="3">
      <text>
        <r>
          <rPr>
            <b/>
            <sz val="9"/>
            <color indexed="81"/>
            <rFont val="Tahoma"/>
            <family val="2"/>
          </rPr>
          <t>Garcia, Liza (Research):</t>
        </r>
        <r>
          <rPr>
            <sz val="9"/>
            <color indexed="81"/>
            <rFont val="Tahoma"/>
            <family val="2"/>
          </rPr>
          <t xml:space="preserve">
10-K 1478 continuing operations</t>
        </r>
      </text>
    </comment>
    <comment ref="BW77" authorId="3">
      <text>
        <r>
          <rPr>
            <b/>
            <sz val="9"/>
            <color indexed="81"/>
            <rFont val="Tahoma"/>
            <family val="2"/>
          </rPr>
          <t>Garcia, Liza (Research):</t>
        </r>
        <r>
          <rPr>
            <sz val="9"/>
            <color indexed="81"/>
            <rFont val="Tahoma"/>
            <family val="2"/>
          </rPr>
          <t xml:space="preserve">
10-K 1450.0</t>
        </r>
      </text>
    </comment>
    <comment ref="CL77" authorId="7">
      <text>
        <r>
          <rPr>
            <b/>
            <sz val="9"/>
            <color indexed="81"/>
            <rFont val="Tahoma"/>
            <family val="2"/>
          </rPr>
          <t>Loss of CVH non-PDP lives
on 1/1/17 rest of CVH, which is ~2.5 million (commercial risk + medicaid) to CVS) which is ~25 million Rx at 10Rx/person
-2% CVH
-3% retention (97%)
+1% utilization
+4% in group growth/wins
=0%</t>
        </r>
        <r>
          <rPr>
            <sz val="9"/>
            <color indexed="81"/>
            <rFont val="Tahoma"/>
            <family val="2"/>
          </rPr>
          <t xml:space="preserve">
</t>
        </r>
      </text>
    </comment>
    <comment ref="B78" authorId="0">
      <text>
        <r>
          <rPr>
            <sz val="8"/>
            <color indexed="81"/>
            <rFont val="Tahoma"/>
            <family val="2"/>
          </rPr>
          <t>Claims details comes from the 8-K's and/or the press releases.</t>
        </r>
      </text>
    </comment>
    <comment ref="AQ78" authorId="0">
      <text>
        <r>
          <rPr>
            <sz val="8"/>
            <color indexed="81"/>
            <rFont val="Tahoma"/>
            <family val="2"/>
          </rPr>
          <t>From CY 3Q08 PR</t>
        </r>
      </text>
    </comment>
    <comment ref="AV78" authorId="1">
      <text>
        <r>
          <rPr>
            <b/>
            <sz val="8"/>
            <color indexed="81"/>
            <rFont val="Tahoma"/>
            <family val="2"/>
          </rPr>
          <t>scheandr:</t>
        </r>
        <r>
          <rPr>
            <sz val="8"/>
            <color indexed="81"/>
            <rFont val="Tahoma"/>
            <family val="2"/>
          </rPr>
          <t xml:space="preserve">
up over 2%, due to medium [ph] start and increased utilization pattern (3Q09 CC)</t>
        </r>
      </text>
    </comment>
    <comment ref="BC78" authorId="3">
      <text>
        <r>
          <rPr>
            <b/>
            <sz val="9"/>
            <color indexed="81"/>
            <rFont val="Tahoma"/>
            <family val="2"/>
          </rPr>
          <t>Garcia, Liza (Research):</t>
        </r>
        <r>
          <rPr>
            <sz val="9"/>
            <color indexed="81"/>
            <rFont val="Tahoma"/>
            <family val="2"/>
          </rPr>
          <t xml:space="preserve">
Per 10-K Unadjusted values: The Company revised its methodology for reporting adjusted network claims for the year ending December 31, 2016. The change was made retrospectively for the years
ending December 31, 2015 and 2014. Due to the migration of claims data to one consolidated platform following the acquisition of Medco, we are unable to calculate the
adjusted number of claims under the revised methodology for the years ending December 31, 2013 and 2012. The revised methodology includes an adjustment to reflect
non-specialty network claims filled through our 90-day programs. These claims are now multiplied by three, as these claims, on average, typically cover a time period three
times longer than other network claims. Home delivery claims are also multiplied by three, consistent with prior practice, as home delivery claims typically cover a time
period three times longer than unadjusted network claims. All other network and specialty claims are counted as one claim.
</t>
        </r>
      </text>
    </comment>
    <comment ref="BH78" authorId="3">
      <text>
        <r>
          <rPr>
            <b/>
            <sz val="9"/>
            <color indexed="81"/>
            <rFont val="Tahoma"/>
            <family val="2"/>
          </rPr>
          <t>Garcia, Liza (Research):</t>
        </r>
        <r>
          <rPr>
            <sz val="9"/>
            <color indexed="81"/>
            <rFont val="Tahoma"/>
            <family val="2"/>
          </rPr>
          <t xml:space="preserve">
Per 10-K Unadjusted values: The Company revised its methodology for reporting adjusted network claims for the year ending December 31, 2016. The change was made retrospectively for the years
ending December 31, 2015 and 2014. Due to the migration of claims data to one consolidated platform following the acquisition of Medco, we are unable to calculate the
adjusted number of claims under the revised methodology for the years ending December 31, 2013 and 2012. The revised methodology includes an adjustment to reflect
non-specialty network claims filled through our 90-day programs. These claims are now multiplied by three, as these claims, on average, typically cover a time period three
times longer than other network claims. Home delivery claims are also multiplied by three, consistent with prior practice, as home delivery claims typically cover a time
period three times longer than unadjusted network claims. All other network and specialty claims are counted as one claim.
</t>
        </r>
      </text>
    </comment>
    <comment ref="BM78" authorId="3">
      <text>
        <r>
          <rPr>
            <b/>
            <sz val="9"/>
            <color indexed="81"/>
            <rFont val="Tahoma"/>
            <family val="2"/>
          </rPr>
          <t>Garcia, Liza (Research):</t>
        </r>
        <r>
          <rPr>
            <sz val="9"/>
            <color indexed="81"/>
            <rFont val="Tahoma"/>
            <family val="2"/>
          </rPr>
          <t xml:space="preserve">
Per 10-K Unadjusted values: The Company revised its methodology for reporting adjusted network claims for the year ending December 31, 2016. The change was made retrospectively for the years
ending December 31, 2015 and 2014. Due to the migration of claims data to one consolidated platform following the acquisition of Medco, we are unable to calculate the
adjusted number of claims under the revised methodology for the years ending December 31, 2013 and 2012. The revised methodology includes an adjustment to reflect
non-specialty network claims filled through our 90-day programs. These claims are now multiplied by three, as these claims, on average, typically cover a time period three
times longer than other network claims. Home delivery claims are also multiplied by three, consistent with prior practice, as home delivery claims typically cover a time
period three times longer than unadjusted network claims. All other network and specialty claims are counted as one claim.
</t>
        </r>
      </text>
    </comment>
    <comment ref="BR78" authorId="3">
      <text>
        <r>
          <rPr>
            <b/>
            <sz val="9"/>
            <color indexed="81"/>
            <rFont val="Tahoma"/>
            <family val="2"/>
          </rPr>
          <t>Garcia, Liza (Research):</t>
        </r>
        <r>
          <rPr>
            <sz val="9"/>
            <color indexed="81"/>
            <rFont val="Tahoma"/>
            <family val="2"/>
          </rPr>
          <t xml:space="preserve">
Per 10-K Unadjusted values: The Company revised its methodology for reporting adjusted network claims for the year ending December 31, 2016. The change was made retrospectively for the years
ending December 31, 2015 and 2014. Due to the migration of claims data to one consolidated platform following the acquisition of Medco, we are unable to calculate the
adjusted number of claims under the revised methodology for the years ending December 31, 2013 and 2012. The revised methodology includes an adjustment to reflect
non-specialty network claims filled through our 90-day programs. These claims are now multiplied by three, as these claims, on average, typically cover a time period three
times longer than other network claims. Home delivery claims are also multiplied by three, consistent with prior practice, as home delivery claims typically cover a time
period three times longer than unadjusted network claims. All other network and specialty claims are counted as one claim.
</t>
        </r>
      </text>
    </comment>
    <comment ref="B80" authorId="0">
      <text>
        <r>
          <rPr>
            <sz val="8"/>
            <color indexed="81"/>
            <rFont val="Tahoma"/>
            <family val="2"/>
          </rPr>
          <t>source: 8-K's and earnings press-release</t>
        </r>
      </text>
    </comment>
    <comment ref="E81" authorId="0">
      <text>
        <r>
          <rPr>
            <sz val="8"/>
            <color indexed="81"/>
            <rFont val="Tahoma"/>
            <family val="2"/>
          </rPr>
          <t>includes 57.765 in claims from United Healthcare (contract ended on 5/31/00)</t>
        </r>
      </text>
    </comment>
    <comment ref="V81" authorId="0">
      <text>
        <r>
          <rPr>
            <sz val="8"/>
            <color indexed="81"/>
            <rFont val="Tahoma"/>
            <family val="2"/>
          </rPr>
          <t>DOD Tricare Retail contract started in 6/1/04</t>
        </r>
      </text>
    </comment>
    <comment ref="W81" authorId="0">
      <text>
        <r>
          <rPr>
            <sz val="8"/>
            <color indexed="81"/>
            <rFont val="Tahoma"/>
            <family val="2"/>
          </rPr>
          <t>Tri-care (DOD) retail implemented 6/1/04</t>
        </r>
      </text>
    </comment>
    <comment ref="AQ81" authorId="0">
      <text>
        <r>
          <rPr>
            <sz val="8"/>
            <color indexed="81"/>
            <rFont val="Tahoma"/>
            <family val="2"/>
          </rPr>
          <t>From CY 3Q08 PR</t>
        </r>
      </text>
    </comment>
    <comment ref="B85" authorId="2">
      <text>
        <r>
          <rPr>
            <b/>
            <sz val="8"/>
            <color indexed="81"/>
            <rFont val="Tahoma"/>
            <family val="2"/>
          </rPr>
          <t>rickgold:</t>
        </r>
        <r>
          <rPr>
            <sz val="8"/>
            <color indexed="81"/>
            <rFont val="Tahoma"/>
            <family val="2"/>
          </rPr>
          <t xml:space="preserve">
No adjustments for Specialty claims. Mail claims are multiplied by 3 </t>
        </r>
      </text>
    </comment>
    <comment ref="AQ88" authorId="0">
      <text>
        <r>
          <rPr>
            <sz val="8"/>
            <color indexed="81"/>
            <rFont val="Tahoma"/>
            <family val="2"/>
          </rPr>
          <t>From CY 3Q08 PR</t>
        </r>
      </text>
    </comment>
    <comment ref="BO88" authorId="4">
      <text>
        <r>
          <rPr>
            <b/>
            <sz val="8"/>
            <color indexed="81"/>
            <rFont val="Tahoma"/>
            <family val="2"/>
          </rPr>
          <t>saursing:</t>
        </r>
        <r>
          <rPr>
            <sz val="8"/>
            <color indexed="81"/>
            <rFont val="Tahoma"/>
            <family val="2"/>
          </rPr>
          <t xml:space="preserve">
Adjustment to tie to total adjusted claims reported</t>
        </r>
      </text>
    </comment>
    <comment ref="AY91" authorId="1">
      <text>
        <r>
          <rPr>
            <b/>
            <sz val="8"/>
            <color indexed="81"/>
            <rFont val="Tahoma"/>
            <family val="2"/>
          </rPr>
          <t>scheandr:</t>
        </r>
        <r>
          <rPr>
            <sz val="8"/>
            <color indexed="81"/>
            <rFont val="Tahoma"/>
            <family val="2"/>
          </rPr>
          <t xml:space="preserve">
won eight new signature accounts, which we define as those accounts with a million or more annual scripts
Overall, we have won 238 new accounts
utilization trends have picked up some, but still trailing historic levels fairly broadly on pretty big margin (3Q09 CC)</t>
        </r>
      </text>
    </comment>
    <comment ref="BC91" authorId="1">
      <text>
        <r>
          <rPr>
            <b/>
            <sz val="8"/>
            <color indexed="81"/>
            <rFont val="Tahoma"/>
            <family val="2"/>
          </rPr>
          <t>scheandr:</t>
        </r>
        <r>
          <rPr>
            <sz val="8"/>
            <color indexed="81"/>
            <rFont val="Tahoma"/>
            <family val="2"/>
          </rPr>
          <t xml:space="preserve">
740-760 2-4% organic growth</t>
        </r>
      </text>
    </comment>
    <comment ref="BH91" authorId="1">
      <text>
        <r>
          <rPr>
            <b/>
            <sz val="8"/>
            <color indexed="81"/>
            <rFont val="Tahoma"/>
            <family val="2"/>
          </rPr>
          <t>3QCC:</t>
        </r>
        <r>
          <rPr>
            <sz val="8"/>
            <color indexed="81"/>
            <rFont val="Tahoma"/>
            <family val="2"/>
          </rPr>
          <t xml:space="preserve">
750 to 780 million</t>
        </r>
      </text>
    </comment>
    <comment ref="BM91" authorId="6">
      <text>
        <r>
          <rPr>
            <b/>
            <sz val="8"/>
            <color indexed="81"/>
            <rFont val="Tahoma"/>
            <family val="2"/>
          </rPr>
          <t>3Q12 cc:
1.4 billion</t>
        </r>
        <r>
          <rPr>
            <sz val="8"/>
            <color indexed="81"/>
            <rFont val="Tahoma"/>
            <family val="2"/>
          </rPr>
          <t xml:space="preserve">
</t>
        </r>
      </text>
    </comment>
    <comment ref="BO91" authorId="6">
      <text>
        <r>
          <rPr>
            <b/>
            <sz val="8"/>
            <color indexed="81"/>
            <rFont val="Tahoma"/>
            <family val="2"/>
          </rPr>
          <t>Down 11M UNH Rx y/y</t>
        </r>
        <r>
          <rPr>
            <sz val="8"/>
            <color indexed="81"/>
            <rFont val="Tahoma"/>
            <family val="2"/>
          </rPr>
          <t xml:space="preserve">
</t>
        </r>
      </text>
    </comment>
    <comment ref="BP91" authorId="6">
      <text>
        <r>
          <rPr>
            <b/>
            <sz val="8"/>
            <color indexed="81"/>
            <rFont val="Tahoma"/>
            <family val="2"/>
          </rPr>
          <t>Down 27M united Rx y/y</t>
        </r>
        <r>
          <rPr>
            <sz val="8"/>
            <color indexed="81"/>
            <rFont val="Tahoma"/>
            <family val="2"/>
          </rPr>
          <t xml:space="preserve">
</t>
        </r>
      </text>
    </comment>
    <comment ref="BQ91" authorId="6">
      <text>
        <r>
          <rPr>
            <b/>
            <sz val="8"/>
            <color indexed="81"/>
            <rFont val="Tahoma"/>
            <family val="2"/>
          </rPr>
          <t>Down 36M UNH lives y/y</t>
        </r>
        <r>
          <rPr>
            <sz val="8"/>
            <color indexed="81"/>
            <rFont val="Tahoma"/>
            <family val="2"/>
          </rPr>
          <t xml:space="preserve">
</t>
        </r>
      </text>
    </comment>
    <comment ref="BR91" authorId="6">
      <text>
        <r>
          <rPr>
            <b/>
            <sz val="8"/>
            <color indexed="81"/>
            <rFont val="Tahoma"/>
            <family val="2"/>
          </rPr>
          <t>3Q13 cc:
Guidance implies 1463 to 1478</t>
        </r>
        <r>
          <rPr>
            <sz val="8"/>
            <color indexed="81"/>
            <rFont val="Tahoma"/>
            <family val="2"/>
          </rPr>
          <t xml:space="preserve">
</t>
        </r>
      </text>
    </comment>
    <comment ref="BT91" authorId="6">
      <text>
        <r>
          <rPr>
            <b/>
            <sz val="8"/>
            <color indexed="81"/>
            <rFont val="Tahoma"/>
            <family val="2"/>
          </rPr>
          <t>1Q14 cc
315 to 335</t>
        </r>
        <r>
          <rPr>
            <sz val="8"/>
            <color indexed="81"/>
            <rFont val="Tahoma"/>
            <family val="2"/>
          </rPr>
          <t xml:space="preserve">
</t>
        </r>
      </text>
    </comment>
    <comment ref="BW91" authorId="2">
      <text>
        <r>
          <rPr>
            <b/>
            <sz val="8"/>
            <color indexed="81"/>
            <rFont val="Tahoma"/>
            <family val="2"/>
          </rPr>
          <t>2Q14cc:
1,275 to 1,325</t>
        </r>
      </text>
    </comment>
    <comment ref="BX91" authorId="7">
      <text>
        <r>
          <rPr>
            <b/>
            <sz val="9"/>
            <color indexed="81"/>
            <rFont val="Tahoma"/>
            <family val="2"/>
          </rPr>
          <t>4Q14:
295 to 315</t>
        </r>
        <r>
          <rPr>
            <sz val="9"/>
            <color indexed="81"/>
            <rFont val="Tahoma"/>
            <family val="2"/>
          </rPr>
          <t xml:space="preserve">
</t>
        </r>
      </text>
    </comment>
    <comment ref="BY91" authorId="7">
      <text>
        <r>
          <rPr>
            <b/>
            <sz val="9"/>
            <color indexed="81"/>
            <rFont val="Tahoma"/>
            <family val="2"/>
          </rPr>
          <t>1Q15:
310 to 330</t>
        </r>
        <r>
          <rPr>
            <sz val="9"/>
            <color indexed="81"/>
            <rFont val="Tahoma"/>
            <family val="2"/>
          </rPr>
          <t xml:space="preserve">
</t>
        </r>
      </text>
    </comment>
    <comment ref="BZ91" authorId="7">
      <text>
        <r>
          <rPr>
            <b/>
            <sz val="9"/>
            <color indexed="81"/>
            <rFont val="Tahoma"/>
            <family val="2"/>
          </rPr>
          <t>2Q15:
320 to 340</t>
        </r>
        <r>
          <rPr>
            <sz val="9"/>
            <color indexed="81"/>
            <rFont val="Tahoma"/>
            <family val="2"/>
          </rPr>
          <t xml:space="preserve">
</t>
        </r>
      </text>
    </comment>
    <comment ref="CB91" authorId="6">
      <text>
        <r>
          <rPr>
            <b/>
            <sz val="8"/>
            <color indexed="81"/>
            <rFont val="Tahoma"/>
            <family val="2"/>
          </rPr>
          <t>3Q15:
96% to 97% retention and 1,290 to 1,310 in adj claims
2Q15:
95% to 97% retention and 1,280 to 1,320 in adj claims
4Q14:
1280 to 1320
3Q14 cc:
92-93% retention reiterated as well as total claims down slightly to down -1.5%, implying ~1,300 to 1,280 claims
2Q14 cc:
92-93% retention, overall script decline from "slightly down" to -1.5%.
We're modelling 95% total net Rx retention, consisting of 92% retention, 2% from AGP, and 1% utilization/organic growth</t>
        </r>
      </text>
    </comment>
    <comment ref="CG91" authorId="7">
      <text>
        <r>
          <rPr>
            <b/>
            <sz val="9"/>
            <color indexed="81"/>
            <rFont val="Tahoma"/>
            <family val="2"/>
          </rPr>
          <t>3Q15" raised selling season to 96%-97%
4Q14:
94%-97% ex-CVH
we think CVH is -3.5%
So
-3.5% (CVH)
-5% (rest of book)
=91.5% retention
Add back:
2% utilization
5% wins/group growth
=98.5% of scripts y/y (-1.5% growth)</t>
        </r>
        <r>
          <rPr>
            <sz val="9"/>
            <color indexed="81"/>
            <rFont val="Tahoma"/>
            <family val="2"/>
          </rPr>
          <t xml:space="preserve">
</t>
        </r>
      </text>
    </comment>
    <comment ref="B92" authorId="0">
      <text>
        <r>
          <rPr>
            <sz val="8"/>
            <color indexed="81"/>
            <rFont val="Tahoma"/>
            <family val="2"/>
          </rPr>
          <t>Claims details comes from the 8-K's and/or the press releases.</t>
        </r>
      </text>
    </comment>
    <comment ref="AQ92" authorId="0">
      <text>
        <r>
          <rPr>
            <sz val="8"/>
            <color indexed="81"/>
            <rFont val="Tahoma"/>
            <family val="2"/>
          </rPr>
          <t>From CY 3Q08 PR</t>
        </r>
      </text>
    </comment>
    <comment ref="AV92" authorId="1">
      <text>
        <r>
          <rPr>
            <b/>
            <sz val="8"/>
            <color indexed="81"/>
            <rFont val="Tahoma"/>
            <family val="2"/>
          </rPr>
          <t>scheandr:</t>
        </r>
        <r>
          <rPr>
            <sz val="8"/>
            <color indexed="81"/>
            <rFont val="Tahoma"/>
            <family val="2"/>
          </rPr>
          <t xml:space="preserve">
up over 2%, due to medium [ph] start and increased utilization pattern (3Q09 CC)</t>
        </r>
      </text>
    </comment>
    <comment ref="BH95" authorId="1">
      <text>
        <r>
          <rPr>
            <b/>
            <sz val="8"/>
            <color indexed="81"/>
            <rFont val="Tahoma"/>
            <family val="2"/>
          </rPr>
          <t>scheandr:</t>
        </r>
        <r>
          <rPr>
            <sz val="8"/>
            <color indexed="81"/>
            <rFont val="Tahoma"/>
            <family val="2"/>
          </rPr>
          <t xml:space="preserve">
Loss of WalMart</t>
        </r>
      </text>
    </comment>
    <comment ref="AT97" authorId="0">
      <text>
        <r>
          <rPr>
            <sz val="8"/>
            <color indexed="81"/>
            <rFont val="Tahoma"/>
            <family val="2"/>
          </rPr>
          <t>Include MSC acquisition in here - assume $200M in rev annually w/ 90% retail, 10% mail breakdown</t>
        </r>
      </text>
    </comment>
    <comment ref="AU97" authorId="0">
      <text>
        <r>
          <rPr>
            <sz val="8"/>
            <color indexed="81"/>
            <rFont val="Tahoma"/>
            <family val="2"/>
          </rPr>
          <t>Include MSC acquisition in here - assume $200M in rev annually w/ 90% retail, 10% mail breakdown</t>
        </r>
      </text>
    </comment>
    <comment ref="AV97" authorId="1">
      <text>
        <r>
          <rPr>
            <b/>
            <sz val="8"/>
            <color indexed="81"/>
            <rFont val="Tahoma"/>
            <family val="2"/>
          </rPr>
          <t>scheandr:</t>
        </r>
        <r>
          <rPr>
            <sz val="8"/>
            <color indexed="81"/>
            <rFont val="Tahoma"/>
            <family val="2"/>
          </rPr>
          <t xml:space="preserve">
</t>
        </r>
      </text>
    </comment>
    <comment ref="BC97" authorId="1">
      <text>
        <r>
          <rPr>
            <b/>
            <sz val="8"/>
            <color indexed="81"/>
            <rFont val="Tahoma"/>
            <family val="2"/>
          </rPr>
          <t>scheandr:</t>
        </r>
        <r>
          <rPr>
            <sz val="8"/>
            <color indexed="81"/>
            <rFont val="Tahoma"/>
            <family val="2"/>
          </rPr>
          <t xml:space="preserve">
the mail penetration is lower in the new book of business. So you’ll see that in the first quarter when those numbers come through that it will drive mail penetration levels lower (3Q09 CC)</t>
        </r>
      </text>
    </comment>
    <comment ref="AT99" authorId="1">
      <text>
        <r>
          <rPr>
            <b/>
            <sz val="8"/>
            <color indexed="81"/>
            <rFont val="Tahoma"/>
            <family val="2"/>
          </rPr>
          <t>scheandr:</t>
        </r>
        <r>
          <rPr>
            <sz val="8"/>
            <color indexed="81"/>
            <rFont val="Tahoma"/>
            <family val="2"/>
          </rPr>
          <t xml:space="preserve">
Estimated as rx component of ESRX Specialty Trend Forecasts in Drug Cost Report</t>
        </r>
      </text>
    </comment>
    <comment ref="AY99" authorId="1">
      <text>
        <r>
          <rPr>
            <b/>
            <sz val="8"/>
            <color indexed="81"/>
            <rFont val="Tahoma"/>
            <family val="2"/>
          </rPr>
          <t>scheandr:</t>
        </r>
        <r>
          <rPr>
            <sz val="8"/>
            <color indexed="81"/>
            <rFont val="Tahoma"/>
            <family val="2"/>
          </rPr>
          <t xml:space="preserve">
Estimated as rx component of ESRX Specialty Trend Forecasts in Drug Cost Report</t>
        </r>
      </text>
    </comment>
    <comment ref="BD99" authorId="1">
      <text>
        <r>
          <rPr>
            <b/>
            <sz val="8"/>
            <color indexed="81"/>
            <rFont val="Tahoma"/>
            <family val="2"/>
          </rPr>
          <t>scheandr:</t>
        </r>
        <r>
          <rPr>
            <sz val="8"/>
            <color indexed="81"/>
            <rFont val="Tahoma"/>
            <family val="2"/>
          </rPr>
          <t xml:space="preserve">
Estimated as rx component of ESRX Specialty Trend Forecasts in Drug Cost Report</t>
        </r>
      </text>
    </comment>
    <comment ref="BI99" authorId="1">
      <text>
        <r>
          <rPr>
            <b/>
            <sz val="8"/>
            <color indexed="81"/>
            <rFont val="Tahoma"/>
            <family val="2"/>
          </rPr>
          <t>scheandr:</t>
        </r>
        <r>
          <rPr>
            <sz val="8"/>
            <color indexed="81"/>
            <rFont val="Tahoma"/>
            <family val="2"/>
          </rPr>
          <t xml:space="preserve">
Estimated as rx component of ESRX Specialty Trend Forecasts in Drug Cost Report</t>
        </r>
      </text>
    </comment>
    <comment ref="AF103" authorId="0">
      <text>
        <r>
          <rPr>
            <sz val="8"/>
            <color indexed="81"/>
            <rFont val="Tahoma"/>
            <family val="2"/>
          </rPr>
          <t>Loss of Georgia Medicaid</t>
        </r>
      </text>
    </comment>
    <comment ref="AG103" authorId="0">
      <text>
        <r>
          <rPr>
            <sz val="8"/>
            <color indexed="81"/>
            <rFont val="Tahoma"/>
            <family val="2"/>
          </rPr>
          <t>Loss of Georgia Medicaid</t>
        </r>
      </text>
    </comment>
    <comment ref="AI103" authorId="0">
      <text>
        <r>
          <rPr>
            <sz val="8"/>
            <color indexed="81"/>
            <rFont val="Tahoma"/>
            <family val="2"/>
          </rPr>
          <t xml:space="preserve">Total adjusted scripts including network scripts is expected to decrease by approximately 8 to 10% in 2006. </t>
        </r>
      </text>
    </comment>
    <comment ref="AN103" authorId="0">
      <text>
        <r>
          <rPr>
            <sz val="8"/>
            <color indexed="81"/>
            <rFont val="Tahoma"/>
            <family val="2"/>
          </rPr>
          <t>On 3Q07 updated total adj Rx growth to -(2-2.5%) from -( 3-4%) provided on4Q06 cc. on 3/7 cc said was going better than previous expectations</t>
        </r>
      </text>
    </comment>
    <comment ref="AO103" authorId="0">
      <text>
        <r>
          <rPr>
            <sz val="8"/>
            <color indexed="81"/>
            <rFont val="Tahoma"/>
            <family val="2"/>
          </rPr>
          <t>Includes win from OSU, SERS, and STRS. Y/Y comps should be easier due to loss of Georgia Medicaid.</t>
        </r>
      </text>
    </comment>
    <comment ref="AP103" authorId="0">
      <text>
        <r>
          <rPr>
            <sz val="8"/>
            <color indexed="81"/>
            <rFont val="Tahoma"/>
            <family val="2"/>
          </rPr>
          <t>Includes contract win from OPERS. Is effective 04/01/08</t>
        </r>
      </text>
    </comment>
    <comment ref="AS103" authorId="0">
      <text>
        <r>
          <rPr>
            <sz val="8"/>
            <color indexed="81"/>
            <rFont val="Tahoma"/>
            <family val="2"/>
          </rPr>
          <t>New guidance is flat to slightly up (2Q08 CC)
:
Guidance is 2-3% or 4-5% excluding roll-off of low-margin claims</t>
        </r>
      </text>
    </comment>
    <comment ref="AT103" authorId="1">
      <text>
        <r>
          <rPr>
            <b/>
            <sz val="8"/>
            <color indexed="81"/>
            <rFont val="Tahoma"/>
            <family val="2"/>
          </rPr>
          <t>scheandr:</t>
        </r>
        <r>
          <rPr>
            <sz val="8"/>
            <color indexed="81"/>
            <rFont val="Tahoma"/>
            <family val="2"/>
          </rPr>
          <t xml:space="preserve">
</t>
        </r>
      </text>
    </comment>
    <comment ref="AU103" authorId="1">
      <text>
        <r>
          <rPr>
            <b/>
            <sz val="8"/>
            <color indexed="81"/>
            <rFont val="Tahoma"/>
            <family val="2"/>
          </rPr>
          <t>scheandr:</t>
        </r>
        <r>
          <rPr>
            <sz val="8"/>
            <color indexed="81"/>
            <rFont val="Tahoma"/>
            <family val="2"/>
          </rPr>
          <t xml:space="preserve">
Total adjusted claims and mail claims would have been up approximately 2% versus 2008 excluding the termination of low-margin clients</t>
        </r>
      </text>
    </comment>
    <comment ref="AX103" authorId="1">
      <text>
        <r>
          <rPr>
            <b/>
            <sz val="8"/>
            <color indexed="81"/>
            <rFont val="Tahoma"/>
            <family val="2"/>
          </rPr>
          <t>scheandr:</t>
        </r>
        <r>
          <rPr>
            <sz val="8"/>
            <color indexed="81"/>
            <rFont val="Tahoma"/>
            <family val="2"/>
          </rPr>
          <t xml:space="preserve">
Scripts are going to be down less than 2 or 3%
utilizations has come up
(3Q09 CC)</t>
        </r>
      </text>
    </comment>
    <comment ref="BD103" authorId="1">
      <text>
        <r>
          <rPr>
            <b/>
            <sz val="8"/>
            <color indexed="81"/>
            <rFont val="Tahoma"/>
            <family val="2"/>
          </rPr>
          <t>1Q11cc:</t>
        </r>
        <r>
          <rPr>
            <sz val="8"/>
            <color indexed="81"/>
            <rFont val="Tahoma"/>
            <family val="2"/>
          </rPr>
          <t xml:space="preserve">
The lower than expected volume was the result of lower utilization across our book of business, lower than anticipated ingroup growth, higher than expected member attrition at some of our clients</t>
        </r>
      </text>
    </comment>
    <comment ref="BF103" authorId="1">
      <text>
        <r>
          <rPr>
            <b/>
            <sz val="8"/>
            <color indexed="81"/>
            <rFont val="Tahoma"/>
            <family val="2"/>
          </rPr>
          <t>1Q11cc:</t>
        </r>
        <r>
          <rPr>
            <sz val="8"/>
            <color indexed="81"/>
            <rFont val="Tahoma"/>
            <family val="2"/>
          </rPr>
          <t xml:space="preserve">
Our guidance also assumes that we will see utilization improvement, improvement in member growth and the
implementation of a few known mid-year starts.</t>
        </r>
      </text>
    </comment>
    <comment ref="BI103" authorId="1">
      <text>
        <r>
          <rPr>
            <b/>
            <sz val="8"/>
            <color indexed="81"/>
            <rFont val="Tahoma"/>
            <family val="2"/>
          </rPr>
          <t>1Q11cc:</t>
        </r>
        <r>
          <rPr>
            <sz val="8"/>
            <color indexed="81"/>
            <rFont val="Tahoma"/>
            <family val="2"/>
          </rPr>
          <t xml:space="preserve">
The lower than expected volume was the result of lower utilization across our book of business, lower than anticipated ingroup growth, higher than expected member attrition at some of our clients</t>
        </r>
      </text>
    </comment>
    <comment ref="BR103" authorId="2">
      <text>
        <r>
          <rPr>
            <b/>
            <sz val="8"/>
            <color indexed="81"/>
            <rFont val="Tahoma"/>
            <family val="2"/>
          </rPr>
          <t>rickgold:</t>
        </r>
        <r>
          <rPr>
            <sz val="8"/>
            <color indexed="81"/>
            <rFont val="Tahoma"/>
            <family val="2"/>
          </rPr>
          <t xml:space="preserve">
Versus guidance of 5% to 7%</t>
        </r>
      </text>
    </comment>
    <comment ref="CB103" authorId="7">
      <text>
        <r>
          <rPr>
            <b/>
            <sz val="9"/>
            <color indexed="81"/>
            <rFont val="Tahoma"/>
            <family val="2"/>
          </rPr>
          <t>2Q14 cc:
92-93% retention, overall script decline from "slightly down" to -1.5%.
We're modelling 95% total net Rx retention, consisting of 92% retention, 2% from AGP, and 1% utilization/organic growth</t>
        </r>
        <r>
          <rPr>
            <sz val="9"/>
            <color indexed="81"/>
            <rFont val="Tahoma"/>
            <family val="2"/>
          </rPr>
          <t xml:space="preserve">
</t>
        </r>
      </text>
    </comment>
    <comment ref="CG103" authorId="7">
      <text>
        <r>
          <rPr>
            <b/>
            <sz val="9"/>
            <color indexed="81"/>
            <rFont val="Tahoma"/>
            <family val="2"/>
          </rPr>
          <t>95% net retention +1% utilization</t>
        </r>
        <r>
          <rPr>
            <sz val="9"/>
            <color indexed="81"/>
            <rFont val="Tahoma"/>
            <family val="2"/>
          </rPr>
          <t xml:space="preserve">
</t>
        </r>
      </text>
    </comment>
    <comment ref="CL103" authorId="7">
      <text>
        <r>
          <rPr>
            <b/>
            <sz val="9"/>
            <color indexed="81"/>
            <rFont val="Tahoma"/>
            <family val="2"/>
          </rPr>
          <t>95% net retention +1% utilization</t>
        </r>
        <r>
          <rPr>
            <sz val="9"/>
            <color indexed="81"/>
            <rFont val="Tahoma"/>
            <family val="2"/>
          </rPr>
          <t xml:space="preserve">
</t>
        </r>
      </text>
    </comment>
    <comment ref="CQ103" authorId="7">
      <text>
        <r>
          <rPr>
            <b/>
            <sz val="9"/>
            <color indexed="81"/>
            <rFont val="Tahoma"/>
            <family val="2"/>
          </rPr>
          <t>95% net retention +1% utilization</t>
        </r>
        <r>
          <rPr>
            <sz val="9"/>
            <color indexed="81"/>
            <rFont val="Tahoma"/>
            <family val="2"/>
          </rPr>
          <t xml:space="preserve">
</t>
        </r>
      </text>
    </comment>
    <comment ref="CV103" authorId="7">
      <text>
        <r>
          <rPr>
            <b/>
            <sz val="9"/>
            <color indexed="81"/>
            <rFont val="Tahoma"/>
            <family val="2"/>
          </rPr>
          <t>95% net retention +1% utilization</t>
        </r>
        <r>
          <rPr>
            <sz val="9"/>
            <color indexed="81"/>
            <rFont val="Tahoma"/>
            <family val="2"/>
          </rPr>
          <t xml:space="preserve">
</t>
        </r>
      </text>
    </comment>
    <comment ref="AY106" authorId="1">
      <text>
        <r>
          <rPr>
            <b/>
            <sz val="8"/>
            <color indexed="81"/>
            <rFont val="Tahoma"/>
            <family val="2"/>
          </rPr>
          <t>scheandr:</t>
        </r>
        <r>
          <rPr>
            <sz val="8"/>
            <color indexed="81"/>
            <rFont val="Tahoma"/>
            <family val="2"/>
          </rPr>
          <t xml:space="preserve">
the mail penetration is lower in the new book of business. So you’ll see that in the first quarter when those numbers come through that it will drive mail penetration levels lower (3Q09 CC)</t>
        </r>
      </text>
    </comment>
    <comment ref="AI109" authorId="0">
      <text>
        <r>
          <rPr>
            <sz val="8"/>
            <color indexed="81"/>
            <rFont val="Tahoma"/>
            <family val="2"/>
          </rPr>
          <t>Guidance - this should exceed 25% during 2006</t>
        </r>
      </text>
    </comment>
    <comment ref="BD110" authorId="1">
      <text>
        <r>
          <rPr>
            <b/>
            <sz val="8"/>
            <color indexed="81"/>
            <rFont val="Tahoma"/>
            <family val="2"/>
          </rPr>
          <t>1Q11cc:</t>
        </r>
        <r>
          <rPr>
            <sz val="8"/>
            <color indexed="81"/>
            <rFont val="Tahoma"/>
            <family val="2"/>
          </rPr>
          <t xml:space="preserve">
We lost a couple of plans that had very high mail penetration, one of those rolled off on 1/1 which had heavy mail penetration use. 
The other clients put in Select Home Delivery. Some of that gets stalled beyond 1/1 so this may start a little after that date.</t>
        </r>
      </text>
    </comment>
    <comment ref="K118" authorId="0">
      <text>
        <r>
          <rPr>
            <sz val="8"/>
            <color indexed="81"/>
            <rFont val="Tahoma"/>
            <family val="2"/>
          </rPr>
          <t>About 43% in press release.</t>
        </r>
      </text>
    </comment>
    <comment ref="L118" authorId="0">
      <text>
        <r>
          <rPr>
            <sz val="8"/>
            <color indexed="81"/>
            <rFont val="Tahoma"/>
            <family val="2"/>
          </rPr>
          <t>About 43% in press release.</t>
        </r>
      </text>
    </comment>
    <comment ref="M118" authorId="0">
      <text>
        <r>
          <rPr>
            <sz val="8"/>
            <color indexed="81"/>
            <rFont val="Tahoma"/>
            <family val="2"/>
          </rPr>
          <t>From press release.</t>
        </r>
      </text>
    </comment>
    <comment ref="P118" authorId="0">
      <text>
        <r>
          <rPr>
            <sz val="8"/>
            <color indexed="81"/>
            <rFont val="Tahoma"/>
            <family val="2"/>
          </rPr>
          <t>Press release says this is about 47%</t>
        </r>
      </text>
    </comment>
    <comment ref="Q118" authorId="0">
      <text>
        <r>
          <rPr>
            <sz val="8"/>
            <color indexed="81"/>
            <rFont val="Tahoma"/>
            <family val="2"/>
          </rPr>
          <t>Press release says this is about 47%</t>
        </r>
      </text>
    </comment>
    <comment ref="R118" authorId="0">
      <text>
        <r>
          <rPr>
            <sz val="8"/>
            <color indexed="81"/>
            <rFont val="Tahoma"/>
            <family val="2"/>
          </rPr>
          <t>Press release says this is about 47%</t>
        </r>
      </text>
    </comment>
    <comment ref="S118" authorId="0">
      <text>
        <r>
          <rPr>
            <sz val="8"/>
            <color indexed="81"/>
            <rFont val="Tahoma"/>
            <family val="2"/>
          </rPr>
          <t>From press release.</t>
        </r>
      </text>
    </comment>
    <comment ref="U118" authorId="0">
      <text>
        <r>
          <rPr>
            <sz val="8"/>
            <color indexed="81"/>
            <rFont val="Tahoma"/>
            <family val="2"/>
          </rPr>
          <t>1Q05 earnings press release says this is about 49%.</t>
        </r>
      </text>
    </comment>
    <comment ref="V118" authorId="0">
      <text>
        <r>
          <rPr>
            <sz val="8"/>
            <color indexed="81"/>
            <rFont val="Tahoma"/>
            <family val="2"/>
          </rPr>
          <t>Press release says this is about 50%.  Excludes the DOD.  Says this is 49% including the DOD.</t>
        </r>
      </text>
    </comment>
    <comment ref="W118" authorId="0">
      <text>
        <r>
          <rPr>
            <sz val="8"/>
            <color indexed="81"/>
            <rFont val="Tahoma"/>
            <family val="2"/>
          </rPr>
          <t>Press release says this is about 51%</t>
        </r>
      </text>
    </comment>
    <comment ref="X118" authorId="0">
      <text>
        <r>
          <rPr>
            <sz val="8"/>
            <color indexed="81"/>
            <rFont val="Tahoma"/>
            <family val="2"/>
          </rPr>
          <t>From press release.</t>
        </r>
      </text>
    </comment>
    <comment ref="Z118" authorId="0">
      <text>
        <r>
          <rPr>
            <sz val="8"/>
            <color indexed="81"/>
            <rFont val="Tahoma"/>
            <family val="2"/>
          </rPr>
          <t>1Q05 earnings press release says this is about 54%.</t>
        </r>
      </text>
    </comment>
    <comment ref="AA118" authorId="0">
      <text>
        <r>
          <rPr>
            <sz val="8"/>
            <color indexed="81"/>
            <rFont val="Tahoma"/>
            <family val="2"/>
          </rPr>
          <t>Press release said about 54%.</t>
        </r>
      </text>
    </comment>
    <comment ref="AB118" authorId="0">
      <text>
        <r>
          <rPr>
            <sz val="8"/>
            <color indexed="81"/>
            <rFont val="Tahoma"/>
            <family val="2"/>
          </rPr>
          <t>Press release said "about 55%"</t>
        </r>
      </text>
    </comment>
    <comment ref="AE118" authorId="0">
      <text>
        <r>
          <rPr>
            <sz val="8"/>
            <color indexed="81"/>
            <rFont val="Tahoma"/>
            <family val="2"/>
          </rPr>
          <t>56.3% as disclosed in press release.  The difference is due to ESRX exclusion of specialty scripts in their calculation</t>
        </r>
      </text>
    </comment>
    <comment ref="AG118" authorId="0">
      <text>
        <r>
          <rPr>
            <sz val="8"/>
            <color indexed="81"/>
            <rFont val="Tahoma"/>
            <family val="2"/>
          </rPr>
          <t>3Q press release says 58.3%</t>
        </r>
      </text>
    </comment>
    <comment ref="AH118" authorId="0">
      <text>
        <r>
          <rPr>
            <sz val="8"/>
            <color indexed="81"/>
            <rFont val="Tahoma"/>
            <family val="2"/>
          </rPr>
          <t>59.7%</t>
        </r>
      </text>
    </comment>
    <comment ref="AJ118" authorId="0">
      <text>
        <r>
          <rPr>
            <sz val="8"/>
            <color indexed="81"/>
            <rFont val="Tahoma"/>
            <family val="2"/>
          </rPr>
          <t>60.3%</t>
        </r>
      </text>
    </comment>
    <comment ref="AM118" authorId="0">
      <text>
        <r>
          <rPr>
            <sz val="8"/>
            <color indexed="81"/>
            <rFont val="Tahoma"/>
            <family val="2"/>
          </rPr>
          <t>4Q PR says 63.7%</t>
        </r>
      </text>
    </comment>
    <comment ref="AN118" authorId="0">
      <text>
        <r>
          <rPr>
            <sz val="8"/>
            <color indexed="81"/>
            <rFont val="Tahoma"/>
            <family val="2"/>
          </rPr>
          <t>Guidance is a 3-4% increase over 2006</t>
        </r>
      </text>
    </comment>
    <comment ref="AO118" authorId="0">
      <text>
        <r>
          <rPr>
            <sz val="8"/>
            <color indexed="81"/>
            <rFont val="Tahoma"/>
            <family val="2"/>
          </rPr>
          <t>Generic fill rate for 1Q08 was 65.1% (from 10Q)</t>
        </r>
      </text>
    </comment>
    <comment ref="AP118" authorId="0">
      <text>
        <r>
          <rPr>
            <sz val="8"/>
            <color indexed="81"/>
            <rFont val="Tahoma"/>
            <family val="2"/>
          </rPr>
          <t>Generic utilization rate increased to 65.9% (2Q08 PR)</t>
        </r>
      </text>
    </comment>
    <comment ref="AQ118" authorId="0">
      <text>
        <r>
          <rPr>
            <sz val="8"/>
            <color indexed="81"/>
            <rFont val="Tahoma"/>
            <family val="2"/>
          </rPr>
          <t>Generic utilization rate increased to 66.2% (CY3Q08 PR)</t>
        </r>
      </text>
    </comment>
    <comment ref="AR118" authorId="0">
      <text>
        <r>
          <rPr>
            <sz val="8"/>
            <color indexed="81"/>
            <rFont val="Tahoma"/>
            <family val="2"/>
          </rPr>
          <t xml:space="preserve">Generic fill rate for 4Q08 was 67.3% (from 10Q)
</t>
        </r>
      </text>
    </comment>
    <comment ref="AS118" authorId="0">
      <text>
        <r>
          <rPr>
            <sz val="8"/>
            <color indexed="81"/>
            <rFont val="Tahoma"/>
            <family val="2"/>
          </rPr>
          <t>Guidance is growth around 2-3% for GDR</t>
        </r>
      </text>
    </comment>
    <comment ref="AT118" authorId="0">
      <text>
        <r>
          <rPr>
            <sz val="8"/>
            <color indexed="81"/>
            <rFont val="Tahoma"/>
            <family val="2"/>
          </rPr>
          <t xml:space="preserve">
Generic fill rate for 1Q09 was 67.7% (from 10Q)</t>
        </r>
      </text>
    </comment>
    <comment ref="AU118" authorId="0">
      <text>
        <r>
          <rPr>
            <sz val="8"/>
            <color indexed="81"/>
            <rFont val="Tahoma"/>
            <family val="2"/>
          </rPr>
          <t>Generic utilization rate increased to 67.8% (2Q09 PR)</t>
        </r>
      </text>
    </comment>
    <comment ref="AV118" authorId="0">
      <text>
        <r>
          <rPr>
            <sz val="8"/>
            <color indexed="81"/>
            <rFont val="Tahoma"/>
            <family val="2"/>
          </rPr>
          <t>Generic utilization rate increased to 68.3% (3Q09 PR)</t>
        </r>
      </text>
    </comment>
    <comment ref="BC118" authorId="1">
      <text>
        <r>
          <rPr>
            <b/>
            <sz val="8"/>
            <color indexed="81"/>
            <rFont val="Tahoma"/>
            <family val="2"/>
          </rPr>
          <t xml:space="preserve">scheandr:
</t>
        </r>
        <r>
          <rPr>
            <sz val="8"/>
            <color indexed="81"/>
            <rFont val="Tahoma"/>
            <family val="2"/>
          </rPr>
          <t>expect lower than average generic in 2010 like saw in 2009(3Q09)</t>
        </r>
      </text>
    </comment>
    <comment ref="AN119" authorId="0">
      <text>
        <r>
          <rPr>
            <sz val="8"/>
            <color indexed="81"/>
            <rFont val="Tahoma"/>
            <family val="2"/>
          </rPr>
          <t>On 4Q06 conf call said will drive GDR up 300bps to 400bps in 2007</t>
        </r>
      </text>
    </comment>
    <comment ref="M121" authorId="0">
      <text>
        <r>
          <rPr>
            <sz val="8"/>
            <color indexed="81"/>
            <rFont val="Tahoma"/>
            <family val="2"/>
          </rPr>
          <t>From 10Q</t>
        </r>
      </text>
    </comment>
    <comment ref="O121" authorId="0">
      <text>
        <r>
          <rPr>
            <sz val="8"/>
            <color indexed="81"/>
            <rFont val="Tahoma"/>
            <family val="2"/>
          </rPr>
          <t>From 10K</t>
        </r>
      </text>
    </comment>
    <comment ref="P121" authorId="0">
      <text>
        <r>
          <rPr>
            <sz val="8"/>
            <color indexed="81"/>
            <rFont val="Tahoma"/>
            <family val="2"/>
          </rPr>
          <t>From 1Q04 10Q</t>
        </r>
      </text>
    </comment>
    <comment ref="Q121" authorId="0">
      <text>
        <r>
          <rPr>
            <sz val="8"/>
            <color indexed="81"/>
            <rFont val="Tahoma"/>
            <family val="2"/>
          </rPr>
          <t xml:space="preserve">From 2Q04 10Q. </t>
        </r>
      </text>
    </comment>
    <comment ref="R121" authorId="0">
      <text>
        <r>
          <rPr>
            <sz val="8"/>
            <color indexed="81"/>
            <rFont val="Tahoma"/>
            <family val="2"/>
          </rPr>
          <t>From 10Q</t>
        </r>
      </text>
    </comment>
    <comment ref="T121" authorId="0">
      <text>
        <r>
          <rPr>
            <sz val="8"/>
            <color indexed="81"/>
            <rFont val="Tahoma"/>
            <family val="2"/>
          </rPr>
          <t>From 2004 10K</t>
        </r>
      </text>
    </comment>
    <comment ref="U121" authorId="0">
      <text>
        <r>
          <rPr>
            <sz val="8"/>
            <color indexed="81"/>
            <rFont val="Tahoma"/>
            <family val="2"/>
          </rPr>
          <t>From April 2005 10Q</t>
        </r>
      </text>
    </comment>
    <comment ref="V121" authorId="0">
      <text>
        <r>
          <rPr>
            <sz val="8"/>
            <color indexed="81"/>
            <rFont val="Tahoma"/>
            <family val="2"/>
          </rPr>
          <t>From 2Q04 10Q filing.  excluding DOD.  49% including the DOD.</t>
        </r>
      </text>
    </comment>
    <comment ref="W121" authorId="0">
      <text>
        <r>
          <rPr>
            <sz val="8"/>
            <color indexed="81"/>
            <rFont val="Tahoma"/>
            <family val="2"/>
          </rPr>
          <t>From 10Q.  Excludes TRICARE.</t>
        </r>
      </text>
    </comment>
    <comment ref="X121" authorId="0">
      <text>
        <r>
          <rPr>
            <sz val="8"/>
            <color indexed="81"/>
            <rFont val="Tahoma"/>
            <family val="2"/>
          </rPr>
          <t>E</t>
        </r>
      </text>
    </comment>
    <comment ref="Y121" authorId="0">
      <text>
        <r>
          <rPr>
            <sz val="8"/>
            <color indexed="81"/>
            <rFont val="Tahoma"/>
            <family val="2"/>
          </rPr>
          <t>From 2004 10K</t>
        </r>
      </text>
    </comment>
    <comment ref="Z121" authorId="0">
      <text>
        <r>
          <rPr>
            <sz val="8"/>
            <color indexed="81"/>
            <rFont val="Tahoma"/>
            <family val="2"/>
          </rPr>
          <t>From April 2005 10Q</t>
        </r>
      </text>
    </comment>
    <comment ref="AA121" authorId="0">
      <text>
        <r>
          <rPr>
            <sz val="8"/>
            <color indexed="81"/>
            <rFont val="Tahoma"/>
            <family val="2"/>
          </rPr>
          <t>From 10Q</t>
        </r>
      </text>
    </comment>
    <comment ref="AB121" authorId="0">
      <text>
        <r>
          <rPr>
            <sz val="8"/>
            <color indexed="81"/>
            <rFont val="Tahoma"/>
            <family val="2"/>
          </rPr>
          <t>From 10Q</t>
        </r>
      </text>
    </comment>
    <comment ref="AC121" authorId="0">
      <text>
        <r>
          <rPr>
            <sz val="8"/>
            <color indexed="81"/>
            <rFont val="Tahoma"/>
            <family val="2"/>
          </rPr>
          <t>From CC</t>
        </r>
      </text>
    </comment>
    <comment ref="AD121" authorId="0">
      <text>
        <r>
          <rPr>
            <sz val="8"/>
            <color indexed="81"/>
            <rFont val="Tahoma"/>
            <family val="2"/>
          </rPr>
          <t>10K says this is 55.4%</t>
        </r>
      </text>
    </comment>
    <comment ref="AI121" authorId="0">
      <text>
        <r>
          <rPr>
            <sz val="8"/>
            <color indexed="81"/>
            <rFont val="Tahoma"/>
            <family val="2"/>
          </rPr>
          <t>10k says 59.1%</t>
        </r>
      </text>
    </comment>
    <comment ref="AN121" authorId="0">
      <text>
        <r>
          <rPr>
            <sz val="8"/>
            <color indexed="81"/>
            <rFont val="Tahoma"/>
            <family val="2"/>
          </rPr>
          <t>10K says 63.2%</t>
        </r>
      </text>
    </comment>
    <comment ref="AQ121" authorId="0">
      <text>
        <r>
          <rPr>
            <sz val="8"/>
            <color indexed="81"/>
            <rFont val="Tahoma"/>
            <family val="2"/>
          </rPr>
          <t>fill rate increased to 67.3% of total network claims in the third quarter of 2008 as compared to 63.6% in the same period of 2007 (CY3Q08 - 10Q)</t>
        </r>
      </text>
    </comment>
    <comment ref="AS121" authorId="0">
      <text>
        <r>
          <rPr>
            <sz val="8"/>
            <color indexed="81"/>
            <rFont val="Tahoma"/>
            <family val="2"/>
          </rPr>
          <t xml:space="preserve">
10K says 67.3%</t>
        </r>
      </text>
    </comment>
    <comment ref="P124" authorId="0">
      <text>
        <r>
          <rPr>
            <sz val="8"/>
            <color indexed="81"/>
            <rFont val="Tahoma"/>
            <family val="2"/>
          </rPr>
          <t>From 1Q04 10Q</t>
        </r>
      </text>
    </comment>
    <comment ref="Q124" authorId="0">
      <text>
        <r>
          <rPr>
            <sz val="8"/>
            <color indexed="81"/>
            <rFont val="Tahoma"/>
            <family val="2"/>
          </rPr>
          <t>From 2Q04 10Q</t>
        </r>
      </text>
    </comment>
    <comment ref="R124" authorId="0">
      <text>
        <r>
          <rPr>
            <sz val="8"/>
            <color indexed="81"/>
            <rFont val="Tahoma"/>
            <family val="2"/>
          </rPr>
          <t xml:space="preserve">From 10Q.  </t>
        </r>
      </text>
    </comment>
    <comment ref="T124" authorId="0">
      <text>
        <r>
          <rPr>
            <sz val="8"/>
            <color indexed="81"/>
            <rFont val="Tahoma"/>
            <family val="2"/>
          </rPr>
          <t>From 10K</t>
        </r>
      </text>
    </comment>
    <comment ref="U124" authorId="0">
      <text>
        <r>
          <rPr>
            <sz val="8"/>
            <color indexed="81"/>
            <rFont val="Tahoma"/>
            <family val="2"/>
          </rPr>
          <t>From April 2005 10Q</t>
        </r>
      </text>
    </comment>
    <comment ref="V124" authorId="0">
      <text>
        <r>
          <rPr>
            <sz val="8"/>
            <color indexed="81"/>
            <rFont val="Tahoma"/>
            <family val="2"/>
          </rPr>
          <t>From 10Q filing.  excluding DOD</t>
        </r>
      </text>
    </comment>
    <comment ref="W124" authorId="0">
      <text>
        <r>
          <rPr>
            <sz val="8"/>
            <color indexed="81"/>
            <rFont val="Tahoma"/>
            <family val="2"/>
          </rPr>
          <t xml:space="preserve">From 10Q.  </t>
        </r>
      </text>
    </comment>
    <comment ref="X124" authorId="0">
      <text>
        <r>
          <rPr>
            <sz val="8"/>
            <color indexed="81"/>
            <rFont val="Tahoma"/>
            <family val="2"/>
          </rPr>
          <t xml:space="preserve"> E</t>
        </r>
      </text>
    </comment>
    <comment ref="Y124" authorId="0">
      <text>
        <r>
          <rPr>
            <sz val="8"/>
            <color indexed="81"/>
            <rFont val="Tahoma"/>
            <family val="2"/>
          </rPr>
          <t>From 10K</t>
        </r>
      </text>
    </comment>
    <comment ref="Z124" authorId="0">
      <text>
        <r>
          <rPr>
            <sz val="8"/>
            <color indexed="81"/>
            <rFont val="Tahoma"/>
            <family val="2"/>
          </rPr>
          <t>From April 2005 10Q</t>
        </r>
      </text>
    </comment>
    <comment ref="AA124" authorId="0">
      <text>
        <r>
          <rPr>
            <sz val="8"/>
            <color indexed="81"/>
            <rFont val="Tahoma"/>
            <family val="2"/>
          </rPr>
          <t>From 10Q</t>
        </r>
      </text>
    </comment>
    <comment ref="AB124" authorId="0">
      <text>
        <r>
          <rPr>
            <sz val="8"/>
            <color indexed="81"/>
            <rFont val="Tahoma"/>
            <family val="2"/>
          </rPr>
          <t>From 10Q</t>
        </r>
      </text>
    </comment>
    <comment ref="AC124" authorId="0">
      <text>
        <r>
          <rPr>
            <sz val="8"/>
            <color indexed="81"/>
            <rFont val="Tahoma"/>
            <family val="2"/>
          </rPr>
          <t>From CC</t>
        </r>
      </text>
    </comment>
    <comment ref="AD124" authorId="0">
      <text>
        <r>
          <rPr>
            <sz val="8"/>
            <color indexed="81"/>
            <rFont val="Tahoma"/>
            <family val="2"/>
          </rPr>
          <t>10K says this is 43.6%</t>
        </r>
      </text>
    </comment>
    <comment ref="AI124" authorId="0">
      <text>
        <r>
          <rPr>
            <sz val="8"/>
            <color indexed="81"/>
            <rFont val="Tahoma"/>
            <family val="2"/>
          </rPr>
          <t>10K says 45.7%</t>
        </r>
      </text>
    </comment>
    <comment ref="AK124" authorId="0">
      <text>
        <r>
          <rPr>
            <sz val="8"/>
            <color indexed="81"/>
            <rFont val="Tahoma"/>
            <family val="2"/>
          </rPr>
          <t>in Q as penetration rate</t>
        </r>
      </text>
    </comment>
    <comment ref="AN124" authorId="0">
      <text>
        <r>
          <rPr>
            <sz val="8"/>
            <color indexed="81"/>
            <rFont val="Tahoma"/>
            <family val="2"/>
          </rPr>
          <t>10K says 50.5%</t>
        </r>
      </text>
    </comment>
    <comment ref="AO124" authorId="0">
      <text>
        <r>
          <rPr>
            <sz val="8"/>
            <color indexed="81"/>
            <rFont val="Tahoma"/>
            <family val="2"/>
          </rPr>
          <t>Is called "generic fill rate" in 10Q</t>
        </r>
      </text>
    </comment>
    <comment ref="AQ124" authorId="0">
      <text>
        <r>
          <rPr>
            <sz val="8"/>
            <color indexed="81"/>
            <rFont val="Tahoma"/>
            <family val="2"/>
          </rPr>
          <t>Generic fill rate increased to 57.2% of total home delivery claims in the three months ended September 30, 2008 as compared to 51.1% in the same period of 2007.</t>
        </r>
      </text>
    </comment>
    <comment ref="BK124" authorId="1">
      <text>
        <r>
          <rPr>
            <b/>
            <sz val="8"/>
            <color indexed="81"/>
            <rFont val="Tahoma"/>
            <family val="2"/>
          </rPr>
          <t>scheandr:</t>
        </r>
        <r>
          <rPr>
            <sz val="8"/>
            <color indexed="81"/>
            <rFont val="Tahoma"/>
            <family val="2"/>
          </rPr>
          <t xml:space="preserve">
Function of mix shift between MHS &amp; ESRX shares in original model</t>
        </r>
      </text>
    </comment>
    <comment ref="BK126" authorId="1">
      <text>
        <r>
          <rPr>
            <b/>
            <sz val="8"/>
            <color indexed="81"/>
            <rFont val="Tahoma"/>
            <family val="2"/>
          </rPr>
          <t>scheandr:</t>
        </r>
        <r>
          <rPr>
            <sz val="8"/>
            <color indexed="81"/>
            <rFont val="Tahoma"/>
            <family val="2"/>
          </rPr>
          <t xml:space="preserve">
Function of mix shift between MHS &amp; ESRX shares in original model</t>
        </r>
      </text>
    </comment>
    <comment ref="P146" authorId="0">
      <text>
        <r>
          <rPr>
            <sz val="8"/>
            <color indexed="81"/>
            <rFont val="Tahoma"/>
            <family val="2"/>
          </rPr>
          <t>Data from IMS. Generics does not include branded/other generics.</t>
        </r>
      </text>
    </comment>
    <comment ref="U146" authorId="0">
      <text>
        <r>
          <rPr>
            <sz val="8"/>
            <color indexed="81"/>
            <rFont val="Tahoma"/>
            <family val="2"/>
          </rPr>
          <t>Data from IMS. Generics does not include branded/other generics.</t>
        </r>
      </text>
    </comment>
    <comment ref="AQ146" authorId="1">
      <text>
        <r>
          <rPr>
            <b/>
            <sz val="8"/>
            <color indexed="81"/>
            <rFont val="Tahoma"/>
            <family val="2"/>
          </rPr>
          <t>scheandr:</t>
        </r>
        <r>
          <rPr>
            <sz val="8"/>
            <color indexed="81"/>
            <rFont val="Tahoma"/>
            <family val="2"/>
          </rPr>
          <t xml:space="preserve">
IMS Channel and Generic/Brand Data (excludes other and classifies "Branded Generic" as generic)</t>
        </r>
      </text>
    </comment>
    <comment ref="AR146" authorId="1">
      <text>
        <r>
          <rPr>
            <b/>
            <sz val="8"/>
            <color indexed="81"/>
            <rFont val="Tahoma"/>
            <family val="2"/>
          </rPr>
          <t>scheandr:</t>
        </r>
        <r>
          <rPr>
            <sz val="8"/>
            <color indexed="81"/>
            <rFont val="Tahoma"/>
            <family val="2"/>
          </rPr>
          <t xml:space="preserve">
IMS Channel and Generic/Brand Data (excludes other and classifies "Branded Generic" as generic)</t>
        </r>
      </text>
    </comment>
    <comment ref="AT146" authorId="1">
      <text>
        <r>
          <rPr>
            <b/>
            <sz val="8"/>
            <color indexed="81"/>
            <rFont val="Tahoma"/>
            <family val="2"/>
          </rPr>
          <t>scheandr:</t>
        </r>
        <r>
          <rPr>
            <sz val="8"/>
            <color indexed="81"/>
            <rFont val="Tahoma"/>
            <family val="2"/>
          </rPr>
          <t xml:space="preserve">
IMS Channel and Generic/Brand Data (excludes other and classifies "Branded Generic" as generic)</t>
        </r>
      </text>
    </comment>
    <comment ref="AU146" authorId="1">
      <text>
        <r>
          <rPr>
            <b/>
            <sz val="8"/>
            <color indexed="81"/>
            <rFont val="Tahoma"/>
            <family val="2"/>
          </rPr>
          <t>scheandr:</t>
        </r>
        <r>
          <rPr>
            <sz val="8"/>
            <color indexed="81"/>
            <rFont val="Tahoma"/>
            <family val="2"/>
          </rPr>
          <t xml:space="preserve">
Based on IMS data for generic rev from the retail channel (chains, indep, &amp; food)</t>
        </r>
      </text>
    </comment>
    <comment ref="AV146" authorId="1">
      <text>
        <r>
          <rPr>
            <b/>
            <sz val="8"/>
            <color indexed="81"/>
            <rFont val="Tahoma"/>
            <family val="2"/>
          </rPr>
          <t>scheandr:</t>
        </r>
        <r>
          <rPr>
            <sz val="8"/>
            <color indexed="81"/>
            <rFont val="Tahoma"/>
            <family val="2"/>
          </rPr>
          <t xml:space="preserve">
Based on IMS data for generic rev from the retail channel (chains, indep, &amp; food)</t>
        </r>
      </text>
    </comment>
    <comment ref="AW146" authorId="1">
      <text>
        <r>
          <rPr>
            <b/>
            <sz val="8"/>
            <color indexed="81"/>
            <rFont val="Tahoma"/>
            <family val="2"/>
          </rPr>
          <t>scheandr:</t>
        </r>
        <r>
          <rPr>
            <sz val="8"/>
            <color indexed="81"/>
            <rFont val="Tahoma"/>
            <family val="2"/>
          </rPr>
          <t xml:space="preserve">
Based on IMS data for generic rev from the retail channel (chains, indep, &amp; food)</t>
        </r>
      </text>
    </comment>
    <comment ref="AQ148" authorId="1">
      <text>
        <r>
          <rPr>
            <b/>
            <sz val="8"/>
            <color indexed="81"/>
            <rFont val="Tahoma"/>
            <family val="2"/>
          </rPr>
          <t>scheandr:</t>
        </r>
        <r>
          <rPr>
            <sz val="8"/>
            <color indexed="81"/>
            <rFont val="Tahoma"/>
            <family val="2"/>
          </rPr>
          <t xml:space="preserve">
IMS Channel and Generic/Brand Data (excludes other and classifies "Branded Generic" as generic)</t>
        </r>
      </text>
    </comment>
    <comment ref="AR148" authorId="1">
      <text>
        <r>
          <rPr>
            <b/>
            <sz val="8"/>
            <color indexed="81"/>
            <rFont val="Tahoma"/>
            <family val="2"/>
          </rPr>
          <t>scheandr:</t>
        </r>
        <r>
          <rPr>
            <sz val="8"/>
            <color indexed="81"/>
            <rFont val="Tahoma"/>
            <family val="2"/>
          </rPr>
          <t xml:space="preserve">
IMS Channel and Generic/Brand Data (excludes other and classifies "Branded Generic" as generic)</t>
        </r>
      </text>
    </comment>
    <comment ref="AT148" authorId="1">
      <text>
        <r>
          <rPr>
            <b/>
            <sz val="8"/>
            <color indexed="81"/>
            <rFont val="Tahoma"/>
            <family val="2"/>
          </rPr>
          <t>scheandr:</t>
        </r>
        <r>
          <rPr>
            <sz val="8"/>
            <color indexed="81"/>
            <rFont val="Tahoma"/>
            <family val="2"/>
          </rPr>
          <t xml:space="preserve">
based on IMS data for the mail channel. </t>
        </r>
      </text>
    </comment>
    <comment ref="AU148" authorId="1">
      <text>
        <r>
          <rPr>
            <b/>
            <sz val="8"/>
            <color indexed="81"/>
            <rFont val="Tahoma"/>
            <family val="2"/>
          </rPr>
          <t>scheandr:</t>
        </r>
        <r>
          <rPr>
            <sz val="8"/>
            <color indexed="81"/>
            <rFont val="Tahoma"/>
            <family val="2"/>
          </rPr>
          <t xml:space="preserve">
IMS Channel and Generic/Brand Data (excludes other and classifies "Branded Generic" as generic)</t>
        </r>
      </text>
    </comment>
    <comment ref="AV148" authorId="1">
      <text>
        <r>
          <rPr>
            <b/>
            <sz val="8"/>
            <color indexed="81"/>
            <rFont val="Tahoma"/>
            <family val="2"/>
          </rPr>
          <t>scheandr:</t>
        </r>
        <r>
          <rPr>
            <sz val="8"/>
            <color indexed="81"/>
            <rFont val="Tahoma"/>
            <family val="2"/>
          </rPr>
          <t xml:space="preserve">
IMS Channel and Generic/Brand Data (excludes other and classifies "Branded Generic" as generic)</t>
        </r>
      </text>
    </comment>
    <comment ref="AW148" authorId="1">
      <text>
        <r>
          <rPr>
            <b/>
            <sz val="8"/>
            <color indexed="81"/>
            <rFont val="Tahoma"/>
            <family val="2"/>
          </rPr>
          <t>scheandr:</t>
        </r>
        <r>
          <rPr>
            <sz val="8"/>
            <color indexed="81"/>
            <rFont val="Tahoma"/>
            <family val="2"/>
          </rPr>
          <t xml:space="preserve">
IMS Channel and Generic/Brand Data (excludes other and classifies "Branded Generic" as generic)</t>
        </r>
      </text>
    </comment>
    <comment ref="BS148" authorId="3">
      <text>
        <r>
          <rPr>
            <b/>
            <sz val="9"/>
            <color indexed="81"/>
            <rFont val="Tahoma"/>
            <family val="2"/>
          </rPr>
          <t>Garcia, Liza (Research):</t>
        </r>
        <r>
          <rPr>
            <sz val="9"/>
            <color indexed="81"/>
            <rFont val="Tahoma"/>
            <family val="2"/>
          </rPr>
          <t xml:space="preserve">
Follows GDR trend going forward as IMS data indicates declining generics as a % of revenues</t>
        </r>
      </text>
    </comment>
    <comment ref="AP155" authorId="0">
      <text>
        <r>
          <rPr>
            <sz val="8"/>
            <color indexed="81"/>
            <rFont val="Tahoma"/>
            <family val="2"/>
          </rPr>
          <t>Average revenue per network claim for the six months  ended June 2008 remained constant from the same period last year (2Q08 - 10Q)</t>
        </r>
      </text>
    </comment>
    <comment ref="AP159" authorId="0">
      <text>
        <r>
          <rPr>
            <sz val="8"/>
            <color indexed="81"/>
            <rFont val="Tahoma"/>
            <family val="2"/>
          </rPr>
          <t>Decrease in revenue per home delivery claim of 0.8% - this was partially offset by ingredient cost inflation (2Q08 -10Q)</t>
        </r>
      </text>
    </comment>
    <comment ref="AQ159" authorId="0">
      <text>
        <r>
          <rPr>
            <sz val="8"/>
            <color indexed="81"/>
            <rFont val="Tahoma"/>
            <family val="2"/>
          </rPr>
          <t>Average revenue per home delivery claim decreased 0.6% which is primarily due the impact of higher generic fill rate (CY3Q08 - 10Q)</t>
        </r>
      </text>
    </comment>
    <comment ref="AN165" authorId="0">
      <text>
        <r>
          <rPr>
            <sz val="8"/>
            <color indexed="81"/>
            <rFont val="Tahoma"/>
            <family val="2"/>
          </rPr>
          <t>Average revenue per claim increased by 10.6% in 2007</t>
        </r>
      </text>
    </comment>
    <comment ref="AO169" authorId="0">
      <text>
        <r>
          <rPr>
            <sz val="8"/>
            <color indexed="81"/>
            <rFont val="Tahoma"/>
            <family val="2"/>
          </rPr>
          <t>10Q noted a 1% increase in avg revenue per network claim</t>
        </r>
      </text>
    </comment>
    <comment ref="AP169" authorId="0">
      <text>
        <r>
          <rPr>
            <sz val="8"/>
            <color indexed="81"/>
            <rFont val="Tahoma"/>
            <family val="2"/>
          </rPr>
          <t>Average revenue per network claim for the six months  ended June 2008 remained constant from the same period last year (2Q08 - 10Q)</t>
        </r>
      </text>
    </comment>
    <comment ref="AQ169" authorId="0">
      <text>
        <r>
          <rPr>
            <sz val="8"/>
            <color indexed="81"/>
            <rFont val="Tahoma"/>
            <family val="2"/>
          </rPr>
          <t>Average revenue per home delivery claim decreased 0.6% for the 9 months ended in Sept which is primarily due the impact of higher generic fill rate. (3Q08 - 10Q)</t>
        </r>
      </text>
    </comment>
    <comment ref="AU169" authorId="1">
      <text>
        <r>
          <rPr>
            <b/>
            <sz val="8"/>
            <color indexed="81"/>
            <rFont val="Tahoma"/>
            <family val="2"/>
          </rPr>
          <t>2Q09 10Q:</t>
        </r>
        <r>
          <rPr>
            <sz val="8"/>
            <color indexed="81"/>
            <rFont val="Tahoma"/>
            <family val="2"/>
          </rPr>
          <t xml:space="preserve">
There was a decrease in price leading to lower revenues y-o-y
</t>
        </r>
      </text>
    </comment>
    <comment ref="AT173" authorId="1">
      <text>
        <r>
          <rPr>
            <b/>
            <sz val="8"/>
            <color indexed="81"/>
            <rFont val="Tahoma"/>
            <family val="2"/>
          </rPr>
          <t>scheandr:</t>
        </r>
        <r>
          <rPr>
            <sz val="8"/>
            <color indexed="81"/>
            <rFont val="Tahoma"/>
            <family val="2"/>
          </rPr>
          <t xml:space="preserve">
Estimated as cost component of ESRX Specialty Trend Forecasts in Drug Cost Report</t>
        </r>
      </text>
    </comment>
    <comment ref="AY173" authorId="1">
      <text>
        <r>
          <rPr>
            <b/>
            <sz val="8"/>
            <color indexed="81"/>
            <rFont val="Tahoma"/>
            <family val="2"/>
          </rPr>
          <t>scheandr:</t>
        </r>
        <r>
          <rPr>
            <sz val="8"/>
            <color indexed="81"/>
            <rFont val="Tahoma"/>
            <family val="2"/>
          </rPr>
          <t xml:space="preserve">
Estimated as cost component of ESRX Specialty Trend Forecasts in Drug Cost Report</t>
        </r>
      </text>
    </comment>
    <comment ref="AP175" authorId="0">
      <text>
        <r>
          <rPr>
            <sz val="8"/>
            <color indexed="81"/>
            <rFont val="Tahoma"/>
            <family val="2"/>
          </rPr>
          <t>Decrease in revenue per home delivery claim of 0.8% - this was partially offset by ingredient cost inflation (2Q08 -10Q)</t>
        </r>
      </text>
    </comment>
  </commentList>
</comments>
</file>

<file path=xl/comments3.xml><?xml version="1.0" encoding="utf-8"?>
<comments xmlns="http://schemas.openxmlformats.org/spreadsheetml/2006/main">
  <authors>
    <author>Editor</author>
    <author>scheandr</author>
    <author>sopcak</author>
  </authors>
  <commentList>
    <comment ref="B24" authorId="0">
      <text>
        <r>
          <rPr>
            <sz val="8"/>
            <color indexed="81"/>
            <rFont val="Tahoma"/>
            <family val="2"/>
          </rPr>
          <t>according to mnmgt:
mail generic (1)
retail generic (2)
mail brand (3)
retail brand (4)</t>
        </r>
      </text>
    </comment>
    <comment ref="AQ25" authorId="0">
      <text>
        <r>
          <rPr>
            <sz val="8"/>
            <color indexed="81"/>
            <rFont val="Tahoma"/>
            <family val="2"/>
          </rPr>
          <t>Better generic ingredient costs (CY3Q08 - 10Q)</t>
        </r>
      </text>
    </comment>
    <comment ref="AT25" authorId="1">
      <text>
        <r>
          <rPr>
            <b/>
            <sz val="8"/>
            <color indexed="81"/>
            <rFont val="Tahoma"/>
            <family val="2"/>
          </rPr>
          <t>scheandr:</t>
        </r>
        <r>
          <rPr>
            <sz val="8"/>
            <color indexed="81"/>
            <rFont val="Tahoma"/>
            <family val="2"/>
          </rPr>
          <t xml:space="preserve">
renegotiated contracts and increased competition from generic manufacturers</t>
        </r>
      </text>
    </comment>
    <comment ref="AU25" authorId="1">
      <text>
        <r>
          <rPr>
            <b/>
            <sz val="8"/>
            <color indexed="81"/>
            <rFont val="Tahoma"/>
            <family val="2"/>
          </rPr>
          <t>scheandr:</t>
        </r>
        <r>
          <rPr>
            <sz val="8"/>
            <color indexed="81"/>
            <rFont val="Tahoma"/>
            <family val="2"/>
          </rPr>
          <t xml:space="preserve">
renegotiated contracts and increased competition from generic manufacturers</t>
        </r>
      </text>
    </comment>
    <comment ref="AV25" authorId="1">
      <text>
        <r>
          <rPr>
            <b/>
            <sz val="8"/>
            <color indexed="81"/>
            <rFont val="Tahoma"/>
            <family val="2"/>
          </rPr>
          <t>scheandr:</t>
        </r>
        <r>
          <rPr>
            <sz val="8"/>
            <color indexed="81"/>
            <rFont val="Tahoma"/>
            <family val="2"/>
          </rPr>
          <t xml:space="preserve">
renegotiated contracts and increased competition from generic manufacturers</t>
        </r>
      </text>
    </comment>
    <comment ref="BO25" authorId="2">
      <text>
        <r>
          <rPr>
            <b/>
            <sz val="8"/>
            <color indexed="81"/>
            <rFont val="Tahoma"/>
            <family val="2"/>
          </rPr>
          <t>Seasonally, large client drives 2Q gp strength</t>
        </r>
        <r>
          <rPr>
            <sz val="8"/>
            <color indexed="81"/>
            <rFont val="Tahoma"/>
            <family val="2"/>
          </rPr>
          <t xml:space="preserve">
</t>
        </r>
      </text>
    </comment>
    <comment ref="BT25" authorId="2">
      <text>
        <r>
          <rPr>
            <b/>
            <sz val="8"/>
            <color indexed="81"/>
            <rFont val="Tahoma"/>
            <family val="2"/>
          </rPr>
          <t>Seasonality of customer in 2Q contributed ~$129M</t>
        </r>
        <r>
          <rPr>
            <sz val="8"/>
            <color indexed="81"/>
            <rFont val="Tahoma"/>
            <family val="2"/>
          </rPr>
          <t xml:space="preserve">
</t>
        </r>
      </text>
    </comment>
    <comment ref="BV25" authorId="2">
      <text>
        <r>
          <rPr>
            <b/>
            <sz val="8"/>
            <color indexed="81"/>
            <rFont val="Tahoma"/>
            <family val="2"/>
          </rPr>
          <t>DoD Renewal</t>
        </r>
        <r>
          <rPr>
            <sz val="8"/>
            <color indexed="81"/>
            <rFont val="Tahoma"/>
            <family val="2"/>
          </rPr>
          <t xml:space="preserve">
</t>
        </r>
      </text>
    </comment>
    <comment ref="AQ29" authorId="0">
      <text>
        <r>
          <rPr>
            <sz val="8"/>
            <color indexed="81"/>
            <rFont val="Tahoma"/>
            <family val="2"/>
          </rPr>
          <t>Better generic ingredient costs (CY3Q08 - 10Q)</t>
        </r>
      </text>
    </comment>
    <comment ref="AR29" authorId="1">
      <text>
        <r>
          <rPr>
            <b/>
            <sz val="8"/>
            <color indexed="81"/>
            <rFont val="Tahoma"/>
            <family val="2"/>
          </rPr>
          <t>scheandr:</t>
        </r>
        <r>
          <rPr>
            <sz val="8"/>
            <color indexed="81"/>
            <rFont val="Tahoma"/>
            <family val="2"/>
          </rPr>
          <t xml:space="preserve">
lost low margin mail only client</t>
        </r>
      </text>
    </comment>
    <comment ref="AT29" authorId="1">
      <text>
        <r>
          <rPr>
            <b/>
            <sz val="8"/>
            <color indexed="81"/>
            <rFont val="Tahoma"/>
            <family val="2"/>
          </rPr>
          <t>scheandr:</t>
        </r>
        <r>
          <rPr>
            <sz val="8"/>
            <color indexed="81"/>
            <rFont val="Tahoma"/>
            <family val="2"/>
          </rPr>
          <t xml:space="preserve">
renegotiated contracts and increased competition from generic manufacturers</t>
        </r>
      </text>
    </comment>
    <comment ref="AU29" authorId="1">
      <text>
        <r>
          <rPr>
            <b/>
            <sz val="8"/>
            <color indexed="81"/>
            <rFont val="Tahoma"/>
            <family val="2"/>
          </rPr>
          <t>scheandr:</t>
        </r>
        <r>
          <rPr>
            <sz val="8"/>
            <color indexed="81"/>
            <rFont val="Tahoma"/>
            <family val="2"/>
          </rPr>
          <t xml:space="preserve">
renegotiated contracts and increased competition from generic manufacturers</t>
        </r>
      </text>
    </comment>
    <comment ref="AV29" authorId="1">
      <text>
        <r>
          <rPr>
            <b/>
            <sz val="8"/>
            <color indexed="81"/>
            <rFont val="Tahoma"/>
            <family val="2"/>
          </rPr>
          <t>scheandr:</t>
        </r>
        <r>
          <rPr>
            <sz val="8"/>
            <color indexed="81"/>
            <rFont val="Tahoma"/>
            <family val="2"/>
          </rPr>
          <t xml:space="preserve">
renegotiated contracts and increased competition from generic manufacturers</t>
        </r>
      </text>
    </comment>
    <comment ref="BF29" authorId="1">
      <text>
        <r>
          <rPr>
            <b/>
            <sz val="8"/>
            <color indexed="81"/>
            <rFont val="Tahoma"/>
            <family val="2"/>
          </rPr>
          <t>3Q11:</t>
        </r>
        <r>
          <rPr>
            <sz val="8"/>
            <color indexed="81"/>
            <rFont val="Tahoma"/>
            <family val="2"/>
          </rPr>
          <t xml:space="preserve">
Additional spending in both COGS and SG&amp;A including acceleration of projects to free up capacity for integration activities next year, investing to support clients and members as they move away from Walgreens, and compliance with new regulatory guidance. </t>
        </r>
        <r>
          <rPr>
            <sz val="8"/>
            <color indexed="81"/>
            <rFont val="Tahoma"/>
            <family val="2"/>
          </rPr>
          <t>Spending in these areas is expected to increase in the fourth quarter.
Gross profit margin improvement reflects several factors including supply chain efficiencies, productivity improvements, increased contribution from generics, and the launch of our group purchasing organization or GPO.</t>
        </r>
      </text>
    </comment>
    <comment ref="AE30" authorId="0">
      <text>
        <r>
          <rPr>
            <sz val="8"/>
            <color indexed="81"/>
            <rFont val="Tahoma"/>
            <family val="2"/>
          </rPr>
          <t>Less rebates sequentially due to PFE</t>
        </r>
      </text>
    </comment>
    <comment ref="AF30" authorId="0">
      <text>
        <r>
          <rPr>
            <sz val="8"/>
            <color indexed="81"/>
            <rFont val="Tahoma"/>
            <family val="2"/>
          </rPr>
          <t>More rebates sequentially because moving patients off Lipitor</t>
        </r>
      </text>
    </comment>
    <comment ref="AO30" authorId="0">
      <text>
        <r>
          <rPr>
            <sz val="8"/>
            <color indexed="81"/>
            <rFont val="Tahoma"/>
            <family val="2"/>
          </rPr>
          <t>Plug</t>
        </r>
      </text>
    </comment>
    <comment ref="AP30" authorId="0">
      <text>
        <r>
          <rPr>
            <sz val="8"/>
            <color indexed="81"/>
            <rFont val="Tahoma"/>
            <family val="2"/>
          </rPr>
          <t>Plug</t>
        </r>
      </text>
    </comment>
    <comment ref="AR30" authorId="1">
      <text>
        <r>
          <rPr>
            <b/>
            <sz val="8"/>
            <color indexed="81"/>
            <rFont val="Tahoma"/>
            <family val="2"/>
          </rPr>
          <t>scheandr:</t>
        </r>
        <r>
          <rPr>
            <sz val="8"/>
            <color indexed="81"/>
            <rFont val="Tahoma"/>
            <family val="2"/>
          </rPr>
          <t xml:space="preserve">
lost low margin mail only client</t>
        </r>
      </text>
    </comment>
    <comment ref="BD34" authorId="1">
      <text>
        <r>
          <rPr>
            <b/>
            <sz val="8"/>
            <color indexed="81"/>
            <rFont val="Tahoma"/>
            <family val="2"/>
          </rPr>
          <t>1Q11 10Q:</t>
        </r>
        <r>
          <rPr>
            <sz val="8"/>
            <color indexed="81"/>
            <rFont val="Tahoma"/>
            <family val="2"/>
          </rPr>
          <t xml:space="preserve">
Service revenue includes administrative fees associated with the administration of retail pharmacy networks contracted by certain clients, medication counseling services and certain specialty distribution services.</t>
        </r>
      </text>
    </comment>
  </commentList>
</comments>
</file>

<file path=xl/comments4.xml><?xml version="1.0" encoding="utf-8"?>
<comments xmlns="http://schemas.openxmlformats.org/spreadsheetml/2006/main">
  <authors>
    <author>Editor</author>
    <author>scheandr</author>
    <author>sopcak</author>
  </authors>
  <commentList>
    <comment ref="B7" authorId="0">
      <text>
        <r>
          <rPr>
            <sz val="8"/>
            <color indexed="81"/>
            <rFont val="Tahoma"/>
            <family val="2"/>
          </rPr>
          <t>Provides health care management and administration services on behalf of clients, which include health maintenance organizations, health insurers, third-party administrators, employers, union-sponsored benefit plans, workers compensation plans, and government health programs. Integrated PBM services include network claims processing, home delivery services, benefit design consultation, drug utilization review, formulary management, and drug data analysis services (CY2Q08 - 10Q)</t>
        </r>
      </text>
    </comment>
    <comment ref="AP7" authorId="0">
      <text>
        <r>
          <rPr>
            <sz val="8"/>
            <color indexed="81"/>
            <rFont val="Tahoma"/>
            <family val="2"/>
          </rPr>
          <t>Revenues for the Canadian PBM totaled $11.3M (CY 2Q08)</t>
        </r>
      </text>
    </comment>
    <comment ref="AQ7" authorId="0">
      <text>
        <r>
          <rPr>
            <sz val="8"/>
            <color indexed="81"/>
            <rFont val="Tahoma"/>
            <family val="2"/>
          </rPr>
          <t>$4,492.8M reported in the 10-Q minus $733.7M = $3,759.1M</t>
        </r>
      </text>
    </comment>
    <comment ref="AO8" authorId="0">
      <text>
        <r>
          <rPr>
            <sz val="8"/>
            <color indexed="81"/>
            <rFont val="Tahoma"/>
            <family val="2"/>
          </rPr>
          <t>$16.1M increase was primarily due to 1.3% increase in adj. claims volume and ingredient cost inflation</t>
        </r>
      </text>
    </comment>
    <comment ref="AP8" authorId="0">
      <text>
        <r>
          <rPr>
            <sz val="8"/>
            <color indexed="81"/>
            <rFont val="Tahoma"/>
            <family val="2"/>
          </rPr>
          <t xml:space="preserve">Increase of $36.5M was primarily due to the 1.7% and 1.5% increase in adj claims volumes and ingredient cost inflation in 2Q08 offset by improvements in aggregate generic fill rate and better mgmt of ingredient costs resulting from renegotiation of certain supplier contracts (2Q08 - 10Q) </t>
        </r>
      </text>
    </comment>
    <comment ref="AQ8" authorId="0">
      <text>
        <r>
          <rPr>
            <sz val="8"/>
            <color indexed="81"/>
            <rFont val="Tahoma"/>
            <family val="2"/>
          </rPr>
          <t>Cost of PBM revs decreased $54.6M, or 1.3%, and $119.3M, or 1.0%, in the three and nine months ended 09/30/08 from the same period of 2007.  The decrease is primarily due to improvements in the aggregate generic fill rate and better management of ingredient costs resulting from renegotiation of certain supplier contracts (CY3Q08 - 10Q)
:
Includes retail pharmacy co-payments of $733.7 million (CY3Q08 - 10Q)</t>
        </r>
      </text>
    </comment>
    <comment ref="AP9" authorId="0">
      <text>
        <r>
          <rPr>
            <sz val="8"/>
            <color indexed="81"/>
            <rFont val="Tahoma"/>
            <family val="2"/>
          </rPr>
          <t>Gross profit increased $61.7M due to client cost savings from the increase in the aggregate generic fill rate and better mgmt of ingredient cost only partially offset by margin pressures arising from ingredient cost inflation and current competitive environment (CY 2Q08 - 10Q)</t>
        </r>
      </text>
    </comment>
    <comment ref="AQ9" authorId="0">
      <text>
        <r>
          <rPr>
            <sz val="8"/>
            <color indexed="81"/>
            <rFont val="Tahoma"/>
            <family val="2"/>
          </rPr>
          <t xml:space="preserve">PBM gross profit increased $70.6 million, or 17.8%, and $176.8 million, or 15.4%, respectively, for the three and nine months ended September 30, 2008 as compared to the same periods of 2007.  Client cost savings from the increase in the aggregate generic fill rate and better management of ingredient costs were partially offset by margin pressures arising from ingredient cost inflation and the current competitive environment (CY3Q08 - 10Q)
</t>
        </r>
      </text>
    </comment>
    <comment ref="AF13" authorId="0">
      <text>
        <r>
          <rPr>
            <sz val="8"/>
            <color indexed="81"/>
            <rFont val="Tahoma"/>
            <family val="2"/>
          </rPr>
          <t>Includes options</t>
        </r>
      </text>
    </comment>
    <comment ref="AG13" authorId="0">
      <text>
        <r>
          <rPr>
            <sz val="8"/>
            <color indexed="81"/>
            <rFont val="Tahoma"/>
            <family val="2"/>
          </rPr>
          <t>Includes options</t>
        </r>
      </text>
    </comment>
    <comment ref="AH13" authorId="0">
      <text>
        <r>
          <rPr>
            <sz val="8"/>
            <color indexed="81"/>
            <rFont val="Tahoma"/>
            <family val="2"/>
          </rPr>
          <t>excludes options</t>
        </r>
      </text>
    </comment>
    <comment ref="AJ13" authorId="0">
      <text>
        <r>
          <rPr>
            <sz val="8"/>
            <color indexed="81"/>
            <rFont val="Tahoma"/>
            <family val="2"/>
          </rPr>
          <t>Includes options expense</t>
        </r>
      </text>
    </comment>
    <comment ref="AK13" authorId="0">
      <text>
        <r>
          <rPr>
            <sz val="8"/>
            <color indexed="81"/>
            <rFont val="Tahoma"/>
            <family val="2"/>
          </rPr>
          <t>Should include options</t>
        </r>
      </text>
    </comment>
    <comment ref="AL13" authorId="0">
      <text>
        <r>
          <rPr>
            <sz val="8"/>
            <color indexed="81"/>
            <rFont val="Tahoma"/>
            <family val="2"/>
          </rPr>
          <t>Includes options</t>
        </r>
      </text>
    </comment>
    <comment ref="AM13" authorId="0">
      <text>
        <r>
          <rPr>
            <sz val="8"/>
            <color indexed="81"/>
            <rFont val="Tahoma"/>
            <family val="2"/>
          </rPr>
          <t xml:space="preserve">Includes options
</t>
        </r>
      </text>
    </comment>
    <comment ref="AO13" authorId="0">
      <text>
        <r>
          <rPr>
            <sz val="8"/>
            <color indexed="81"/>
            <rFont val="Tahoma"/>
            <family val="2"/>
          </rPr>
          <t>Includes options</t>
        </r>
      </text>
    </comment>
    <comment ref="AP13" authorId="0">
      <text>
        <r>
          <rPr>
            <sz val="8"/>
            <color indexed="81"/>
            <rFont val="Tahoma"/>
            <family val="2"/>
          </rPr>
          <t>Increase of $8.5M in SG&amp;A due to increases in mgmt incentive compensation which is based on corporate financial results (2Q08 -10Q). Includes options</t>
        </r>
      </text>
    </comment>
    <comment ref="AQ13" authorId="0">
      <text>
        <r>
          <rPr>
            <sz val="8"/>
            <color indexed="81"/>
            <rFont val="Tahoma"/>
            <family val="2"/>
          </rPr>
          <t>: 
SG&amp;A increased by $24.9M, or 19.5%, and $30.8M, or 7.8%, respectively.  The increase is primarily due to the expansion of our operation and administrative functions supporting program initiatives for impacting consumer behaviors to help drive lowest cost drug mix, maximum therapy adherence and greatest use of the most cost-effective delivery channel.  In addition,  ESRX had a charge related to internally developed software.
:
Excludes options
$14.5M of the SG&amp;A is from depreciation and amortization (CY3Q08 -10Q)</t>
        </r>
      </text>
    </comment>
    <comment ref="AV13" authorId="1">
      <text>
        <r>
          <rPr>
            <b/>
            <sz val="8"/>
            <color indexed="81"/>
            <rFont val="Tahoma"/>
            <family val="2"/>
          </rPr>
          <t>scheandr:</t>
        </r>
        <r>
          <rPr>
            <sz val="8"/>
            <color indexed="81"/>
            <rFont val="Tahoma"/>
            <family val="2"/>
          </rPr>
          <t xml:space="preserve">
increased our
investments in the core business (3Q09 CC)</t>
        </r>
      </text>
    </comment>
    <comment ref="AX13" authorId="0">
      <text>
        <r>
          <rPr>
            <sz val="8"/>
            <color indexed="81"/>
            <rFont val="Tahoma"/>
            <family val="2"/>
          </rPr>
          <t>Assume SG&amp;A grows by slightly more than the inflation rate for 09</t>
        </r>
      </text>
    </comment>
    <comment ref="BD13" authorId="1">
      <text>
        <r>
          <rPr>
            <b/>
            <sz val="8"/>
            <color indexed="81"/>
            <rFont val="Tahoma"/>
            <family val="2"/>
          </rPr>
          <t>1Q11 10Q:</t>
        </r>
        <r>
          <rPr>
            <sz val="8"/>
            <color indexed="81"/>
            <rFont val="Tahoma"/>
            <family val="2"/>
          </rPr>
          <t xml:space="preserve">
Selling, general and administrative expense (“SG&amp;A”) for our PBM segment for the three months ended March 31, 2011 decreased by $15.2 million, or 7.6%, as compared to the same period of 2010 primarily as a result of decreases in management compensation as well as integration costs of $6.0 million during the first quarter of 2010 related to the acquisition of NextRx. We do not expect any charges in 2011 and beyond related to the integration of NextRx.</t>
        </r>
      </text>
    </comment>
    <comment ref="BM21" authorId="2">
      <text>
        <r>
          <rPr>
            <b/>
            <sz val="8"/>
            <color indexed="81"/>
            <rFont val="Tahoma"/>
            <family val="2"/>
          </rPr>
          <t>Assume $200M in synergies in 2012</t>
        </r>
        <r>
          <rPr>
            <sz val="8"/>
            <color indexed="81"/>
            <rFont val="Tahoma"/>
            <family val="2"/>
          </rPr>
          <t xml:space="preserve">
</t>
        </r>
      </text>
    </comment>
    <comment ref="BR21" authorId="2">
      <text>
        <r>
          <rPr>
            <b/>
            <sz val="8"/>
            <color indexed="81"/>
            <rFont val="Tahoma"/>
            <family val="2"/>
          </rPr>
          <t>$200M in synergies in 2012, $650 in 2013
$250 in 2014</t>
        </r>
        <r>
          <rPr>
            <sz val="8"/>
            <color indexed="81"/>
            <rFont val="Tahoma"/>
            <family val="2"/>
          </rPr>
          <t xml:space="preserve">
</t>
        </r>
      </text>
    </comment>
    <comment ref="AF28" authorId="0">
      <text>
        <r>
          <rPr>
            <sz val="8"/>
            <color indexed="81"/>
            <rFont val="Tahoma"/>
            <family val="2"/>
          </rPr>
          <t>Includes options expense</t>
        </r>
      </text>
    </comment>
    <comment ref="AG28" authorId="0">
      <text>
        <r>
          <rPr>
            <sz val="8"/>
            <color indexed="81"/>
            <rFont val="Tahoma"/>
            <family val="2"/>
          </rPr>
          <t>Includes options expense</t>
        </r>
      </text>
    </comment>
    <comment ref="AH28" authorId="0">
      <text>
        <r>
          <rPr>
            <sz val="8"/>
            <color indexed="81"/>
            <rFont val="Tahoma"/>
            <family val="2"/>
          </rPr>
          <t>Includes options expense</t>
        </r>
      </text>
    </comment>
  </commentList>
</comments>
</file>

<file path=xl/comments5.xml><?xml version="1.0" encoding="utf-8"?>
<comments xmlns="http://schemas.openxmlformats.org/spreadsheetml/2006/main">
  <authors>
    <author>rickgold</author>
    <author>zhanmay</author>
    <author>Garcia, Liza (Research)</author>
  </authors>
  <commentList>
    <comment ref="AQ7" authorId="0">
      <text>
        <r>
          <rPr>
            <b/>
            <sz val="8"/>
            <color indexed="81"/>
            <rFont val="Tahoma"/>
            <family val="2"/>
          </rPr>
          <t>rickgold:</t>
        </r>
        <r>
          <rPr>
            <sz val="8"/>
            <color indexed="81"/>
            <rFont val="Tahoma"/>
            <family val="2"/>
          </rPr>
          <t xml:space="preserve">
a charge to inventory</t>
        </r>
      </text>
    </comment>
    <comment ref="BJ7" authorId="1">
      <text>
        <r>
          <rPr>
            <sz val="8"/>
            <color indexed="81"/>
            <rFont val="Tahoma"/>
            <family val="2"/>
          </rPr>
          <t xml:space="preserve">as reported in 4Q12 recast
</t>
        </r>
      </text>
    </comment>
    <comment ref="BK7" authorId="1">
      <text>
        <r>
          <rPr>
            <sz val="8"/>
            <color indexed="81"/>
            <rFont val="Tahoma"/>
            <family val="2"/>
          </rPr>
          <t>as reported in 4Q12 recast</t>
        </r>
      </text>
    </comment>
    <comment ref="CG9" authorId="2">
      <text>
        <r>
          <rPr>
            <b/>
            <sz val="9"/>
            <color indexed="81"/>
            <rFont val="Tahoma"/>
            <family val="2"/>
          </rPr>
          <t>Garcia, Liza (Research):</t>
        </r>
        <r>
          <rPr>
            <sz val="9"/>
            <color indexed="81"/>
            <rFont val="Tahoma"/>
            <family val="2"/>
          </rPr>
          <t xml:space="preserve">
$112.3 implied per $8,620.5 and PBM GP is $8,508.2 per 10-K page 36</t>
        </r>
      </text>
    </comment>
    <comment ref="CG10" authorId="2">
      <text>
        <r>
          <rPr>
            <b/>
            <sz val="9"/>
            <color indexed="81"/>
            <rFont val="Tahoma"/>
            <family val="2"/>
          </rPr>
          <t>Garcia, Liza (Research):</t>
        </r>
        <r>
          <rPr>
            <sz val="9"/>
            <color indexed="81"/>
            <rFont val="Tahoma"/>
            <family val="2"/>
          </rPr>
          <t xml:space="preserve">
Implied $104.5m per $3532.7 total and $3,428.2 PBM SG&amp;A</t>
        </r>
      </text>
    </comment>
  </commentList>
</comments>
</file>

<file path=xl/comments6.xml><?xml version="1.0" encoding="utf-8"?>
<comments xmlns="http://schemas.openxmlformats.org/spreadsheetml/2006/main">
  <authors>
    <author>Editor</author>
    <author>scheandr</author>
    <author>Sopcak, Zachary (Research)</author>
  </authors>
  <commentList>
    <comment ref="P5" authorId="0">
      <text>
        <r>
          <rPr>
            <sz val="8"/>
            <color indexed="81"/>
            <rFont val="Tahoma"/>
            <family val="2"/>
          </rPr>
          <t>8K says ACDO contributed $150m to 3Q05.</t>
        </r>
      </text>
    </comment>
    <comment ref="Q5" authorId="0">
      <text>
        <r>
          <rPr>
            <sz val="8"/>
            <color indexed="81"/>
            <rFont val="Tahoma"/>
            <family val="2"/>
          </rPr>
          <t xml:space="preserve">1/6 of ACDO rev removed for inter company eliminations
</t>
        </r>
      </text>
    </comment>
    <comment ref="AC5" authorId="0">
      <text>
        <r>
          <rPr>
            <sz val="8"/>
            <color indexed="81"/>
            <rFont val="Tahoma"/>
            <family val="2"/>
          </rPr>
          <t>$15.1M is from service revenues.
Increase primarily resulted from higher mail-order rev reflecting new clients as well as incremental revenues from CCS</t>
        </r>
      </text>
    </comment>
    <comment ref="AD5" authorId="0">
      <text>
        <r>
          <rPr>
            <sz val="8"/>
            <color indexed="81"/>
            <rFont val="Tahoma"/>
            <family val="2"/>
          </rPr>
          <t>From PR (Specialty Pharmacy section)</t>
        </r>
      </text>
    </comment>
    <comment ref="AG5" authorId="0">
      <text>
        <r>
          <rPr>
            <sz val="8"/>
            <color indexed="81"/>
            <rFont val="Tahoma"/>
            <family val="2"/>
          </rPr>
          <t>Accredo revenue expected to reach $7 bil in 2008 (4Q CC) - this guidance includes CCS but no Polymedica</t>
        </r>
      </text>
    </comment>
    <comment ref="AI5" authorId="1">
      <text>
        <r>
          <rPr>
            <b/>
            <sz val="8"/>
            <color indexed="81"/>
            <rFont val="Tahoma"/>
            <family val="2"/>
          </rPr>
          <t>scheandr:</t>
        </r>
        <r>
          <rPr>
            <sz val="8"/>
            <color indexed="81"/>
            <rFont val="Tahoma"/>
            <family val="2"/>
          </rPr>
          <t xml:space="preserve">
reflects higher volumes from new business</t>
        </r>
      </text>
    </comment>
    <comment ref="AL5" authorId="1">
      <text>
        <r>
          <rPr>
            <b/>
            <sz val="8"/>
            <color indexed="81"/>
            <rFont val="Tahoma"/>
            <family val="2"/>
          </rPr>
          <t xml:space="preserve">3Q09 CC:
</t>
        </r>
        <r>
          <rPr>
            <sz val="8"/>
            <color indexed="81"/>
            <rFont val="Tahoma"/>
            <family val="2"/>
          </rPr>
          <t>~$9.5 billion
2Q09 CC:</t>
        </r>
        <r>
          <rPr>
            <sz val="8"/>
            <color indexed="81"/>
            <rFont val="Tahoma"/>
            <family val="2"/>
          </rPr>
          <t xml:space="preserve">
$9.3B+ guidance</t>
        </r>
      </text>
    </comment>
    <comment ref="AQ5" authorId="1">
      <text>
        <r>
          <rPr>
            <b/>
            <sz val="8"/>
            <color indexed="81"/>
            <rFont val="Tahoma"/>
            <family val="2"/>
          </rPr>
          <t>3Q10/2Q10CC/4Q09 CC:</t>
        </r>
        <r>
          <rPr>
            <sz val="8"/>
            <color indexed="81"/>
            <rFont val="Tahoma"/>
            <family val="2"/>
          </rPr>
          <t xml:space="preserve">
exceed $11 billion</t>
        </r>
      </text>
    </comment>
    <comment ref="AV5" authorId="1">
      <text>
        <r>
          <rPr>
            <b/>
            <sz val="8"/>
            <color indexed="81"/>
            <rFont val="Tahoma"/>
            <family val="2"/>
          </rPr>
          <t>3Q10CC:</t>
        </r>
        <r>
          <rPr>
            <sz val="8"/>
            <color indexed="81"/>
            <rFont val="Tahoma"/>
            <family val="2"/>
          </rPr>
          <t xml:space="preserve">
~$13 billion</t>
        </r>
      </text>
    </comment>
    <comment ref="P6" authorId="0">
      <text>
        <r>
          <rPr>
            <sz val="8"/>
            <color indexed="81"/>
            <rFont val="Tahoma"/>
            <family val="2"/>
          </rPr>
          <t>8K says ACDO contributed $150m to 3Q05.</t>
        </r>
      </text>
    </comment>
    <comment ref="Q6" authorId="0">
      <text>
        <r>
          <rPr>
            <sz val="8"/>
            <color indexed="81"/>
            <rFont val="Tahoma"/>
            <family val="2"/>
          </rPr>
          <t xml:space="preserve">1/6 of ACDO rev removed for inter company eliminations
</t>
        </r>
      </text>
    </comment>
    <comment ref="AG6" authorId="0">
      <text>
        <r>
          <rPr>
            <sz val="8"/>
            <color indexed="81"/>
            <rFont val="Tahoma"/>
            <family val="2"/>
          </rPr>
          <t>Accredo revenue expected to reach $7 bil in 2008 (4Q CC) - this guidance includes CCS but no Polymedica</t>
        </r>
      </text>
    </comment>
    <comment ref="AL6" authorId="1">
      <text>
        <r>
          <rPr>
            <b/>
            <sz val="8"/>
            <color indexed="81"/>
            <rFont val="Tahoma"/>
            <family val="2"/>
          </rPr>
          <t xml:space="preserve">3Q09 CC:
</t>
        </r>
        <r>
          <rPr>
            <sz val="8"/>
            <color indexed="81"/>
            <rFont val="Tahoma"/>
            <family val="2"/>
          </rPr>
          <t>~$9.5 billion
2Q09 CC:</t>
        </r>
        <r>
          <rPr>
            <sz val="8"/>
            <color indexed="81"/>
            <rFont val="Tahoma"/>
            <family val="2"/>
          </rPr>
          <t xml:space="preserve">
$9.3B+ guidance</t>
        </r>
      </text>
    </comment>
    <comment ref="AQ6" authorId="1">
      <text>
        <r>
          <rPr>
            <b/>
            <sz val="8"/>
            <color indexed="81"/>
            <rFont val="Tahoma"/>
            <family val="2"/>
          </rPr>
          <t>3Q10/2Q10CC/4Q09 CC:</t>
        </r>
        <r>
          <rPr>
            <sz val="8"/>
            <color indexed="81"/>
            <rFont val="Tahoma"/>
            <family val="2"/>
          </rPr>
          <t xml:space="preserve">
exceed $11 billion</t>
        </r>
      </text>
    </comment>
    <comment ref="AV6" authorId="1">
      <text>
        <r>
          <rPr>
            <b/>
            <sz val="8"/>
            <color indexed="81"/>
            <rFont val="Tahoma"/>
            <family val="2"/>
          </rPr>
          <t>3Q10CC:</t>
        </r>
        <r>
          <rPr>
            <sz val="8"/>
            <color indexed="81"/>
            <rFont val="Tahoma"/>
            <family val="2"/>
          </rPr>
          <t xml:space="preserve">
~$13 billion</t>
        </r>
      </text>
    </comment>
    <comment ref="Q10" authorId="0">
      <text>
        <r>
          <rPr>
            <sz val="8"/>
            <color indexed="81"/>
            <rFont val="Tahoma"/>
            <family val="2"/>
          </rPr>
          <t>Press release says this was 7.60%</t>
        </r>
      </text>
    </comment>
    <comment ref="S10" authorId="0">
      <text>
        <r>
          <rPr>
            <sz val="8"/>
            <color indexed="81"/>
            <rFont val="Tahoma"/>
            <family val="2"/>
          </rPr>
          <t xml:space="preserve">Gross margins were 7.5 percent, a slight decline from the 7.6 percent in the fourth quarter of 2005, resulting from product seasonality and mix. </t>
        </r>
      </text>
    </comment>
    <comment ref="U10" authorId="0">
      <text>
        <r>
          <rPr>
            <sz val="8"/>
            <color indexed="81"/>
            <rFont val="Tahoma"/>
            <family val="2"/>
          </rPr>
          <t>Conference call said 7.6%</t>
        </r>
      </text>
    </comment>
    <comment ref="V10" authorId="0">
      <text>
        <r>
          <rPr>
            <sz val="8"/>
            <color indexed="81"/>
            <rFont val="Tahoma"/>
            <family val="2"/>
          </rPr>
          <t>total was 7.8%</t>
        </r>
      </text>
    </comment>
    <comment ref="X10" authorId="0">
      <text>
        <r>
          <rPr>
            <sz val="8"/>
            <color indexed="81"/>
            <rFont val="Tahoma"/>
            <family val="2"/>
          </rPr>
          <t>Conference call said 8.0%</t>
        </r>
      </text>
    </comment>
    <comment ref="Y10" authorId="0">
      <text>
        <r>
          <rPr>
            <sz val="8"/>
            <color indexed="81"/>
            <rFont val="Tahoma"/>
            <family val="2"/>
          </rPr>
          <t>Press release: 8%</t>
        </r>
      </text>
    </comment>
    <comment ref="Z10" authorId="0">
      <text>
        <r>
          <rPr>
            <sz val="8"/>
            <color indexed="81"/>
            <rFont val="Tahoma"/>
            <family val="2"/>
          </rPr>
          <t>PR said 7.8%</t>
        </r>
      </text>
    </comment>
    <comment ref="AA10" authorId="0">
      <text>
        <r>
          <rPr>
            <sz val="8"/>
            <color indexed="81"/>
            <rFont val="Tahoma"/>
            <family val="2"/>
          </rPr>
          <t>PR said 8%</t>
        </r>
      </text>
    </comment>
    <comment ref="AC10" authorId="0">
      <text>
        <r>
          <rPr>
            <sz val="8"/>
            <color indexed="81"/>
            <rFont val="Tahoma"/>
            <family val="2"/>
          </rPr>
          <t>Decreased GM primarily from new client mix &amp; start-up costs, lower brand-name manufacturer purchase discounts and lower margins associated w/ timing of inventory purchases offset by higher margins from CCS (10Q)</t>
        </r>
      </text>
    </comment>
    <comment ref="AD10" authorId="0">
      <text>
        <r>
          <rPr>
            <sz val="8"/>
            <color indexed="81"/>
            <rFont val="Tahoma"/>
            <family val="2"/>
          </rPr>
          <t>Increase in GM primarily reflects higher brand name manufacturer purchase discounts and service revenues as a result of favorable contract revisions as well as higher margins associated CCS product line offset by lower margin associated with new clients wins and timing of inventory purchases (2Q08 CC)</t>
        </r>
      </text>
    </comment>
    <comment ref="AH10" authorId="1">
      <text>
        <r>
          <rPr>
            <b/>
            <sz val="8"/>
            <color indexed="81"/>
            <rFont val="Tahoma"/>
            <family val="2"/>
          </rPr>
          <t>scheandr:</t>
        </r>
        <r>
          <rPr>
            <sz val="8"/>
            <color indexed="81"/>
            <rFont val="Tahoma"/>
            <family val="2"/>
          </rPr>
          <t xml:space="preserve">
Benefits recorded in cost of sales in 1Q associated with the timing of inverntory purchases that will not repeat in 2010</t>
        </r>
      </text>
    </comment>
    <comment ref="AI10" authorId="1">
      <text>
        <r>
          <rPr>
            <b/>
            <sz val="8"/>
            <color indexed="81"/>
            <rFont val="Tahoma"/>
            <family val="2"/>
          </rPr>
          <t>scheandr:</t>
        </r>
        <r>
          <rPr>
            <sz val="8"/>
            <color indexed="81"/>
            <rFont val="Tahoma"/>
            <family val="2"/>
          </rPr>
          <t xml:space="preserve">
Lower margins reflect changes in channel mix</t>
        </r>
      </text>
    </comment>
    <comment ref="AJ10" authorId="1">
      <text>
        <r>
          <rPr>
            <b/>
            <sz val="8"/>
            <color indexed="81"/>
            <rFont val="Tahoma"/>
            <family val="2"/>
          </rPr>
          <t>scheandr:</t>
        </r>
        <r>
          <rPr>
            <sz val="8"/>
            <color indexed="81"/>
            <rFont val="Tahoma"/>
            <family val="2"/>
          </rPr>
          <t xml:space="preserve">
lower margins resulting from changes in channel mix from significant new business wins</t>
        </r>
      </text>
    </comment>
    <comment ref="AL10" authorId="1">
      <text>
        <r>
          <rPr>
            <b/>
            <sz val="8"/>
            <color indexed="81"/>
            <rFont val="Tahoma"/>
            <family val="2"/>
          </rPr>
          <t xml:space="preserve">3Q09 CC:
</t>
        </r>
        <r>
          <rPr>
            <sz val="8"/>
            <color indexed="81"/>
            <rFont val="Tahoma"/>
            <family val="2"/>
          </rPr>
          <t xml:space="preserve">mid 7% range
2Q09 CC:
</t>
        </r>
        <r>
          <rPr>
            <sz val="8"/>
            <color indexed="81"/>
            <rFont val="Tahoma"/>
            <family val="2"/>
          </rPr>
          <t xml:space="preserve">mid - 7% range Guidance
</t>
        </r>
      </text>
    </comment>
    <comment ref="AN10" authorId="1">
      <text>
        <r>
          <rPr>
            <b/>
            <sz val="8"/>
            <color indexed="81"/>
            <rFont val="Tahoma"/>
            <family val="2"/>
          </rPr>
          <t>2QCC:</t>
        </r>
        <r>
          <rPr>
            <sz val="8"/>
            <color indexed="81"/>
            <rFont val="Tahoma"/>
            <family val="2"/>
          </rPr>
          <t xml:space="preserve">
The decrease in Accredo’s gross margin percentage in 2Q10 reflects product, channel and new client mix, partially offset by higher margins associated with manufacturer price increases. For the six months of 2010, however, manufacturer price increases as a percentage of net revenues were lower than 2009.</t>
        </r>
      </text>
    </comment>
    <comment ref="AQ10" authorId="1">
      <text>
        <r>
          <rPr>
            <b/>
            <sz val="8"/>
            <color indexed="81"/>
            <rFont val="Tahoma"/>
            <family val="2"/>
          </rPr>
          <t xml:space="preserve">3qCC:
</t>
        </r>
        <r>
          <rPr>
            <sz val="8"/>
            <color indexed="81"/>
            <rFont val="Tahoma"/>
            <family val="2"/>
          </rPr>
          <t>Accredo gross margin percentage expected to be ~6.8%,</t>
        </r>
        <r>
          <rPr>
            <b/>
            <sz val="8"/>
            <color indexed="81"/>
            <rFont val="Tahoma"/>
            <family val="2"/>
          </rPr>
          <t xml:space="preserve">
2QCC:</t>
        </r>
        <r>
          <rPr>
            <sz val="8"/>
            <color indexed="81"/>
            <rFont val="Tahoma"/>
            <family val="2"/>
          </rPr>
          <t xml:space="preserve">
we’ll probably have gross margins in the 7% range, give or take, for the back half of the year. I don’t expect too much volatility going forward.</t>
        </r>
      </text>
    </comment>
    <comment ref="AR10" authorId="1">
      <text>
        <r>
          <rPr>
            <b/>
            <sz val="8"/>
            <color indexed="81"/>
            <rFont val="Tahoma"/>
            <family val="2"/>
          </rPr>
          <t>1Q11cc:</t>
        </r>
        <r>
          <rPr>
            <sz val="8"/>
            <color indexed="81"/>
            <rFont val="Tahoma"/>
            <family val="2"/>
          </rPr>
          <t xml:space="preserve">
The decrease in Accredo’s gross margin percentage in first-quarter 2011 reflects the product, channel, and new client mix that we experienced as 2010 progressed. Sequentially, Accredo's gross margin percentage increased 10 basis points from the 6.5% in fourth-quarter 2010</t>
        </r>
      </text>
    </comment>
    <comment ref="AS10" authorId="1">
      <text>
        <r>
          <rPr>
            <b/>
            <sz val="8"/>
            <color indexed="81"/>
            <rFont val="Tahoma"/>
            <family val="2"/>
          </rPr>
          <t>1Q11cc:</t>
        </r>
        <r>
          <rPr>
            <sz val="8"/>
            <color indexed="81"/>
            <rFont val="Tahoma"/>
            <family val="2"/>
          </rPr>
          <t xml:space="preserve">
The decrease in Accredo’s gross margin percentage in first-quarter 2011 reflects the product, channel, and new client mix that we experienced as 2010 progressed. Sequentially, Accredo's gross margin percentage increased 10 basis points from the 6.5% in fourth-quarter 2010</t>
        </r>
      </text>
    </comment>
    <comment ref="AV10" authorId="1">
      <text>
        <r>
          <rPr>
            <b/>
            <sz val="8"/>
            <color indexed="81"/>
            <rFont val="Tahoma"/>
            <family val="2"/>
          </rPr>
          <t>3Q10CC:</t>
        </r>
        <r>
          <rPr>
            <sz val="8"/>
            <color indexed="81"/>
            <rFont val="Tahoma"/>
            <family val="2"/>
          </rPr>
          <t xml:space="preserve">
mid-6% range</t>
        </r>
      </text>
    </comment>
    <comment ref="BL10" authorId="2">
      <text>
        <r>
          <rPr>
            <b/>
            <sz val="9"/>
            <color indexed="81"/>
            <rFont val="Tahoma"/>
            <family val="2"/>
          </rPr>
          <t>Lower margin on Hep C</t>
        </r>
        <r>
          <rPr>
            <sz val="9"/>
            <color indexed="81"/>
            <rFont val="Tahoma"/>
            <family val="2"/>
          </rPr>
          <t xml:space="preserve">
</t>
        </r>
      </text>
    </comment>
    <comment ref="AQ15" authorId="1">
      <text>
        <r>
          <rPr>
            <b/>
            <sz val="8"/>
            <color indexed="81"/>
            <rFont val="Tahoma"/>
            <family val="2"/>
          </rPr>
          <t>2QCC:</t>
        </r>
        <r>
          <rPr>
            <sz val="8"/>
            <color indexed="81"/>
            <rFont val="Tahoma"/>
            <family val="2"/>
          </rPr>
          <t xml:space="preserve">
in the second quarter of 2010, a benefit from price increases relative to the
second quarter of 2009. Of course, on a year-to-date basis, we’re still behind, because the first quarter of 2009 was so strong with regard to price increases.  There are some changes in mix, though,as you bring on these new clients. As you know, over the past couple of years, there’s been more of a shift toward retail mix. And I would say that the dynamic from the gross profit percentage of last year to
this year is in part driven by that mix, retail versus mail</t>
        </r>
      </text>
    </comment>
    <comment ref="BL32" authorId="2">
      <text>
        <r>
          <rPr>
            <b/>
            <sz val="9"/>
            <color indexed="81"/>
            <rFont val="Tahoma"/>
            <family val="2"/>
          </rPr>
          <t>Continued growth in Hep C</t>
        </r>
        <r>
          <rPr>
            <sz val="9"/>
            <color indexed="81"/>
            <rFont val="Tahoma"/>
            <family val="2"/>
          </rPr>
          <t xml:space="preserve">
</t>
        </r>
      </text>
    </comment>
    <comment ref="BB33" authorId="1">
      <text>
        <r>
          <rPr>
            <b/>
            <sz val="8"/>
            <color indexed="81"/>
            <rFont val="Tahoma"/>
            <family val="2"/>
          </rPr>
          <t>scheandr:</t>
        </r>
        <r>
          <rPr>
            <sz val="8"/>
            <color indexed="81"/>
            <rFont val="Tahoma"/>
            <family val="2"/>
          </rPr>
          <t xml:space="preserve">
Estimated as cost component of ESRX Specialty Trend Forecasts in Drug Cost Report</t>
        </r>
      </text>
    </comment>
  </commentList>
</comments>
</file>

<file path=xl/comments7.xml><?xml version="1.0" encoding="utf-8"?>
<comments xmlns="http://schemas.openxmlformats.org/spreadsheetml/2006/main">
  <authors>
    <author>Editor</author>
    <author>scheandr</author>
    <author>prashchi</author>
    <author>sopcak</author>
    <author>Sopcak, Zachary (Research)</author>
  </authors>
  <commentList>
    <comment ref="AU17" authorId="0">
      <text>
        <r>
          <rPr>
            <sz val="8"/>
            <color indexed="81"/>
            <rFont val="Tahoma"/>
            <family val="2"/>
          </rPr>
          <t xml:space="preserve">Excludes $58.4 million incurred related to the termination of the bridge loan for the financing of the Next Rx acquisition.
Source: 2Q09-10Q (pg </t>
        </r>
      </text>
    </comment>
    <comment ref="AC18" authorId="0">
      <text>
        <r>
          <rPr>
            <sz val="8"/>
            <color indexed="81"/>
            <rFont val="Tahoma"/>
            <family val="2"/>
          </rPr>
          <t>$4m of interest expense was due to debt refinancing.</t>
        </r>
      </text>
    </comment>
    <comment ref="AS23" authorId="0">
      <text>
        <r>
          <rPr>
            <sz val="8"/>
            <color indexed="81"/>
            <rFont val="Tahoma"/>
            <family val="2"/>
          </rPr>
          <t>Current maturities of LTD is $260 mil w/ $60, 60, 60, and 80 in each qtr so assume at least this much in repayments</t>
        </r>
      </text>
    </comment>
    <comment ref="AE32" authorId="0">
      <text>
        <r>
          <rPr>
            <sz val="8"/>
            <color indexed="81"/>
            <rFont val="Tahoma"/>
            <family val="2"/>
          </rPr>
          <t xml:space="preserve">From 10K as of 12/31/05
</t>
        </r>
      </text>
    </comment>
    <comment ref="AL32" authorId="0">
      <text>
        <r>
          <rPr>
            <sz val="8"/>
            <color indexed="81"/>
            <rFont val="Tahoma"/>
            <family val="2"/>
          </rPr>
          <t>From Bloomberg.com/markets/rates/</t>
        </r>
      </text>
    </comment>
    <comment ref="AM32" authorId="0">
      <text>
        <r>
          <rPr>
            <sz val="8"/>
            <color indexed="81"/>
            <rFont val="Tahoma"/>
            <family val="2"/>
          </rPr>
          <t>In 10K</t>
        </r>
      </text>
    </comment>
    <comment ref="X35" authorId="0">
      <text>
        <r>
          <rPr>
            <sz val="8"/>
            <color indexed="81"/>
            <rFont val="Tahoma"/>
            <family val="2"/>
          </rPr>
          <t>Commitment fee rate.  .2% - .5% on unused funds.</t>
        </r>
      </text>
    </comment>
    <comment ref="AM36" authorId="0">
      <text>
        <r>
          <rPr>
            <sz val="8"/>
            <color indexed="81"/>
            <rFont val="Tahoma"/>
            <family val="2"/>
          </rPr>
          <t>from 10Q; Back Credit Facility section or Financing section</t>
        </r>
      </text>
    </comment>
    <comment ref="AO36" authorId="0">
      <text>
        <r>
          <rPr>
            <sz val="8"/>
            <color indexed="81"/>
            <rFont val="Tahoma"/>
            <family val="2"/>
          </rPr>
          <t>Based on LIBOR + 0.50%-1.125% depending on consolidated leverage ratio or our credit rating
:
Should come down slightly based on fwd LIBOR curve (Bloomberg: FWCV)</t>
        </r>
      </text>
    </comment>
    <comment ref="AQ36" authorId="0">
      <text>
        <r>
          <rPr>
            <sz val="8"/>
            <color indexed="81"/>
            <rFont val="Tahoma"/>
            <family val="2"/>
          </rPr>
          <t>Based on LIBOR + 0.50%-1.125% depending on consolidated leverage ratio or our credit rating (2Q08 - 10Q)</t>
        </r>
      </text>
    </comment>
    <comment ref="AR36" authorId="0">
      <text>
        <r>
          <rPr>
            <sz val="8"/>
            <color indexed="81"/>
            <rFont val="Tahoma"/>
            <family val="2"/>
          </rPr>
          <t>Average rate of 3.5% at December 2008.
Source: 10K08 (pg 64)</t>
        </r>
      </text>
    </comment>
    <comment ref="AT36" authorId="0">
      <text>
        <r>
          <rPr>
            <sz val="8"/>
            <color indexed="81"/>
            <rFont val="Tahoma"/>
            <family val="2"/>
          </rPr>
          <t>Based on LIBOR + 0.50%-1.125% depending on consolidated leverage ratio or our credit rating.
Should come down slightly based on fwd LIBOR curve (Bloomberg: FWCV)</t>
        </r>
      </text>
    </comment>
    <comment ref="BD36" authorId="0">
      <text>
        <r>
          <rPr>
            <sz val="8"/>
            <color indexed="81"/>
            <rFont val="Tahoma"/>
            <family val="2"/>
          </rPr>
          <t>Based on fwd LIBOR curve (Bloomberg FWCV)</t>
        </r>
      </text>
    </comment>
    <comment ref="AP39" authorId="0">
      <text>
        <r>
          <rPr>
            <sz val="8"/>
            <color indexed="81"/>
            <rFont val="Tahoma"/>
            <family val="2"/>
          </rPr>
          <t>Balance of $800M of Term-1 loans as of 06/30/08 - 2Q08 10Q</t>
        </r>
      </text>
    </comment>
    <comment ref="B45" authorId="1">
      <text>
        <r>
          <rPr>
            <b/>
            <sz val="8"/>
            <color indexed="81"/>
            <rFont val="Tahoma"/>
            <family val="2"/>
          </rPr>
          <t>scheandr:</t>
        </r>
        <r>
          <rPr>
            <sz val="8"/>
            <color indexed="81"/>
            <rFont val="Tahoma"/>
            <family val="2"/>
          </rPr>
          <t xml:space="preserve">
Former $600M Revolving Credit Facility - due 10/14/2010</t>
        </r>
      </text>
    </comment>
    <comment ref="X46" authorId="0">
      <text>
        <r>
          <rPr>
            <sz val="8"/>
            <color indexed="81"/>
            <rFont val="Tahoma"/>
            <family val="2"/>
          </rPr>
          <t>Commitment fee rate.  .2% - .5% on unused funds.</t>
        </r>
      </text>
    </comment>
    <comment ref="AE46" authorId="0">
      <text>
        <r>
          <rPr>
            <sz val="8"/>
            <color indexed="81"/>
            <rFont val="Tahoma"/>
            <family val="2"/>
          </rPr>
          <t>Commitment fee is 0.10% to 0.25%</t>
        </r>
      </text>
    </comment>
    <comment ref="AO46" authorId="0">
      <text>
        <r>
          <rPr>
            <sz val="8"/>
            <color indexed="81"/>
            <rFont val="Tahoma"/>
            <family val="2"/>
          </rPr>
          <t>The commitment fee will range from 0.10% to 0.25% depending on the consolidated leverage ratio or credit rating</t>
        </r>
      </text>
    </comment>
    <comment ref="AP46" authorId="0">
      <text>
        <r>
          <rPr>
            <sz val="8"/>
            <color indexed="81"/>
            <rFont val="Tahoma"/>
            <family val="2"/>
          </rPr>
          <t>The commitment fee will range from 0.10% to 0.25% depending on the consolidated leverage ratio or credit rating (2Q08 - 10Q)</t>
        </r>
      </text>
    </comment>
    <comment ref="AQ46" authorId="0">
      <text>
        <r>
          <rPr>
            <sz val="8"/>
            <color indexed="81"/>
            <rFont val="Tahoma"/>
            <family val="2"/>
          </rPr>
          <t>The commitment fee will range from 0.10% to 0.25% depending on the consolidated leverage ratio or credit rating (3Q08 - 10Q)</t>
        </r>
      </text>
    </comment>
    <comment ref="AR46" authorId="0">
      <text>
        <r>
          <rPr>
            <sz val="8"/>
            <color indexed="81"/>
            <rFont val="Tahoma"/>
            <family val="2"/>
          </rPr>
          <t xml:space="preserve">The commitment fee will range from 0.10% to 0.25% depending on the consolidated leverage ratio or credit rating (10K 08)
</t>
        </r>
      </text>
    </comment>
    <comment ref="AT46" authorId="0">
      <text>
        <r>
          <rPr>
            <sz val="8"/>
            <color indexed="81"/>
            <rFont val="Tahoma"/>
            <family val="2"/>
          </rPr>
          <t>The commitment fee will range from 0.10% to 0.25% depending on the consolidated leverage ratio or credit rating (1Q09 - 10Q)</t>
        </r>
      </text>
    </comment>
    <comment ref="BA46" authorId="1">
      <text>
        <r>
          <rPr>
            <b/>
            <sz val="8"/>
            <color indexed="81"/>
            <rFont val="Tahoma"/>
            <family val="2"/>
          </rPr>
          <t>scheandr:</t>
        </r>
        <r>
          <rPr>
            <sz val="8"/>
            <color indexed="81"/>
            <rFont val="Tahoma"/>
            <family val="2"/>
          </rPr>
          <t xml:space="preserve">
The commitment fee will range from 0.20% to 0.30% depending on
our consolidated leverage ratio.</t>
        </r>
      </text>
    </comment>
    <comment ref="AH47" authorId="0">
      <text>
        <r>
          <rPr>
            <sz val="8"/>
            <color indexed="81"/>
            <rFont val="Tahoma"/>
            <family val="2"/>
          </rPr>
          <t>6.0% on 12/31/06</t>
        </r>
      </text>
    </comment>
    <comment ref="AO47" authorId="0">
      <text>
        <r>
          <rPr>
            <sz val="8"/>
            <color indexed="81"/>
            <rFont val="Tahoma"/>
            <family val="2"/>
          </rPr>
          <t>Based on LIBOR + 0.50%-1.125% depending on consolidated leverage ratio or our credit rating.
Should come down slightly based on fwd LIBOR curve (Bloomberg: FWCV)</t>
        </r>
      </text>
    </comment>
    <comment ref="AP47" authorId="0">
      <text>
        <r>
          <rPr>
            <sz val="8"/>
            <color indexed="81"/>
            <rFont val="Tahoma"/>
            <family val="2"/>
          </rPr>
          <t>At June 30th, the weighted average interset rate on the facility was 3.1% (2Q08 - 10Q)</t>
        </r>
      </text>
    </comment>
    <comment ref="AQ47" authorId="0">
      <text>
        <r>
          <rPr>
            <sz val="8"/>
            <color indexed="81"/>
            <rFont val="Tahoma"/>
            <family val="2"/>
          </rPr>
          <t>At Sep 30th, the weighted average interest rate on the facility was 4.1% (3Q08 - 10Q)</t>
        </r>
      </text>
    </comment>
    <comment ref="AR47" authorId="0">
      <text>
        <r>
          <rPr>
            <sz val="8"/>
            <color indexed="81"/>
            <rFont val="Tahoma"/>
            <family val="2"/>
          </rPr>
          <t>At Dec 31, the weighted average interest rate on the facility was 3.7% (10K 08 pg. 64)</t>
        </r>
      </text>
    </comment>
    <comment ref="AT47" authorId="0">
      <text>
        <r>
          <rPr>
            <sz val="8"/>
            <color indexed="81"/>
            <rFont val="Tahoma"/>
            <family val="2"/>
          </rPr>
          <t>At March 31, the weighted average interest rate on the facility was 2.9% (1Q09 - 10Q)</t>
        </r>
      </text>
    </comment>
    <comment ref="BA47" authorId="1">
      <text>
        <r>
          <rPr>
            <b/>
            <sz val="8"/>
            <color indexed="81"/>
            <rFont val="Tahoma"/>
            <family val="2"/>
          </rPr>
          <t>scheandr:</t>
        </r>
        <r>
          <rPr>
            <sz val="8"/>
            <color indexed="81"/>
            <rFont val="Tahoma"/>
            <family val="2"/>
          </rPr>
          <t xml:space="preserve">
margin over LIBOR ranges from 1.55% to 1.95%,</t>
        </r>
      </text>
    </comment>
    <comment ref="AC57" authorId="0">
      <text>
        <r>
          <rPr>
            <sz val="8"/>
            <color indexed="81"/>
            <rFont val="Tahoma"/>
            <family val="2"/>
          </rPr>
          <t>This was 5.1% on 12/31/05</t>
        </r>
      </text>
    </comment>
    <comment ref="AL57" authorId="0">
      <text>
        <r>
          <rPr>
            <sz val="8"/>
            <color indexed="81"/>
            <rFont val="Tahoma"/>
            <family val="2"/>
          </rPr>
          <t>Commitment fee will range from 0.10%-0.25% depending on leverage and credit rating</t>
        </r>
      </text>
    </comment>
    <comment ref="AM57" authorId="0">
      <text>
        <r>
          <rPr>
            <sz val="8"/>
            <color indexed="81"/>
            <rFont val="Tahoma"/>
            <family val="2"/>
          </rPr>
          <t>Commitment fee will range from 0.10%-0.25% depending on leverage and credit rating</t>
        </r>
      </text>
    </comment>
    <comment ref="AE58" authorId="0">
      <text>
        <r>
          <rPr>
            <sz val="8"/>
            <color indexed="81"/>
            <rFont val="Tahoma"/>
            <family val="2"/>
          </rPr>
          <t>This was 5.1% on 12/31/05.  This is based on a spread of libor so could go up, but they said on the call that rate is also based on EBITDA to debt ratio which has improved.  Net-net could remain steady</t>
        </r>
      </text>
    </comment>
    <comment ref="AF58" authorId="0">
      <text>
        <r>
          <rPr>
            <sz val="8"/>
            <color indexed="81"/>
            <rFont val="Tahoma"/>
            <family val="2"/>
          </rPr>
          <t>This was 5.81% on 6/30/06.  This is based on a spread of libor of 0.50 to 1.125% based on consolidated leverage ration or credit rating.</t>
        </r>
      </text>
    </comment>
    <comment ref="AG58" authorId="0">
      <text>
        <r>
          <rPr>
            <sz val="8"/>
            <color indexed="81"/>
            <rFont val="Tahoma"/>
            <family val="2"/>
          </rPr>
          <t>Libor was 5.5% on 7/26/06</t>
        </r>
      </text>
    </comment>
    <comment ref="AH58" authorId="0">
      <text>
        <r>
          <rPr>
            <sz val="8"/>
            <color indexed="81"/>
            <rFont val="Tahoma"/>
            <family val="2"/>
          </rPr>
          <t>6.0% on 12/31/06</t>
        </r>
      </text>
    </comment>
    <comment ref="AK58" authorId="0">
      <text>
        <r>
          <rPr>
            <sz val="8"/>
            <color indexed="81"/>
            <rFont val="Tahoma"/>
            <family val="2"/>
          </rPr>
          <t>from 10Q; Back Credit Facility section</t>
        </r>
      </text>
    </comment>
    <comment ref="AL58" authorId="0">
      <text>
        <r>
          <rPr>
            <sz val="8"/>
            <color indexed="81"/>
            <rFont val="Tahoma"/>
            <family val="2"/>
          </rPr>
          <t>from 10Q; Back Credit Facility section</t>
        </r>
      </text>
    </comment>
    <comment ref="AM58" authorId="0">
      <text>
        <r>
          <rPr>
            <sz val="8"/>
            <color indexed="81"/>
            <rFont val="Tahoma"/>
            <family val="2"/>
          </rPr>
          <t>from 10Q; Back Credit Facility section or Financing section</t>
        </r>
      </text>
    </comment>
    <comment ref="AO58" authorId="0">
      <text>
        <r>
          <rPr>
            <sz val="8"/>
            <color indexed="81"/>
            <rFont val="Tahoma"/>
            <family val="2"/>
          </rPr>
          <t>Based on LIBOR + 0.50%-1.125% depending on consolidated leverage ratio or our credit rating.
Should come down slightly based on fwd LIBOR curve (Bloomberg: FWCV)</t>
        </r>
      </text>
    </comment>
    <comment ref="AP58" authorId="0">
      <text>
        <r>
          <rPr>
            <sz val="8"/>
            <color indexed="81"/>
            <rFont val="Tahoma"/>
            <family val="2"/>
          </rPr>
          <t>Based on LIBOR + 0.50%-1.125% depending on consolidated leverage ratio or our credit rating (2Q08 - 10Q)</t>
        </r>
      </text>
    </comment>
    <comment ref="AQ58" authorId="0">
      <text>
        <r>
          <rPr>
            <sz val="8"/>
            <color indexed="81"/>
            <rFont val="Tahoma"/>
            <family val="2"/>
          </rPr>
          <t>Based on LIBOR + 0.50%-1.125% depending on consolidated leverage ratio or our credit rating (2Q08 - 10Q)</t>
        </r>
      </text>
    </comment>
    <comment ref="AR58" authorId="0">
      <text>
        <r>
          <rPr>
            <sz val="8"/>
            <color indexed="81"/>
            <rFont val="Tahoma"/>
            <family val="2"/>
          </rPr>
          <t>Average rate of 3.8% at December 2008.
Source: 10K08 (pg 64)</t>
        </r>
      </text>
    </comment>
    <comment ref="AT58" authorId="0">
      <text>
        <r>
          <rPr>
            <sz val="8"/>
            <color indexed="81"/>
            <rFont val="Tahoma"/>
            <family val="2"/>
          </rPr>
          <t>Based on LIBOR + 0.50%-1.125% depending on consolidated leverage ratio or our credit rating.
Should come down slightly based on fwd LIBOR curve (Bloomberg: FWCV)</t>
        </r>
      </text>
    </comment>
    <comment ref="BD58" authorId="0">
      <text>
        <r>
          <rPr>
            <sz val="8"/>
            <color indexed="81"/>
            <rFont val="Tahoma"/>
            <family val="2"/>
          </rPr>
          <t>Based on fwd LIBOR curve (Bloomberg FWCV)</t>
        </r>
      </text>
    </comment>
    <comment ref="AE61" authorId="0">
      <text>
        <r>
          <rPr>
            <sz val="8"/>
            <color indexed="81"/>
            <rFont val="Tahoma"/>
            <family val="2"/>
          </rPr>
          <t>From credit agreement filed via 8k on 10/14/05</t>
        </r>
      </text>
    </comment>
    <comment ref="AO61" authorId="0">
      <text>
        <r>
          <rPr>
            <sz val="8"/>
            <color indexed="81"/>
            <rFont val="Tahoma"/>
            <family val="2"/>
          </rPr>
          <t>From 10Q</t>
        </r>
      </text>
    </comment>
    <comment ref="AP61" authorId="0">
      <text>
        <r>
          <rPr>
            <sz val="8"/>
            <color indexed="81"/>
            <rFont val="Tahoma"/>
            <family val="2"/>
          </rPr>
          <t>Balance of Term A loans was $1.1B as of 06/30/06 - 2Q08 10Q</t>
        </r>
      </text>
    </comment>
    <comment ref="AQ61" authorId="0">
      <text>
        <r>
          <rPr>
            <sz val="8"/>
            <color indexed="81"/>
            <rFont val="Tahoma"/>
            <family val="2"/>
          </rPr>
          <t>First nine months of FY08, the company made three scheduled payments of $60.0 million on Term A loan. 
Source: 3Q08 quarter report.</t>
        </r>
      </text>
    </comment>
    <comment ref="AR61" authorId="0">
      <text>
        <r>
          <rPr>
            <sz val="8"/>
            <color indexed="81"/>
            <rFont val="Tahoma"/>
            <family val="2"/>
          </rPr>
          <t xml:space="preserve">Balance of Term A loans was $960M as of 12/31/08 - 10K08 </t>
        </r>
      </text>
    </comment>
    <comment ref="AT61" authorId="0">
      <text>
        <r>
          <rPr>
            <sz val="8"/>
            <color indexed="81"/>
            <rFont val="Tahoma"/>
            <family val="2"/>
          </rPr>
          <t>Balance of Term A loans was $880M as of 03/31/09 - 1Q09 10Q</t>
        </r>
      </text>
    </comment>
    <comment ref="AU61" authorId="0">
      <text>
        <r>
          <rPr>
            <sz val="8"/>
            <color indexed="81"/>
            <rFont val="Tahoma"/>
            <family val="2"/>
          </rPr>
          <t>Balance of Term A loans was $800M as of 06/30/09 - 2Q09 10Q</t>
        </r>
      </text>
    </comment>
    <comment ref="BL72" authorId="1">
      <text>
        <r>
          <rPr>
            <b/>
            <sz val="8"/>
            <color indexed="81"/>
            <rFont val="Tahoma"/>
            <family val="2"/>
          </rPr>
          <t>scheandr:</t>
        </r>
        <r>
          <rPr>
            <sz val="8"/>
            <color indexed="81"/>
            <rFont val="Tahoma"/>
            <family val="2"/>
          </rPr>
          <t xml:space="preserve">
Assumes they roll over debt</t>
        </r>
      </text>
    </comment>
    <comment ref="AU75" authorId="1">
      <text>
        <r>
          <rPr>
            <b/>
            <sz val="8"/>
            <color indexed="81"/>
            <rFont val="Tahoma"/>
            <family val="2"/>
          </rPr>
          <t>scheandr:</t>
        </r>
        <r>
          <rPr>
            <sz val="8"/>
            <color indexed="81"/>
            <rFont val="Tahoma"/>
            <family val="2"/>
          </rPr>
          <t xml:space="preserve">
issued June 9th</t>
        </r>
      </text>
    </comment>
    <comment ref="AU86" authorId="1">
      <text>
        <r>
          <rPr>
            <b/>
            <sz val="8"/>
            <color indexed="81"/>
            <rFont val="Tahoma"/>
            <family val="2"/>
          </rPr>
          <t>scheandr:</t>
        </r>
        <r>
          <rPr>
            <sz val="8"/>
            <color indexed="81"/>
            <rFont val="Tahoma"/>
            <family val="2"/>
          </rPr>
          <t xml:space="preserve">
issued June 9th</t>
        </r>
      </text>
    </comment>
    <comment ref="B92" authorId="0">
      <text>
        <r>
          <rPr>
            <sz val="8"/>
            <color indexed="81"/>
            <rFont val="Tahoma"/>
            <family val="2"/>
          </rPr>
          <t>Expiring 04/30/2012 according to Fitch Ratings (11/14/07)</t>
        </r>
      </text>
    </comment>
    <comment ref="B93" authorId="0">
      <text>
        <r>
          <rPr>
            <sz val="8"/>
            <color indexed="81"/>
            <rFont val="Tahoma"/>
            <family val="2"/>
          </rPr>
          <t>Expiring 04/30/2012 according to Fitch Ratings (11/14/07)</t>
        </r>
      </text>
    </comment>
    <comment ref="AO93" authorId="0">
      <text>
        <r>
          <rPr>
            <sz val="8"/>
            <color indexed="81"/>
            <rFont val="Tahoma"/>
            <family val="2"/>
          </rPr>
          <t>The current credit facilities bear interest at LIBOR + 0.45% w/ a 10 bp commitment fee due on unused revolving credit facility</t>
        </r>
      </text>
    </comment>
    <comment ref="AP93" authorId="0">
      <text>
        <r>
          <rPr>
            <sz val="8"/>
            <color indexed="81"/>
            <rFont val="Tahoma"/>
            <family val="2"/>
          </rPr>
          <t>The current credit facilities bear interest at LIBOR + 0.45% w/ a 10 bp commitment fee due on unused revolving credit facility (2Q08 - 10Q)</t>
        </r>
      </text>
    </comment>
    <comment ref="AQ93" authorId="0">
      <text>
        <r>
          <rPr>
            <sz val="8"/>
            <color indexed="81"/>
            <rFont val="Tahoma"/>
            <family val="2"/>
          </rPr>
          <t>The current credit facilities bear interest at LIBOR + 0.45% w/ a 10 bp commitment fee due on unused revolving credit facility (3Q08 - 10Q)</t>
        </r>
      </text>
    </comment>
    <comment ref="AR93" authorId="0">
      <text>
        <r>
          <rPr>
            <sz val="8"/>
            <color indexed="81"/>
            <rFont val="Tahoma"/>
            <family val="2"/>
          </rPr>
          <t>The current credit facilities bear interest at LIBOR + 0.45% w/ a 10 bp commitment fee due on unused revolving credit facility (10k08)</t>
        </r>
      </text>
    </comment>
    <comment ref="AO94" authorId="0">
      <text>
        <r>
          <rPr>
            <sz val="8"/>
            <color indexed="81"/>
            <rFont val="Tahoma"/>
            <family val="2"/>
          </rPr>
          <t>From 10Q</t>
        </r>
      </text>
    </comment>
    <comment ref="AP94" authorId="0">
      <text>
        <r>
          <rPr>
            <sz val="8"/>
            <color indexed="81"/>
            <rFont val="Tahoma"/>
            <family val="2"/>
          </rPr>
          <t>From 10Q</t>
        </r>
      </text>
    </comment>
    <comment ref="AQ94" authorId="0">
      <text>
        <r>
          <rPr>
            <sz val="8"/>
            <color indexed="81"/>
            <rFont val="Tahoma"/>
            <family val="2"/>
          </rPr>
          <t>From 10Q</t>
        </r>
      </text>
    </comment>
    <comment ref="AR94" authorId="2">
      <text>
        <r>
          <rPr>
            <sz val="8"/>
            <color indexed="81"/>
            <rFont val="Tahoma"/>
            <family val="2"/>
          </rPr>
          <t>From 10-k</t>
        </r>
      </text>
    </comment>
    <comment ref="AT94" authorId="0">
      <text>
        <r>
          <rPr>
            <sz val="8"/>
            <color indexed="81"/>
            <rFont val="Tahoma"/>
            <family val="2"/>
          </rPr>
          <t>From 10Q</t>
        </r>
      </text>
    </comment>
    <comment ref="AU94" authorId="0">
      <text>
        <r>
          <rPr>
            <sz val="8"/>
            <color indexed="81"/>
            <rFont val="Tahoma"/>
            <family val="2"/>
          </rPr>
          <t>From 10Q</t>
        </r>
      </text>
    </comment>
    <comment ref="BJ94" authorId="1">
      <text>
        <r>
          <rPr>
            <b/>
            <sz val="8"/>
            <color indexed="81"/>
            <rFont val="Tahoma"/>
            <family val="2"/>
          </rPr>
          <t>scheandr:</t>
        </r>
        <r>
          <rPr>
            <sz val="8"/>
            <color indexed="81"/>
            <rFont val="Tahoma"/>
            <family val="2"/>
          </rPr>
          <t xml:space="preserve">
Assume will roll over debt</t>
        </r>
      </text>
    </comment>
    <comment ref="B100" authorId="0">
      <text>
        <r>
          <rPr>
            <sz val="8"/>
            <color indexed="81"/>
            <rFont val="Tahoma"/>
            <family val="2"/>
          </rPr>
          <t>Expiring 04/30/2012 according to Fitch Ratings (11/14/07)</t>
        </r>
      </text>
    </comment>
    <comment ref="B101" authorId="0">
      <text>
        <r>
          <rPr>
            <sz val="8"/>
            <color indexed="81"/>
            <rFont val="Tahoma"/>
            <family val="2"/>
          </rPr>
          <t>Expiring 04/30/2012 according to Fitch Ratings (11/14/07)</t>
        </r>
      </text>
    </comment>
    <comment ref="AE101" authorId="0">
      <text>
        <r>
          <rPr>
            <sz val="8"/>
            <color indexed="81"/>
            <rFont val="Tahoma"/>
            <family val="2"/>
          </rPr>
          <t>As of 5/6/06 3-month libor was 5.16%</t>
        </r>
      </text>
    </comment>
    <comment ref="AH101" authorId="0">
      <text>
        <r>
          <rPr>
            <sz val="8"/>
            <color indexed="81"/>
            <rFont val="Tahoma"/>
            <family val="2"/>
          </rPr>
          <t>10K says 5.4% as of 12/31/06</t>
        </r>
      </text>
    </comment>
    <comment ref="AL101" authorId="0">
      <text>
        <r>
          <rPr>
            <sz val="8"/>
            <color indexed="81"/>
            <rFont val="Tahoma"/>
            <family val="2"/>
          </rPr>
          <t>Took at LIBOR + 0.45% as indicated in the 3Q financing facilities
Editor:
"re-financed"</t>
        </r>
      </text>
    </comment>
    <comment ref="AM101" authorId="0">
      <text>
        <r>
          <rPr>
            <sz val="8"/>
            <color indexed="81"/>
            <rFont val="Tahoma"/>
            <family val="2"/>
          </rPr>
          <t>LIBOR + 0.45%
Editor:
"re-financed"</t>
        </r>
      </text>
    </comment>
    <comment ref="AO101" authorId="0">
      <text>
        <r>
          <rPr>
            <sz val="8"/>
            <color indexed="81"/>
            <rFont val="Tahoma"/>
            <family val="2"/>
          </rPr>
          <t>LIBOR + 0.45%
Editor:
"re-financed"</t>
        </r>
      </text>
    </comment>
    <comment ref="AP101" authorId="0">
      <text>
        <r>
          <rPr>
            <sz val="8"/>
            <color indexed="81"/>
            <rFont val="Tahoma"/>
            <family val="2"/>
          </rPr>
          <t>LIBOR + 0.45%
Editor:
"re-financed"</t>
        </r>
      </text>
    </comment>
    <comment ref="AQ101" authorId="0">
      <text>
        <r>
          <rPr>
            <sz val="8"/>
            <color indexed="81"/>
            <rFont val="Tahoma"/>
            <family val="2"/>
          </rPr>
          <t>LIBOR + 0.45%
"re-financed"</t>
        </r>
      </text>
    </comment>
    <comment ref="AR101" authorId="0">
      <text>
        <r>
          <rPr>
            <sz val="8"/>
            <color indexed="81"/>
            <rFont val="Tahoma"/>
            <family val="2"/>
          </rPr>
          <t>LIBOR + 0.45%
"re-financed"</t>
        </r>
      </text>
    </comment>
    <comment ref="AL103" authorId="0">
      <text>
        <r>
          <rPr>
            <sz val="8"/>
            <color indexed="81"/>
            <rFont val="Tahoma"/>
            <family val="2"/>
          </rPr>
          <t>re-financed</t>
        </r>
      </text>
    </comment>
    <comment ref="AC104" authorId="0">
      <text>
        <r>
          <rPr>
            <sz val="8"/>
            <color indexed="81"/>
            <rFont val="Tahoma"/>
            <family val="2"/>
          </rPr>
          <t>Disclosed on 3Q05 CC</t>
        </r>
      </text>
    </comment>
    <comment ref="AK104" authorId="0">
      <text>
        <r>
          <rPr>
            <sz val="8"/>
            <color indexed="81"/>
            <rFont val="Tahoma"/>
            <family val="2"/>
          </rPr>
          <t>re-financed</t>
        </r>
      </text>
    </comment>
    <comment ref="AL104" authorId="0">
      <text>
        <r>
          <rPr>
            <sz val="8"/>
            <color indexed="81"/>
            <rFont val="Tahoma"/>
            <family val="2"/>
          </rPr>
          <t xml:space="preserve">estimate; no guidance
</t>
        </r>
      </text>
    </comment>
    <comment ref="AM104" authorId="0">
      <text>
        <r>
          <rPr>
            <sz val="8"/>
            <color indexed="81"/>
            <rFont val="Tahoma"/>
            <family val="2"/>
          </rPr>
          <t>estimate; no guidance</t>
        </r>
      </text>
    </comment>
    <comment ref="BM104" authorId="1">
      <text>
        <r>
          <rPr>
            <b/>
            <sz val="8"/>
            <color indexed="81"/>
            <rFont val="Tahoma"/>
            <family val="2"/>
          </rPr>
          <t>scheandr:</t>
        </r>
        <r>
          <rPr>
            <sz val="8"/>
            <color indexed="81"/>
            <rFont val="Tahoma"/>
            <family val="2"/>
          </rPr>
          <t xml:space="preserve">
Assumes will roll over debt</t>
        </r>
      </text>
    </comment>
    <comment ref="AG105" authorId="0">
      <text>
        <r>
          <rPr>
            <sz val="8"/>
            <color indexed="81"/>
            <rFont val="Tahoma"/>
            <family val="2"/>
          </rPr>
          <t>10Q says 475</t>
        </r>
      </text>
    </comment>
    <comment ref="BE114" authorId="1">
      <text>
        <r>
          <rPr>
            <b/>
            <sz val="8"/>
            <color indexed="81"/>
            <rFont val="Tahoma"/>
            <family val="2"/>
          </rPr>
          <t>4/27/11:</t>
        </r>
        <r>
          <rPr>
            <sz val="8"/>
            <color indexed="81"/>
            <rFont val="Tahoma"/>
            <family val="2"/>
          </rPr>
          <t xml:space="preserve">
priced its $1.5 billion underwritten public offering of 3.125% senior notes due 2016 to yield 3.212%</t>
        </r>
      </text>
    </comment>
    <comment ref="BE115" authorId="1">
      <text>
        <r>
          <rPr>
            <b/>
            <sz val="8"/>
            <color indexed="81"/>
            <rFont val="Tahoma"/>
            <family val="2"/>
          </rPr>
          <t>scheandr:</t>
        </r>
        <r>
          <rPr>
            <sz val="8"/>
            <color indexed="81"/>
            <rFont val="Tahoma"/>
            <family val="2"/>
          </rPr>
          <t xml:space="preserve">
priced its $1.5 billion underwritten public offering of 3.125% senior notes due 2016 to yield 3.212%</t>
        </r>
      </text>
    </comment>
    <comment ref="BV117" authorId="3">
      <text>
        <r>
          <rPr>
            <b/>
            <sz val="8"/>
            <color indexed="81"/>
            <rFont val="Tahoma"/>
            <family val="2"/>
          </rPr>
          <t>Per new debt on 6/3/14 paying off at maturity on 11/15/14</t>
        </r>
        <r>
          <rPr>
            <sz val="8"/>
            <color indexed="81"/>
            <rFont val="Tahoma"/>
            <family val="2"/>
          </rPr>
          <t xml:space="preserve">
</t>
        </r>
      </text>
    </comment>
    <comment ref="B123" authorId="0">
      <text>
        <r>
          <rPr>
            <sz val="8"/>
            <color indexed="81"/>
            <rFont val="Tahoma"/>
            <family val="2"/>
          </rPr>
          <t>Editor:
Due 2012 according to Fitch Ratings (11/14/07)</t>
        </r>
      </text>
    </comment>
    <comment ref="B124" authorId="0">
      <text>
        <r>
          <rPr>
            <sz val="8"/>
            <color indexed="81"/>
            <rFont val="Tahoma"/>
            <family val="2"/>
          </rPr>
          <t>Expiring 04/30/2012 according to Fitch Ratings (11/14/07)</t>
        </r>
      </text>
    </comment>
    <comment ref="BE133" authorId="1">
      <text>
        <r>
          <rPr>
            <b/>
            <sz val="8"/>
            <color indexed="81"/>
            <rFont val="Tahoma"/>
            <family val="2"/>
          </rPr>
          <t>4/27/11:</t>
        </r>
        <r>
          <rPr>
            <sz val="8"/>
            <color indexed="81"/>
            <rFont val="Tahoma"/>
            <family val="2"/>
          </rPr>
          <t xml:space="preserve">
priced its $1.5 billion underwritten public offering of 3.125% senior notes due 2016 to yield 3.212%</t>
        </r>
      </text>
    </comment>
    <comment ref="BE134" authorId="1">
      <text>
        <r>
          <rPr>
            <b/>
            <sz val="8"/>
            <color indexed="81"/>
            <rFont val="Tahoma"/>
            <family val="2"/>
          </rPr>
          <t>scheandr:</t>
        </r>
        <r>
          <rPr>
            <sz val="8"/>
            <color indexed="81"/>
            <rFont val="Tahoma"/>
            <family val="2"/>
          </rPr>
          <t xml:space="preserve">
priced its $1.5 billion underwritten public offering of 3.125% senior notes due 2016 to yield 3.212%</t>
        </r>
      </text>
    </comment>
    <comment ref="BE144" authorId="1">
      <text>
        <r>
          <rPr>
            <b/>
            <sz val="8"/>
            <color indexed="81"/>
            <rFont val="Tahoma"/>
            <family val="2"/>
          </rPr>
          <t>4/27/11:</t>
        </r>
        <r>
          <rPr>
            <sz val="8"/>
            <color indexed="81"/>
            <rFont val="Tahoma"/>
            <family val="2"/>
          </rPr>
          <t xml:space="preserve">
priced its $1.5 billion underwritten public offering of 3.125% senior notes due 2016 to yield 3.212%</t>
        </r>
      </text>
    </comment>
    <comment ref="BE145" authorId="1">
      <text>
        <r>
          <rPr>
            <b/>
            <sz val="8"/>
            <color indexed="81"/>
            <rFont val="Tahoma"/>
            <family val="2"/>
          </rPr>
          <t>scheandr:</t>
        </r>
        <r>
          <rPr>
            <sz val="8"/>
            <color indexed="81"/>
            <rFont val="Tahoma"/>
            <family val="2"/>
          </rPr>
          <t xml:space="preserve">
priced its $1.5 billion underwritten public offering of 3.125% senior notes due 2016 to yield 3.212%</t>
        </r>
      </text>
    </comment>
    <comment ref="BE155" authorId="1">
      <text>
        <r>
          <rPr>
            <b/>
            <sz val="8"/>
            <color indexed="81"/>
            <rFont val="Tahoma"/>
            <family val="2"/>
          </rPr>
          <t>4/27/11:</t>
        </r>
        <r>
          <rPr>
            <sz val="8"/>
            <color indexed="81"/>
            <rFont val="Tahoma"/>
            <family val="2"/>
          </rPr>
          <t xml:space="preserve">
priced its $1.5 billion underwritten public offering of 3.125% senior notes due 2016 to yield 3.212%</t>
        </r>
      </text>
    </comment>
    <comment ref="BE156" authorId="1">
      <text>
        <r>
          <rPr>
            <b/>
            <sz val="8"/>
            <color indexed="81"/>
            <rFont val="Tahoma"/>
            <family val="2"/>
          </rPr>
          <t>scheandr:</t>
        </r>
        <r>
          <rPr>
            <sz val="8"/>
            <color indexed="81"/>
            <rFont val="Tahoma"/>
            <family val="2"/>
          </rPr>
          <t xml:space="preserve">
priced its $1.5 billion underwritten public offering of 3.125% senior notes due 2016 to yield 3.212%</t>
        </r>
      </text>
    </comment>
    <comment ref="BU158" authorId="3">
      <text>
        <r>
          <rPr>
            <b/>
            <sz val="8"/>
            <color indexed="81"/>
            <rFont val="Tahoma"/>
            <family val="2"/>
          </rPr>
          <t>Per 6/3/14 debt, paying down 3.5% 2016 notes</t>
        </r>
        <r>
          <rPr>
            <sz val="8"/>
            <color indexed="81"/>
            <rFont val="Tahoma"/>
            <family val="2"/>
          </rPr>
          <t xml:space="preserve">
</t>
        </r>
      </text>
    </comment>
    <comment ref="BE166" authorId="1">
      <text>
        <r>
          <rPr>
            <b/>
            <sz val="8"/>
            <color indexed="81"/>
            <rFont val="Tahoma"/>
            <family val="2"/>
          </rPr>
          <t>4/27/11:</t>
        </r>
        <r>
          <rPr>
            <sz val="8"/>
            <color indexed="81"/>
            <rFont val="Tahoma"/>
            <family val="2"/>
          </rPr>
          <t xml:space="preserve">
priced its $1.5 billion underwritten public offering of 3.125% senior notes due 2016 to yield 3.212%</t>
        </r>
      </text>
    </comment>
    <comment ref="BE167" authorId="1">
      <text>
        <r>
          <rPr>
            <b/>
            <sz val="8"/>
            <color indexed="81"/>
            <rFont val="Tahoma"/>
            <family val="2"/>
          </rPr>
          <t>scheandr:</t>
        </r>
        <r>
          <rPr>
            <sz val="8"/>
            <color indexed="81"/>
            <rFont val="Tahoma"/>
            <family val="2"/>
          </rPr>
          <t xml:space="preserve">
priced its $1.5 billion underwritten public offering of 3.125% senior notes due 2016 to yield 3.212%</t>
        </r>
      </text>
    </comment>
    <comment ref="BE177" authorId="1">
      <text>
        <r>
          <rPr>
            <b/>
            <sz val="8"/>
            <color indexed="81"/>
            <rFont val="Tahoma"/>
            <family val="2"/>
          </rPr>
          <t>4/27/11:</t>
        </r>
        <r>
          <rPr>
            <sz val="8"/>
            <color indexed="81"/>
            <rFont val="Tahoma"/>
            <family val="2"/>
          </rPr>
          <t xml:space="preserve">
priced its $1.5 billion underwritten public offering of 3.125% senior notes due 2016 to yield 3.212%</t>
        </r>
      </text>
    </comment>
    <comment ref="BE178" authorId="1">
      <text>
        <r>
          <rPr>
            <b/>
            <sz val="8"/>
            <color indexed="81"/>
            <rFont val="Tahoma"/>
            <family val="2"/>
          </rPr>
          <t>scheandr:</t>
        </r>
        <r>
          <rPr>
            <sz val="8"/>
            <color indexed="81"/>
            <rFont val="Tahoma"/>
            <family val="2"/>
          </rPr>
          <t xml:space="preserve">
priced its $1.5 billion underwritten public offering of 3.125% senior notes due 2016 to yield 3.212%</t>
        </r>
      </text>
    </comment>
    <comment ref="B186" authorId="0">
      <text>
        <r>
          <rPr>
            <sz val="8"/>
            <color indexed="81"/>
            <rFont val="Tahoma"/>
            <family val="2"/>
          </rPr>
          <t>Editor:
Due 2012 according to Fitch Ratings (11/14/07)</t>
        </r>
      </text>
    </comment>
    <comment ref="B187" authorId="0">
      <text>
        <r>
          <rPr>
            <sz val="8"/>
            <color indexed="81"/>
            <rFont val="Tahoma"/>
            <family val="2"/>
          </rPr>
          <t>Expiring 04/30/2012 according to Fitch Ratings (11/14/07)</t>
        </r>
      </text>
    </comment>
    <comment ref="AP187" authorId="0">
      <text>
        <r>
          <rPr>
            <sz val="8"/>
            <color indexed="81"/>
            <rFont val="Tahoma"/>
            <family val="2"/>
          </rPr>
          <t>Effective rate is 7.274% (from 2Q08 - 10Q)</t>
        </r>
      </text>
    </comment>
    <comment ref="AQ187" authorId="0">
      <text>
        <r>
          <rPr>
            <sz val="8"/>
            <color indexed="81"/>
            <rFont val="Tahoma"/>
            <family val="2"/>
          </rPr>
          <t>Effective rate is 7.274% (from 3Q08 - 10Q)</t>
        </r>
      </text>
    </comment>
    <comment ref="AR187" authorId="0">
      <text>
        <r>
          <rPr>
            <sz val="8"/>
            <color indexed="81"/>
            <rFont val="Tahoma"/>
            <family val="2"/>
          </rPr>
          <t>Effective rate is 7.274% (from 10k08)</t>
        </r>
      </text>
    </comment>
    <comment ref="AG191" authorId="0">
      <text>
        <r>
          <rPr>
            <sz val="8"/>
            <color indexed="81"/>
            <rFont val="Tahoma"/>
            <family val="2"/>
          </rPr>
          <t>10Q says 475</t>
        </r>
      </text>
    </comment>
    <comment ref="BE196" authorId="1">
      <text>
        <r>
          <rPr>
            <b/>
            <sz val="8"/>
            <color indexed="81"/>
            <rFont val="Tahoma"/>
            <family val="2"/>
          </rPr>
          <t>4/27/11:</t>
        </r>
        <r>
          <rPr>
            <sz val="8"/>
            <color indexed="81"/>
            <rFont val="Tahoma"/>
            <family val="2"/>
          </rPr>
          <t xml:space="preserve">
priced its $1.5 billion underwritten public offering of 3.125% senior notes due 2016 to yield 3.212%</t>
        </r>
      </text>
    </comment>
    <comment ref="BE197" authorId="1">
      <text>
        <r>
          <rPr>
            <b/>
            <sz val="8"/>
            <color indexed="81"/>
            <rFont val="Tahoma"/>
            <family val="2"/>
          </rPr>
          <t>scheandr:</t>
        </r>
        <r>
          <rPr>
            <sz val="8"/>
            <color indexed="81"/>
            <rFont val="Tahoma"/>
            <family val="2"/>
          </rPr>
          <t xml:space="preserve">
priced its $1.5 billion underwritten public offering of 3.125% senior notes due 2016 to yield 3.212%</t>
        </r>
      </text>
    </comment>
    <comment ref="AU213" authorId="1">
      <text>
        <r>
          <rPr>
            <b/>
            <sz val="8"/>
            <color indexed="81"/>
            <rFont val="Tahoma"/>
            <family val="2"/>
          </rPr>
          <t>scheandr:</t>
        </r>
        <r>
          <rPr>
            <sz val="8"/>
            <color indexed="81"/>
            <rFont val="Tahoma"/>
            <family val="2"/>
          </rPr>
          <t xml:space="preserve">
issued June 9th</t>
        </r>
      </text>
    </comment>
    <comment ref="B216" authorId="0">
      <text>
        <r>
          <rPr>
            <sz val="8"/>
            <color indexed="81"/>
            <rFont val="Tahoma"/>
            <family val="2"/>
          </rPr>
          <t>Editor:
Due 2012 according to Fitch Ratings (11/14/07)</t>
        </r>
      </text>
    </comment>
    <comment ref="B217" authorId="0">
      <text>
        <r>
          <rPr>
            <sz val="8"/>
            <color indexed="81"/>
            <rFont val="Tahoma"/>
            <family val="2"/>
          </rPr>
          <t>Expiring 04/30/2012 according to Fitch Ratings (11/14/07)</t>
        </r>
      </text>
    </comment>
    <comment ref="BE226" authorId="1">
      <text>
        <r>
          <rPr>
            <b/>
            <sz val="8"/>
            <color indexed="81"/>
            <rFont val="Tahoma"/>
            <family val="2"/>
          </rPr>
          <t>4/27/11:</t>
        </r>
        <r>
          <rPr>
            <sz val="8"/>
            <color indexed="81"/>
            <rFont val="Tahoma"/>
            <family val="2"/>
          </rPr>
          <t xml:space="preserve">
priced its $1.5 billion underwritten public offering of 3.125% senior notes due 2016 to yield 3.212%</t>
        </r>
      </text>
    </comment>
    <comment ref="BE227" authorId="1">
      <text>
        <r>
          <rPr>
            <b/>
            <sz val="8"/>
            <color indexed="81"/>
            <rFont val="Tahoma"/>
            <family val="2"/>
          </rPr>
          <t>scheandr:</t>
        </r>
        <r>
          <rPr>
            <sz val="8"/>
            <color indexed="81"/>
            <rFont val="Tahoma"/>
            <family val="2"/>
          </rPr>
          <t xml:space="preserve">
priced its $1.5 billion underwritten public offering of 3.125% senior notes due 2016 to yield 3.212%</t>
        </r>
      </text>
    </comment>
    <comment ref="BE237" authorId="1">
      <text>
        <r>
          <rPr>
            <b/>
            <sz val="8"/>
            <color indexed="81"/>
            <rFont val="Tahoma"/>
            <family val="2"/>
          </rPr>
          <t>4/27/11:</t>
        </r>
        <r>
          <rPr>
            <sz val="8"/>
            <color indexed="81"/>
            <rFont val="Tahoma"/>
            <family val="2"/>
          </rPr>
          <t xml:space="preserve">
priced its $1.5 billion underwritten public offering of 3.125% senior notes due 2016 to yield 3.212%</t>
        </r>
      </text>
    </comment>
    <comment ref="BE238" authorId="1">
      <text>
        <r>
          <rPr>
            <b/>
            <sz val="8"/>
            <color indexed="81"/>
            <rFont val="Tahoma"/>
            <family val="2"/>
          </rPr>
          <t>scheandr:</t>
        </r>
        <r>
          <rPr>
            <sz val="8"/>
            <color indexed="81"/>
            <rFont val="Tahoma"/>
            <family val="2"/>
          </rPr>
          <t xml:space="preserve">
priced its $1.5 billion underwritten public offering of 3.125% senior notes due 2016 to yield 3.212%</t>
        </r>
      </text>
    </comment>
    <comment ref="BE248" authorId="1">
      <text>
        <r>
          <rPr>
            <b/>
            <sz val="8"/>
            <color indexed="81"/>
            <rFont val="Tahoma"/>
            <family val="2"/>
          </rPr>
          <t>4/27/11:</t>
        </r>
        <r>
          <rPr>
            <sz val="8"/>
            <color indexed="81"/>
            <rFont val="Tahoma"/>
            <family val="2"/>
          </rPr>
          <t xml:space="preserve">
priced its $1.5 billion underwritten public offering of 3.125% senior notes due 2016 to yield 3.212%</t>
        </r>
      </text>
    </comment>
    <comment ref="BE249" authorId="1">
      <text>
        <r>
          <rPr>
            <b/>
            <sz val="8"/>
            <color indexed="81"/>
            <rFont val="Tahoma"/>
            <family val="2"/>
          </rPr>
          <t>scheandr:</t>
        </r>
        <r>
          <rPr>
            <sz val="8"/>
            <color indexed="81"/>
            <rFont val="Tahoma"/>
            <family val="2"/>
          </rPr>
          <t xml:space="preserve">
priced its $1.5 billion underwritten public offering of 3.125% senior notes due 2016 to yield 3.212%</t>
        </r>
      </text>
    </comment>
    <comment ref="BE259" authorId="1">
      <text>
        <r>
          <rPr>
            <b/>
            <sz val="8"/>
            <color indexed="81"/>
            <rFont val="Tahoma"/>
            <family val="2"/>
          </rPr>
          <t>4/27/11:</t>
        </r>
        <r>
          <rPr>
            <sz val="8"/>
            <color indexed="81"/>
            <rFont val="Tahoma"/>
            <family val="2"/>
          </rPr>
          <t xml:space="preserve">
priced its $1.5 billion underwritten public offering of 3.125% senior notes due 2016 to yield 3.212%</t>
        </r>
      </text>
    </comment>
    <comment ref="BE260" authorId="1">
      <text>
        <r>
          <rPr>
            <b/>
            <sz val="8"/>
            <color indexed="81"/>
            <rFont val="Tahoma"/>
            <family val="2"/>
          </rPr>
          <t>scheandr:</t>
        </r>
        <r>
          <rPr>
            <sz val="8"/>
            <color indexed="81"/>
            <rFont val="Tahoma"/>
            <family val="2"/>
          </rPr>
          <t xml:space="preserve">
priced its $1.5 billion underwritten public offering of 3.125% senior notes due 2016 to yield 3.212%</t>
        </r>
      </text>
    </comment>
    <comment ref="BE270" authorId="1">
      <text>
        <r>
          <rPr>
            <b/>
            <sz val="8"/>
            <color indexed="81"/>
            <rFont val="Tahoma"/>
            <family val="2"/>
          </rPr>
          <t>4/27/11:</t>
        </r>
        <r>
          <rPr>
            <sz val="8"/>
            <color indexed="81"/>
            <rFont val="Tahoma"/>
            <family val="2"/>
          </rPr>
          <t xml:space="preserve">
priced its $1.5 billion underwritten public offering of 3.125% senior notes due 2016 to yield 3.212%</t>
        </r>
      </text>
    </comment>
    <comment ref="BE271" authorId="1">
      <text>
        <r>
          <rPr>
            <b/>
            <sz val="8"/>
            <color indexed="81"/>
            <rFont val="Tahoma"/>
            <family val="2"/>
          </rPr>
          <t>scheandr:</t>
        </r>
        <r>
          <rPr>
            <sz val="8"/>
            <color indexed="81"/>
            <rFont val="Tahoma"/>
            <family val="2"/>
          </rPr>
          <t xml:space="preserve">
priced its $1.5 billion underwritten public offering of 3.125% senior notes due 2016 to yield 3.212%</t>
        </r>
      </text>
    </comment>
    <comment ref="B279" authorId="0">
      <text>
        <r>
          <rPr>
            <sz val="8"/>
            <color indexed="81"/>
            <rFont val="Tahoma"/>
            <family val="2"/>
          </rPr>
          <t>Editor:
Due 2012 according to Fitch Ratings (11/14/07)</t>
        </r>
      </text>
    </comment>
    <comment ref="B280" authorId="0">
      <text>
        <r>
          <rPr>
            <sz val="8"/>
            <color indexed="81"/>
            <rFont val="Tahoma"/>
            <family val="2"/>
          </rPr>
          <t>Expiring 04/30/2012 according to Fitch Ratings (11/14/07)</t>
        </r>
      </text>
    </comment>
    <comment ref="AP280" authorId="0">
      <text>
        <r>
          <rPr>
            <sz val="8"/>
            <color indexed="81"/>
            <rFont val="Tahoma"/>
            <family val="2"/>
          </rPr>
          <t>Effective rate is 6.261% (from 2Q08 - 10Q)</t>
        </r>
      </text>
    </comment>
    <comment ref="AQ280" authorId="0">
      <text>
        <r>
          <rPr>
            <sz val="8"/>
            <color indexed="81"/>
            <rFont val="Tahoma"/>
            <family val="2"/>
          </rPr>
          <t>Effective rate is 6.261% (from 3Q08 - 10Q)</t>
        </r>
      </text>
    </comment>
    <comment ref="AR280" authorId="0">
      <text>
        <r>
          <rPr>
            <sz val="8"/>
            <color indexed="81"/>
            <rFont val="Tahoma"/>
            <family val="2"/>
          </rPr>
          <t>Effective rate is 6.261% (from 10k08)</t>
        </r>
      </text>
    </comment>
    <comment ref="AG284" authorId="0">
      <text>
        <r>
          <rPr>
            <sz val="8"/>
            <color indexed="81"/>
            <rFont val="Tahoma"/>
            <family val="2"/>
          </rPr>
          <t>10Q says 475</t>
        </r>
      </text>
    </comment>
    <comment ref="BE289" authorId="1">
      <text>
        <r>
          <rPr>
            <b/>
            <sz val="8"/>
            <color indexed="81"/>
            <rFont val="Tahoma"/>
            <family val="2"/>
          </rPr>
          <t>4/27/11:</t>
        </r>
        <r>
          <rPr>
            <sz val="8"/>
            <color indexed="81"/>
            <rFont val="Tahoma"/>
            <family val="2"/>
          </rPr>
          <t xml:space="preserve">
priced its $1.5 billion underwritten public offering of 3.125% senior notes due 2016 to yield 3.212%</t>
        </r>
      </text>
    </comment>
    <comment ref="BE290" authorId="1">
      <text>
        <r>
          <rPr>
            <b/>
            <sz val="8"/>
            <color indexed="81"/>
            <rFont val="Tahoma"/>
            <family val="2"/>
          </rPr>
          <t>scheandr:</t>
        </r>
        <r>
          <rPr>
            <sz val="8"/>
            <color indexed="81"/>
            <rFont val="Tahoma"/>
            <family val="2"/>
          </rPr>
          <t xml:space="preserve">
priced its $1.5 billion underwritten public offering of 3.125% senior notes due 2016 to yield 3.212%</t>
        </r>
      </text>
    </comment>
    <comment ref="BE300" authorId="1">
      <text>
        <r>
          <rPr>
            <b/>
            <sz val="8"/>
            <color indexed="81"/>
            <rFont val="Tahoma"/>
            <family val="2"/>
          </rPr>
          <t>4/27/11:</t>
        </r>
        <r>
          <rPr>
            <sz val="8"/>
            <color indexed="81"/>
            <rFont val="Tahoma"/>
            <family val="2"/>
          </rPr>
          <t xml:space="preserve">
priced its $1.5 billion underwritten public offering of 3.125% senior notes due 2016 to yield 3.212%</t>
        </r>
      </text>
    </comment>
    <comment ref="BE301" authorId="1">
      <text>
        <r>
          <rPr>
            <b/>
            <sz val="8"/>
            <color indexed="81"/>
            <rFont val="Tahoma"/>
            <family val="2"/>
          </rPr>
          <t>scheandr:</t>
        </r>
        <r>
          <rPr>
            <sz val="8"/>
            <color indexed="81"/>
            <rFont val="Tahoma"/>
            <family val="2"/>
          </rPr>
          <t xml:space="preserve">
priced its $1.5 billion underwritten public offering of 3.125% senior notes due 2016 to yield 3.212%</t>
        </r>
      </text>
    </comment>
    <comment ref="BE311" authorId="1">
      <text>
        <r>
          <rPr>
            <b/>
            <sz val="8"/>
            <color indexed="81"/>
            <rFont val="Tahoma"/>
            <family val="2"/>
          </rPr>
          <t>4/27/11:</t>
        </r>
        <r>
          <rPr>
            <sz val="8"/>
            <color indexed="81"/>
            <rFont val="Tahoma"/>
            <family val="2"/>
          </rPr>
          <t xml:space="preserve">
priced its $1.5 billion underwritten public offering of 3.125% senior notes due 2016 to yield 3.212%</t>
        </r>
      </text>
    </comment>
    <comment ref="BE312" authorId="1">
      <text>
        <r>
          <rPr>
            <b/>
            <sz val="8"/>
            <color indexed="81"/>
            <rFont val="Tahoma"/>
            <family val="2"/>
          </rPr>
          <t>scheandr:</t>
        </r>
        <r>
          <rPr>
            <sz val="8"/>
            <color indexed="81"/>
            <rFont val="Tahoma"/>
            <family val="2"/>
          </rPr>
          <t xml:space="preserve">
priced its $1.5 billion underwritten public offering of 3.125% senior notes due 2016 to yield 3.212%</t>
        </r>
      </text>
    </comment>
    <comment ref="BE322" authorId="1">
      <text>
        <r>
          <rPr>
            <b/>
            <sz val="8"/>
            <color indexed="81"/>
            <rFont val="Tahoma"/>
            <family val="2"/>
          </rPr>
          <t>4/27/11:</t>
        </r>
        <r>
          <rPr>
            <sz val="8"/>
            <color indexed="81"/>
            <rFont val="Tahoma"/>
            <family val="2"/>
          </rPr>
          <t xml:space="preserve">
priced its $1.5 billion underwritten public offering of 3.125% senior notes due 2016 to yield 3.212%</t>
        </r>
      </text>
    </comment>
    <comment ref="BE323" authorId="1">
      <text>
        <r>
          <rPr>
            <b/>
            <sz val="8"/>
            <color indexed="81"/>
            <rFont val="Tahoma"/>
            <family val="2"/>
          </rPr>
          <t>scheandr:</t>
        </r>
        <r>
          <rPr>
            <sz val="8"/>
            <color indexed="81"/>
            <rFont val="Tahoma"/>
            <family val="2"/>
          </rPr>
          <t xml:space="preserve">
priced its $1.5 billion underwritten public offering of 3.125% senior notes due 2016 to yield 3.212%</t>
        </r>
      </text>
    </comment>
    <comment ref="B332" authorId="0">
      <text>
        <r>
          <rPr>
            <sz val="8"/>
            <color indexed="81"/>
            <rFont val="Tahoma"/>
            <family val="2"/>
          </rPr>
          <t>Expiring 04/30/2012 according to Fitch Ratings (11/14/07)</t>
        </r>
      </text>
    </comment>
    <comment ref="AB332" authorId="0">
      <text>
        <r>
          <rPr>
            <sz val="8"/>
            <color indexed="81"/>
            <rFont val="Tahoma"/>
            <family val="2"/>
          </rPr>
          <t xml:space="preserve">Lower than coupon due to swap agreements.  Estimate.
</t>
        </r>
      </text>
    </comment>
    <comment ref="AE332" authorId="0">
      <text>
        <r>
          <rPr>
            <sz val="8"/>
            <color indexed="81"/>
            <rFont val="Tahoma"/>
            <family val="2"/>
          </rPr>
          <t>estimate</t>
        </r>
      </text>
    </comment>
    <comment ref="AM332" authorId="0">
      <text>
        <r>
          <rPr>
            <sz val="8"/>
            <color indexed="81"/>
            <rFont val="Tahoma"/>
            <family val="2"/>
          </rPr>
          <t>estimate</t>
        </r>
      </text>
    </comment>
    <comment ref="AO332" authorId="0">
      <text>
        <r>
          <rPr>
            <sz val="8"/>
            <color indexed="81"/>
            <rFont val="Tahoma"/>
            <family val="2"/>
          </rPr>
          <t xml:space="preserve">Lower than coupon due to swap agreements.  Estimate.
</t>
        </r>
      </text>
    </comment>
    <comment ref="AP332" authorId="0">
      <text>
        <r>
          <rPr>
            <sz val="8"/>
            <color indexed="81"/>
            <rFont val="Tahoma"/>
            <family val="2"/>
          </rPr>
          <t>Effective rate of 7.365% (2Q08 10Q). Company receives fixed rate of 7.25% on $200M and pays variable interest rate of LIBOR + 3.05%
Editor:
In effect $200M of the $500M will be variable interest based on LIBOR + 3.05% (10Q)</t>
        </r>
      </text>
    </comment>
    <comment ref="AR332" authorId="0">
      <text>
        <r>
          <rPr>
            <sz val="8"/>
            <color indexed="81"/>
            <rFont val="Tahoma"/>
            <family val="2"/>
          </rPr>
          <t xml:space="preserve">Effective rate of 7.365% (10k08). </t>
        </r>
      </text>
    </comment>
    <comment ref="BM332" authorId="0">
      <text>
        <r>
          <rPr>
            <sz val="8"/>
            <color indexed="81"/>
            <rFont val="Tahoma"/>
            <family val="2"/>
          </rPr>
          <t>The five interest rate swap agreements in 2004 expire on August 15, 2013 consistent with maturity date of these notes (2Q08 - 10Q)</t>
        </r>
      </text>
    </comment>
    <comment ref="BR332" authorId="0">
      <text>
        <r>
          <rPr>
            <sz val="8"/>
            <color indexed="81"/>
            <rFont val="Tahoma"/>
            <family val="2"/>
          </rPr>
          <t>The five interest rate swap agreements in 2004 expire on August 15, 2013 consistent with maturity date of these notes (2Q08 - 10Q)</t>
        </r>
      </text>
    </comment>
    <comment ref="BW332" authorId="0">
      <text>
        <r>
          <rPr>
            <sz val="8"/>
            <color indexed="81"/>
            <rFont val="Tahoma"/>
            <family val="2"/>
          </rPr>
          <t>The five interest rate swap agreements in 2004 expire on August 15, 2013 consistent with maturity date of these notes (2Q08 - 10Q)</t>
        </r>
      </text>
    </comment>
    <comment ref="CB332" authorId="0">
      <text>
        <r>
          <rPr>
            <sz val="8"/>
            <color indexed="81"/>
            <rFont val="Tahoma"/>
            <family val="2"/>
          </rPr>
          <t>The five interest rate swap agreements in 2004 expire on August 15, 2013 consistent with maturity date of these notes (2Q08 - 10Q)</t>
        </r>
      </text>
    </comment>
    <comment ref="CG332" authorId="0">
      <text>
        <r>
          <rPr>
            <sz val="8"/>
            <color indexed="81"/>
            <rFont val="Tahoma"/>
            <family val="2"/>
          </rPr>
          <t>The five interest rate swap agreements in 2004 expire on August 15, 2013 consistent with maturity date of these notes (2Q08 - 10Q)</t>
        </r>
      </text>
    </comment>
    <comment ref="CL332" authorId="0">
      <text>
        <r>
          <rPr>
            <sz val="8"/>
            <color indexed="81"/>
            <rFont val="Tahoma"/>
            <family val="2"/>
          </rPr>
          <t>The five interest rate swap agreements in 2004 expire on August 15, 2013 consistent with maturity date of these notes (2Q08 - 10Q)</t>
        </r>
      </text>
    </comment>
    <comment ref="CQ332" authorId="0">
      <text>
        <r>
          <rPr>
            <sz val="8"/>
            <color indexed="81"/>
            <rFont val="Tahoma"/>
            <family val="2"/>
          </rPr>
          <t>The five interest rate swap agreements in 2004 expire on August 15, 2013 consistent with maturity date of these notes (2Q08 - 10Q)</t>
        </r>
      </text>
    </comment>
    <comment ref="CV332" authorId="0">
      <text>
        <r>
          <rPr>
            <sz val="8"/>
            <color indexed="81"/>
            <rFont val="Tahoma"/>
            <family val="2"/>
          </rPr>
          <t>The five interest rate swap agreements in 2004 expire on August 15, 2013 consistent with maturity date of these notes (2Q08 - 10Q)</t>
        </r>
      </text>
    </comment>
    <comment ref="DA332" authorId="0">
      <text>
        <r>
          <rPr>
            <sz val="8"/>
            <color indexed="81"/>
            <rFont val="Tahoma"/>
            <family val="2"/>
          </rPr>
          <t>The five interest rate swap agreements in 2004 expire on August 15, 2013 consistent with maturity date of these notes (2Q08 - 10Q)</t>
        </r>
      </text>
    </comment>
    <comment ref="DF332" authorId="0">
      <text>
        <r>
          <rPr>
            <sz val="8"/>
            <color indexed="81"/>
            <rFont val="Tahoma"/>
            <family val="2"/>
          </rPr>
          <t>The five interest rate swap agreements in 2004 expire on August 15, 2013 consistent with maturity date of these notes (2Q08 - 10Q)</t>
        </r>
      </text>
    </comment>
    <comment ref="AL334" authorId="0">
      <text>
        <r>
          <rPr>
            <sz val="8"/>
            <color indexed="81"/>
            <rFont val="Tahoma"/>
            <family val="2"/>
          </rPr>
          <t>estimate; no guidance</t>
        </r>
      </text>
    </comment>
    <comment ref="AL335" authorId="0">
      <text>
        <r>
          <rPr>
            <sz val="8"/>
            <color indexed="81"/>
            <rFont val="Tahoma"/>
            <family val="2"/>
          </rPr>
          <t>Reported on 3Q Press Release under BS Debt</t>
        </r>
      </text>
    </comment>
    <comment ref="B348" authorId="0">
      <text>
        <r>
          <rPr>
            <sz val="8"/>
            <color indexed="81"/>
            <rFont val="Tahoma"/>
            <family val="2"/>
          </rPr>
          <t>Expiring 04/30/2012 according to Fitch Ratings (11/14/07)</t>
        </r>
      </text>
    </comment>
    <comment ref="AM348" authorId="0">
      <text>
        <r>
          <rPr>
            <sz val="8"/>
            <color indexed="81"/>
            <rFont val="Tahoma"/>
            <family val="2"/>
          </rPr>
          <t>The weighted average annual interest rate on amounts borrowed under the facility as of Dec 29, 2007 was 5.49%</t>
        </r>
      </text>
    </comment>
    <comment ref="AV350" authorId="1">
      <text>
        <r>
          <rPr>
            <b/>
            <sz val="8"/>
            <color indexed="81"/>
            <rFont val="Tahoma"/>
            <family val="2"/>
          </rPr>
          <t>scheandr:</t>
        </r>
        <r>
          <rPr>
            <sz val="8"/>
            <color indexed="81"/>
            <rFont val="Tahoma"/>
            <family val="2"/>
          </rPr>
          <t xml:space="preserve">
pay down saves more than $3 million annually in interest expense</t>
        </r>
      </text>
    </comment>
    <comment ref="AO351" authorId="0">
      <text>
        <r>
          <rPr>
            <sz val="8"/>
            <color indexed="81"/>
            <rFont val="Tahoma"/>
            <family val="2"/>
          </rPr>
          <t>ST debt is just the A/R financing facility</t>
        </r>
      </text>
    </comment>
    <comment ref="B355" authorId="0">
      <text>
        <r>
          <rPr>
            <sz val="8"/>
            <color indexed="81"/>
            <rFont val="Tahoma"/>
            <family val="2"/>
          </rPr>
          <t>Expiring 04/30/2012 according to Fitch Ratings (11/14/07)</t>
        </r>
      </text>
    </comment>
    <comment ref="AM355" authorId="0">
      <text>
        <r>
          <rPr>
            <sz val="8"/>
            <color indexed="81"/>
            <rFont val="Tahoma"/>
            <family val="2"/>
          </rPr>
          <t>The weighted average annual interest rate on amounts borrowed under the facility as of Dec 29, 2007 was 5.49%</t>
        </r>
      </text>
    </comment>
    <comment ref="AV357" authorId="1">
      <text>
        <r>
          <rPr>
            <b/>
            <sz val="8"/>
            <color indexed="81"/>
            <rFont val="Tahoma"/>
            <family val="2"/>
          </rPr>
          <t>scheandr:</t>
        </r>
        <r>
          <rPr>
            <sz val="8"/>
            <color indexed="81"/>
            <rFont val="Tahoma"/>
            <family val="2"/>
          </rPr>
          <t xml:space="preserve">
pay down saves more than $3 million annually in interest expense</t>
        </r>
      </text>
    </comment>
    <comment ref="BY357" authorId="4">
      <text>
        <r>
          <rPr>
            <b/>
            <sz val="9"/>
            <color indexed="81"/>
            <rFont val="Tahoma"/>
            <family val="2"/>
          </rPr>
          <t>Paid off revolver + ASR debt</t>
        </r>
      </text>
    </comment>
    <comment ref="AO358" authorId="0">
      <text>
        <r>
          <rPr>
            <sz val="8"/>
            <color indexed="81"/>
            <rFont val="Tahoma"/>
            <family val="2"/>
          </rPr>
          <t>ST debt is just the A/R financing facility</t>
        </r>
      </text>
    </comment>
  </commentList>
</comments>
</file>

<file path=xl/comments8.xml><?xml version="1.0" encoding="utf-8"?>
<comments xmlns="http://schemas.openxmlformats.org/spreadsheetml/2006/main">
  <authors>
    <author>Editor</author>
    <author>sopcak</author>
    <author>scheandr</author>
    <author>rickgold</author>
    <author>Sopcak, Zachary (Research)</author>
  </authors>
  <commentList>
    <comment ref="U10" authorId="0">
      <text>
        <r>
          <rPr>
            <sz val="8"/>
            <color indexed="81"/>
            <rFont val="Tahoma"/>
            <family val="2"/>
          </rPr>
          <t>Source: press release of 1Q05</t>
        </r>
      </text>
    </comment>
    <comment ref="AJ10" authorId="0">
      <text>
        <r>
          <rPr>
            <sz val="8"/>
            <color indexed="81"/>
            <rFont val="Tahoma"/>
            <family val="2"/>
          </rPr>
          <t>ESRX does not disclose gross profit for adj claim from 1Q08 onwards. Hence the calculated number, which are based on N+1 (1Q07 numbers from 1Q08 filing) , does not match with reported numbers.</t>
        </r>
      </text>
    </comment>
    <comment ref="AK10" authorId="0">
      <text>
        <r>
          <rPr>
            <sz val="8"/>
            <color indexed="81"/>
            <rFont val="Tahoma"/>
            <family val="2"/>
          </rPr>
          <t>ESRX does not disclose gross profit for adj claim from 1Q08 onwards. Hence the calculated number, which are based on N+1 (1Q07 numbers from 1Q08 filing) , does not match with reported numbers.</t>
        </r>
      </text>
    </comment>
    <comment ref="AL10" authorId="0">
      <text>
        <r>
          <rPr>
            <sz val="8"/>
            <color indexed="81"/>
            <rFont val="Tahoma"/>
            <family val="2"/>
          </rPr>
          <t>ESRX does not disclose gross profit for adj claim from 1Q08 onwards. Hence the calculated number, which are based on N+1 (1Q07 numbers from 1Q08 filing) , does not match with reported numbers.</t>
        </r>
      </text>
    </comment>
    <comment ref="AM10" authorId="0">
      <text>
        <r>
          <rPr>
            <sz val="8"/>
            <color indexed="81"/>
            <rFont val="Tahoma"/>
            <family val="2"/>
          </rPr>
          <t>ESRX does not disclose gross profit for adj claim from 1Q08 onwards. Hence the calculated number, which are based on N+1 (1Q07 numbers from 1Q08 filing) , does not match with reported numbers.</t>
        </r>
      </text>
    </comment>
    <comment ref="BR11" authorId="1">
      <text>
        <r>
          <rPr>
            <b/>
            <sz val="8"/>
            <color indexed="81"/>
            <rFont val="Tahoma"/>
            <family val="2"/>
          </rPr>
          <t>3Q12 cc:
GP/Rx growth of high single digits</t>
        </r>
      </text>
    </comment>
    <comment ref="AG13" authorId="0">
      <text>
        <r>
          <rPr>
            <sz val="8"/>
            <color indexed="81"/>
            <rFont val="Tahoma"/>
            <family val="2"/>
          </rPr>
          <t>Rounding off difference</t>
        </r>
      </text>
    </comment>
    <comment ref="AI13" authorId="0">
      <text>
        <r>
          <rPr>
            <sz val="8"/>
            <color indexed="81"/>
            <rFont val="Tahoma"/>
            <family val="2"/>
          </rPr>
          <t>Guidance is 1.70 - $1.90</t>
        </r>
      </text>
    </comment>
    <comment ref="AJ13" authorId="0">
      <text>
        <r>
          <rPr>
            <sz val="8"/>
            <color indexed="81"/>
            <rFont val="Tahoma"/>
            <family val="2"/>
          </rPr>
          <t>Adjusted to exclude $9m benefit</t>
        </r>
      </text>
    </comment>
    <comment ref="AN13" authorId="0">
      <text>
        <r>
          <rPr>
            <sz val="8"/>
            <color indexed="81"/>
            <rFont val="Tahoma"/>
            <family val="2"/>
          </rPr>
          <t>2.28-2.35 guidance given on 3QCC (low 2.30s is reasonable)
jones:
2.25 to 2.35 given on 2Q cc
:
2007 original guidance wsa 2.10-2.25. On 4Q06 conference call they raised guidance and said new EBITDA per script guidance could be 2 points for growth higher than original</t>
        </r>
      </text>
    </comment>
    <comment ref="AO13" authorId="0">
      <text>
        <r>
          <rPr>
            <sz val="8"/>
            <color indexed="81"/>
            <rFont val="Tahoma"/>
            <family val="2"/>
          </rPr>
          <t>EBITDA/adj script is lower because there were two specific mail fullfillment only clients that ESRX no longer serves as of 1-1-08 that - in prior qts they dispensed approx 0.5 million mail claims to these two clients.</t>
        </r>
      </text>
    </comment>
    <comment ref="AS13" authorId="0">
      <text>
        <r>
          <rPr>
            <sz val="8"/>
            <color indexed="81"/>
            <rFont val="Tahoma"/>
            <family val="2"/>
          </rPr>
          <t>$2.65-$2.75 is guidance for 08 (2Q08CC)
:
$2.55-$2.65 is guidance for 08 (4Q07CC)</t>
        </r>
      </text>
    </comment>
    <comment ref="AV13" authorId="2">
      <text>
        <r>
          <rPr>
            <b/>
            <sz val="8"/>
            <color indexed="81"/>
            <rFont val="Tahoma"/>
            <family val="2"/>
          </rPr>
          <t>scheandr:</t>
        </r>
        <r>
          <rPr>
            <sz val="8"/>
            <color indexed="81"/>
            <rFont val="Tahoma"/>
            <family val="2"/>
          </rPr>
          <t xml:space="preserve">
lower than average generic here in 2009 and quite frankly, 2010 and then looked to be also lower than average</t>
        </r>
      </text>
    </comment>
    <comment ref="AW13" authorId="2">
      <text>
        <r>
          <rPr>
            <b/>
            <sz val="8"/>
            <color indexed="81"/>
            <rFont val="Tahoma"/>
            <family val="2"/>
          </rPr>
          <t>scheandr:</t>
        </r>
        <r>
          <rPr>
            <sz val="8"/>
            <color indexed="81"/>
            <rFont val="Tahoma"/>
            <family val="2"/>
          </rPr>
          <t xml:space="preserve">
</t>
        </r>
      </text>
    </comment>
    <comment ref="AY13" authorId="2">
      <text>
        <r>
          <rPr>
            <b/>
            <sz val="8"/>
            <color indexed="81"/>
            <rFont val="Tahoma"/>
            <family val="2"/>
          </rPr>
          <t xml:space="preserve">4Q09 CC:
</t>
        </r>
        <r>
          <rPr>
            <sz val="8"/>
            <color indexed="81"/>
            <rFont val="Tahoma"/>
            <family val="2"/>
          </rPr>
          <t>1Q guidance</t>
        </r>
        <r>
          <rPr>
            <sz val="8"/>
            <color indexed="81"/>
            <rFont val="Tahoma"/>
            <family val="2"/>
          </rPr>
          <t xml:space="preserve">
$2.85-$2.95</t>
        </r>
      </text>
    </comment>
    <comment ref="BC13" authorId="2">
      <text>
        <r>
          <rPr>
            <b/>
            <sz val="8"/>
            <color indexed="81"/>
            <rFont val="Tahoma"/>
            <family val="2"/>
          </rPr>
          <t>4Q09 CC:</t>
        </r>
        <r>
          <rPr>
            <sz val="8"/>
            <color indexed="81"/>
            <rFont val="Tahoma"/>
            <family val="2"/>
          </rPr>
          <t xml:space="preserve">
$3.15 to $3.25</t>
        </r>
      </text>
    </comment>
    <comment ref="BH13" authorId="2">
      <text>
        <r>
          <rPr>
            <b/>
            <sz val="8"/>
            <color indexed="81"/>
            <rFont val="Tahoma"/>
            <family val="2"/>
          </rPr>
          <t>3QCC:</t>
        </r>
        <r>
          <rPr>
            <sz val="8"/>
            <color indexed="81"/>
            <rFont val="Tahoma"/>
            <family val="2"/>
          </rPr>
          <t xml:space="preserve">
$3.70 to $3.90</t>
        </r>
      </text>
    </comment>
    <comment ref="BM13" authorId="3">
      <text>
        <r>
          <rPr>
            <b/>
            <sz val="8"/>
            <color indexed="81"/>
            <rFont val="Tahoma"/>
            <family val="2"/>
          </rPr>
          <t>rickgold:</t>
        </r>
        <r>
          <rPr>
            <sz val="8"/>
            <color indexed="81"/>
            <rFont val="Tahoma"/>
            <family val="2"/>
          </rPr>
          <t xml:space="preserve">
Implied guidance $3.56 to $3.82 w/ avg at $3.69</t>
        </r>
      </text>
    </comment>
    <comment ref="BR13" authorId="1">
      <text>
        <r>
          <rPr>
            <sz val="8"/>
            <color indexed="81"/>
            <rFont val="Tahoma"/>
            <family val="2"/>
          </rPr>
          <t xml:space="preserve">4Q12 cc
Guidance implies $4.45 to $4.57
</t>
        </r>
      </text>
    </comment>
    <comment ref="BW13" authorId="1">
      <text>
        <r>
          <rPr>
            <b/>
            <sz val="8"/>
            <color indexed="81"/>
            <rFont val="Tahoma"/>
            <family val="2"/>
          </rPr>
          <t>3Q14cc:
$5.20 to $5.30</t>
        </r>
        <r>
          <rPr>
            <sz val="8"/>
            <color indexed="81"/>
            <rFont val="Tahoma"/>
            <family val="2"/>
          </rPr>
          <t xml:space="preserve">
</t>
        </r>
      </text>
    </comment>
    <comment ref="CB13" authorId="4">
      <text>
        <r>
          <rPr>
            <b/>
            <sz val="9"/>
            <color indexed="81"/>
            <rFont val="Tahoma"/>
            <family val="2"/>
          </rPr>
          <t>3Q15:
5.37 to 5.47
2Q15:
5.30 to 5.50
4Q14:
5.25 to 5.45</t>
        </r>
        <r>
          <rPr>
            <sz val="9"/>
            <color indexed="81"/>
            <rFont val="Tahoma"/>
            <family val="2"/>
          </rPr>
          <t xml:space="preserve">
</t>
        </r>
      </text>
    </comment>
    <comment ref="U14" authorId="0">
      <text>
        <r>
          <rPr>
            <sz val="8"/>
            <color indexed="81"/>
            <rFont val="Tahoma"/>
            <family val="2"/>
          </rPr>
          <t>Source: Press release of 1Q05</t>
        </r>
      </text>
    </comment>
    <comment ref="Z14" authorId="0">
      <text>
        <r>
          <rPr>
            <sz val="8"/>
            <color indexed="81"/>
            <rFont val="Tahoma"/>
            <family val="2"/>
          </rPr>
          <t>Source: press release of 1Q06</t>
        </r>
      </text>
    </comment>
    <comment ref="AJ14" authorId="0">
      <text>
        <r>
          <rPr>
            <sz val="8"/>
            <color indexed="81"/>
            <rFont val="Tahoma"/>
            <family val="2"/>
          </rPr>
          <t>Source: 10Q of 1Q08 filing</t>
        </r>
      </text>
    </comment>
    <comment ref="AK14" authorId="0">
      <text>
        <r>
          <rPr>
            <sz val="8"/>
            <color indexed="81"/>
            <rFont val="Tahoma"/>
            <family val="2"/>
          </rPr>
          <t>Source: 10Q of 2Q08 filing</t>
        </r>
      </text>
    </comment>
    <comment ref="AL14" authorId="0">
      <text>
        <r>
          <rPr>
            <sz val="8"/>
            <color indexed="81"/>
            <rFont val="Tahoma"/>
            <family val="2"/>
          </rPr>
          <t>Source: 10Q of 3Q08 filing</t>
        </r>
      </text>
    </comment>
    <comment ref="AT14" authorId="0">
      <text>
        <r>
          <rPr>
            <sz val="8"/>
            <color indexed="81"/>
            <rFont val="Tahoma"/>
            <family val="2"/>
          </rPr>
          <t>Source: press release 1Q09</t>
        </r>
      </text>
    </comment>
    <comment ref="AV14" authorId="3">
      <text>
        <r>
          <rPr>
            <b/>
            <sz val="8"/>
            <color indexed="81"/>
            <rFont val="Tahoma"/>
            <family val="2"/>
          </rPr>
          <t>rickgold:</t>
        </r>
        <r>
          <rPr>
            <sz val="8"/>
            <color indexed="81"/>
            <rFont val="Tahoma"/>
            <family val="2"/>
          </rPr>
          <t xml:space="preserve">
Adjusted to exclude Next Rx related costs + other litigation</t>
        </r>
      </text>
    </comment>
    <comment ref="BR15" authorId="1">
      <text>
        <r>
          <rPr>
            <sz val="8"/>
            <color indexed="81"/>
            <rFont val="Tahoma"/>
            <family val="2"/>
          </rPr>
          <t>4Q12 cc:
15% to 18%</t>
        </r>
      </text>
    </comment>
  </commentList>
</comments>
</file>

<file path=xl/comments9.xml><?xml version="1.0" encoding="utf-8"?>
<comments xmlns="http://schemas.openxmlformats.org/spreadsheetml/2006/main">
  <authors>
    <author>sopcak</author>
    <author>Sopcak, Zachary (Research)</author>
  </authors>
  <commentList>
    <comment ref="AG13" authorId="0">
      <text>
        <r>
          <rPr>
            <b/>
            <sz val="8"/>
            <color indexed="81"/>
            <rFont val="Tahoma"/>
            <family val="2"/>
          </rPr>
          <t>DoD Renewal</t>
        </r>
        <r>
          <rPr>
            <sz val="8"/>
            <color indexed="81"/>
            <rFont val="Tahoma"/>
            <family val="2"/>
          </rPr>
          <t xml:space="preserve">
</t>
        </r>
      </text>
    </comment>
    <comment ref="AG18" authorId="0">
      <text>
        <r>
          <rPr>
            <b/>
            <sz val="8"/>
            <color indexed="81"/>
            <rFont val="Tahoma"/>
            <family val="2"/>
          </rPr>
          <t>DoD Renewal</t>
        </r>
        <r>
          <rPr>
            <sz val="8"/>
            <color indexed="81"/>
            <rFont val="Tahoma"/>
            <family val="2"/>
          </rPr>
          <t xml:space="preserve">
</t>
        </r>
      </text>
    </comment>
    <comment ref="AD34" authorId="0">
      <text>
        <r>
          <rPr>
            <b/>
            <sz val="8"/>
            <color indexed="81"/>
            <rFont val="Tahoma"/>
            <family val="2"/>
          </rPr>
          <t>weather impacting Q1</t>
        </r>
        <r>
          <rPr>
            <sz val="8"/>
            <color indexed="81"/>
            <rFont val="Tahoma"/>
            <family val="2"/>
          </rPr>
          <t xml:space="preserve">
</t>
        </r>
      </text>
    </comment>
    <comment ref="AF50" authorId="1">
      <text>
        <r>
          <rPr>
            <b/>
            <sz val="9"/>
            <color indexed="81"/>
            <rFont val="Tahoma"/>
            <family val="2"/>
          </rPr>
          <t>Bear scenario assumes $50mil annual SGA spend to improve service</t>
        </r>
        <r>
          <rPr>
            <sz val="9"/>
            <color indexed="81"/>
            <rFont val="Tahoma"/>
            <family val="2"/>
          </rPr>
          <t xml:space="preserve">
</t>
        </r>
      </text>
    </comment>
  </commentList>
</comments>
</file>

<file path=xl/comments10.xml><?xml version="1.0" encoding="utf-8"?>
<comments xmlns="http://schemas.openxmlformats.org/spreadsheetml/2006/main">
  <authors>
    <author>sopcak</author>
    <author>scheandr</author>
    <author>Garcia, Liza (Research)</author>
  </authors>
  <commentList>
    <comment ref="AC7" authorId="0">
      <text>
        <r>
          <rPr>
            <b/>
            <sz val="8"/>
            <color indexed="81"/>
            <rFont val="Tahoma"/>
            <family val="2"/>
          </rPr>
          <t>1Q13 cc comments indicate SGA could be slightly higher due to increased mgmt comp</t>
        </r>
        <r>
          <rPr>
            <sz val="8"/>
            <color indexed="81"/>
            <rFont val="Tahoma"/>
            <family val="2"/>
          </rPr>
          <t xml:space="preserve">
</t>
        </r>
      </text>
    </comment>
    <comment ref="AD7" authorId="0">
      <text>
        <r>
          <rPr>
            <b/>
            <sz val="8"/>
            <color indexed="81"/>
            <rFont val="Tahoma"/>
            <family val="2"/>
          </rPr>
          <t>1Q13 cc comments indicate SGA could be slightly higher due to increased mgmt comp</t>
        </r>
        <r>
          <rPr>
            <sz val="8"/>
            <color indexed="81"/>
            <rFont val="Tahoma"/>
            <family val="2"/>
          </rPr>
          <t xml:space="preserve">
</t>
        </r>
      </text>
    </comment>
    <comment ref="M11" authorId="1">
      <text>
        <r>
          <rPr>
            <b/>
            <sz val="8"/>
            <color indexed="81"/>
            <rFont val="Tahoma"/>
            <family val="2"/>
          </rPr>
          <t>scheandr:</t>
        </r>
        <r>
          <rPr>
            <sz val="8"/>
            <color indexed="81"/>
            <rFont val="Tahoma"/>
            <family val="2"/>
          </rPr>
          <t xml:space="preserve">
2-4% organic growth</t>
        </r>
      </text>
    </comment>
    <comment ref="T11" authorId="1">
      <text>
        <r>
          <rPr>
            <b/>
            <sz val="8"/>
            <color indexed="81"/>
            <rFont val="Tahoma"/>
            <family val="2"/>
          </rPr>
          <t>scheandr:</t>
        </r>
        <r>
          <rPr>
            <sz val="8"/>
            <color indexed="81"/>
            <rFont val="Tahoma"/>
            <family val="2"/>
          </rPr>
          <t xml:space="preserve">
the high end of our 2011 guidance anticipates an improving economy</t>
        </r>
      </text>
    </comment>
    <comment ref="M14" authorId="1">
      <text>
        <r>
          <rPr>
            <b/>
            <sz val="8"/>
            <color indexed="81"/>
            <rFont val="Tahoma"/>
            <family val="2"/>
          </rPr>
          <t>4Q09 CC:</t>
        </r>
        <r>
          <rPr>
            <sz val="8"/>
            <color indexed="81"/>
            <rFont val="Tahoma"/>
            <family val="2"/>
          </rPr>
          <t xml:space="preserve">
$2.85 - $2.95 in 1Q10</t>
        </r>
      </text>
    </comment>
    <comment ref="W19" authorId="1">
      <text>
        <r>
          <rPr>
            <b/>
            <sz val="8"/>
            <color indexed="81"/>
            <rFont val="Tahoma"/>
            <family val="2"/>
          </rPr>
          <t>scheandr:</t>
        </r>
        <r>
          <rPr>
            <sz val="8"/>
            <color indexed="81"/>
            <rFont val="Tahoma"/>
            <family val="2"/>
          </rPr>
          <t xml:space="preserve">
833M over 2Q-4Q</t>
        </r>
      </text>
    </comment>
    <comment ref="AC19" authorId="0">
      <text>
        <r>
          <rPr>
            <b/>
            <sz val="8"/>
            <color indexed="81"/>
            <rFont val="Tahoma"/>
            <family val="2"/>
          </rPr>
          <t>1Q13cc:
Towards lower end of 825 of 835 million</t>
        </r>
        <r>
          <rPr>
            <sz val="8"/>
            <color indexed="81"/>
            <rFont val="Tahoma"/>
            <family val="2"/>
          </rPr>
          <t xml:space="preserve">
</t>
        </r>
      </text>
    </comment>
    <comment ref="AC30" authorId="0">
      <text>
        <r>
          <rPr>
            <b/>
            <sz val="8"/>
            <color indexed="81"/>
            <rFont val="Tahoma"/>
            <family val="2"/>
          </rPr>
          <t>1Q13 PR
Includes MHS and ESRX intangible assets</t>
        </r>
      </text>
    </comment>
    <comment ref="AH30" authorId="0">
      <text>
        <r>
          <rPr>
            <b/>
            <sz val="8"/>
            <color indexed="81"/>
            <rFont val="Tahoma"/>
            <family val="2"/>
          </rPr>
          <t>1Q13 PR
Includes MHS and ESRX intangible assets</t>
        </r>
      </text>
    </comment>
    <comment ref="AY30" authorId="0">
      <text>
        <r>
          <rPr>
            <b/>
            <sz val="8"/>
            <color indexed="81"/>
            <rFont val="Tahoma"/>
            <family val="2"/>
          </rPr>
          <t>1Q13 PR
Includes MHS and ESRX intangible assets</t>
        </r>
      </text>
    </comment>
    <comment ref="AC40" authorId="0">
      <text>
        <r>
          <rPr>
            <b/>
            <sz val="8"/>
            <color indexed="81"/>
            <rFont val="Tahoma"/>
            <family val="2"/>
          </rPr>
          <t>1Q13 cc comments indicate SGA could be slightly higher due to increased mgmt comp</t>
        </r>
        <r>
          <rPr>
            <sz val="8"/>
            <color indexed="81"/>
            <rFont val="Tahoma"/>
            <family val="2"/>
          </rPr>
          <t xml:space="preserve">
</t>
        </r>
      </text>
    </comment>
    <comment ref="AD40" authorId="0">
      <text>
        <r>
          <rPr>
            <b/>
            <sz val="8"/>
            <color indexed="81"/>
            <rFont val="Tahoma"/>
            <family val="2"/>
          </rPr>
          <t>1Q13 cc comments indicate SGA could be slightly higher due to increased mgmt comp</t>
        </r>
        <r>
          <rPr>
            <sz val="8"/>
            <color indexed="81"/>
            <rFont val="Tahoma"/>
            <family val="2"/>
          </rPr>
          <t xml:space="preserve">
</t>
        </r>
      </text>
    </comment>
    <comment ref="W42" authorId="2">
      <text>
        <r>
          <rPr>
            <b/>
            <sz val="9"/>
            <color indexed="81"/>
            <rFont val="Tahoma"/>
            <family val="2"/>
          </rPr>
          <t>Garcia, Liza (Research):</t>
        </r>
        <r>
          <rPr>
            <sz val="9"/>
            <color indexed="81"/>
            <rFont val="Tahoma"/>
            <family val="2"/>
          </rPr>
          <t xml:space="preserve">
Waited for transaction close, did not provide on 4Q11</t>
        </r>
      </text>
    </comment>
    <comment ref="M44" authorId="1">
      <text>
        <r>
          <rPr>
            <b/>
            <sz val="8"/>
            <color indexed="81"/>
            <rFont val="Tahoma"/>
            <family val="2"/>
          </rPr>
          <t>scheandr:</t>
        </r>
        <r>
          <rPr>
            <sz val="8"/>
            <color indexed="81"/>
            <rFont val="Tahoma"/>
            <family val="2"/>
          </rPr>
          <t xml:space="preserve">
2-4% organic growth</t>
        </r>
      </text>
    </comment>
    <comment ref="T44" authorId="1">
      <text>
        <r>
          <rPr>
            <b/>
            <sz val="8"/>
            <color indexed="81"/>
            <rFont val="Tahoma"/>
            <family val="2"/>
          </rPr>
          <t>scheandr:</t>
        </r>
        <r>
          <rPr>
            <sz val="8"/>
            <color indexed="81"/>
            <rFont val="Tahoma"/>
            <family val="2"/>
          </rPr>
          <t xml:space="preserve">
the high end of our 2011 guidance anticipates an improving economy</t>
        </r>
      </text>
    </comment>
    <comment ref="M48" authorId="1">
      <text>
        <r>
          <rPr>
            <b/>
            <sz val="8"/>
            <color indexed="81"/>
            <rFont val="Tahoma"/>
            <family val="2"/>
          </rPr>
          <t>4Q09 CC:</t>
        </r>
        <r>
          <rPr>
            <sz val="8"/>
            <color indexed="81"/>
            <rFont val="Tahoma"/>
            <family val="2"/>
          </rPr>
          <t xml:space="preserve">
$2.85 - $2.95 in 1Q10</t>
        </r>
      </text>
    </comment>
    <comment ref="W53" authorId="1">
      <text>
        <r>
          <rPr>
            <b/>
            <sz val="8"/>
            <color indexed="81"/>
            <rFont val="Tahoma"/>
            <family val="2"/>
          </rPr>
          <t>scheandr:</t>
        </r>
        <r>
          <rPr>
            <sz val="8"/>
            <color indexed="81"/>
            <rFont val="Tahoma"/>
            <family val="2"/>
          </rPr>
          <t xml:space="preserve">
833M over 2Q-4Q</t>
        </r>
      </text>
    </comment>
    <comment ref="AC53" authorId="0">
      <text>
        <r>
          <rPr>
            <b/>
            <sz val="8"/>
            <color indexed="81"/>
            <rFont val="Tahoma"/>
            <family val="2"/>
          </rPr>
          <t>1Q13cc:
Towards lower end of 825 of 835 million</t>
        </r>
        <r>
          <rPr>
            <sz val="8"/>
            <color indexed="81"/>
            <rFont val="Tahoma"/>
            <family val="2"/>
          </rPr>
          <t xml:space="preserve">
</t>
        </r>
      </text>
    </comment>
  </commentList>
</comments>
</file>

<file path=xl/comments11.xml><?xml version="1.0" encoding="utf-8"?>
<comments xmlns="http://schemas.openxmlformats.org/spreadsheetml/2006/main">
  <authors>
    <author>scheandr</author>
  </authors>
  <commentList>
    <comment ref="A1" authorId="0">
      <text>
        <r>
          <rPr>
            <b/>
            <sz val="8"/>
            <color indexed="81"/>
            <rFont val="Tahoma"/>
            <family val="2"/>
          </rPr>
          <t>卟䙄_x0001_＀＀ո亪_x001E_卅塒慞杶倨偟䥒䕃㐨㠰㜱㐬㤰㠰⤩_x0018_＀＀_x0018_＀＀_x0008_＀＀_x0001_＀＀_x0001_＀＀馡香䁅ո亪_x001E_卅塒慞杶倨偟䥒䕃㐨㈲㠷㐬㌲㤶⤩_x0018_＀＀_x0018_＀＀_x0008_＀＀_x0001_＀＀_x0001_＀＀竫긔䁆ո亪_x001E_卅塒慞杶倨偟䥒䕃㐨㜱〳㐬㠱〲⤩_x0018_＀＀_x0018_＀＀_x0008_＀＀_x0001_＀＀_x0001_＀＀竪긔䁆ո亪_x001E_卅塒慞杶倨偟䥒䕃㐨㤰㤰㐬㤰㤹⤩_x0018_＀＀_x0018_＀＀_x0008_＀＀_x0001_＀＀_x0001_＀＀竪긔䁆ո亪_x001E_卅塒慞杶倨偟䥒䕃㐨㜰㔲㐬㠰㘱⤩_x0018_＀＀_x0018_＀＀_x0008_＀＀_x0001_＀＀_x0001_＀＀㵲휊휣䁇ո亪_x001E_卅塒慞杶倨偟䥒䕃㐨㔰㐴㐬㘰㌳⤩_x0018_＀＀_x0018_＀＀_x0008_＀＀_x0001_＀＀_x0001_＀＀핀_xDA20_䁋ո亪_x001E_卅塒慞杶倨偟䥒䕃㐨㔱㠴㐬㘱㤳⤩_x0018_＀＀_x0018_＀＀_x0008_＀＀_x0001_＀＀_x0001_＀＀竫긔䁆ո亪_x001E_卅塒慞杶倨偟䥒䕃㐨㔰㐴㐬㤰㠰⤩_x0018_＀＀_x0018_＀＀_x0008_＀＀_x0001_＀＀_x0001_＀＀蓹ꡟ裀䁉ո亪_x001E_卅塒慞杶倨偟䥒䕃㐨ㄲ㘸㐬㈲㜷⤩_x0018_＀＀_x0018_＀＀_x0008_＀＀_x0001_＀＀_x0001_＀＀竫긔䁆ո亪_x001E_卅塒慞杶倨偟䥒䕃㐨㤰㤰㐬㈱㐷⤩_x0018_＀＀_x0018_＀＀_x0008_＀＀_x0001_＀＀_x0001_＀＀竺긔䁆ո亪_x001E_卅塒慞杶倨偟䥒䕃㐨㐱㘵㐬㔱㜴⤩_x0018_＀＀_x0018_＀＀_x0008_＀＀_x0001_＀＀_x0001_＀＀竫긔䁆ո亪_x001E_卅塒慞杶倨偟䥒䕃㐨㈱㔷㐬㌱㐶⤩_x0018_＀＀_x0018_＀＀_x0008_＀＀_x0001_＀＀_x0001_＀＀竪긔䁆ո亪_x001E_卅塒慞杶倨偟䥒䕃㐨㈱㔷㐬㘱㤳⤩_x0018_＀＀_x0018_＀＀_x0008_＀＀_x0001_＀＀_x0001_＀＀竺긔䁆ո亪_x001E_卅塒慞杶倨偟䥒䕃㐨㘰㐳㐬㜰㐲⤩_x0018_＀＀_x0018_＀＀_x0008_＀＀_x0001_＀＀_x0001_＀＀蠸鮶泮䁌ո亪_x001E_卅塒慞杶倨偟䥒䕃㐨〲㔹㐬ㄲ㔸⤩_x0018_＀＀_x0018_＀＀_x0008_＀＀_x0001_＀＀_x0001_＀＀竪긔䁆ո亪_x001E_卅塒慞杶倨偟䥒䕃㐨〲㔰㐬〲㐹⤩_x0018_＀＀_x0018_＀＀_x0008_＀＀_x0001_＀＀_x0001_＀＀竪긔䁆ո亪_x001E_卅塒慞杶倨偟䥒䕃㐨㤱㌱㐬〲㐰⤩_x0018_＀＀_x0018_＀＀_x0008_＀＀_x0001_＀＀_x0001_＀＀竫긔䁆ո亪_x001E_卅塒慞杶倨偟䥒䕃㐨〲㔰㐬㌲㤶⤩_x0018_＀＀_x0018_＀＀_x0008_＀＀_x0001_＀＀_x0001_＀＀竺긔䁆ո亪_x001E_卅塒慞杶倨偟䥒䕃㐨〱〰㐬〱〹⤩_x0018_＀＀_x0018_＀＀_x0008_＀＀_x0001_＀＀_x0001_＀＀竪긔䁆ո亪_x001E_卅塒慞杶倨偟䥒䕃㐨㌱㔶㐬㐱㔵⤩_x0018_＀＀_x0018_＀＀_x0008_＀＀_x0001_＀＀_x0001_＀＀竪긔䁆ո亪_x001E_卅塒慞杶倨偟䥒䕃㐨㠱ㄲ㐬㤱㈱⤩_x0018_＀＀_x0018_＀＀_x0008_＀＀_x0001_＀＀_x0001_＀＀竫긔䁆ո亪_x001E_卅塒慞杶倨偟䥒䕃㐨㘱〴㐬㜱㤲⤩_x0018_＀＀_x0018_＀＀_x0008_＀＀_x0001_＀＀_x0001_＀＀竪긔䁆ո亪_x001E_卅塒慞杶倨偟䥒䕃㐨ㄱ㌸㐬㈱㐷⤩_x0018_＀＀_x0018_＀＀_x0008_＀＀_x0001_＀＀_x0001_＀＀竪긔䁆ո亪_x001E_卅塒慞杶倨偟䥒䕃㐨㘱〴㐬〲㐰⤩_x0018_＀＀_x0018_＀＀_x0008_＀＀_x0001_＀＀_x0001_＀＀竺긔䁆ո亪_x001E_卅塒慞杶倨偟䥒䕃㐨〱ㄹ㐬ㄱ㈸⤩_x0018_＀＀_x0018_＀＀_x0008_＀＀_x0001_＀＀_x0001_＀＀竪긔䁆</t>
        </r>
      </text>
    </comment>
    <comment ref="B1" authorId="0">
      <text>
        <r>
          <rPr>
            <b/>
            <sz val="8"/>
            <color indexed="81"/>
            <rFont val="Tahoma"/>
            <family val="2"/>
          </rPr>
          <t>930</t>
        </r>
      </text>
    </comment>
  </commentList>
</comments>
</file>

<file path=xl/sharedStrings.xml><?xml version="1.0" encoding="utf-8"?>
<sst xmlns="http://schemas.openxmlformats.org/spreadsheetml/2006/main" count="2483" uniqueCount="1179">
  <si>
    <t>5-Year Senior Notes (due Sept 15, 2015)</t>
  </si>
  <si>
    <t>10-Year Senior Notes (due Sept 15, 2020)</t>
  </si>
  <si>
    <t>ESRX Specialty Scripts</t>
  </si>
  <si>
    <t>MHS Specialty claims</t>
  </si>
  <si>
    <t>ESRX Specialty Claims</t>
  </si>
  <si>
    <t>Specialty Claims - MS estimate</t>
  </si>
  <si>
    <t>Other Claims (ESRX patient assistence program)</t>
  </si>
  <si>
    <t>Specialty - MS estimate</t>
  </si>
  <si>
    <t>Mail / Home Delivery - MS Estimates</t>
  </si>
  <si>
    <t>Specialty - MS Esitmates</t>
  </si>
  <si>
    <t>MHS Specialty revenue per claim (e)</t>
  </si>
  <si>
    <t>ESRX Specialty revenue per claim</t>
  </si>
  <si>
    <t>Total Specialty Scripts</t>
  </si>
  <si>
    <t>MHS Specialty gross margins (%)</t>
  </si>
  <si>
    <t>ESRX Specialty Gross Margins</t>
  </si>
  <si>
    <t>MHS Total Specialty Rx Revenues</t>
  </si>
  <si>
    <t>ESRX Total Specialty Rx Revenues</t>
  </si>
  <si>
    <t>SG&amp;A Synergies</t>
  </si>
  <si>
    <t>Additional Gross Profit Synergies</t>
  </si>
  <si>
    <t>Total Gross Profit - PBM</t>
  </si>
  <si>
    <t>Gross margin Synergies</t>
  </si>
  <si>
    <t>ESRX &amp; MHS</t>
  </si>
  <si>
    <t>ESRX</t>
  </si>
  <si>
    <t xml:space="preserve"> </t>
  </si>
  <si>
    <t>C</t>
  </si>
  <si>
    <t>(In millions, except per share)</t>
  </si>
  <si>
    <t>Fiscal Year End, Dec 31 2001</t>
  </si>
  <si>
    <t>Fiscal Year End, Dec 31 2002</t>
  </si>
  <si>
    <t>Fiscal Year End, Dec 31 2003</t>
  </si>
  <si>
    <t>Fiscal Year End, Dec 31 2004</t>
  </si>
  <si>
    <t xml:space="preserve">Fiscal Year End, Dec 31 2005 </t>
  </si>
  <si>
    <t xml:space="preserve">Fiscal Year End, Dec 31 2006 </t>
  </si>
  <si>
    <t xml:space="preserve">Fiscal Year End, Dec 31 2007 </t>
  </si>
  <si>
    <t>Fiscal Year End, Dec 31 2008</t>
  </si>
  <si>
    <t>Fiscal Year End, Dec 31 2009</t>
  </si>
  <si>
    <t>Fiscal Year End, Dec 31 2010</t>
  </si>
  <si>
    <t>Fiscal Year End, Dec 31 2011</t>
  </si>
  <si>
    <t>Fiscal Year End, Dec 31 2012</t>
  </si>
  <si>
    <t>INCOME STATEMENT</t>
  </si>
  <si>
    <t>1999A</t>
  </si>
  <si>
    <t>2000A</t>
  </si>
  <si>
    <t>1Q01A</t>
  </si>
  <si>
    <t>2Q01A</t>
  </si>
  <si>
    <t>3Q01A</t>
  </si>
  <si>
    <t>4Q01A</t>
  </si>
  <si>
    <t>2001A</t>
  </si>
  <si>
    <t>1Q02A</t>
  </si>
  <si>
    <t>2Q02A</t>
  </si>
  <si>
    <t>3Q02A</t>
  </si>
  <si>
    <t>4Q02A</t>
  </si>
  <si>
    <t>2002A</t>
  </si>
  <si>
    <t>1Q03A</t>
  </si>
  <si>
    <t>2Q03A</t>
  </si>
  <si>
    <t>3Q03A</t>
  </si>
  <si>
    <t>4Q03A</t>
  </si>
  <si>
    <t>2003A</t>
  </si>
  <si>
    <t>1QA</t>
  </si>
  <si>
    <t>2QA</t>
  </si>
  <si>
    <t>3QA</t>
  </si>
  <si>
    <t>4QA</t>
  </si>
  <si>
    <t>2004A</t>
  </si>
  <si>
    <t>2005A</t>
  </si>
  <si>
    <t>2007A</t>
  </si>
  <si>
    <t>4QE</t>
  </si>
  <si>
    <t>1QE</t>
  </si>
  <si>
    <t>2QE</t>
  </si>
  <si>
    <t>3QE</t>
  </si>
  <si>
    <t>Cost of Revenues</t>
  </si>
  <si>
    <t>Gross Profit</t>
  </si>
  <si>
    <t>Revenues</t>
  </si>
  <si>
    <t>PBM</t>
  </si>
  <si>
    <t>SG&amp;A expenses</t>
  </si>
  <si>
    <t xml:space="preserve">EBIT </t>
  </si>
  <si>
    <t>Non-Operating charges, net</t>
  </si>
  <si>
    <t>Interest income</t>
  </si>
  <si>
    <t>Interest expense</t>
  </si>
  <si>
    <t>Pre-tax income</t>
  </si>
  <si>
    <t>Income tax provision (benefit)</t>
  </si>
  <si>
    <t>Net income - continuing operations</t>
  </si>
  <si>
    <t>Options</t>
  </si>
  <si>
    <t>Guidance (continuing)</t>
  </si>
  <si>
    <t>Share repurchase</t>
  </si>
  <si>
    <t>Existing Shares to repurchase</t>
  </si>
  <si>
    <t>Number of shares repurchased</t>
  </si>
  <si>
    <t>Share repurchase remaining</t>
  </si>
  <si>
    <t>Average repurchase price</t>
  </si>
  <si>
    <t>Amount repurchased ($)</t>
  </si>
  <si>
    <t>Depreciation and amortization</t>
  </si>
  <si>
    <t>EBITDA</t>
  </si>
  <si>
    <t>Gross profit</t>
  </si>
  <si>
    <t>Cost of sales</t>
  </si>
  <si>
    <t>Tax rate</t>
  </si>
  <si>
    <t>NA</t>
  </si>
  <si>
    <t>EBIT</t>
  </si>
  <si>
    <t>Net income - cont operations</t>
  </si>
  <si>
    <t>BALANCE SHEET</t>
  </si>
  <si>
    <t>Assets</t>
  </si>
  <si>
    <t>Cash and equivalents / securities</t>
  </si>
  <si>
    <t>Accounts receivable</t>
  </si>
  <si>
    <t>Inventory, net</t>
  </si>
  <si>
    <t>Deferred tax asset</t>
  </si>
  <si>
    <t>Other</t>
  </si>
  <si>
    <t>Current assets of discontinued operations</t>
  </si>
  <si>
    <t>PPE</t>
  </si>
  <si>
    <t>Goodwill and Other Intangibles</t>
  </si>
  <si>
    <t xml:space="preserve">Other </t>
  </si>
  <si>
    <t>Total Assets</t>
  </si>
  <si>
    <t>Liabilities</t>
  </si>
  <si>
    <t>Accounts payable</t>
  </si>
  <si>
    <t>Claims and rebates payable</t>
  </si>
  <si>
    <t>Current portion of LTD</t>
  </si>
  <si>
    <t>Long term debt</t>
  </si>
  <si>
    <t>Total Liabilities</t>
  </si>
  <si>
    <t>Equity</t>
  </si>
  <si>
    <t>Additional paid in capital</t>
  </si>
  <si>
    <t>Retained earnings</t>
  </si>
  <si>
    <t>Total Equity</t>
  </si>
  <si>
    <t>Total liabilities and equity</t>
  </si>
  <si>
    <t>BS check: Assets, Liab + Equity</t>
  </si>
  <si>
    <t>Days receivable</t>
  </si>
  <si>
    <t>ROE (annualized)</t>
  </si>
  <si>
    <t>EBITDA/Interest Expense</t>
  </si>
  <si>
    <t>Debt to equity</t>
  </si>
  <si>
    <t>Debt to EBITDA</t>
  </si>
  <si>
    <t>Debt to total capitalization</t>
  </si>
  <si>
    <t>CASH FLOW STATEMENT</t>
  </si>
  <si>
    <t>Changes in working capital</t>
  </si>
  <si>
    <t>Cash from operations</t>
  </si>
  <si>
    <t>PP&amp;E</t>
  </si>
  <si>
    <t>Acquisitions</t>
  </si>
  <si>
    <t>Cash from investing</t>
  </si>
  <si>
    <t>Dividends</t>
  </si>
  <si>
    <t>Cash from financing</t>
  </si>
  <si>
    <t>Foreign exchange adjustment</t>
  </si>
  <si>
    <t>Net Increase (Decrease) in Cash and Cash Equivalents</t>
  </si>
  <si>
    <t>CFO as % of EBITDA</t>
  </si>
  <si>
    <t>Less: Maintenance Capex</t>
  </si>
  <si>
    <t>Less: NWC</t>
  </si>
  <si>
    <t>Free Cash Flow</t>
  </si>
  <si>
    <t>Free Cash Flow - CFO + Capex</t>
  </si>
  <si>
    <t>Cash from Operations</t>
  </si>
  <si>
    <t>Capex</t>
  </si>
  <si>
    <t>FCF Per Share</t>
  </si>
  <si>
    <t>FCF Yield</t>
  </si>
  <si>
    <t>Free Cash Flow (CFO - cap ex)</t>
  </si>
  <si>
    <t>Stock price</t>
  </si>
  <si>
    <t>Interest Income</t>
  </si>
  <si>
    <t>Interest Expense</t>
  </si>
  <si>
    <t>y/y bp change</t>
  </si>
  <si>
    <t>Sequential bp change</t>
  </si>
  <si>
    <t>Analysis of Adjusted Claims</t>
  </si>
  <si>
    <t>SG&amp;A</t>
  </si>
  <si>
    <t>EPS</t>
  </si>
  <si>
    <t>Total adjusted claims</t>
  </si>
  <si>
    <t>(in millions)</t>
  </si>
  <si>
    <t xml:space="preserve">PBM </t>
  </si>
  <si>
    <t>Mail / Home Delivery</t>
  </si>
  <si>
    <t>Total</t>
  </si>
  <si>
    <t xml:space="preserve">Total </t>
  </si>
  <si>
    <t>Total Corporate Revenues</t>
  </si>
  <si>
    <t>Y/Y Revenue Growth</t>
  </si>
  <si>
    <t>Specialty</t>
  </si>
  <si>
    <t>Total Corporate Revenue</t>
  </si>
  <si>
    <t>Prescription claims - in millions</t>
  </si>
  <si>
    <t>Total claims</t>
  </si>
  <si>
    <t>Total Adjusted Claims - as reported</t>
  </si>
  <si>
    <t>Generic Dispensing Rate</t>
  </si>
  <si>
    <t>Total Mail</t>
  </si>
  <si>
    <t>Check</t>
  </si>
  <si>
    <t>COGS</t>
  </si>
  <si>
    <t>Generic</t>
  </si>
  <si>
    <t>Brand</t>
  </si>
  <si>
    <t>Revenue build up</t>
  </si>
  <si>
    <t>check</t>
  </si>
  <si>
    <t>Rev/adj claim - y/y growth</t>
  </si>
  <si>
    <t>Revenue per claim</t>
  </si>
  <si>
    <t>Rev/claim retail - y/y growth</t>
  </si>
  <si>
    <t>Rev/claim - mail - y/y growth</t>
  </si>
  <si>
    <t>Rev/adj claim - mail - y/y growth</t>
  </si>
  <si>
    <t>Revenue per adj claim</t>
  </si>
  <si>
    <t>Gross profit per adj claim</t>
  </si>
  <si>
    <t>Gross profit/adj claim - y/y growth</t>
  </si>
  <si>
    <t>EBITDA per adj claim</t>
  </si>
  <si>
    <t>EBITDA per adj claim - Reported</t>
  </si>
  <si>
    <t>EBITDA/adj claim - y/y growth</t>
  </si>
  <si>
    <t xml:space="preserve">Revenue </t>
  </si>
  <si>
    <t>Gross profit - PBM</t>
  </si>
  <si>
    <t>Revenue - PBM</t>
  </si>
  <si>
    <t>COGS - PBM</t>
  </si>
  <si>
    <t>Operating Income - PBM</t>
  </si>
  <si>
    <t>Margin % (PBM)</t>
  </si>
  <si>
    <t>Gross margin - total</t>
  </si>
  <si>
    <t>Operating income</t>
  </si>
  <si>
    <t>Year-over-Year Growth (PBM)</t>
  </si>
  <si>
    <t>Total Revenues</t>
  </si>
  <si>
    <t>Cost of revenues</t>
  </si>
  <si>
    <t>Rate</t>
  </si>
  <si>
    <t>Total Available</t>
  </si>
  <si>
    <t>Beg. Balance</t>
  </si>
  <si>
    <t>Borrowings/(Repayments)</t>
  </si>
  <si>
    <t>Ending Balance</t>
  </si>
  <si>
    <t>Remaining Amount Available</t>
  </si>
  <si>
    <t>$800M Term-1 Loan due October 14, 2010</t>
  </si>
  <si>
    <t>Interest Rate - commitment fee on unused funds</t>
  </si>
  <si>
    <t>Interest Rate - funds drawn</t>
  </si>
  <si>
    <t>Beg. Balance - "Term-1 Loan"</t>
  </si>
  <si>
    <t>Interest Expense - loans</t>
  </si>
  <si>
    <t>Interest Expense - commitment fee</t>
  </si>
  <si>
    <t xml:space="preserve">Beg. Balance </t>
  </si>
  <si>
    <t>Total debt</t>
  </si>
  <si>
    <t>Current portion of LT debt</t>
  </si>
  <si>
    <t>Total available under facility</t>
  </si>
  <si>
    <t>LT - as reported</t>
  </si>
  <si>
    <t>Actual (reported) interest expense</t>
  </si>
  <si>
    <t>Beginning Cash Balance</t>
  </si>
  <si>
    <t>Ending Cash Balance</t>
  </si>
  <si>
    <t>Actual (reported) interest income</t>
  </si>
  <si>
    <t>This sheet contains Factset binary data for use with this workbook's =FDS codes.  Modifying the worksheet's contents may damage the workbook's =FDS functionality.</t>
  </si>
  <si>
    <t>2008A</t>
  </si>
  <si>
    <t>2006A</t>
  </si>
  <si>
    <t>EM</t>
  </si>
  <si>
    <t>Other Reveneues</t>
  </si>
  <si>
    <t>Service Revenues</t>
  </si>
  <si>
    <t>Revenue - EM</t>
  </si>
  <si>
    <t>COGS - EM</t>
  </si>
  <si>
    <t>Gross profit - EM</t>
  </si>
  <si>
    <t>SG&amp;A - EM</t>
  </si>
  <si>
    <t>Operating Income - EM</t>
  </si>
  <si>
    <t>Margin % (EM)</t>
  </si>
  <si>
    <t>5.25% Senior Notes - due 2012</t>
  </si>
  <si>
    <t>6.25% Senior Notes - due 2014</t>
  </si>
  <si>
    <t>7.25% Senior Notes - due 2019</t>
  </si>
  <si>
    <t>USD</t>
  </si>
  <si>
    <t>ModelWare required tags</t>
  </si>
  <si>
    <t>Statutory tax</t>
  </si>
  <si>
    <t>Unrecorded Goodwill</t>
  </si>
  <si>
    <t>ND</t>
  </si>
  <si>
    <t>Change in Shareholders' Equity</t>
  </si>
  <si>
    <t>Other changes</t>
  </si>
  <si>
    <t>Change in cash due to restatement</t>
  </si>
  <si>
    <t>Discontinued operations</t>
  </si>
  <si>
    <t>Period end shares outstanding</t>
  </si>
  <si>
    <t>Inventory turnaround</t>
  </si>
  <si>
    <t>Days Payable - AP</t>
  </si>
  <si>
    <t>Days Payable - Claims and Rebates</t>
  </si>
  <si>
    <t>Taxes on EBIT</t>
  </si>
  <si>
    <t>Operating FCF - After Tax</t>
  </si>
  <si>
    <t>Free Cash Flow - MW Definition</t>
  </si>
  <si>
    <t>Ricky Goldwasser</t>
  </si>
  <si>
    <t>(212) 761-4097</t>
  </si>
  <si>
    <t>Ricky.Goldwasser@morganstanley.com</t>
  </si>
  <si>
    <t>Circularity</t>
  </si>
  <si>
    <t>LIBOR</t>
  </si>
  <si>
    <t>Estimated Total Interest Expense</t>
  </si>
  <si>
    <t>Total Principal Repayments</t>
  </si>
  <si>
    <t>Retail / Network</t>
  </si>
  <si>
    <t>SEGMENT DIDN’T EXIST PRIOR TO 1Q09</t>
  </si>
  <si>
    <t>Revenue breakdown</t>
  </si>
  <si>
    <t>Total PBM Claims - unadjusted</t>
  </si>
  <si>
    <t>Mail order claims - adjusted</t>
  </si>
  <si>
    <t>Other Claims (patient assistence program)</t>
  </si>
  <si>
    <t>Total Adjusted claims (retail + mail + other)- calc</t>
  </si>
  <si>
    <t xml:space="preserve"> Claims - as % of total adj</t>
  </si>
  <si>
    <t/>
  </si>
  <si>
    <t>Mail / Home Delivery - specialty</t>
  </si>
  <si>
    <t>Services + Other</t>
  </si>
  <si>
    <t>Mail / Home Delivery core - MS estimate</t>
  </si>
  <si>
    <t>Mail / Home Delivery specialty - MS estimate</t>
  </si>
  <si>
    <t>Mail / Home Delivery - Total - as reported</t>
  </si>
  <si>
    <t>Mail / Home Delivery - generic</t>
  </si>
  <si>
    <t>Mail / Home Delivery - brand - core</t>
  </si>
  <si>
    <t>Generic dispensing rate</t>
  </si>
  <si>
    <t>Branded utilization rate</t>
  </si>
  <si>
    <t>Claim Mix by channel &amp; Product</t>
  </si>
  <si>
    <t>Revenues Mix by channel &amp; Product (IMS Market data)</t>
  </si>
  <si>
    <t>Mail - % generic sales</t>
  </si>
  <si>
    <t>Mail - % brand sales</t>
  </si>
  <si>
    <t>Generic - core</t>
  </si>
  <si>
    <t>Brand - core</t>
  </si>
  <si>
    <t>Revenue per claim - % Growth</t>
  </si>
  <si>
    <t>Services &amp; Other</t>
  </si>
  <si>
    <t>Retail / Network claims</t>
  </si>
  <si>
    <t>Generic dispensing rate - Retail / Network</t>
  </si>
  <si>
    <t>Retail / Network claims - generic</t>
  </si>
  <si>
    <t>Retail / Network claims - brand</t>
  </si>
  <si>
    <t>Total Retail / Network</t>
  </si>
  <si>
    <t>Retail / Network - % generic sales</t>
  </si>
  <si>
    <t>Retail / Network - % brand sales</t>
  </si>
  <si>
    <t>Rev per claim - Retail / Network</t>
  </si>
  <si>
    <t>Generic dispensing rate - Mail</t>
  </si>
  <si>
    <t>Rev/adj claim - Mail / Home Delivery - core</t>
  </si>
  <si>
    <t>Rev/claim - specialty - y/y growth</t>
  </si>
  <si>
    <t>Mail / Home Delivery - generics - core</t>
  </si>
  <si>
    <t>Retail / Network - generics</t>
  </si>
  <si>
    <t>Retail / Network - brand</t>
  </si>
  <si>
    <t>Total Mail / Home Delivery</t>
  </si>
  <si>
    <t>Gross profit - total (est)</t>
  </si>
  <si>
    <t>Gross profit margin</t>
  </si>
  <si>
    <t>Total PBM Revenue</t>
  </si>
  <si>
    <t>Gross Margins as a % of total gross profits</t>
  </si>
  <si>
    <t>Expenses</t>
  </si>
  <si>
    <t>Mail / Home Delivery core - MS Estimates</t>
  </si>
  <si>
    <t>Revenue per claim - MS Estimates</t>
  </si>
  <si>
    <t>Rev/claim Specialty - MS Estimates</t>
  </si>
  <si>
    <t>Gross profit ($) per claim - MS Estimates</t>
  </si>
  <si>
    <t>Gross margin - MS Estimates</t>
  </si>
  <si>
    <t>Gross profit $ by channel &amp;  product - MS Estimates</t>
  </si>
  <si>
    <t>EPS, diluted  (continuing) Non GAAP</t>
  </si>
  <si>
    <t>Non-GAAP to GAAP reconciliation</t>
  </si>
  <si>
    <t>Tax effects of adjustments</t>
  </si>
  <si>
    <t>One time items, net</t>
  </si>
  <si>
    <t>Legal Settlement</t>
  </si>
  <si>
    <t>Benefit related to insurance recovery</t>
  </si>
  <si>
    <t>Net revenues</t>
  </si>
  <si>
    <t>EBIT (non-GAAP)</t>
  </si>
  <si>
    <t>Pre-tax income (non-GAAP)</t>
  </si>
  <si>
    <t>EBITDA (non-GAAP)</t>
  </si>
  <si>
    <t>Margins</t>
  </si>
  <si>
    <t>Growth Rates</t>
  </si>
  <si>
    <t>EBIT and EBITDA</t>
  </si>
  <si>
    <t>Specialty Distribution related charges</t>
  </si>
  <si>
    <t>Estimated Interest income</t>
  </si>
  <si>
    <t>Totals</t>
  </si>
  <si>
    <t>$1.6b Term A Loans - due 10/14/2010</t>
  </si>
  <si>
    <t>Other Long Term Debt</t>
  </si>
  <si>
    <t>LT debt - calculated</t>
  </si>
  <si>
    <t>Debt</t>
  </si>
  <si>
    <t>Interest Rate</t>
  </si>
  <si>
    <t>Generic dispensing rate - as stated</t>
  </si>
  <si>
    <t xml:space="preserve">Average basic shares </t>
  </si>
  <si>
    <t xml:space="preserve">Average diluted shares </t>
  </si>
  <si>
    <t>Fiscal Year End, Dec 31 2013</t>
  </si>
  <si>
    <t>Cumulative effect of accounting change</t>
  </si>
  <si>
    <t>Net income (continuing)</t>
  </si>
  <si>
    <t>Fiscal Year End, Dec 31 2014</t>
  </si>
  <si>
    <t>NextRx</t>
  </si>
  <si>
    <t xml:space="preserve">Y/Y Organic Growth - Claims </t>
  </si>
  <si>
    <t>PBM Claims Organic + Acquisitions</t>
  </si>
  <si>
    <t>Total adjusted claims - as reported</t>
  </si>
  <si>
    <t>Retail / Network claims - as reported</t>
  </si>
  <si>
    <t>1 - Bull</t>
  </si>
  <si>
    <t>2 - Base</t>
  </si>
  <si>
    <t>3 - Bear</t>
  </si>
  <si>
    <t>Gross Margin Mail / Home Delivery - generics - core</t>
  </si>
  <si>
    <t>Mail / Home Delivery core claims</t>
  </si>
  <si>
    <t>Instructions:</t>
  </si>
  <si>
    <t>ABC.N,mscalc:sedolCodeCalc</t>
  </si>
  <si>
    <t>ABC.N,mscalc:targetPrice,,,,USD</t>
  </si>
  <si>
    <t>ABC.N,mscalc:closePriceCurrencyCalc</t>
  </si>
  <si>
    <t>ESRX.o,mscalc:sedolCodeCalc</t>
  </si>
  <si>
    <t>ESRX.o,mscalc:closePriceCurrencyCalc</t>
  </si>
  <si>
    <t>ESRX.o,mscalc:targetPrice,,,,USD</t>
  </si>
  <si>
    <t>ESRX.O,mscalc:targetPrice,,,,USD</t>
  </si>
  <si>
    <t>ESRX.O,mscalc:sedolCodeCalc</t>
  </si>
  <si>
    <t>ESRX.O,mscalc:closePriceCurrencyCalc</t>
  </si>
  <si>
    <t>Gross Margins as a % of total product gross profits</t>
  </si>
  <si>
    <t>Fiscal Year End, Dec 31 2015</t>
  </si>
  <si>
    <t>Share Repurchases/ Other</t>
  </si>
  <si>
    <t>(In millions, except per share data)</t>
  </si>
  <si>
    <t>Senior Analyst</t>
  </si>
  <si>
    <t>Revenue projections</t>
  </si>
  <si>
    <t>Gross Margin</t>
  </si>
  <si>
    <t>Per Claim Analysis</t>
  </si>
  <si>
    <t>Debt Schedule</t>
  </si>
  <si>
    <t>Scenarios</t>
  </si>
  <si>
    <t>The yellow boxes above drive the scenario options.</t>
  </si>
  <si>
    <t>1)  To change scenarios type 1 for Bull, 2 for Base &amp; 3 for Bear into the corresponding box.  Note that currently if you change the top scenario all scenarios change.</t>
  </si>
  <si>
    <t>2)  The numbers on this page drive changes to the Revenue and Gross Margin Tabs</t>
  </si>
  <si>
    <t>3)  To change individual numbers change the corresponding value above</t>
  </si>
  <si>
    <t>First call - as of 2/24/10</t>
  </si>
  <si>
    <t>2009A</t>
  </si>
  <si>
    <t>Mail / Home Delivery - Total - adjusted</t>
  </si>
  <si>
    <t>DoD</t>
  </si>
  <si>
    <t>Adjustments</t>
  </si>
  <si>
    <t>Adjusted Revenues</t>
  </si>
  <si>
    <t>New Authorization</t>
  </si>
  <si>
    <t>2010A</t>
  </si>
  <si>
    <t>% of Revenue</t>
  </si>
  <si>
    <t>Cover Page</t>
  </si>
  <si>
    <t>in millions</t>
  </si>
  <si>
    <t>Fiscal Year End, December 2003</t>
  </si>
  <si>
    <t>Fiscal Year End, December 2004</t>
  </si>
  <si>
    <t>Fiscal Year End, December 2005</t>
  </si>
  <si>
    <t>Fiscal Year End, December 2006</t>
  </si>
  <si>
    <t>Fiscal Year End, December 2007</t>
  </si>
  <si>
    <t>Fiscal Year End, December 2008</t>
  </si>
  <si>
    <t>Fiscal Year End, December 2009</t>
  </si>
  <si>
    <t>Fiscal Year End, December 2010</t>
  </si>
  <si>
    <t>Fiscal Year End, December 2011</t>
  </si>
  <si>
    <t>Fiscal Year End, December 2012</t>
  </si>
  <si>
    <t>Fiscal Year End, December 2013</t>
  </si>
  <si>
    <t>Fiscal Year End, December 2014</t>
  </si>
  <si>
    <t>Fiscal Year End, December 2015</t>
  </si>
  <si>
    <t>Total Specialty Rx Revenues</t>
  </si>
  <si>
    <t>Gross Margins</t>
  </si>
  <si>
    <t>Specialty gross margins (%)</t>
  </si>
  <si>
    <t>Specialty gross profit</t>
  </si>
  <si>
    <t>Specialty COGS</t>
  </si>
  <si>
    <t>Specialty Business by Channel</t>
  </si>
  <si>
    <t>Total specialty revenue</t>
  </si>
  <si>
    <t>Y/Y Growth</t>
  </si>
  <si>
    <t>Specialty Rx Revenue</t>
  </si>
  <si>
    <t>Interest rate on committted funds</t>
  </si>
  <si>
    <t>Interest on committed funds</t>
  </si>
  <si>
    <t>5-Year Revolving Facility (expiring 04/30/2012)</t>
  </si>
  <si>
    <t>Total Amount Available</t>
  </si>
  <si>
    <t>5-Year Term Loan  (due in 2012)</t>
  </si>
  <si>
    <t>5-Year Senior Notes (due March 15, 2013)</t>
  </si>
  <si>
    <t>10-Year Senior Notes (due March 15, 2018)</t>
  </si>
  <si>
    <t>7.25% Senior Notes, Due 2013</t>
  </si>
  <si>
    <t>Current Maturities (A/R Financing Facility)</t>
  </si>
  <si>
    <t>Commitment fee on unused funds</t>
  </si>
  <si>
    <t>`</t>
  </si>
  <si>
    <t>SG&amp;A Pre merger - ESRX</t>
  </si>
  <si>
    <t>SG&amp;A pre merger MHS</t>
  </si>
  <si>
    <t>SG&amp;A pre merger</t>
  </si>
  <si>
    <t>SG&amp;A Synergies (as a % of MHS SG&amp;A)</t>
  </si>
  <si>
    <t>Synergies</t>
  </si>
  <si>
    <t>Total SG&amp;A inc. synergies</t>
  </si>
  <si>
    <t>SG&amp;A Synergies as % of MHS SG&amp;A</t>
  </si>
  <si>
    <t>Gross margin - pre synergies</t>
  </si>
  <si>
    <t>Script Growth</t>
  </si>
  <si>
    <t>Rev/claim - Mail / Home Delivery - (Ex Specialty)</t>
  </si>
  <si>
    <t>PBM Segment Summary</t>
  </si>
  <si>
    <t>Total Synergies</t>
  </si>
  <si>
    <t>2.75% Senior Notes - due 2014</t>
  </si>
  <si>
    <t>3.5% Senior Notes - due 2016</t>
  </si>
  <si>
    <t>4.75% Senior Notes - due 2021</t>
  </si>
  <si>
    <t>6.125% Senior Notes - due 2041</t>
  </si>
  <si>
    <t>2.1% Senior Notes - due 2015</t>
  </si>
  <si>
    <t>2.65% Senior Notes - due 2017</t>
  </si>
  <si>
    <t>3.9% Senior Notes - due 2022</t>
  </si>
  <si>
    <t>3.125% Senior Notes - due 2016</t>
  </si>
  <si>
    <t>2011A</t>
  </si>
  <si>
    <t>Express Scripts</t>
  </si>
  <si>
    <t>ESRX.O</t>
  </si>
  <si>
    <t>Currency</t>
  </si>
  <si>
    <t>Current Stock Price</t>
  </si>
  <si>
    <t>Count</t>
  </si>
  <si>
    <t>EPS GAAP</t>
  </si>
  <si>
    <t>Ticker: ESRX</t>
  </si>
  <si>
    <t>EPS Hardcoded</t>
  </si>
  <si>
    <t>EPS - Non-GAAP</t>
  </si>
  <si>
    <t>B7QQYV9</t>
  </si>
  <si>
    <t>Average diluted shares Modelware</t>
  </si>
  <si>
    <t>Non-GAAP EPS</t>
  </si>
  <si>
    <t>Adjusted EBITDA/Script</t>
  </si>
  <si>
    <t>Implied EBITDA</t>
  </si>
  <si>
    <t>1Q11</t>
  </si>
  <si>
    <t>CY2008</t>
  </si>
  <si>
    <t>CY2009</t>
  </si>
  <si>
    <t>CY2010 Guidance</t>
  </si>
  <si>
    <t>CY2011 Guidance</t>
  </si>
  <si>
    <t>4Q07</t>
  </si>
  <si>
    <t>1Q08</t>
  </si>
  <si>
    <t>2Q08</t>
  </si>
  <si>
    <t>3Q08</t>
  </si>
  <si>
    <t>4Q08</t>
  </si>
  <si>
    <t>1Q09</t>
  </si>
  <si>
    <t>2Q09</t>
  </si>
  <si>
    <t>3Q09</t>
  </si>
  <si>
    <t>From 4Q09 Release</t>
  </si>
  <si>
    <t>From 1Q10 Release</t>
  </si>
  <si>
    <t>From 2Q10 Release</t>
  </si>
  <si>
    <t>From 3Q10 Release</t>
  </si>
  <si>
    <t>MS Estimate</t>
  </si>
  <si>
    <t>3Q10</t>
  </si>
  <si>
    <t>Revenue</t>
  </si>
  <si>
    <t>$46 - $48 B</t>
  </si>
  <si>
    <t>$865 - $881 M (+34.7M)</t>
  </si>
  <si>
    <t>6-8% growth</t>
  </si>
  <si>
    <t>Tax</t>
  </si>
  <si>
    <t>37% - 37.5%</t>
  </si>
  <si>
    <t>$3.67 to $3.77</t>
  </si>
  <si>
    <t>$3.72 - $3.82</t>
  </si>
  <si>
    <t>$3.76 - $3.82</t>
  </si>
  <si>
    <t>$2.40 - $2.50</t>
  </si>
  <si>
    <t>$2.425 - $2.50</t>
  </si>
  <si>
    <t>$2.45 - $2.50</t>
  </si>
  <si>
    <t>$2.48 - $2.50</t>
  </si>
  <si>
    <t>$3.15 - $3.25</t>
  </si>
  <si>
    <t>$2.95 - $3.05</t>
  </si>
  <si>
    <t>Non-GAAP EPS*</t>
  </si>
  <si>
    <t>$2.36 - $2.46</t>
  </si>
  <si>
    <t>down 2-3%</t>
  </si>
  <si>
    <t>better than down 2-3%</t>
  </si>
  <si>
    <t>740-760</t>
  </si>
  <si>
    <t>750-780</t>
  </si>
  <si>
    <t>&lt;750</t>
  </si>
  <si>
    <t>$3.70 - $3.90</t>
  </si>
  <si>
    <t>$3.55 - $3.70</t>
  </si>
  <si>
    <t>$2.3 - $2.5 B</t>
  </si>
  <si>
    <t>$2.8 - $3.0 B</t>
  </si>
  <si>
    <t>NextRx Amortization/share</t>
  </si>
  <si>
    <t>CFO</t>
  </si>
  <si>
    <t>&gt; $2 B</t>
  </si>
  <si>
    <t>$2.2 - $2.4 billion</t>
  </si>
  <si>
    <t>CY2012 Guidance</t>
  </si>
  <si>
    <t>~1.4 billion</t>
  </si>
  <si>
    <t>Shares</t>
  </si>
  <si>
    <t>1Q12 Earnings</t>
  </si>
  <si>
    <t>66</t>
  </si>
  <si>
    <t>2Q12 Earnings</t>
  </si>
  <si>
    <t>750 million</t>
  </si>
  <si>
    <t>SG&amp;A One time Charges</t>
  </si>
  <si>
    <t>Gross Profit One time Charges</t>
  </si>
  <si>
    <t>Total Adj. SG&amp;A Reported</t>
  </si>
  <si>
    <t>PBM gross profit - as reported</t>
  </si>
  <si>
    <t>Difference - PBM gross profit</t>
  </si>
  <si>
    <t>Prepaid expenses &amp; Other</t>
  </si>
  <si>
    <t>,mscalc:closePriceCurrencyCalc</t>
  </si>
  <si>
    <t>,mscalc:sedolCodeCalc</t>
  </si>
  <si>
    <t>,mscalc:targetPrice,,,,USD</t>
  </si>
  <si>
    <t>ESRX.O,mscalc:targetPrice</t>
  </si>
  <si>
    <t>$Z$2</t>
  </si>
  <si>
    <t>N/A</t>
  </si>
  <si>
    <t>Midpoint</t>
  </si>
  <si>
    <t>$3.65 - $3.75</t>
  </si>
  <si>
    <t>3Q12 Earnings</t>
  </si>
  <si>
    <t>$3.65-$3.75</t>
  </si>
  <si>
    <t>$3.60-$3.75</t>
  </si>
  <si>
    <t>$3.36-$3.66</t>
  </si>
  <si>
    <t>CY2013 Guidance</t>
  </si>
  <si>
    <t>4Q12 Earnings</t>
  </si>
  <si>
    <t>$4.20-$4.30</t>
  </si>
  <si>
    <t>grow 5-7%</t>
  </si>
  <si>
    <t>decline 8-10%</t>
  </si>
  <si>
    <t>grow 15%-18%</t>
  </si>
  <si>
    <t>825-835 million</t>
  </si>
  <si>
    <t>Amortization of legacy ESRX intangible assets</t>
  </si>
  <si>
    <t>Amortization of Medco-related intangible assets</t>
  </si>
  <si>
    <t>Transaction, integration, and other non-recurring costs</t>
  </si>
  <si>
    <t>TBD</t>
  </si>
  <si>
    <t>GAAP items excluded from guidance:</t>
  </si>
  <si>
    <t>2012A</t>
  </si>
  <si>
    <t>Other (incl. Non-Controlling Interest)</t>
  </si>
  <si>
    <t>GAAP Income from continuing ops</t>
  </si>
  <si>
    <t xml:space="preserve">GAAP Net Income </t>
  </si>
  <si>
    <t>Total Adj. SG&amp;A Calc</t>
  </si>
  <si>
    <t>$4.5B to $5.0B</t>
  </si>
  <si>
    <t>Cost of Revenues without Depreciations</t>
  </si>
  <si>
    <t>$4.23-$4.33</t>
  </si>
  <si>
    <t>1Q13 Earnings</t>
  </si>
  <si>
    <t>Cons</t>
  </si>
  <si>
    <t>Equity income from JV</t>
  </si>
  <si>
    <t>Services</t>
  </si>
  <si>
    <t>Total Other Business Ops</t>
  </si>
  <si>
    <t>$4.26-$4.34</t>
  </si>
  <si>
    <t>~ -8%</t>
  </si>
  <si>
    <t>grow 5-6%</t>
  </si>
  <si>
    <t>Long Term Guidance</t>
  </si>
  <si>
    <t>2Q13 Earnings</t>
  </si>
  <si>
    <t>10%-20% growth</t>
  </si>
  <si>
    <t>Net income - cont. ops (non-GAAP)</t>
  </si>
  <si>
    <t>EPS (continuing) Non-GAAP</t>
  </si>
  <si>
    <t>Non-controlling interest</t>
  </si>
  <si>
    <t>Non-controlling interest (incl. other)</t>
  </si>
  <si>
    <t>$4.30-$4.34</t>
  </si>
  <si>
    <t>3Q13 Earnings</t>
  </si>
  <si>
    <t>$4.0B to $4.5B</t>
  </si>
  <si>
    <t>Fiscal Year End, Dec 31 2016</t>
  </si>
  <si>
    <t>2013A</t>
  </si>
  <si>
    <t>$4.88-$5.00</t>
  </si>
  <si>
    <t>CY2014 Guidance</t>
  </si>
  <si>
    <t>4Q13 Earnings</t>
  </si>
  <si>
    <t>MS Est.</t>
  </si>
  <si>
    <t>1,300 to 1,360</t>
  </si>
  <si>
    <t>$2,000 to $2,075</t>
  </si>
  <si>
    <t>$6,850-$7,050</t>
  </si>
  <si>
    <t>$5.15 to $5.25</t>
  </si>
  <si>
    <t>38.0% to 38.5%</t>
  </si>
  <si>
    <t>755 to 765 million</t>
  </si>
  <si>
    <t>$4,700 to $5,300</t>
  </si>
  <si>
    <t>-$400 to -$450</t>
  </si>
  <si>
    <t>Adjusted Scripts (in mil)</t>
  </si>
  <si>
    <t>Adjusted SG&amp;A (in mil)</t>
  </si>
  <si>
    <t>Adjusted EBITDA (in mil)</t>
  </si>
  <si>
    <t>Effective Tax Rate</t>
  </si>
  <si>
    <t>Cash Flow from Operations</t>
  </si>
  <si>
    <t>CapEx</t>
  </si>
  <si>
    <t>$4.82-$4.94</t>
  </si>
  <si>
    <t>1,270 to 1,330</t>
  </si>
  <si>
    <t>$1,950 to $2,025</t>
  </si>
  <si>
    <t>$6,775-$6,975</t>
  </si>
  <si>
    <t>1Q14 Earnings</t>
  </si>
  <si>
    <t>$5.20 to $5.30</t>
  </si>
  <si>
    <t>$4,550 to $5,150</t>
  </si>
  <si>
    <t>1.25% Senior Notes - due 2017</t>
  </si>
  <si>
    <t>2.25% Senior Notes - due 2019</t>
  </si>
  <si>
    <t>3.50% Senior Notes - due 2024</t>
  </si>
  <si>
    <t>2Q14 Earnings</t>
  </si>
  <si>
    <t>$4.84-$4.92</t>
  </si>
  <si>
    <t>1,275 to 1,325</t>
  </si>
  <si>
    <t>$6,775-$6,925</t>
  </si>
  <si>
    <t>38.0% to 38.2%</t>
  </si>
  <si>
    <t>750 to 760 million</t>
  </si>
  <si>
    <t>$1.36-$1.40</t>
  </si>
  <si>
    <t>3Q14 Earnings</t>
  </si>
  <si>
    <t>$4.86-$4.90</t>
  </si>
  <si>
    <t>1,290 to 1,310</t>
  </si>
  <si>
    <t>$2,025 to $2,100</t>
  </si>
  <si>
    <t>$6,750-$6,850</t>
  </si>
  <si>
    <t>37.6% to 37.8%</t>
  </si>
  <si>
    <t>4Q14 Guidance</t>
  </si>
  <si>
    <t>317 to 337</t>
  </si>
  <si>
    <t>2014A</t>
  </si>
  <si>
    <t>Fiscal Year End, Dec 31 2017</t>
  </si>
  <si>
    <t>SG&amp;A as % of Revs</t>
  </si>
  <si>
    <t>CY2015 Guidance</t>
  </si>
  <si>
    <t>4Q14 Earnings</t>
  </si>
  <si>
    <t>Timing:</t>
  </si>
  <si>
    <t>$1,925 to $2,000</t>
  </si>
  <si>
    <t>$6,925 to $7,125</t>
  </si>
  <si>
    <t>1,280 to 1,320</t>
  </si>
  <si>
    <t>$5.25 to $5.45</t>
  </si>
  <si>
    <t>37.3% to 37.7%</t>
  </si>
  <si>
    <t>695 to 715 million</t>
  </si>
  <si>
    <t>$4,500 to $5,000</t>
  </si>
  <si>
    <t>$5.35 to $5.49</t>
  </si>
  <si>
    <t>-$300 to -$400</t>
  </si>
  <si>
    <t>y/y Growth</t>
  </si>
  <si>
    <t>-2% to 1%</t>
  </si>
  <si>
    <t xml:space="preserve">   </t>
  </si>
  <si>
    <t>1Q15 Earnings</t>
  </si>
  <si>
    <t>$5.37 to $5.47</t>
  </si>
  <si>
    <t>2Q15 Earnings</t>
  </si>
  <si>
    <t>$5.46 to $5.54</t>
  </si>
  <si>
    <t>$6,960 to $7,120</t>
  </si>
  <si>
    <t>37.5% to 37.7%</t>
  </si>
  <si>
    <t>695 to 705 million</t>
  </si>
  <si>
    <t>-$300 to -$350</t>
  </si>
  <si>
    <t>$5.30 to $5.50</t>
  </si>
  <si>
    <t>ASR Bank Loan</t>
  </si>
  <si>
    <t>3Q15 Earnings</t>
  </si>
  <si>
    <t>4Q15 Guidance</t>
  </si>
  <si>
    <t>11% to 14%</t>
  </si>
  <si>
    <t>333 to 353</t>
  </si>
  <si>
    <t>-1% to 5%</t>
  </si>
  <si>
    <t>$1.54 to $1.58</t>
  </si>
  <si>
    <t>$5.51 to $5.55</t>
  </si>
  <si>
    <t>13%-14%</t>
  </si>
  <si>
    <t>$7,000 to $7,100</t>
  </si>
  <si>
    <t>693 to 703 million</t>
  </si>
  <si>
    <t>-$300 to -$330</t>
  </si>
  <si>
    <t>nc</t>
  </si>
  <si>
    <t>-3% to 0%</t>
  </si>
  <si>
    <t>3% to 5%</t>
  </si>
  <si>
    <t>3% to 4%</t>
  </si>
  <si>
    <t>Mark Rosenblum</t>
  </si>
  <si>
    <t>Associate</t>
  </si>
  <si>
    <t>(212) 761-6235</t>
  </si>
  <si>
    <t>Mark.Rosenblum@morganstanley.com</t>
  </si>
  <si>
    <t>Amotization  / Transaction costs</t>
  </si>
  <si>
    <t>CY2016 Guidance</t>
  </si>
  <si>
    <t>$6.08 to $6.28</t>
  </si>
  <si>
    <t>1,255 to 1,295</t>
  </si>
  <si>
    <t>$1,905 to $1,985</t>
  </si>
  <si>
    <t>$7,230 to $7,430</t>
  </si>
  <si>
    <t>645 to 665 million</t>
  </si>
  <si>
    <t>$4,600 to $5,100</t>
  </si>
  <si>
    <t>y/y Growth (Mid-point of 2015 Guide)</t>
  </si>
  <si>
    <t>10% to 14%</t>
  </si>
  <si>
    <t>-3% to flat</t>
  </si>
  <si>
    <t>-6% to -3%</t>
  </si>
  <si>
    <t>3% to 6%</t>
  </si>
  <si>
    <t>-0.3% to 0.1%</t>
  </si>
  <si>
    <t>-8% to -5%</t>
  </si>
  <si>
    <t>-3% to 13%</t>
  </si>
  <si>
    <t>$1.47 to $1.58</t>
  </si>
  <si>
    <t>$5.58 to $5.92</t>
  </si>
  <si>
    <t>-6.0% to 0.9%</t>
  </si>
  <si>
    <t>Implied Per Script Metrics</t>
  </si>
  <si>
    <t>3.0% to 9.2%</t>
  </si>
  <si>
    <t>Retail Network Generics</t>
  </si>
  <si>
    <t>Fiscal Year End, Dec 31 2018</t>
  </si>
  <si>
    <t>2018E</t>
  </si>
  <si>
    <t>2015A</t>
  </si>
  <si>
    <t>3.3% Senior Notes - due 2021</t>
  </si>
  <si>
    <t>4.50% Senior Notes - due 2026</t>
  </si>
  <si>
    <t>$6.31 to $6.43</t>
  </si>
  <si>
    <t>14% to 16%</t>
  </si>
  <si>
    <t>635 to 645 million</t>
  </si>
  <si>
    <t>-9% to -7%</t>
  </si>
  <si>
    <t>Low</t>
  </si>
  <si>
    <t>High</t>
  </si>
  <si>
    <t>Mid</t>
  </si>
  <si>
    <t>Scripts</t>
  </si>
  <si>
    <t>Per Script Metrics</t>
  </si>
  <si>
    <t>-4% to -8%</t>
  </si>
  <si>
    <t>Claims</t>
  </si>
  <si>
    <t>SG&amp;A Per Claim</t>
  </si>
  <si>
    <t>$6.33 to $6.43</t>
  </si>
  <si>
    <t>1,260 to 1,290</t>
  </si>
  <si>
    <t>632 to 640 million</t>
  </si>
  <si>
    <t>-3% to -1%</t>
  </si>
  <si>
    <t>-9% to -8%</t>
  </si>
  <si>
    <t>3.000% Senior Notes - due 2023</t>
  </si>
  <si>
    <t>4.800% Senior Notes - due 2046</t>
  </si>
  <si>
    <t>3.400% Senior Notes - due 2027</t>
  </si>
  <si>
    <t>$6.36 to $6.42</t>
  </si>
  <si>
    <t>15% to 16%</t>
  </si>
  <si>
    <t>1,265 to 1,280</t>
  </si>
  <si>
    <t>$1,905 to $1,965</t>
  </si>
  <si>
    <t>$7,230 to $7,330</t>
  </si>
  <si>
    <t>630 to 635 million</t>
  </si>
  <si>
    <t>-5% to -8%</t>
  </si>
  <si>
    <t>-9% to -9%</t>
  </si>
  <si>
    <t>$1.49 to $1.55</t>
  </si>
  <si>
    <t>$5.65 to $5.79</t>
  </si>
  <si>
    <t>-7% to -2%</t>
  </si>
  <si>
    <t>4% to 7%</t>
  </si>
  <si>
    <t xml:space="preserve">4Q13 Earnings </t>
  </si>
  <si>
    <t>CY2015 Guide</t>
  </si>
  <si>
    <t xml:space="preserve">4Q14 Earnings </t>
  </si>
  <si>
    <t>$5.35-$5.49</t>
  </si>
  <si>
    <t>Liza Garcia</t>
  </si>
  <si>
    <t>(212) 761-7827</t>
  </si>
  <si>
    <t>Liza.Garcia@morganstanley.com</t>
  </si>
  <si>
    <t>Model</t>
  </si>
  <si>
    <t>SG&amp;A/claim - mail - y/y growth</t>
  </si>
  <si>
    <t xml:space="preserve">Current Assets </t>
  </si>
  <si>
    <t>Current Liabilities</t>
  </si>
  <si>
    <t>Prescription claims under original methodology - in millions</t>
  </si>
  <si>
    <t>Current quarter debt paydown</t>
  </si>
  <si>
    <t>Fiscal Year End, Dec 31 2019</t>
  </si>
  <si>
    <t>2019E</t>
  </si>
  <si>
    <t>2016A</t>
  </si>
  <si>
    <t>Total Specialty revenue per claim</t>
  </si>
  <si>
    <t>Retail Pharmacy Co-Payments</t>
  </si>
  <si>
    <t>% of retail network sales</t>
  </si>
  <si>
    <t>Qtr/qtr change</t>
  </si>
  <si>
    <t>y/y Growth (Mid-point of Guide)</t>
  </si>
  <si>
    <t>$6.90 to $7.04</t>
  </si>
  <si>
    <t>1,375 to 1,425</t>
  </si>
  <si>
    <t>8% to 10%</t>
  </si>
  <si>
    <t>1% to 3%</t>
  </si>
  <si>
    <t>575 to 595 million</t>
  </si>
  <si>
    <t>-9% to -6%</t>
  </si>
  <si>
    <t>$4,700 to $5,200</t>
  </si>
  <si>
    <t>$7,310 to $7,510</t>
  </si>
  <si>
    <t>-2% to -1%</t>
  </si>
  <si>
    <t>-4% to 6%</t>
  </si>
  <si>
    <t>$6.95 to $7.05</t>
  </si>
  <si>
    <t>1,385 to 1,415</t>
  </si>
  <si>
    <t>-2% to +1%</t>
  </si>
  <si>
    <t>580 to 590 million</t>
  </si>
  <si>
    <t>-8% to -7%</t>
  </si>
  <si>
    <t>Fiscal Year End, Dec 31 2020</t>
  </si>
  <si>
    <t>Fiscal Year End, Dec 31 2021</t>
  </si>
  <si>
    <t>2020E</t>
  </si>
  <si>
    <t>2021E</t>
  </si>
  <si>
    <t>Depreciation</t>
  </si>
  <si>
    <t>Core</t>
  </si>
  <si>
    <t>Research Associate</t>
  </si>
  <si>
    <t>(212) 761-8118</t>
  </si>
  <si>
    <t>Rose.Lauricella@morganstanley.com</t>
  </si>
  <si>
    <t>Rose V. Lauricella</t>
  </si>
  <si>
    <t>57</t>
  </si>
  <si>
    <t>Y</t>
  </si>
  <si>
    <t>Evicore</t>
  </si>
  <si>
    <t>Operating Income</t>
  </si>
  <si>
    <t>Revenue Growth</t>
  </si>
  <si>
    <t>Operating Margin</t>
  </si>
  <si>
    <t>2017 Guidance</t>
  </si>
  <si>
    <t>Other Business Interest</t>
  </si>
  <si>
    <t>$7.00 to $7.08</t>
  </si>
  <si>
    <t>$7,350 to $7,470</t>
  </si>
  <si>
    <t>$7,370 to $7,450</t>
  </si>
  <si>
    <t>2% to 3%</t>
  </si>
  <si>
    <t>9% to 11%</t>
  </si>
  <si>
    <t>Consolidated</t>
  </si>
  <si>
    <t>2018 Guidance</t>
  </si>
  <si>
    <t>4Q17 Guidance</t>
  </si>
  <si>
    <t>1,125 to 1,165</t>
  </si>
  <si>
    <t>$5,250 to $5,400</t>
  </si>
  <si>
    <t>$80,500 to $83,000</t>
  </si>
  <si>
    <t>1,345 to 1,395</t>
  </si>
  <si>
    <t>$99,000 to $102,000</t>
  </si>
  <si>
    <t>$7,600 to $7,800</t>
  </si>
  <si>
    <t>540 to 560 million</t>
  </si>
  <si>
    <t>$9.27 to $9.47</t>
  </si>
  <si>
    <t>$5,800 to $6,300</t>
  </si>
  <si>
    <t>EBITDA/Rx</t>
  </si>
  <si>
    <t>Guidance</t>
  </si>
  <si>
    <t>2017A</t>
  </si>
  <si>
    <t>4Q17 Earnings</t>
  </si>
  <si>
    <t>30% to 34%</t>
  </si>
  <si>
    <t>$1.73 to $1.78</t>
  </si>
  <si>
    <t>335 to 345</t>
  </si>
  <si>
    <t>MSA12825</t>
  </si>
  <si>
    <t>Research</t>
  </si>
  <si>
    <t>e = Morgan Stanley Research estimates unless otherwise noted</t>
  </si>
  <si>
    <t>Source: Morgan Stanley Research unless otherwise noted</t>
  </si>
  <si>
    <t>Stocks ratings are relative to the analyst's industry coverage universe.</t>
  </si>
  <si>
    <t>1585 Broadway</t>
  </si>
  <si>
    <t>New York, NY  10036-8293</t>
  </si>
  <si>
    <t>United States</t>
  </si>
  <si>
    <t>Tel: +1 (1)212 761 4000</t>
  </si>
  <si>
    <t>Authors: Ricky Goldwasser</t>
  </si>
  <si>
    <t>Date: 13 Apr 2018</t>
  </si>
  <si>
    <t>Ticker: ESRX.O</t>
  </si>
  <si>
    <t>Stock Rating: NAV</t>
  </si>
  <si>
    <t>Industry: Healthcare Services &amp; Distribution</t>
  </si>
  <si>
    <t>Industry View: In-Line</t>
  </si>
  <si>
    <t>Price as of 13 Apr 2018: 71.13</t>
  </si>
  <si>
    <t xml:space="preserve">Target Price: </t>
  </si>
  <si>
    <t>Analyst Certification</t>
  </si>
  <si>
    <t>Unless otherwise stated, the individuals listed on the cover page of this report are research analysts.</t>
  </si>
  <si>
    <t>Global Research Conflict Management Policy</t>
  </si>
  <si>
    <t>Important US Regulatory Disclosures on Subject Companies</t>
  </si>
  <si>
    <t>Morgan Stanley &amp; Co. LLC makes a market in the securities of Express Scripts, Inc..</t>
  </si>
  <si>
    <t>STOCK RATINGS</t>
  </si>
  <si>
    <t>Global Stock Ratings Distribution</t>
  </si>
  <si>
    <t>(as of March 31, 2018)</t>
  </si>
  <si>
    <t>Coverage Universe</t>
  </si>
  <si>
    <t>Investment Banking Clients (IBC)</t>
  </si>
  <si>
    <t>Other Material Investment Services Clients (MISC)</t>
  </si>
  <si>
    <t>Stock Rating Category</t>
  </si>
  <si>
    <t>% of Total</t>
  </si>
  <si>
    <t>% of Total IBC</t>
  </si>
  <si>
    <t>% of Rating Category</t>
  </si>
  <si>
    <t>% of Total Other MISC</t>
  </si>
  <si>
    <t>Overweight/Buy</t>
  </si>
  <si>
    <t>Equal-weight/Hold</t>
  </si>
  <si>
    <t>Not-Rated/Hold</t>
  </si>
  <si>
    <t>Underweight/Sell</t>
  </si>
  <si>
    <t>Analyst Stock Ratings</t>
  </si>
  <si>
    <t>Analyst Industry Views</t>
  </si>
  <si>
    <t>.</t>
  </si>
  <si>
    <t>Stock Price, Price Target and Rating History (See Rating Definitions)</t>
  </si>
  <si>
    <t>Important Disclosures for Morgan Stanley Smith Barney LLC Customers</t>
  </si>
  <si>
    <t>Other Important Disclosures</t>
  </si>
  <si>
    <t>Morgan Stanley Research, or any portion thereof may not be reprinted, sold or redistributed without the</t>
  </si>
  <si>
    <t>written consent of Morgan Stanley.</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</si>
  <si>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</si>
  <si>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</si>
  <si>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</si>
  <si>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</si>
  <si>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</si>
  <si>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</si>
  <si>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</si>
  <si>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</si>
  <si>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</si>
  <si>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</si>
  <si>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</si>
  <si>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information in Morgan Stanley Research is being communicated by Morgan Stanley &amp; Co. International</t>
  </si>
  <si>
    <t>plc (QFC Branch), regulated by the Qatar Financial Centre Regulatory Authority (the QFCRA), and is</t>
  </si>
  <si>
    <t>directed at business customers and market counterparties only and is not intended for Retail Customers</t>
  </si>
  <si>
    <t>as defined by the QFCRA.</t>
  </si>
  <si>
    <t>plc (DIFC Branch), regulated by the Dubai Financial Services Authority (the DFSA), and is directed at</t>
  </si>
  <si>
    <t>Professional Clients only, as defined by the DFSA. The financial products or financial services to which</t>
  </si>
  <si>
    <t>this research relates will only be made available to a customer who we are satisfied meets the</t>
  </si>
  <si>
    <t>regulatory criteria to be a Professional Client.</t>
  </si>
  <si>
    <t>Morgan Stanley Research is disseminated in Brazil by Morgan Stanley C.T.V.M. S.A.; in Mexico by Morgan</t>
  </si>
  <si>
    <t>Stanley México, Casa de Bolsa, S.A. de C.V which is regulated by Comision Nacional Bancaria y de</t>
  </si>
  <si>
    <t>Valores. Paseo de los Tamarindos 90, Torre 1, Col. Bosques de las Lomas Floor 29, 05120 Mexico City; in</t>
  </si>
  <si>
    <t>Japan by Morgan Stanley MUFG Securities Co., Ltd. and, for Commodities related research reports only,</t>
  </si>
  <si>
    <t>Morgan Stanley Capital Group Japan Co., Ltd; in Hong Kong by Morgan Stanley Asia Limited (which accepts</t>
  </si>
  <si>
    <t>responsibility for its contents) and by Morgan Stanley Asia International Limited, Hong Kong Branch; in</t>
  </si>
  <si>
    <t>Singapore by Morgan Stanley Asia (Singapore) Pte. (Registration number 199206298Z) and/or Morgan Stanley</t>
  </si>
  <si>
    <t>Asia (Singapore) Securities Pte Ltd (Registration number 200008434H), regulated by the Monetary</t>
  </si>
  <si>
    <t>Authority of Singapore (which accepts legal responsibility for its contents and should be contacted with</t>
  </si>
  <si>
    <t>respect to any matters arising from, or in connection with, Morgan Stanley Research) and by Morgan</t>
  </si>
  <si>
    <t>Stanley Asia International Limited, Singapore Branch (Registration number T11FC0207F);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</si>
  <si>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</si>
  <si>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</si>
  <si>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</si>
  <si>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</si>
  <si>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</si>
  <si>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</si>
  <si>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in Indonesia by PT. Morgan Stanley Sekuritas Indonesia; in Canada</t>
  </si>
  <si>
    <t>by Morgan Stanley Canada Limited, which has approved of and takes responsibility for its contents in</t>
  </si>
  <si>
    <t>Canada; in Germany by Morgan Stanley Bank AG, Frankfurt am Main and Morgan Stanley Private Wealth</t>
  </si>
  <si>
    <t>Management Limited, Niederlassung Deutschland, regulated by Bundesanstalt fuer</t>
  </si>
  <si>
    <t>Finanzdienstleistungsaufsicht (BaFin); in Spain by Morgan Stanley, S.V., S.A., a Morgan Stanley group</t>
  </si>
  <si>
    <t>company, which is supervised by the Spanish Securities Markets Commission (CNMV) and states that Morgan</t>
  </si>
  <si>
    <t>Stanley Research has been written and distributed in accordance with the rules of conduct applicable to</t>
  </si>
  <si>
    <t>financial research as established under Spanish regulations; in the US by Morgan Stanley &amp; Co. LLC,</t>
  </si>
  <si>
    <t>which accepts responsibility for its contents. Morgan Stanley &amp; Co. International plc, authorized by the</t>
  </si>
  <si>
    <t>Prudential Regulatory Authority and regulated by the Financial Conduct Authority and the Prudential</t>
  </si>
  <si>
    <t>Regulatory Authority, disseminates in the UK research that it has prepared, and approves solely for the</t>
  </si>
  <si>
    <t>purposes of section 21 of the Financial Services and Markets Act 2000, research which has been prepared</t>
  </si>
  <si>
    <t>by any of its affiliates. RMB Morgan Stanley Proprietary Limited is a member of the JSE Limited and</t>
  </si>
  <si>
    <t>regulated by the Financial Services Board in South Africa. RMB Morgan Stanley Proprietary Limited is a</t>
  </si>
  <si>
    <t>joint venture owned equally by Morgan Stanley International Holdings Inc. and RMB Investment Advisory</t>
  </si>
  <si>
    <t>(Proprietary) Limited, which is wholly owned by FirstRand Limited. The information in Morgan Stanley</t>
  </si>
  <si>
    <t>Research is being disseminated by Morgan Stanley Saudi Arabia, regulated by the Capital Market Authority</t>
  </si>
  <si>
    <t>in the Kingdom of Saudi Arabia , and is directed at Sophisticated investors only.</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</si>
  <si>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</si>
  <si>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</si>
  <si>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</si>
  <si>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</si>
  <si>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</si>
  <si>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</si>
  <si>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</si>
  <si>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</si>
  <si>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</si>
  <si>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</si>
  <si>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</si>
  <si>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</si>
  <si>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</si>
  <si>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</si>
  <si>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</si>
  <si>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</si>
  <si>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</si>
  <si>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</si>
  <si>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</si>
  <si>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</si>
  <si>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</si>
  <si>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Morgan Stanley may make investment decisions that are inconsistent with the recommendations or views in</t>
  </si>
  <si>
    <t>this report.</t>
  </si>
  <si>
    <t>Morgan Stanley Research personnel may participate in company events such as site visits and are</t>
  </si>
  <si>
    <t>generally prohibited from accepting payment by the company of associated expenses unless pre-approved by</t>
  </si>
  <si>
    <t>authorized members of Research management.</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</si>
  <si>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</si>
  <si>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</si>
  <si>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</si>
  <si>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</si>
  <si>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</si>
  <si>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</si>
  <si>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</si>
  <si>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The "Important US Regulatory Disclosures on Subject Companies" section in Morgan Stanley Research lists</t>
  </si>
  <si>
    <t>all companies mentioned where Morgan Stanley owns 1% or more of a class of common equity securities of</t>
  </si>
  <si>
    <t>the 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</si>
  <si>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</si>
  <si>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</si>
  <si>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</si>
  <si>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</si>
  <si>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</si>
  <si>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</si>
  <si>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</si>
  <si>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</si>
  <si>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</si>
  <si>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</si>
  <si>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</si>
  <si>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</si>
  <si>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particular trading desks.</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</si>
  <si>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</si>
  <si>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</si>
  <si>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</si>
  <si>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</si>
  <si>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</si>
  <si>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</si>
  <si>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</si>
  <si>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</si>
  <si>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</si>
  <si>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</si>
  <si>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</si>
  <si>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</si>
  <si>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</si>
  <si>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</si>
  <si>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</si>
  <si>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</si>
  <si>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If you do not agree to our Terms of Use and/or if you do not wish to provide your consent to Morgan</t>
  </si>
  <si>
    <t>Stanley processing your personal data or using cookies please do not access our research.</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</si>
  <si>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</si>
  <si>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</si>
  <si>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</si>
  <si>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</si>
  <si>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</si>
  <si>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</si>
  <si>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</si>
  <si>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</si>
  <si>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</si>
  <si>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</si>
  <si>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</si>
  <si>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</si>
  <si>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</si>
  <si>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</si>
  <si>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</si>
  <si>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</si>
  <si>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</si>
  <si>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</si>
  <si>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</si>
  <si>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</si>
  <si>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</si>
  <si>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</si>
  <si>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</si>
  <si>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</si>
  <si>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</si>
  <si>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</si>
  <si>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</si>
  <si>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</si>
  <si>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</si>
  <si>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</si>
  <si>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</si>
  <si>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Morgan Stanley &amp; Co. International PLC and its affiliates have a significant financial interest in the</t>
  </si>
  <si>
    <t>debt securities of Express Scripts, Inc..</t>
  </si>
  <si>
    <t>Each Morgan Stanley Equity Research report is reviewed and approved on behalf of Morgan Stanley Smith</t>
  </si>
  <si>
    <t>Barney LLC. This review and approval is conducted by the same person who reviews the Equity Research</t>
  </si>
  <si>
    <t>report on behalf of Morgan Stanley. This could create a conflict of interest.</t>
  </si>
  <si>
    <t>Important disclosures regarding the relationship between the companies that are the subject of Morgan</t>
  </si>
  <si>
    <t>Stanley Research and Morgan Stanley Smith Barney LLC or Morgan Stanley or any of their affiliates, are</t>
  </si>
  <si>
    <t>available on the Morgan Stanley Wealth Management disclosure website at</t>
  </si>
  <si>
    <t>www.morganstanley.com/online/researchdisclosures. For Morgan Stanley specific disclosures, you may refer</t>
  </si>
  <si>
    <t>to www.morganstanley.com/researchdisclosures.</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</si>
  <si>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</si>
  <si>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</si>
  <si>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</si>
  <si>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Cautious (C): The analyst views the performance of his or her industry coverage universe over the next</t>
  </si>
  <si>
    <t>12-18 months with caution vs. the relevant broad market benchmark, as indicated below.</t>
  </si>
  <si>
    <t>In-Line (I): The analyst expects the performance of his or her industry coverage universe over the next</t>
  </si>
  <si>
    <t>12-18 months to be in line with the relevant broad market benchmark, as indicated below.</t>
  </si>
  <si>
    <t>Attractive (A): The analyst expects the performance of his or her industry coverage universe over the</t>
  </si>
  <si>
    <t>next 12-18 months to be attractive vs. the relevant broad market benchmark, as indicated below.</t>
  </si>
  <si>
    <t>Unless otherwise specified, the time frame for price targets included in Morgan Stanley Research is 12</t>
  </si>
  <si>
    <t>to 18 months.</t>
  </si>
  <si>
    <t>Underweight (U). The stock's total return is expected to be below the average total return of the</t>
  </si>
  <si>
    <t>analyst's industry (or industry team's) coverage universe, on a risk-adjusted basis, over the next 12-18</t>
  </si>
  <si>
    <t>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</si>
  <si>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</si>
  <si>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</si>
  <si>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</si>
  <si>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</si>
  <si>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</si>
  <si>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</si>
  <si>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Overweight (O). The stock's total return is expected to exceed the average total return of the analyst's</t>
  </si>
  <si>
    <t>industry (or industry team's) coverage universe, on a risk-adjusted basis, over the next 12-18 months.</t>
  </si>
  <si>
    <t>Data include common stock and ADRs currently assigned ratings. Investment Banking Clients are companies</t>
  </si>
  <si>
    <t>from whom Morgan Stanley received investment banking compensation in the last 12 months. Due to rounding</t>
  </si>
  <si>
    <t>off of decimals, the percentages provided in the "% of total" column may not add up to exactly 100</t>
  </si>
  <si>
    <t>percent.</t>
  </si>
  <si>
    <t>For disclosure purposes only (in accordance with NASD and NYSE requirements), we include the category</t>
  </si>
  <si>
    <t>headings of Buy, Hold, and Sell alongside our ratings of Overweight, Equal-weight, Not-Rated and</t>
  </si>
  <si>
    <t>Underweight. Morgan Stanley does not assign ratings of Buy, Hold or Sell to the stocks we cover.</t>
  </si>
  <si>
    <t>Overweight, Equal-weight, Not-Rated and Underweight are not the equivalent of buy, hold, and sell but</t>
  </si>
  <si>
    <t>represent recommended relative weightings (see definitions below). To satisfy regulatory requirements,</t>
  </si>
  <si>
    <t>we correspond Overweight, our most positive stock rating, with a buy recommendation; we correspond</t>
  </si>
  <si>
    <t>Equal-weight and Not-Rated to hold and Underweight to sell recommendations, respectively.</t>
  </si>
  <si>
    <t>The Stock Ratings described below apply to Morgan Stanley's Fundamental Equity Research and do not apply</t>
  </si>
  <si>
    <t>to Debt Research produced by the Firm.</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</si>
  <si>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</si>
  <si>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</si>
  <si>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</si>
  <si>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</si>
  <si>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</si>
  <si>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</si>
  <si>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 upon</t>
  </si>
  <si>
    <t>as investment advice. An investor's decision to buy or sell a stock should depend on individual</t>
  </si>
  <si>
    <t>circumstances (such as the investor's existing holdings) and other considerations.</t>
  </si>
  <si>
    <t>Certain disclosures listed above are also for compliance with applicable regulations in non-US</t>
  </si>
  <si>
    <t>jurisdictions.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</si>
  <si>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</si>
  <si>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</si>
  <si>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</si>
  <si>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</si>
  <si>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</si>
  <si>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</si>
  <si>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</si>
  <si>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</si>
  <si>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</si>
  <si>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</si>
  <si>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</si>
  <si>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</si>
  <si>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Within the last 12 months, Morgan Stanley has either provided or is providing non-investment banking,</t>
  </si>
  <si>
    <t>securities-related services to and/or in the past has entered into an agreement to provide services or</t>
  </si>
  <si>
    <t>has a client relationship with the following company: Express Scripts, Inc..</t>
  </si>
  <si>
    <t>Within the last 12 months, Morgan Stanley has provided or is providing investment banking services to,</t>
  </si>
  <si>
    <t>or has an investment banking client relationship with, the following company: Express Scripts, Inc..</t>
  </si>
  <si>
    <t>Within the last 12 months, Morgan Stanley has received compensation for products and services other than</t>
  </si>
  <si>
    <t>investment banking services from Express Scripts, Inc..</t>
  </si>
  <si>
    <t>In the next 3 months, Morgan Stanley expects to receive or intends to seek compensation for investment</t>
  </si>
  <si>
    <t>banking services from Express Scripts, Inc..</t>
  </si>
  <si>
    <t>Within the last 12 months, Morgan Stanley has received compensation for investment banking services from</t>
  </si>
  <si>
    <t>Express Scripts, Inc..</t>
  </si>
  <si>
    <t>Within the last 12 months, Morgan Stanley managed or co-managed a public offering (or 144A offering) of</t>
  </si>
  <si>
    <t>securities of Express Scripts, Inc..</t>
  </si>
  <si>
    <t>Morgan Stanley Research has been published in accordance with our conflict management policy, which is</t>
  </si>
  <si>
    <t>available at www.morganstanley.com/institutional/research/conflictpolicies.</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</si>
  <si>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</si>
  <si>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</si>
  <si>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</si>
  <si>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Ricky R Goldwasser.</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</si>
  <si>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</si>
  <si>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</si>
  <si>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</si>
  <si>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</si>
  <si>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</si>
  <si>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</si>
  <si>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For important disclosures, stock price charts and equity rating histories regarding companies that are</t>
  </si>
  <si>
    <t>the subject of this report, please see the Morgan Stanley Research Disclosure Website at</t>
  </si>
  <si>
    <t>www.morganstanley.com/researchdisclosures, or contact your investment representative or Morgan Stanley</t>
  </si>
  <si>
    <t>Research at 1585 Broadway, (Attention: Research Management), New York, NY, 10036 USA.</t>
  </si>
  <si>
    <t>The information and opinions in Morgan Stanley Research were prepared by Morgan Stanley &amp; Co. LLC,</t>
  </si>
  <si>
    <t>and/or Morgan Stanley C.T.V.M. S.A., and/or Morgan Stanley Mexico, Casa de Bolsa, S.A. de C.V., and/or</t>
  </si>
  <si>
    <t>Morgan Stanley Canada Limited. As used in this disclosure section, "Morgan Stanley" includes Morgan</t>
  </si>
  <si>
    <t>Stanley &amp; Co. LLC, Morgan Stanley C.T.V.M. S.A., Morgan Stanley Mexico, Casa de Bolsa, S.A. de C.V.,</t>
  </si>
  <si>
    <t>Morgan Stanley Canada Limited and their affiliates as necessary.</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</si>
  <si>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</si>
  <si>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</si>
  <si>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</si>
  <si>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</si>
  <si>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 Copyright 2018 Morgan Stanley</t>
  </si>
  <si>
    <t>MacroVersion</t>
  </si>
  <si>
    <t>PublishDate</t>
  </si>
  <si>
    <t>Discipline</t>
  </si>
  <si>
    <t>ResearchTopic</t>
  </si>
  <si>
    <t>Company</t>
  </si>
  <si>
    <t>DocType</t>
  </si>
  <si>
    <t>SubjectCode</t>
  </si>
  <si>
    <t>Description</t>
  </si>
  <si>
    <t>KeepVersions</t>
  </si>
  <si>
    <t>All</t>
  </si>
  <si>
    <t>Rating</t>
  </si>
  <si>
    <t>CurrYearTotalRevenue*</t>
  </si>
  <si>
    <t>CurrYearEPS*</t>
  </si>
  <si>
    <t>NextYearTotalRevenue*</t>
  </si>
  <si>
    <t>NextYearEPS*</t>
  </si>
  <si>
    <t>FollowingYearTotalRevenue*</t>
  </si>
  <si>
    <t>FollowingYearEPS*</t>
  </si>
  <si>
    <t>5YearGrowthRate</t>
  </si>
  <si>
    <t>UpdateReason</t>
  </si>
  <si>
    <t>Authors</t>
  </si>
  <si>
    <t>Tickers</t>
  </si>
  <si>
    <t>CUSIP</t>
  </si>
  <si>
    <t>RIC</t>
  </si>
  <si>
    <t>SEDOL</t>
  </si>
  <si>
    <t>PathName</t>
  </si>
  <si>
    <t>Distribution</t>
  </si>
  <si>
    <t>Deleted</t>
  </si>
  <si>
    <t>NO</t>
  </si>
  <si>
    <t>EmailAlert</t>
  </si>
  <si>
    <t>YES</t>
  </si>
  <si>
    <t>CurrQtrEPS</t>
  </si>
  <si>
    <t>CYEnd</t>
  </si>
  <si>
    <t>CQEnd</t>
  </si>
  <si>
    <t>CurrYearTotalRevenueActual*</t>
  </si>
  <si>
    <t>NextYearTotalRevenueActual*</t>
  </si>
  <si>
    <t>FollowingYearTotalRevenueActual*</t>
  </si>
  <si>
    <t>Multiplier</t>
  </si>
  <si>
    <t>TemplateRegion</t>
  </si>
  <si>
    <t>ObjectType</t>
  </si>
  <si>
    <t>excel</t>
  </si>
  <si>
    <t>LanguageCode</t>
  </si>
  <si>
    <t>en-US</t>
  </si>
  <si>
    <t>SubmitterUserId</t>
  </si>
  <si>
    <t>IndustryId</t>
  </si>
  <si>
    <t>TickerRegion</t>
  </si>
  <si>
    <t>AdditionalInstructions</t>
  </si>
  <si>
    <t>*Estimated</t>
  </si>
  <si>
    <t>NAV / In-Line</t>
  </si>
  <si>
    <t>Regular Update</t>
  </si>
  <si>
    <t>NorthAmerica</t>
  </si>
  <si>
    <t>marrosen</t>
  </si>
  <si>
    <t>Express Scripts, Inc.</t>
  </si>
  <si>
    <t>30219G108</t>
  </si>
  <si>
    <t>L:\HEALTH\Goldwasser\Models\Clients\Rlink\ESRX 04 06 18.xlsm</t>
  </si>
  <si>
    <t>[BRO MSA]</t>
  </si>
  <si>
    <t>[PRODUCT MODEL]</t>
  </si>
  <si>
    <t>[EMAIL_ALERT YES]</t>
  </si>
  <si>
    <t>[DISCIPLINE Company]</t>
  </si>
  <si>
    <t>[SUPPRESSED NO]</t>
  </si>
  <si>
    <t>[DOCDAT 2018-04-13]</t>
  </si>
  <si>
    <t>[DOCTIME 15:37]</t>
  </si>
  <si>
    <t>[PSYM ESRX.O(S&amp;P) (None)]</t>
  </si>
  <si>
    <t>[COU 1]</t>
  </si>
  <si>
    <t>[ANA ]</t>
  </si>
  <si>
    <t>[HL ESRX.O Model]</t>
  </si>
  <si>
    <t>[IND ]</t>
  </si>
  <si>
    <t>[PANA MSA12825]</t>
  </si>
  <si>
    <r>
      <t xml:space="preserve">This workbook contains formulas which </t>
    </r>
    <r>
      <rPr>
        <u/>
        <sz val="14"/>
        <rFont val="Arial"/>
        <family val="2"/>
      </rPr>
      <t>intentionally</t>
    </r>
    <r>
      <rPr>
        <sz val="14"/>
        <rFont val="Arial"/>
        <family val="2"/>
      </rPr>
      <t xml:space="preserve"> use circular reference calculation. These calculations can be resolved as intended by the originating analyst by selecting the Apply Circular Settings button below.</t>
    </r>
  </si>
  <si>
    <r>
      <t xml:space="preserve">This workbook contains formulas which </t>
    </r>
    <r>
      <rPr>
        <u/>
        <sz val="14"/>
        <rFont val="Arial"/>
        <family val="2"/>
      </rPr>
      <t>intentionally</t>
    </r>
    <r>
      <rPr>
        <sz val="14"/>
        <rFont val="Arial"/>
        <family val="2"/>
      </rPr>
      <t xml:space="preserve"> use circular reference calculation. These calculations can be resolved as intended by the originating analyst by applying the following settings in the Tools &gt;&gt; Options &gt;&gt; Calculation dialog box:</t>
    </r>
  </si>
  <si>
    <t>Clicking the Apply Circular Settings button will display the model worksheets and make the following settings changes in the Tools &gt;&gt; Options &gt;&gt; Calculation dialog box:</t>
  </si>
  <si>
    <t>1) Select the Iteration check box</t>
  </si>
  <si>
    <t>Failure to apply these settings can result in incorrect calculation or unexpected termination of your Microsoft Excel session.</t>
  </si>
  <si>
    <t>2) Set Maximum Iterations = 100</t>
  </si>
  <si>
    <t>3) Set Maximum Change = 0.001</t>
  </si>
  <si>
    <t>Sheet Name</t>
  </si>
  <si>
    <t>Visible Status</t>
  </si>
  <si>
    <t>ImportantDisclosures</t>
  </si>
  <si>
    <t>SheetVisibilityStatus</t>
  </si>
  <si>
    <t>CircularReferenceAlert</t>
  </si>
  <si>
    <t>Cover</t>
  </si>
  <si>
    <t>Per claim analysis</t>
  </si>
  <si>
    <t>IndexInformation</t>
  </si>
  <si>
    <t>ModPubIndex</t>
  </si>
  <si>
    <t>__FDSCACHE__</t>
  </si>
  <si>
    <t>MW-Cache</t>
  </si>
  <si>
    <t>Morgan Stanley is acting as financial advisor to Cigna Corporation (“Cigna”) in connection with its definitive agreement whereby Cigna will acquire Express Scripts Holding Company (“Express Scripts”), as announced on March 8, 2018.  The proposed transaction is subject to the approval of Cigna and Express Scripts shareholders, applicable regulatory approvals and other customary closing conditions. This report and the information provided herein is not intended to (i) provide voting advice, (ii) serve as an endorsement of the proposed transaction, or (iii) result in the procurement, withholding or revocation of a proxy or any other action by a security holder. Cigna has agreed to pay fees to Morgan Stanley for its financial services, including transaction fees which are contingent upon consummation of the transaction. Please refer to the notes at the end of the report.</t>
  </si>
</sst>
</file>

<file path=xl/styles.xml><?xml version="1.0" encoding="utf-8"?>
<styleSheet xmlns="http://schemas.openxmlformats.org/spreadsheetml/2006/main" xmlns:mc="http://schemas.openxmlformats.org/markup-compatibility/2006" xmlns:x14ac="http://schemas.microsoft.com/office/spreadsheetml/2009/9/ac" mc:Ignorable="x14ac">
  <numFmts count="46">
    <numFmt numFmtId="6" formatCode="&quot;$&quot;#,##0_);[Red]\(&quot;$&quot;#,##0\)"/>
    <numFmt numFmtId="7" formatCode="&quot;$&quot;#,##0.00_);\(&quot;$&quot;#,##0.00\)"/>
    <numFmt numFmtId="8" formatCode="&quot;$&quot;#,##0.00_);[Red]\(&quot;$&quot;#,##0.00\)"/>
    <numFmt numFmtId="41" formatCode="_(* #,##0_);_(* \(#,##0\);_(* &quot;-&quot;_);_(@_)"/>
    <numFmt numFmtId="44" formatCode="_(&quot;$&quot;* #,##0.00_);_(&quot;$&quot;* \(#,##0.00\);_(&quot;$&quot;* &quot;-&quot;??_);_(@_)"/>
    <numFmt numFmtId="43" formatCode="_(* #,##0.00_);_(* \(#,##0.00\);_(* &quot;-&quot;??_);_(@_)"/>
    <numFmt numFmtId="164" formatCode="_-* #,##0.00_-;\-* #,##0.00_-;_-* &quot;-&quot;??_-;_-@_-"/>
    <numFmt numFmtId="165" formatCode="#,##0.0_);\(#,##0.0\)"/>
    <numFmt numFmtId="166" formatCode="&quot;$&quot;#,##0.0_);\(&quot;$&quot;#,##0.0\)"/>
    <numFmt numFmtId="167" formatCode="&quot;$&quot;#,##0.00"/>
    <numFmt numFmtId="168" formatCode="0.0%"/>
    <numFmt numFmtId="169" formatCode="&quot;$&quot;#,##0.0"/>
    <numFmt numFmtId="170" formatCode="_(* #,##0.0_);_(* \(#,##0.0\);_(* &quot;-&quot;??_);_(@_)"/>
    <numFmt numFmtId="171" formatCode="#,##0.000_);\(#,##0.000\)"/>
    <numFmt numFmtId="172" formatCode="_(* #,##0_);_(* \(#,##0\);_(* &quot;-&quot;??_);_(@_)"/>
    <numFmt numFmtId="173" formatCode="_(* #,##0.000_);_(* \(#,##0.000\);_(* &quot;-&quot;??_);_(@_)"/>
    <numFmt numFmtId="174" formatCode="0.00_);\(0.00\);0.00_)"/>
    <numFmt numFmtId="175" formatCode="0.0_);\(0.0\)"/>
    <numFmt numFmtId="176" formatCode="0.000_);\(0.000\)"/>
    <numFmt numFmtId="177" formatCode="0.0\x"/>
    <numFmt numFmtId="178" formatCode="_(&quot;$&quot;* #,##0.000_);_(&quot;$&quot;* \(#,##0.000\);_(&quot;$&quot;* &quot;-&quot;??_);_(@_)"/>
    <numFmt numFmtId="179" formatCode="mm/dd/yy"/>
    <numFmt numFmtId="180" formatCode="_(* #,##0.000_);_(* \(#,##0.000\);_(* &quot;-&quot;_);_(@_)"/>
    <numFmt numFmtId="181" formatCode="0.0000%"/>
    <numFmt numFmtId="182" formatCode="0\ \b\p"/>
    <numFmt numFmtId="183" formatCode="_(* #,##0.00_);_(* \(#,##0.00\);_(* &quot;-&quot;_);_(@_)"/>
    <numFmt numFmtId="184" formatCode="&quot;$&quot;#,##0.000_);\(&quot;$&quot;#,##0.000\)"/>
    <numFmt numFmtId="185" formatCode="_(* #,##0.0_);_(* \(#,##0.0\);_(* &quot;-&quot;_);_(@_)"/>
    <numFmt numFmtId="186" formatCode="#,##0.0000_);\(#,##0.0000\)"/>
    <numFmt numFmtId="187" formatCode="_(&quot;$&quot;* #,##0.0_);_(&quot;$&quot;* \(#,##0.0\);_(&quot;$&quot;* &quot;-&quot;??_);_(@_)"/>
    <numFmt numFmtId="188" formatCode="0.000%"/>
    <numFmt numFmtId="189" formatCode="_(* #,##0.0000000_);_(* \(#,##0.0000000\);_(* &quot;-&quot;??_);_(@_)"/>
    <numFmt numFmtId="190" formatCode="_(&quot;$&quot;* #,##0.0000_);_(&quot;$&quot;* \(#,##0.0000\);_(&quot;$&quot;* &quot;-&quot;??_);_(@_)"/>
    <numFmt numFmtId="191" formatCode="_(&quot;$&quot;* #,##0.00000_);_(&quot;$&quot;* \(#,##0.00000\);_(&quot;$&quot;* &quot;-&quot;??_);_(@_)"/>
    <numFmt numFmtId="192" formatCode="0.000"/>
    <numFmt numFmtId="193" formatCode="_(* #,##0.00000_);_(* \(#,##0.00000\);_(* &quot;-&quot;??_);_(@_)"/>
    <numFmt numFmtId="194" formatCode="_(* #,##0.0000000000_);_(* \(#,##0.0000000000\);_(* &quot;-&quot;??_);_(@_)"/>
    <numFmt numFmtId="195" formatCode="&quot;$&quot;#,##0"/>
    <numFmt numFmtId="196" formatCode="#,##0.0"/>
    <numFmt numFmtId="197" formatCode="0.0"/>
    <numFmt numFmtId="199" formatCode="&quot;$&quot;0.0\ &quot;B&quot;"/>
    <numFmt numFmtId="200" formatCode="&quot;$&quot;#,##0.0\ &quot;billion&quot;"/>
    <numFmt numFmtId="201" formatCode="0\ &quot;million&quot;"/>
    <numFmt numFmtId="202" formatCode="_(* #,##0.000000_);_(* \(#,##0.000000\);_(* &quot;-&quot;??_);_(@_)"/>
    <numFmt numFmtId="203" formatCode="_(* #,##0.0000_);_(* \(#,##0.0000\);_(* &quot;-&quot;??_);_(@_)"/>
    <numFmt numFmtId="204" formatCode="mm/dd/yy\ hh:mm"/>
  </numFmts>
  <fonts count="102" x14ac:knownFonts="1">
    <font>
      <sz val="10"/>
      <name val="Arial"/>
    </font>
    <font>
      <sz val="11"/>
      <color theme="1"/>
      <name val="Calibri"/>
      <family val="2"/>
      <scheme val="minor"/>
    </font>
    <font>
      <sz val="11"/>
      <color theme="1"/>
      <name val="Calibri"/>
      <family val="2"/>
      <scheme val="minor"/>
    </font>
    <font>
      <b/>
      <sz val="10"/>
      <name val="Arial"/>
      <family val="2"/>
    </font>
    <font>
      <sz val="10"/>
      <name val="Arial"/>
      <family val="2"/>
    </font>
    <font>
      <u/>
      <sz val="10"/>
      <color indexed="12"/>
      <name val="Arial"/>
      <family val="2"/>
    </font>
    <font>
      <b/>
      <sz val="8"/>
      <color indexed="12"/>
      <name val="Times New Roman"/>
      <family val="1"/>
    </font>
    <font>
      <sz val="8"/>
      <name val="Times New Roman"/>
      <family val="1"/>
    </font>
    <font>
      <sz val="8"/>
      <color indexed="8"/>
      <name val="Times New Roman"/>
      <family val="1"/>
    </font>
    <font>
      <b/>
      <sz val="8"/>
      <name val="Times New Roman"/>
      <family val="1"/>
    </font>
    <font>
      <sz val="8"/>
      <color indexed="12"/>
      <name val="Times New Roman"/>
      <family val="1"/>
    </font>
    <font>
      <b/>
      <sz val="8"/>
      <name val="Arial Narrow"/>
      <family val="2"/>
    </font>
    <font>
      <sz val="8"/>
      <name val="Arial Narrow"/>
      <family val="2"/>
    </font>
    <font>
      <b/>
      <sz val="8"/>
      <color indexed="9"/>
      <name val="Times New Roman"/>
      <family val="1"/>
    </font>
    <font>
      <i/>
      <sz val="8"/>
      <name val="Times New Roman"/>
      <family val="1"/>
    </font>
    <font>
      <sz val="8"/>
      <name val="Arial"/>
      <family val="2"/>
    </font>
    <font>
      <sz val="8"/>
      <color indexed="9"/>
      <name val="Times New Roman"/>
      <family val="1"/>
    </font>
    <font>
      <b/>
      <u/>
      <sz val="8"/>
      <name val="Times New Roman"/>
      <family val="1"/>
    </font>
    <font>
      <u/>
      <sz val="8"/>
      <name val="Times New Roman"/>
      <family val="1"/>
    </font>
    <font>
      <sz val="8"/>
      <color indexed="8"/>
      <name val="Arial Narrow"/>
      <family val="2"/>
    </font>
    <font>
      <sz val="8"/>
      <color indexed="12"/>
      <name val="Arial Narrow"/>
      <family val="2"/>
    </font>
    <font>
      <b/>
      <sz val="8"/>
      <color indexed="8"/>
      <name val="Times New Roman"/>
      <family val="1"/>
    </font>
    <font>
      <u/>
      <sz val="8"/>
      <color indexed="12"/>
      <name val="Times New Roman"/>
      <family val="1"/>
    </font>
    <font>
      <b/>
      <u/>
      <sz val="8"/>
      <color indexed="12"/>
      <name val="Times New Roman"/>
      <family val="1"/>
    </font>
    <font>
      <sz val="8"/>
      <color indexed="48"/>
      <name val="Times New Roman"/>
      <family val="1"/>
    </font>
    <font>
      <sz val="8"/>
      <color indexed="81"/>
      <name val="Tahoma"/>
      <family val="2"/>
    </font>
    <font>
      <b/>
      <sz val="10"/>
      <name val="Arial"/>
      <family val="2"/>
    </font>
    <font>
      <sz val="10"/>
      <name val="Arial Narrow"/>
      <family val="2"/>
    </font>
    <font>
      <sz val="10"/>
      <name val="Arial"/>
      <family val="2"/>
    </font>
    <font>
      <sz val="20"/>
      <color indexed="9"/>
      <name val="Arial Narrow"/>
      <family val="2"/>
    </font>
    <font>
      <b/>
      <sz val="18"/>
      <color indexed="9"/>
      <name val="Arial Narrow"/>
      <family val="2"/>
    </font>
    <font>
      <b/>
      <sz val="14"/>
      <color indexed="9"/>
      <name val="Arial Narrow"/>
      <family val="2"/>
    </font>
    <font>
      <sz val="20"/>
      <name val="Arial Narrow"/>
      <family val="2"/>
    </font>
    <font>
      <b/>
      <sz val="12"/>
      <name val="Arial Narrow"/>
      <family val="2"/>
    </font>
    <font>
      <sz val="12"/>
      <name val="Arial Narrow"/>
      <family val="2"/>
    </font>
    <font>
      <sz val="10"/>
      <color indexed="12"/>
      <name val="Arial Narrow"/>
      <family val="2"/>
    </font>
    <font>
      <u/>
      <sz val="10"/>
      <color indexed="12"/>
      <name val="Arial Narrow"/>
      <family val="2"/>
    </font>
    <font>
      <b/>
      <sz val="8"/>
      <color indexed="81"/>
      <name val="Tahoma"/>
      <family val="2"/>
    </font>
    <font>
      <b/>
      <sz val="10"/>
      <color indexed="8"/>
      <name val="Arial Narrow"/>
      <family val="2"/>
    </font>
    <font>
      <sz val="10"/>
      <color indexed="8"/>
      <name val="Arial Narrow"/>
      <family val="2"/>
    </font>
    <font>
      <sz val="8"/>
      <color indexed="18"/>
      <name val="Times New Roman"/>
      <family val="1"/>
    </font>
    <font>
      <b/>
      <sz val="10"/>
      <name val="Times New Roman"/>
      <family val="1"/>
    </font>
    <font>
      <b/>
      <sz val="10"/>
      <name val="Arial Narrow"/>
      <family val="2"/>
    </font>
    <font>
      <sz val="8"/>
      <color indexed="10"/>
      <name val="Times New Roman"/>
      <family val="1"/>
    </font>
    <font>
      <sz val="10"/>
      <color indexed="10"/>
      <name val="Arial"/>
      <family val="2"/>
    </font>
    <font>
      <b/>
      <sz val="10"/>
      <name val="Arial"/>
      <family val="2"/>
    </font>
    <font>
      <b/>
      <sz val="8"/>
      <name val="Arial"/>
      <family val="2"/>
    </font>
    <font>
      <b/>
      <u/>
      <sz val="8"/>
      <color indexed="9"/>
      <name val="Times New Roman"/>
      <family val="1"/>
    </font>
    <font>
      <sz val="10"/>
      <color indexed="9"/>
      <name val="Arial"/>
      <family val="2"/>
    </font>
    <font>
      <sz val="8"/>
      <color indexed="17"/>
      <name val="Times New Roman"/>
      <family val="1"/>
    </font>
    <font>
      <sz val="8"/>
      <color indexed="10"/>
      <name val="Arial"/>
      <family val="2"/>
    </font>
    <font>
      <b/>
      <sz val="8"/>
      <color indexed="10"/>
      <name val="Arial"/>
      <family val="2"/>
    </font>
    <font>
      <b/>
      <sz val="10"/>
      <color indexed="10"/>
      <name val="Arial"/>
      <family val="2"/>
    </font>
    <font>
      <b/>
      <sz val="10"/>
      <color indexed="10"/>
      <name val="Arial"/>
      <family val="2"/>
    </font>
    <font>
      <b/>
      <sz val="14"/>
      <color indexed="9"/>
      <name val="Times New Roman"/>
      <family val="1"/>
    </font>
    <font>
      <sz val="10"/>
      <name val="MS Sans Serif"/>
      <family val="2"/>
    </font>
    <font>
      <b/>
      <sz val="10"/>
      <color indexed="8"/>
      <name val="Times New Roman"/>
      <family val="1"/>
    </font>
    <font>
      <sz val="9"/>
      <name val="Times New Roman"/>
      <family val="1"/>
    </font>
    <font>
      <sz val="10"/>
      <color indexed="8"/>
      <name val="Times New Roman"/>
      <family val="1"/>
    </font>
    <font>
      <b/>
      <sz val="9"/>
      <name val="Times New Roman"/>
      <family val="1"/>
    </font>
    <font>
      <sz val="10"/>
      <color indexed="12"/>
      <name val="Arial"/>
      <family val="2"/>
    </font>
    <font>
      <sz val="8"/>
      <color indexed="12"/>
      <name val="Arial"/>
      <family val="2"/>
    </font>
    <font>
      <b/>
      <sz val="8"/>
      <color indexed="12"/>
      <name val="Arial"/>
      <family val="2"/>
    </font>
    <font>
      <b/>
      <sz val="10"/>
      <color indexed="12"/>
      <name val="Arial"/>
      <family val="2"/>
    </font>
    <font>
      <sz val="10"/>
      <name val="Arial"/>
      <family val="2"/>
    </font>
    <font>
      <b/>
      <sz val="8"/>
      <name val="Arial"/>
      <family val="2"/>
    </font>
    <font>
      <sz val="10"/>
      <name val="Arial"/>
      <family val="2"/>
    </font>
    <font>
      <sz val="14"/>
      <color indexed="9"/>
      <name val="Times New Roman"/>
      <family val="1"/>
    </font>
    <font>
      <sz val="8"/>
      <color indexed="17"/>
      <name val="Arial Narrow"/>
      <family val="2"/>
    </font>
    <font>
      <b/>
      <u/>
      <sz val="10"/>
      <color indexed="12"/>
      <name val="Arial Narrow"/>
      <family val="2"/>
    </font>
    <font>
      <sz val="10"/>
      <color indexed="48"/>
      <name val="Arial Narrow"/>
      <family val="2"/>
    </font>
    <font>
      <i/>
      <sz val="8"/>
      <name val="Arial Narrow"/>
      <family val="2"/>
    </font>
    <font>
      <i/>
      <sz val="8"/>
      <color indexed="8"/>
      <name val="Arial Narrow"/>
      <family val="2"/>
    </font>
    <font>
      <i/>
      <sz val="8"/>
      <color indexed="12"/>
      <name val="Arial Narrow"/>
      <family val="2"/>
    </font>
    <font>
      <b/>
      <sz val="8"/>
      <color indexed="8"/>
      <name val="Arial Narrow"/>
      <family val="2"/>
    </font>
    <font>
      <sz val="10"/>
      <color indexed="17"/>
      <name val="Arial Narrow"/>
      <family val="2"/>
    </font>
    <font>
      <sz val="10"/>
      <color indexed="10"/>
      <name val="Arial"/>
      <family val="2"/>
    </font>
    <font>
      <sz val="11"/>
      <name val="Arial"/>
      <family val="2"/>
    </font>
    <font>
      <sz val="10"/>
      <name val="Times New Roman"/>
      <family val="1"/>
    </font>
    <font>
      <b/>
      <u/>
      <sz val="10"/>
      <name val="Times New Roman"/>
      <family val="1"/>
    </font>
    <font>
      <sz val="10"/>
      <name val="Arial"/>
      <family val="2"/>
    </font>
    <font>
      <sz val="9"/>
      <color indexed="81"/>
      <name val="Tahoma"/>
      <family val="2"/>
    </font>
    <font>
      <b/>
      <sz val="9"/>
      <color indexed="81"/>
      <name val="Tahoma"/>
      <family val="2"/>
    </font>
    <font>
      <sz val="8"/>
      <color indexed="30"/>
      <name val="Times New Roman"/>
      <family val="1"/>
    </font>
    <font>
      <sz val="11"/>
      <color theme="1"/>
      <name val="Calibri"/>
      <family val="2"/>
      <scheme val="minor"/>
    </font>
    <font>
      <sz val="8"/>
      <color rgb="FFFF0000"/>
      <name val="Times New Roman"/>
      <family val="1"/>
    </font>
    <font>
      <sz val="8"/>
      <color rgb="FF0000F5"/>
      <name val="Times New Roman"/>
      <family val="1"/>
    </font>
    <font>
      <sz val="8"/>
      <color rgb="FF0000F5"/>
      <name val="Arial Narrow"/>
      <family val="2"/>
    </font>
    <font>
      <i/>
      <sz val="8"/>
      <color rgb="FF0000F5"/>
      <name val="Arial Narrow"/>
      <family val="2"/>
    </font>
    <font>
      <sz val="8"/>
      <color rgb="FF0000FF"/>
      <name val="Times New Roman"/>
      <family val="1"/>
    </font>
    <font>
      <sz val="8"/>
      <color rgb="FF0000FF"/>
      <name val="Arial Narrow"/>
      <family val="2"/>
    </font>
    <font>
      <sz val="8"/>
      <color rgb="FFFF0000"/>
      <name val="Arial Narrow"/>
      <family val="2"/>
    </font>
    <font>
      <i/>
      <sz val="10"/>
      <name val="Arial"/>
      <family val="2"/>
    </font>
    <font>
      <sz val="11"/>
      <name val="Calibri"/>
      <family val="2"/>
      <scheme val="minor"/>
    </font>
    <font>
      <sz val="11"/>
      <color indexed="8"/>
      <name val="Calibri"/>
      <family val="2"/>
    </font>
    <font>
      <sz val="10"/>
      <name val="Courier"/>
      <family val="3"/>
    </font>
    <font>
      <sz val="10"/>
      <color rgb="FF000000"/>
      <name val="Arial"/>
      <family val="2"/>
    </font>
    <font>
      <b/>
      <sz val="12"/>
      <color rgb="FF000080"/>
      <name val="Arial"/>
      <family val="2"/>
    </font>
    <font>
      <sz val="14"/>
      <name val="Arial"/>
      <family val="2"/>
    </font>
    <font>
      <u/>
      <sz val="14"/>
      <name val="Arial"/>
      <family val="2"/>
    </font>
    <font>
      <b/>
      <u/>
      <sz val="14"/>
      <color indexed="10"/>
      <name val="Arial"/>
      <family val="2"/>
    </font>
    <font>
      <b/>
      <sz val="18"/>
      <color rgb="FF000000"/>
      <name val="Arial"/>
      <family val="2"/>
    </font>
  </fonts>
  <fills count="17">
    <fill>
      <patternFill patternType="none"/>
    </fill>
    <fill>
      <patternFill patternType="gray125"/>
    </fill>
    <fill>
      <patternFill patternType="solid">
        <fgColor indexed="9"/>
        <bgColor indexed="64"/>
      </patternFill>
    </fill>
    <fill>
      <patternFill patternType="solid">
        <fgColor indexed="56"/>
        <bgColor indexed="64"/>
      </patternFill>
    </fill>
    <fill>
      <patternFill patternType="solid">
        <fgColor indexed="13"/>
        <bgColor indexed="64"/>
      </patternFill>
    </fill>
    <fill>
      <patternFill patternType="solid">
        <fgColor indexed="43"/>
        <bgColor indexed="64"/>
      </patternFill>
    </fill>
    <fill>
      <patternFill patternType="solid">
        <fgColor indexed="8"/>
        <bgColor indexed="64"/>
      </patternFill>
    </fill>
    <fill>
      <patternFill patternType="solid">
        <fgColor indexed="42"/>
        <bgColor indexed="64"/>
      </patternFill>
    </fill>
    <fill>
      <patternFill patternType="solid">
        <fgColor indexed="22"/>
        <bgColor indexed="64"/>
      </patternFill>
    </fill>
    <fill>
      <patternFill patternType="solid">
        <fgColor indexed="23"/>
        <bgColor indexed="64"/>
      </patternFill>
    </fill>
    <fill>
      <patternFill patternType="solid">
        <fgColor indexed="44"/>
        <bgColor indexed="64"/>
      </patternFill>
    </fill>
    <fill>
      <patternFill patternType="solid">
        <fgColor indexed="41"/>
        <bgColor indexed="64"/>
      </patternFill>
    </fill>
    <fill>
      <patternFill patternType="solid">
        <fgColor theme="0" tint="-0.249977111117893"/>
        <bgColor indexed="64"/>
      </patternFill>
    </fill>
    <fill>
      <patternFill patternType="solid">
        <fgColor theme="0" tint="-0.14993743705557422"/>
        <bgColor indexed="64"/>
      </patternFill>
    </fill>
    <fill>
      <patternFill patternType="solid">
        <fgColor rgb="FFFFFF00"/>
        <bgColor indexed="64"/>
      </patternFill>
    </fill>
    <fill>
      <patternFill patternType="solid">
        <fgColor theme="0"/>
        <bgColor indexed="64"/>
      </patternFill>
    </fill>
    <fill>
      <patternFill patternType="solid">
        <fgColor indexed="65"/>
        <bgColor indexed="64"/>
      </patternFill>
    </fill>
  </fills>
  <borders count="83">
    <border>
      <left/>
      <right/>
      <top/>
      <bottom/>
      <diagonal/>
    </border>
    <border>
      <left/>
      <right/>
      <top/>
      <bottom style="thin">
        <color indexed="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medium">
        <color indexed="64"/>
      </left>
      <right style="medium">
        <color indexed="64"/>
      </right>
      <top/>
      <bottom style="thin">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top style="medium">
        <color indexed="64"/>
      </top>
      <bottom/>
      <diagonal/>
    </border>
    <border>
      <left style="medium">
        <color indexed="64"/>
      </left>
      <right style="medium">
        <color indexed="64"/>
      </right>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bottom/>
      <diagonal/>
    </border>
    <border>
      <left style="thin">
        <color indexed="64"/>
      </left>
      <right/>
      <top/>
      <bottom/>
      <diagonal/>
    </border>
    <border>
      <left style="medium">
        <color indexed="64"/>
      </left>
      <right style="medium">
        <color indexed="64"/>
      </right>
      <top style="thin">
        <color indexed="64"/>
      </top>
      <bottom style="thin">
        <color indexed="64"/>
      </bottom>
      <diagonal/>
    </border>
    <border>
      <left/>
      <right/>
      <top style="thin">
        <color indexed="64"/>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medium">
        <color indexed="64"/>
      </right>
      <top style="thin">
        <color indexed="64"/>
      </top>
      <bottom/>
      <diagonal/>
    </border>
    <border>
      <left/>
      <right style="medium">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bottom style="thin">
        <color indexed="64"/>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style="thin">
        <color indexed="64"/>
      </right>
      <top/>
      <bottom style="medium">
        <color indexed="64"/>
      </bottom>
      <diagonal/>
    </border>
    <border>
      <left/>
      <right/>
      <top/>
      <bottom style="medium">
        <color indexed="8"/>
      </bottom>
      <diagonal/>
    </border>
    <border>
      <left style="medium">
        <color indexed="64"/>
      </left>
      <right style="medium">
        <color indexed="64"/>
      </right>
      <top/>
      <bottom style="medium">
        <color indexed="8"/>
      </bottom>
      <diagonal/>
    </border>
    <border>
      <left style="medium">
        <color indexed="64"/>
      </left>
      <right/>
      <top/>
      <bottom style="medium">
        <color indexed="8"/>
      </bottom>
      <diagonal/>
    </border>
    <border>
      <left style="medium">
        <color indexed="8"/>
      </left>
      <right/>
      <top style="medium">
        <color indexed="64"/>
      </top>
      <bottom/>
      <diagonal/>
    </border>
    <border>
      <left style="medium">
        <color indexed="8"/>
      </left>
      <right/>
      <top/>
      <bottom/>
      <diagonal/>
    </border>
    <border>
      <left style="medium">
        <color indexed="8"/>
      </left>
      <right/>
      <top/>
      <bottom style="medium">
        <color indexed="8"/>
      </bottom>
      <diagonal/>
    </border>
    <border>
      <left style="medium">
        <color indexed="64"/>
      </left>
      <right style="medium">
        <color indexed="8"/>
      </right>
      <top style="medium">
        <color indexed="64"/>
      </top>
      <bottom/>
      <diagonal/>
    </border>
    <border>
      <left style="medium">
        <color indexed="64"/>
      </left>
      <right style="medium">
        <color indexed="8"/>
      </right>
      <top/>
      <bottom/>
      <diagonal/>
    </border>
    <border>
      <left style="medium">
        <color indexed="64"/>
      </left>
      <right style="medium">
        <color indexed="8"/>
      </right>
      <top/>
      <bottom style="medium">
        <color indexed="8"/>
      </bottom>
      <diagonal/>
    </border>
    <border>
      <left style="medium">
        <color indexed="64"/>
      </left>
      <right/>
      <top style="medium">
        <color indexed="8"/>
      </top>
      <bottom/>
      <diagonal/>
    </border>
    <border>
      <left/>
      <right style="medium">
        <color indexed="64"/>
      </right>
      <top style="medium">
        <color indexed="8"/>
      </top>
      <bottom/>
      <diagonal/>
    </border>
    <border>
      <left style="medium">
        <color indexed="64"/>
      </left>
      <right style="medium">
        <color indexed="64"/>
      </right>
      <top style="medium">
        <color indexed="8"/>
      </top>
      <bottom/>
      <diagonal/>
    </border>
    <border>
      <left/>
      <right/>
      <top style="medium">
        <color indexed="8"/>
      </top>
      <bottom/>
      <diagonal/>
    </border>
    <border>
      <left/>
      <right style="medium">
        <color indexed="64"/>
      </right>
      <top style="medium">
        <color indexed="64"/>
      </top>
      <bottom style="medium">
        <color indexed="64"/>
      </bottom>
      <diagonal/>
    </border>
    <border>
      <left style="medium">
        <color indexed="8"/>
      </left>
      <right/>
      <top style="medium">
        <color indexed="8"/>
      </top>
      <bottom/>
      <diagonal/>
    </border>
    <border>
      <left style="medium">
        <color indexed="64"/>
      </left>
      <right style="medium">
        <color indexed="8"/>
      </right>
      <top style="medium">
        <color indexed="8"/>
      </top>
      <bottom/>
      <diagonal/>
    </border>
    <border>
      <left style="medium">
        <color indexed="8"/>
      </left>
      <right/>
      <top/>
      <bottom style="medium">
        <color indexed="64"/>
      </bottom>
      <diagonal/>
    </border>
    <border>
      <left style="medium">
        <color indexed="64"/>
      </left>
      <right style="medium">
        <color indexed="8"/>
      </right>
      <top/>
      <bottom style="medium">
        <color indexed="64"/>
      </bottom>
      <diagonal/>
    </border>
    <border>
      <left style="medium">
        <color indexed="8"/>
      </left>
      <right/>
      <top style="medium">
        <color indexed="64"/>
      </top>
      <bottom style="medium">
        <color indexed="64"/>
      </bottom>
      <diagonal/>
    </border>
    <border>
      <left/>
      <right style="medium">
        <color indexed="8"/>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bottom style="medium">
        <color indexed="8"/>
      </bottom>
      <diagonal/>
    </border>
    <border>
      <left/>
      <right/>
      <top style="medium">
        <color indexed="8"/>
      </top>
      <bottom style="medium">
        <color indexed="64"/>
      </bottom>
      <diagonal/>
    </border>
    <border>
      <left style="medium">
        <color indexed="64"/>
      </left>
      <right style="thin">
        <color indexed="64"/>
      </right>
      <top/>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medium">
        <color indexed="64"/>
      </top>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indexed="64"/>
      </left>
      <right/>
      <top style="thin">
        <color indexed="64"/>
      </top>
      <bottom/>
      <diagonal/>
    </border>
    <border>
      <left style="thin">
        <color indexed="64"/>
      </left>
      <right/>
      <top/>
      <bottom style="thin">
        <color indexed="64"/>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right/>
      <top/>
      <bottom style="thin">
        <color rgb="FF000000"/>
      </bottom>
      <diagonal/>
    </border>
    <border>
      <left/>
      <right/>
      <top style="thin">
        <color rgb="FF000000"/>
      </top>
      <bottom/>
      <diagonal/>
    </border>
  </borders>
  <cellStyleXfs count="26">
    <xf numFmtId="0" fontId="0" fillId="0" borderId="0" applyNumberFormat="0" applyFont="0" applyFill="0" applyBorder="0" applyAlignment="0" applyProtection="0"/>
    <xf numFmtId="0" fontId="80" fillId="0" borderId="0"/>
    <xf numFmtId="0" fontId="4" fillId="5" borderId="0" applyNumberFormat="0" applyFont="0" applyBorder="0" applyAlignment="0" applyProtection="0"/>
    <xf numFmtId="0" fontId="4" fillId="0" borderId="0"/>
    <xf numFmtId="0" fontId="4" fillId="0" borderId="0"/>
    <xf numFmtId="0" fontId="55" fillId="0" borderId="0"/>
    <xf numFmtId="0" fontId="55" fillId="0" borderId="0"/>
    <xf numFmtId="0" fontId="56" fillId="0" borderId="0"/>
    <xf numFmtId="43" fontId="4" fillId="0" borderId="0" applyFont="0" applyFill="0" applyBorder="0" applyAlignment="0" applyProtection="0"/>
    <xf numFmtId="44" fontId="4" fillId="0" borderId="0" applyFont="0" applyFill="0" applyBorder="0" applyAlignment="0" applyProtection="0"/>
    <xf numFmtId="0" fontId="5" fillId="0" borderId="0" applyNumberFormat="0" applyFill="0" applyBorder="0" applyAlignment="0" applyProtection="0">
      <alignment vertical="top"/>
      <protection locked="0"/>
    </xf>
    <xf numFmtId="0" fontId="84" fillId="0" borderId="0"/>
    <xf numFmtId="0" fontId="4" fillId="0" borderId="0"/>
    <xf numFmtId="0" fontId="28" fillId="0" borderId="0"/>
    <xf numFmtId="0" fontId="57" fillId="0" borderId="0">
      <alignment vertical="center"/>
    </xf>
    <xf numFmtId="9" fontId="4" fillId="0" borderId="0" applyFont="0" applyFill="0" applyBorder="0" applyAlignment="0" applyProtection="0"/>
    <xf numFmtId="0" fontId="4" fillId="5" borderId="0" applyNumberFormat="0" applyFont="0" applyBorder="0" applyAlignment="0" applyProtection="0"/>
    <xf numFmtId="0" fontId="58" fillId="0" borderId="0"/>
    <xf numFmtId="0" fontId="58" fillId="0" borderId="1">
      <alignment horizontal="centerContinuous"/>
    </xf>
    <xf numFmtId="0" fontId="14" fillId="0" borderId="1"/>
    <xf numFmtId="0" fontId="2" fillId="0" borderId="0"/>
    <xf numFmtId="44" fontId="94" fillId="0" borderId="0" applyFont="0" applyFill="0" applyBorder="0" applyAlignment="0" applyProtection="0"/>
    <xf numFmtId="43" fontId="94" fillId="0" borderId="0" applyFont="0" applyFill="0" applyBorder="0" applyAlignment="0" applyProtection="0"/>
    <xf numFmtId="0" fontId="55" fillId="0" borderId="0"/>
    <xf numFmtId="0" fontId="1" fillId="0" borderId="0"/>
    <xf numFmtId="0" fontId="95" fillId="0" borderId="0"/>
  </cellStyleXfs>
  <cellXfs count="2032">
    <xf numFmtId="0" fontId="0" fillId="0" borderId="0" xfId="0"/>
    <xf numFmtId="0" fontId="7" fillId="0" borderId="0" xfId="1" applyFont="1"/>
    <xf numFmtId="168" fontId="7" fillId="0" borderId="0" xfId="15" applyNumberFormat="1" applyFont="1"/>
    <xf numFmtId="166" fontId="7" fillId="0" borderId="0" xfId="1" applyNumberFormat="1" applyFont="1"/>
    <xf numFmtId="0" fontId="7" fillId="6" borderId="0" xfId="1" applyFont="1" applyFill="1" applyProtection="1"/>
    <xf numFmtId="0" fontId="8" fillId="6" borderId="0" xfId="1" applyFont="1" applyFill="1"/>
    <xf numFmtId="43" fontId="7" fillId="0" borderId="0" xfId="8" applyFont="1"/>
    <xf numFmtId="179" fontId="7" fillId="0" borderId="0" xfId="1" applyNumberFormat="1" applyFont="1"/>
    <xf numFmtId="179" fontId="7" fillId="0" borderId="0" xfId="15" applyNumberFormat="1" applyFont="1"/>
    <xf numFmtId="0" fontId="7" fillId="0" borderId="3" xfId="1" applyFont="1" applyBorder="1"/>
    <xf numFmtId="0" fontId="7" fillId="0" borderId="0" xfId="1" applyFont="1" applyBorder="1"/>
    <xf numFmtId="170" fontId="7" fillId="0" borderId="3" xfId="8" applyNumberFormat="1" applyFont="1" applyBorder="1" applyAlignment="1">
      <alignment horizontal="center"/>
    </xf>
    <xf numFmtId="170" fontId="7" fillId="0" borderId="0" xfId="8" quotePrefix="1" applyNumberFormat="1" applyFont="1" applyBorder="1" applyAlignment="1">
      <alignment horizontal="center"/>
    </xf>
    <xf numFmtId="170" fontId="7" fillId="0" borderId="4" xfId="8" applyNumberFormat="1" applyFont="1" applyFill="1" applyBorder="1"/>
    <xf numFmtId="170" fontId="7" fillId="0" borderId="5" xfId="8" quotePrefix="1" applyNumberFormat="1" applyFont="1" applyBorder="1" applyAlignment="1">
      <alignment horizontal="center"/>
    </xf>
    <xf numFmtId="170" fontId="7" fillId="0" borderId="3" xfId="8" quotePrefix="1" applyNumberFormat="1" applyFont="1" applyBorder="1" applyAlignment="1">
      <alignment horizontal="center"/>
    </xf>
    <xf numFmtId="170" fontId="7" fillId="0" borderId="0" xfId="8" applyNumberFormat="1" applyFont="1"/>
    <xf numFmtId="170" fontId="7" fillId="0" borderId="6" xfId="8" applyNumberFormat="1" applyFont="1" applyBorder="1" applyAlignment="1">
      <alignment horizontal="center"/>
    </xf>
    <xf numFmtId="170" fontId="7" fillId="0" borderId="0" xfId="8" applyNumberFormat="1" applyFont="1" applyFill="1"/>
    <xf numFmtId="170" fontId="7" fillId="0" borderId="0" xfId="8" applyNumberFormat="1" applyFont="1" applyFill="1" applyBorder="1"/>
    <xf numFmtId="170" fontId="7" fillId="0" borderId="7" xfId="8" applyNumberFormat="1" applyFont="1" applyBorder="1" applyAlignment="1">
      <alignment horizontal="center"/>
    </xf>
    <xf numFmtId="170" fontId="7" fillId="0" borderId="8" xfId="8" quotePrefix="1" applyNumberFormat="1" applyFont="1" applyBorder="1" applyAlignment="1">
      <alignment horizontal="center"/>
    </xf>
    <xf numFmtId="170" fontId="7" fillId="0" borderId="9" xfId="8" quotePrefix="1" applyNumberFormat="1" applyFont="1" applyBorder="1" applyAlignment="1">
      <alignment horizontal="center"/>
    </xf>
    <xf numFmtId="170" fontId="7" fillId="0" borderId="0" xfId="8" quotePrefix="1" applyNumberFormat="1" applyFont="1" applyFill="1" applyBorder="1" applyAlignment="1">
      <alignment horizontal="center"/>
    </xf>
    <xf numFmtId="170" fontId="7" fillId="0" borderId="6" xfId="8" applyNumberFormat="1" applyFont="1" applyFill="1" applyBorder="1" applyAlignment="1">
      <alignment horizontal="center"/>
    </xf>
    <xf numFmtId="0" fontId="7" fillId="0" borderId="0" xfId="8" applyNumberFormat="1" applyFont="1" applyBorder="1" applyAlignment="1">
      <alignment horizontal="left" indent="1"/>
    </xf>
    <xf numFmtId="170" fontId="7" fillId="0" borderId="0" xfId="8" applyNumberFormat="1" applyFont="1" applyBorder="1"/>
    <xf numFmtId="170" fontId="7" fillId="0" borderId="6" xfId="8" applyNumberFormat="1" applyFont="1" applyFill="1" applyBorder="1"/>
    <xf numFmtId="165" fontId="7" fillId="0" borderId="6" xfId="1" applyNumberFormat="1" applyFont="1" applyFill="1" applyBorder="1"/>
    <xf numFmtId="165" fontId="7" fillId="0" borderId="4" xfId="1" applyNumberFormat="1" applyFont="1" applyFill="1" applyBorder="1"/>
    <xf numFmtId="165" fontId="7" fillId="0" borderId="0" xfId="1" applyNumberFormat="1" applyFont="1" applyFill="1" applyBorder="1"/>
    <xf numFmtId="165" fontId="7" fillId="0" borderId="5" xfId="1" applyNumberFormat="1" applyFont="1" applyFill="1" applyBorder="1"/>
    <xf numFmtId="165" fontId="7" fillId="0" borderId="0" xfId="1" applyNumberFormat="1" applyFont="1" applyBorder="1"/>
    <xf numFmtId="165" fontId="7" fillId="0" borderId="6" xfId="1" applyNumberFormat="1" applyFont="1" applyBorder="1"/>
    <xf numFmtId="165" fontId="10" fillId="0" borderId="6" xfId="1" applyNumberFormat="1" applyFont="1" applyFill="1" applyBorder="1"/>
    <xf numFmtId="165" fontId="10" fillId="0" borderId="4" xfId="1" applyNumberFormat="1" applyFont="1" applyFill="1" applyBorder="1"/>
    <xf numFmtId="165" fontId="10" fillId="0" borderId="0" xfId="1" applyNumberFormat="1" applyFont="1" applyFill="1" applyBorder="1"/>
    <xf numFmtId="165" fontId="10" fillId="0" borderId="5" xfId="1" applyNumberFormat="1" applyFont="1" applyFill="1" applyBorder="1"/>
    <xf numFmtId="165" fontId="7" fillId="0" borderId="7" xfId="1" applyNumberFormat="1" applyFont="1" applyFill="1" applyBorder="1"/>
    <xf numFmtId="165" fontId="10" fillId="0" borderId="8" xfId="1" applyNumberFormat="1" applyFont="1" applyFill="1" applyBorder="1"/>
    <xf numFmtId="173" fontId="7" fillId="0" borderId="0" xfId="8" applyNumberFormat="1" applyFont="1" applyFill="1" applyBorder="1"/>
    <xf numFmtId="43" fontId="7" fillId="0" borderId="6" xfId="8" applyFont="1" applyBorder="1"/>
    <xf numFmtId="43" fontId="7" fillId="0" borderId="0" xfId="8" applyFont="1" applyBorder="1"/>
    <xf numFmtId="0" fontId="7" fillId="0" borderId="0" xfId="1" applyFont="1" applyFill="1"/>
    <xf numFmtId="165" fontId="7" fillId="0" borderId="8" xfId="1" applyNumberFormat="1" applyFont="1" applyFill="1" applyBorder="1"/>
    <xf numFmtId="165" fontId="7" fillId="0" borderId="9" xfId="1" applyNumberFormat="1" applyFont="1" applyFill="1" applyBorder="1"/>
    <xf numFmtId="165" fontId="7" fillId="0" borderId="7" xfId="1" applyNumberFormat="1" applyFont="1" applyBorder="1"/>
    <xf numFmtId="173" fontId="7" fillId="0" borderId="0" xfId="1" applyNumberFormat="1" applyFont="1" applyBorder="1"/>
    <xf numFmtId="165" fontId="7" fillId="0" borderId="10" xfId="1" applyNumberFormat="1" applyFont="1" applyFill="1" applyBorder="1"/>
    <xf numFmtId="165" fontId="7" fillId="0" borderId="11" xfId="1" applyNumberFormat="1" applyFont="1" applyFill="1" applyBorder="1"/>
    <xf numFmtId="165" fontId="7" fillId="0" borderId="12" xfId="1" applyNumberFormat="1" applyFont="1" applyFill="1" applyBorder="1"/>
    <xf numFmtId="0" fontId="11" fillId="0" borderId="0" xfId="1" applyFont="1" applyBorder="1"/>
    <xf numFmtId="173" fontId="7" fillId="0" borderId="0" xfId="1" applyNumberFormat="1" applyFont="1" applyFill="1" applyBorder="1"/>
    <xf numFmtId="0" fontId="7" fillId="0" borderId="13" xfId="1" applyFont="1" applyBorder="1"/>
    <xf numFmtId="10" fontId="7" fillId="0" borderId="13" xfId="15" applyNumberFormat="1" applyFont="1" applyFill="1" applyBorder="1"/>
    <xf numFmtId="0" fontId="7" fillId="0" borderId="11" xfId="1" applyFont="1" applyBorder="1"/>
    <xf numFmtId="0" fontId="7" fillId="0" borderId="14" xfId="1" applyFont="1" applyBorder="1"/>
    <xf numFmtId="167" fontId="7" fillId="0" borderId="0" xfId="1" applyNumberFormat="1" applyFont="1" applyFill="1" applyBorder="1"/>
    <xf numFmtId="0" fontId="7" fillId="0" borderId="10" xfId="1" applyFont="1" applyBorder="1"/>
    <xf numFmtId="0" fontId="7" fillId="0" borderId="4" xfId="1" applyFont="1" applyBorder="1"/>
    <xf numFmtId="0" fontId="7" fillId="7" borderId="13" xfId="1" applyFont="1" applyFill="1" applyBorder="1"/>
    <xf numFmtId="167" fontId="7" fillId="7" borderId="3" xfId="1" applyNumberFormat="1" applyFont="1" applyFill="1" applyBorder="1"/>
    <xf numFmtId="167" fontId="7" fillId="7" borderId="13" xfId="1" applyNumberFormat="1" applyFont="1" applyFill="1" applyBorder="1"/>
    <xf numFmtId="0" fontId="7" fillId="7" borderId="11" xfId="1" applyFont="1" applyFill="1" applyBorder="1"/>
    <xf numFmtId="167" fontId="7" fillId="7" borderId="15" xfId="1" applyNumberFormat="1" applyFont="1" applyFill="1" applyBorder="1"/>
    <xf numFmtId="167" fontId="7" fillId="7" borderId="11" xfId="1" applyNumberFormat="1" applyFont="1" applyFill="1" applyBorder="1"/>
    <xf numFmtId="168" fontId="7" fillId="0" borderId="0" xfId="15" applyNumberFormat="1" applyFont="1" applyFill="1" applyBorder="1"/>
    <xf numFmtId="9" fontId="7" fillId="0" borderId="0" xfId="15" applyFont="1" applyFill="1" applyBorder="1"/>
    <xf numFmtId="168" fontId="7" fillId="0" borderId="0" xfId="15" applyNumberFormat="1" applyFont="1" applyBorder="1"/>
    <xf numFmtId="173" fontId="7" fillId="7" borderId="14" xfId="1" applyNumberFormat="1" applyFont="1" applyFill="1" applyBorder="1"/>
    <xf numFmtId="0" fontId="7" fillId="7" borderId="3" xfId="1" applyFont="1" applyFill="1" applyBorder="1" applyAlignment="1">
      <alignment horizontal="right"/>
    </xf>
    <xf numFmtId="0" fontId="10" fillId="7" borderId="13" xfId="1" applyFont="1" applyFill="1" applyBorder="1" applyAlignment="1">
      <alignment horizontal="right"/>
    </xf>
    <xf numFmtId="0" fontId="7" fillId="7" borderId="3" xfId="1" applyFont="1" applyFill="1" applyBorder="1"/>
    <xf numFmtId="167" fontId="10" fillId="7" borderId="11" xfId="1" applyNumberFormat="1" applyFont="1" applyFill="1" applyBorder="1"/>
    <xf numFmtId="167" fontId="10" fillId="7" borderId="15" xfId="1" applyNumberFormat="1" applyFont="1" applyFill="1" applyBorder="1"/>
    <xf numFmtId="2" fontId="10" fillId="7" borderId="15" xfId="1" applyNumberFormat="1" applyFont="1" applyFill="1" applyBorder="1"/>
    <xf numFmtId="2" fontId="7" fillId="0" borderId="0" xfId="1" applyNumberFormat="1" applyFont="1" applyFill="1" applyBorder="1"/>
    <xf numFmtId="0" fontId="7" fillId="0" borderId="0" xfId="1" applyFont="1" applyFill="1" applyBorder="1"/>
    <xf numFmtId="43" fontId="7" fillId="0" borderId="0" xfId="1" applyNumberFormat="1" applyFont="1" applyFill="1" applyBorder="1"/>
    <xf numFmtId="43" fontId="7" fillId="0" borderId="0" xfId="8" applyFont="1" applyFill="1" applyBorder="1"/>
    <xf numFmtId="9" fontId="7" fillId="0" borderId="0" xfId="15" applyNumberFormat="1" applyFont="1" applyFill="1" applyBorder="1"/>
    <xf numFmtId="175" fontId="7" fillId="0" borderId="16" xfId="1" applyNumberFormat="1" applyFont="1" applyBorder="1"/>
    <xf numFmtId="170" fontId="7" fillId="0" borderId="17" xfId="8" applyNumberFormat="1" applyFont="1" applyBorder="1"/>
    <xf numFmtId="170" fontId="10" fillId="0" borderId="16" xfId="1" applyNumberFormat="1" applyFont="1" applyBorder="1"/>
    <xf numFmtId="170" fontId="7" fillId="0" borderId="16" xfId="1" applyNumberFormat="1" applyFont="1" applyBorder="1"/>
    <xf numFmtId="175" fontId="7" fillId="0" borderId="0" xfId="1" applyNumberFormat="1" applyFont="1" applyBorder="1"/>
    <xf numFmtId="173" fontId="10" fillId="0" borderId="0" xfId="1" applyNumberFormat="1" applyFont="1" applyBorder="1"/>
    <xf numFmtId="170" fontId="7" fillId="0" borderId="0" xfId="1" applyNumberFormat="1" applyFont="1" applyBorder="1"/>
    <xf numFmtId="0" fontId="9" fillId="0" borderId="14" xfId="1" applyFont="1" applyFill="1" applyBorder="1"/>
    <xf numFmtId="175" fontId="7" fillId="0" borderId="13" xfId="1" applyNumberFormat="1" applyFont="1" applyBorder="1"/>
    <xf numFmtId="170" fontId="7" fillId="0" borderId="3" xfId="8" applyNumberFormat="1" applyFont="1" applyFill="1" applyBorder="1"/>
    <xf numFmtId="170" fontId="7" fillId="0" borderId="13" xfId="8" applyNumberFormat="1" applyFont="1" applyFill="1" applyBorder="1"/>
    <xf numFmtId="170" fontId="7" fillId="0" borderId="3" xfId="8" applyNumberFormat="1" applyFont="1" applyBorder="1"/>
    <xf numFmtId="170" fontId="7" fillId="0" borderId="13" xfId="1" applyNumberFormat="1" applyFont="1" applyBorder="1"/>
    <xf numFmtId="170" fontId="7" fillId="0" borderId="13" xfId="1" applyNumberFormat="1" applyFont="1" applyFill="1" applyBorder="1"/>
    <xf numFmtId="0" fontId="7" fillId="0" borderId="4" xfId="1" applyFont="1" applyFill="1" applyBorder="1"/>
    <xf numFmtId="170" fontId="7" fillId="0" borderId="6" xfId="8" applyNumberFormat="1" applyFont="1" applyBorder="1"/>
    <xf numFmtId="173" fontId="7" fillId="0" borderId="6" xfId="8" applyNumberFormat="1" applyFont="1" applyBorder="1"/>
    <xf numFmtId="0" fontId="7" fillId="0" borderId="4" xfId="1" applyFont="1" applyBorder="1" applyAlignment="1">
      <alignment horizontal="left" indent="1"/>
    </xf>
    <xf numFmtId="43" fontId="10" fillId="0" borderId="0" xfId="8" applyFont="1" applyFill="1" applyBorder="1"/>
    <xf numFmtId="173" fontId="10" fillId="0" borderId="0" xfId="8" applyNumberFormat="1" applyFont="1" applyFill="1" applyBorder="1"/>
    <xf numFmtId="173" fontId="7" fillId="0" borderId="6" xfId="8" applyNumberFormat="1" applyFont="1" applyFill="1" applyBorder="1"/>
    <xf numFmtId="173" fontId="10" fillId="0" borderId="0" xfId="1" applyNumberFormat="1" applyFont="1" applyFill="1" applyBorder="1"/>
    <xf numFmtId="173" fontId="10" fillId="0" borderId="6" xfId="8" applyNumberFormat="1" applyFont="1" applyFill="1" applyBorder="1"/>
    <xf numFmtId="175" fontId="7" fillId="0" borderId="0" xfId="1" applyNumberFormat="1" applyFont="1"/>
    <xf numFmtId="175" fontId="7" fillId="0" borderId="11" xfId="1" applyNumberFormat="1" applyFont="1" applyBorder="1"/>
    <xf numFmtId="170" fontId="7" fillId="0" borderId="15" xfId="8" applyNumberFormat="1" applyFont="1" applyFill="1" applyBorder="1"/>
    <xf numFmtId="170" fontId="7" fillId="0" borderId="11" xfId="8" applyNumberFormat="1" applyFont="1" applyFill="1" applyBorder="1"/>
    <xf numFmtId="170" fontId="7" fillId="0" borderId="11" xfId="8" applyNumberFormat="1" applyFont="1" applyBorder="1"/>
    <xf numFmtId="170" fontId="7" fillId="0" borderId="15" xfId="8" applyNumberFormat="1" applyFont="1" applyBorder="1"/>
    <xf numFmtId="0" fontId="7" fillId="0" borderId="6" xfId="1" applyFont="1" applyBorder="1"/>
    <xf numFmtId="172" fontId="7" fillId="0" borderId="0" xfId="1" applyNumberFormat="1" applyFont="1" applyBorder="1"/>
    <xf numFmtId="10" fontId="7" fillId="0" borderId="6" xfId="1" applyNumberFormat="1" applyFont="1" applyBorder="1"/>
    <xf numFmtId="10" fontId="7" fillId="0" borderId="0" xfId="1" applyNumberFormat="1" applyFont="1" applyBorder="1"/>
    <xf numFmtId="10" fontId="7" fillId="0" borderId="0" xfId="1" applyNumberFormat="1" applyFont="1" applyFill="1" applyBorder="1"/>
    <xf numFmtId="168" fontId="7" fillId="0" borderId="0" xfId="1" applyNumberFormat="1" applyFont="1"/>
    <xf numFmtId="44" fontId="7" fillId="0" borderId="0" xfId="9" applyFont="1" applyBorder="1"/>
    <xf numFmtId="10" fontId="7" fillId="0" borderId="0" xfId="15" applyNumberFormat="1" applyFont="1" applyBorder="1"/>
    <xf numFmtId="168" fontId="7" fillId="0" borderId="6" xfId="15" applyNumberFormat="1" applyFont="1" applyBorder="1"/>
    <xf numFmtId="10" fontId="7" fillId="0" borderId="6" xfId="15" applyNumberFormat="1" applyFont="1" applyBorder="1"/>
    <xf numFmtId="168" fontId="7" fillId="0" borderId="11" xfId="15" applyNumberFormat="1" applyFont="1" applyBorder="1"/>
    <xf numFmtId="168" fontId="7" fillId="0" borderId="15" xfId="15" applyNumberFormat="1" applyFont="1" applyBorder="1"/>
    <xf numFmtId="0" fontId="7" fillId="0" borderId="5" xfId="1" applyFont="1" applyBorder="1"/>
    <xf numFmtId="166" fontId="7" fillId="0" borderId="6" xfId="1" applyNumberFormat="1" applyFont="1" applyFill="1" applyBorder="1"/>
    <xf numFmtId="166" fontId="10" fillId="0" borderId="4" xfId="1" applyNumberFormat="1" applyFont="1" applyFill="1" applyBorder="1"/>
    <xf numFmtId="166" fontId="10" fillId="0" borderId="0" xfId="1" applyNumberFormat="1" applyFont="1" applyFill="1" applyBorder="1"/>
    <xf numFmtId="166" fontId="7" fillId="0" borderId="6" xfId="1" applyNumberFormat="1" applyFont="1" applyBorder="1"/>
    <xf numFmtId="166" fontId="7" fillId="0" borderId="0" xfId="1" applyNumberFormat="1" applyFont="1" applyBorder="1"/>
    <xf numFmtId="165" fontId="14" fillId="0" borderId="6" xfId="1" applyNumberFormat="1" applyFont="1" applyFill="1" applyBorder="1"/>
    <xf numFmtId="170" fontId="7" fillId="7" borderId="6" xfId="8" applyNumberFormat="1" applyFont="1" applyFill="1" applyBorder="1"/>
    <xf numFmtId="170" fontId="7" fillId="7" borderId="4" xfId="8" applyNumberFormat="1" applyFont="1" applyFill="1" applyBorder="1"/>
    <xf numFmtId="170" fontId="7" fillId="7" borderId="0" xfId="8" applyNumberFormat="1" applyFont="1" applyFill="1" applyBorder="1"/>
    <xf numFmtId="170" fontId="7" fillId="7" borderId="5" xfId="8" applyNumberFormat="1" applyFont="1" applyFill="1" applyBorder="1"/>
    <xf numFmtId="166" fontId="7" fillId="0" borderId="0" xfId="1" applyNumberFormat="1" applyFont="1" applyFill="1" applyBorder="1"/>
    <xf numFmtId="165" fontId="10" fillId="0" borderId="0" xfId="1" applyNumberFormat="1" applyFont="1" applyBorder="1"/>
    <xf numFmtId="168" fontId="7" fillId="0" borderId="0" xfId="15" applyNumberFormat="1" applyFont="1" applyFill="1"/>
    <xf numFmtId="168" fontId="7" fillId="0" borderId="6" xfId="15" applyNumberFormat="1" applyFont="1" applyFill="1" applyBorder="1"/>
    <xf numFmtId="168" fontId="7" fillId="0" borderId="4" xfId="15" applyNumberFormat="1" applyFont="1" applyFill="1" applyBorder="1"/>
    <xf numFmtId="168" fontId="7" fillId="0" borderId="5" xfId="15" applyNumberFormat="1" applyFont="1" applyFill="1" applyBorder="1"/>
    <xf numFmtId="43" fontId="7" fillId="0" borderId="6" xfId="8" applyFont="1" applyFill="1" applyBorder="1"/>
    <xf numFmtId="168" fontId="7" fillId="0" borderId="11" xfId="15" applyNumberFormat="1" applyFont="1" applyFill="1" applyBorder="1"/>
    <xf numFmtId="168" fontId="7" fillId="0" borderId="15" xfId="15" applyNumberFormat="1" applyFont="1" applyFill="1" applyBorder="1"/>
    <xf numFmtId="0" fontId="7" fillId="0" borderId="3" xfId="1" applyFont="1" applyFill="1" applyBorder="1"/>
    <xf numFmtId="175" fontId="7" fillId="0" borderId="0" xfId="1" applyNumberFormat="1" applyFont="1" applyFill="1" applyBorder="1"/>
    <xf numFmtId="170" fontId="10" fillId="0" borderId="8" xfId="8" applyNumberFormat="1" applyFont="1" applyBorder="1"/>
    <xf numFmtId="170" fontId="10" fillId="0" borderId="0" xfId="8" applyNumberFormat="1" applyFont="1" applyFill="1" applyBorder="1"/>
    <xf numFmtId="10" fontId="7" fillId="0" borderId="0" xfId="15" applyNumberFormat="1" applyFont="1" applyFill="1" applyBorder="1"/>
    <xf numFmtId="0" fontId="15" fillId="0" borderId="13" xfId="1" applyFont="1" applyBorder="1"/>
    <xf numFmtId="0" fontId="12" fillId="0" borderId="13" xfId="1" applyFont="1" applyBorder="1"/>
    <xf numFmtId="166" fontId="12" fillId="0" borderId="0" xfId="1" applyNumberFormat="1" applyFont="1" applyBorder="1"/>
    <xf numFmtId="0" fontId="15" fillId="0" borderId="0" xfId="1" applyFont="1" applyBorder="1"/>
    <xf numFmtId="0" fontId="12" fillId="0" borderId="0" xfId="1" applyFont="1" applyBorder="1"/>
    <xf numFmtId="166" fontId="12" fillId="0" borderId="0" xfId="1" applyNumberFormat="1" applyFont="1" applyFill="1" applyBorder="1"/>
    <xf numFmtId="166" fontId="12" fillId="0" borderId="6" xfId="1" applyNumberFormat="1" applyFont="1" applyBorder="1"/>
    <xf numFmtId="0" fontId="12" fillId="0" borderId="0" xfId="1" applyFont="1" applyFill="1" applyBorder="1"/>
    <xf numFmtId="0" fontId="12" fillId="0" borderId="6" xfId="1" applyFont="1" applyBorder="1"/>
    <xf numFmtId="0" fontId="15" fillId="0" borderId="11" xfId="1" applyFont="1" applyBorder="1"/>
    <xf numFmtId="0" fontId="12" fillId="0" borderId="11" xfId="1" applyFont="1" applyBorder="1"/>
    <xf numFmtId="0" fontId="12" fillId="0" borderId="11" xfId="1" applyFont="1" applyFill="1" applyBorder="1"/>
    <xf numFmtId="0" fontId="12" fillId="0" borderId="13" xfId="1" applyFont="1" applyFill="1" applyBorder="1"/>
    <xf numFmtId="8" fontId="7" fillId="0" borderId="0" xfId="1" applyNumberFormat="1" applyFont="1" applyFill="1"/>
    <xf numFmtId="0" fontId="9" fillId="0" borderId="0" xfId="1" applyFont="1" applyBorder="1"/>
    <xf numFmtId="17" fontId="7" fillId="0" borderId="0" xfId="1" applyNumberFormat="1" applyFont="1" applyBorder="1" applyAlignment="1">
      <alignment horizontal="center"/>
    </xf>
    <xf numFmtId="17" fontId="7" fillId="0" borderId="0" xfId="1" applyNumberFormat="1" applyFont="1" applyFill="1" applyBorder="1" applyAlignment="1">
      <alignment horizontal="center"/>
    </xf>
    <xf numFmtId="0" fontId="9" fillId="0" borderId="13" xfId="1" applyFont="1" applyFill="1" applyBorder="1"/>
    <xf numFmtId="0" fontId="7" fillId="0" borderId="13" xfId="1" applyFont="1" applyFill="1" applyBorder="1"/>
    <xf numFmtId="168" fontId="7" fillId="0" borderId="13" xfId="15" applyNumberFormat="1" applyFont="1" applyFill="1" applyBorder="1"/>
    <xf numFmtId="43" fontId="7" fillId="0" borderId="13" xfId="1" applyNumberFormat="1" applyFont="1" applyFill="1" applyBorder="1"/>
    <xf numFmtId="173" fontId="7" fillId="0" borderId="3" xfId="8" applyNumberFormat="1" applyFont="1" applyFill="1" applyBorder="1"/>
    <xf numFmtId="0" fontId="7" fillId="0" borderId="4" xfId="8" applyNumberFormat="1" applyFont="1" applyBorder="1" applyAlignment="1">
      <alignment horizontal="left" indent="1"/>
    </xf>
    <xf numFmtId="169" fontId="10" fillId="0" borderId="0" xfId="8" applyNumberFormat="1" applyFont="1" applyFill="1" applyBorder="1"/>
    <xf numFmtId="169" fontId="10" fillId="0" borderId="6" xfId="8" applyNumberFormat="1" applyFont="1" applyFill="1" applyBorder="1"/>
    <xf numFmtId="169" fontId="7" fillId="0" borderId="0" xfId="8" applyNumberFormat="1" applyFont="1" applyFill="1" applyBorder="1"/>
    <xf numFmtId="169" fontId="10" fillId="0" borderId="6" xfId="8" applyNumberFormat="1" applyFont="1" applyBorder="1"/>
    <xf numFmtId="169" fontId="7" fillId="0" borderId="6" xfId="8" applyNumberFormat="1" applyFont="1" applyFill="1" applyBorder="1"/>
    <xf numFmtId="173" fontId="7" fillId="0" borderId="0" xfId="8" applyNumberFormat="1" applyFont="1" applyBorder="1"/>
    <xf numFmtId="0" fontId="7" fillId="0" borderId="4" xfId="8" applyNumberFormat="1" applyFont="1" applyFill="1" applyBorder="1" applyAlignment="1">
      <alignment horizontal="left" indent="1"/>
    </xf>
    <xf numFmtId="0" fontId="7" fillId="0" borderId="0" xfId="8" applyNumberFormat="1" applyFont="1" applyFill="1" applyBorder="1" applyAlignment="1">
      <alignment horizontal="left" indent="1"/>
    </xf>
    <xf numFmtId="0" fontId="9" fillId="0" borderId="4" xfId="1" applyNumberFormat="1" applyFont="1" applyBorder="1"/>
    <xf numFmtId="0" fontId="9" fillId="0" borderId="0" xfId="1" applyNumberFormat="1" applyFont="1" applyBorder="1"/>
    <xf numFmtId="169" fontId="7" fillId="0" borderId="0" xfId="1" applyNumberFormat="1" applyFont="1" applyFill="1" applyBorder="1"/>
    <xf numFmtId="0" fontId="7" fillId="0" borderId="4" xfId="1" applyNumberFormat="1" applyFont="1" applyBorder="1" applyAlignment="1">
      <alignment horizontal="left" indent="1"/>
    </xf>
    <xf numFmtId="0" fontId="7" fillId="0" borderId="0" xfId="1" applyNumberFormat="1" applyFont="1" applyBorder="1"/>
    <xf numFmtId="170" fontId="7" fillId="0" borderId="0" xfId="1" applyNumberFormat="1" applyFont="1" applyFill="1" applyBorder="1"/>
    <xf numFmtId="43" fontId="10" fillId="0" borderId="6" xfId="8" applyFont="1" applyFill="1" applyBorder="1"/>
    <xf numFmtId="0" fontId="7" fillId="0" borderId="0" xfId="8" applyNumberFormat="1" applyFont="1" applyFill="1" applyBorder="1"/>
    <xf numFmtId="0" fontId="9" fillId="0" borderId="10" xfId="1" applyNumberFormat="1" applyFont="1" applyFill="1" applyBorder="1"/>
    <xf numFmtId="0" fontId="9" fillId="0" borderId="11" xfId="1" applyNumberFormat="1" applyFont="1" applyFill="1" applyBorder="1"/>
    <xf numFmtId="170" fontId="7" fillId="0" borderId="11" xfId="1" applyNumberFormat="1" applyFont="1" applyFill="1" applyBorder="1"/>
    <xf numFmtId="43" fontId="7" fillId="0" borderId="11" xfId="1" applyNumberFormat="1" applyFont="1" applyFill="1" applyBorder="1"/>
    <xf numFmtId="169" fontId="7" fillId="0" borderId="11" xfId="1" applyNumberFormat="1" applyFont="1" applyFill="1" applyBorder="1"/>
    <xf numFmtId="169" fontId="7" fillId="0" borderId="15" xfId="1" applyNumberFormat="1" applyFont="1" applyFill="1" applyBorder="1"/>
    <xf numFmtId="0" fontId="9" fillId="0" borderId="0" xfId="1" applyNumberFormat="1" applyFont="1" applyFill="1" applyBorder="1"/>
    <xf numFmtId="0" fontId="9" fillId="0" borderId="14" xfId="1" applyNumberFormat="1" applyFont="1" applyFill="1" applyBorder="1"/>
    <xf numFmtId="0" fontId="9" fillId="0" borderId="13" xfId="1" applyNumberFormat="1" applyFont="1" applyFill="1" applyBorder="1"/>
    <xf numFmtId="43" fontId="7" fillId="0" borderId="3" xfId="1" applyNumberFormat="1" applyFont="1" applyFill="1" applyBorder="1"/>
    <xf numFmtId="168" fontId="10" fillId="0" borderId="0" xfId="15" applyNumberFormat="1" applyFont="1" applyFill="1" applyBorder="1"/>
    <xf numFmtId="9" fontId="7" fillId="0" borderId="11" xfId="15" applyFont="1" applyFill="1" applyBorder="1"/>
    <xf numFmtId="168" fontId="7" fillId="0" borderId="0" xfId="8" applyNumberFormat="1" applyFont="1" applyFill="1" applyBorder="1"/>
    <xf numFmtId="173" fontId="7" fillId="0" borderId="0" xfId="15" applyNumberFormat="1" applyFont="1" applyFill="1" applyBorder="1"/>
    <xf numFmtId="43" fontId="18" fillId="0" borderId="0" xfId="1" applyNumberFormat="1" applyFont="1" applyBorder="1" applyAlignment="1">
      <alignment horizontal="center"/>
    </xf>
    <xf numFmtId="43" fontId="7" fillId="0" borderId="0" xfId="8" applyNumberFormat="1" applyFont="1" applyFill="1" applyBorder="1"/>
    <xf numFmtId="0" fontId="7" fillId="0" borderId="4" xfId="1" applyNumberFormat="1" applyFont="1" applyBorder="1"/>
    <xf numFmtId="9" fontId="7" fillId="0" borderId="0" xfId="1" applyNumberFormat="1" applyFont="1" applyFill="1" applyBorder="1"/>
    <xf numFmtId="43" fontId="7" fillId="0" borderId="0" xfId="1" applyNumberFormat="1" applyFont="1" applyBorder="1"/>
    <xf numFmtId="170" fontId="10" fillId="0" borderId="11" xfId="8" applyNumberFormat="1" applyFont="1" applyFill="1" applyBorder="1"/>
    <xf numFmtId="0" fontId="7" fillId="0" borderId="13" xfId="1" applyNumberFormat="1" applyFont="1" applyBorder="1"/>
    <xf numFmtId="168" fontId="7" fillId="0" borderId="13" xfId="15" applyNumberFormat="1" applyFont="1" applyBorder="1"/>
    <xf numFmtId="10" fontId="7" fillId="0" borderId="13" xfId="15" applyNumberFormat="1" applyFont="1" applyBorder="1"/>
    <xf numFmtId="182" fontId="7" fillId="0" borderId="0" xfId="15" applyNumberFormat="1" applyFont="1" applyFill="1" applyBorder="1"/>
    <xf numFmtId="0" fontId="7" fillId="0" borderId="10" xfId="1" applyNumberFormat="1" applyFont="1" applyBorder="1" applyAlignment="1">
      <alignment horizontal="left" indent="1"/>
    </xf>
    <xf numFmtId="0" fontId="7" fillId="0" borderId="11" xfId="1" applyNumberFormat="1" applyFont="1" applyBorder="1"/>
    <xf numFmtId="182" fontId="7" fillId="0" borderId="11" xfId="15" applyNumberFormat="1" applyFont="1" applyFill="1" applyBorder="1"/>
    <xf numFmtId="9" fontId="7" fillId="0" borderId="0" xfId="1" applyNumberFormat="1" applyFont="1" applyBorder="1"/>
    <xf numFmtId="168" fontId="7" fillId="0" borderId="3" xfId="15" applyNumberFormat="1" applyFont="1" applyFill="1" applyBorder="1"/>
    <xf numFmtId="168" fontId="7" fillId="0" borderId="3" xfId="15" applyNumberFormat="1" applyFont="1" applyBorder="1"/>
    <xf numFmtId="0" fontId="7" fillId="0" borderId="10" xfId="1" applyNumberFormat="1" applyFont="1" applyBorder="1"/>
    <xf numFmtId="43" fontId="7" fillId="0" borderId="11" xfId="1" applyNumberFormat="1" applyFont="1" applyBorder="1"/>
    <xf numFmtId="172" fontId="7" fillId="0" borderId="6" xfId="8" applyNumberFormat="1" applyFont="1" applyFill="1" applyBorder="1"/>
    <xf numFmtId="10" fontId="7" fillId="0" borderId="0" xfId="8" applyNumberFormat="1" applyFont="1" applyFill="1" applyBorder="1"/>
    <xf numFmtId="0" fontId="9" fillId="0" borderId="14" xfId="1" applyNumberFormat="1" applyFont="1" applyBorder="1"/>
    <xf numFmtId="168" fontId="8" fillId="0" borderId="13" xfId="15" applyNumberFormat="1" applyFont="1" applyFill="1" applyBorder="1"/>
    <xf numFmtId="168" fontId="10" fillId="0" borderId="13" xfId="15" applyNumberFormat="1" applyFont="1" applyFill="1" applyBorder="1"/>
    <xf numFmtId="182" fontId="7" fillId="0" borderId="6" xfId="15" applyNumberFormat="1" applyFont="1" applyFill="1" applyBorder="1"/>
    <xf numFmtId="182" fontId="7" fillId="0" borderId="4" xfId="15" applyNumberFormat="1" applyFont="1" applyFill="1" applyBorder="1"/>
    <xf numFmtId="182" fontId="7" fillId="0" borderId="0" xfId="15" applyNumberFormat="1" applyFont="1" applyFill="1" applyBorder="1" applyAlignment="1">
      <alignment horizontal="right"/>
    </xf>
    <xf numFmtId="182" fontId="7" fillId="0" borderId="6" xfId="15" applyNumberFormat="1" applyFont="1" applyFill="1" applyBorder="1" applyAlignment="1">
      <alignment horizontal="right"/>
    </xf>
    <xf numFmtId="168" fontId="10" fillId="0" borderId="6" xfId="15" applyNumberFormat="1" applyFont="1" applyFill="1" applyBorder="1"/>
    <xf numFmtId="168" fontId="10" fillId="0" borderId="4" xfId="15" applyNumberFormat="1" applyFont="1" applyFill="1" applyBorder="1"/>
    <xf numFmtId="182" fontId="10" fillId="0" borderId="0" xfId="15" applyNumberFormat="1" applyFont="1" applyFill="1" applyBorder="1"/>
    <xf numFmtId="43" fontId="7" fillId="7" borderId="0" xfId="8" applyFont="1" applyFill="1" applyBorder="1"/>
    <xf numFmtId="10" fontId="7" fillId="0" borderId="6" xfId="15" applyNumberFormat="1" applyFont="1" applyFill="1" applyBorder="1"/>
    <xf numFmtId="172" fontId="7" fillId="0" borderId="0" xfId="8" applyNumberFormat="1" applyFont="1" applyFill="1" applyBorder="1"/>
    <xf numFmtId="0" fontId="7" fillId="0" borderId="0" xfId="1" applyNumberFormat="1" applyFont="1" applyFill="1" applyBorder="1"/>
    <xf numFmtId="0" fontId="9" fillId="0" borderId="14" xfId="1" applyFont="1" applyBorder="1"/>
    <xf numFmtId="0" fontId="9" fillId="0" borderId="4" xfId="1" applyFont="1" applyBorder="1"/>
    <xf numFmtId="43" fontId="7" fillId="0" borderId="11" xfId="8" applyFont="1" applyFill="1" applyBorder="1"/>
    <xf numFmtId="43" fontId="7" fillId="0" borderId="15" xfId="8" applyFont="1" applyFill="1" applyBorder="1"/>
    <xf numFmtId="43" fontId="7" fillId="0" borderId="0" xfId="8" applyNumberFormat="1" applyFont="1" applyBorder="1" applyAlignment="1">
      <alignment horizontal="left" indent="1"/>
    </xf>
    <xf numFmtId="43" fontId="7" fillId="0" borderId="13" xfId="8" applyFont="1" applyFill="1" applyBorder="1"/>
    <xf numFmtId="10" fontId="7" fillId="0" borderId="13" xfId="8" applyNumberFormat="1" applyFont="1" applyFill="1" applyBorder="1"/>
    <xf numFmtId="0" fontId="9" fillId="0" borderId="4" xfId="8" applyNumberFormat="1" applyFont="1" applyBorder="1" applyAlignment="1">
      <alignment horizontal="left"/>
    </xf>
    <xf numFmtId="43" fontId="7" fillId="7" borderId="11" xfId="8" applyFont="1" applyFill="1" applyBorder="1"/>
    <xf numFmtId="43" fontId="7" fillId="7" borderId="15" xfId="8" applyFont="1" applyFill="1" applyBorder="1"/>
    <xf numFmtId="0" fontId="7" fillId="0" borderId="0" xfId="1" applyNumberFormat="1" applyFont="1" applyBorder="1" applyAlignment="1">
      <alignment horizontal="left" indent="1"/>
    </xf>
    <xf numFmtId="170" fontId="10" fillId="0" borderId="13" xfId="1" applyNumberFormat="1" applyFont="1" applyFill="1" applyBorder="1"/>
    <xf numFmtId="170" fontId="7" fillId="0" borderId="3" xfId="1" applyNumberFormat="1" applyFont="1" applyFill="1" applyBorder="1"/>
    <xf numFmtId="170" fontId="7" fillId="0" borderId="6" xfId="1" applyNumberFormat="1" applyFont="1" applyFill="1" applyBorder="1"/>
    <xf numFmtId="44" fontId="7" fillId="0" borderId="13" xfId="9" applyFont="1" applyBorder="1"/>
    <xf numFmtId="44" fontId="7" fillId="0" borderId="13" xfId="9" applyFont="1" applyFill="1" applyBorder="1"/>
    <xf numFmtId="44" fontId="7" fillId="0" borderId="3" xfId="9" applyFont="1" applyFill="1" applyBorder="1"/>
    <xf numFmtId="168" fontId="7" fillId="0" borderId="4" xfId="15" applyNumberFormat="1" applyFont="1" applyBorder="1" applyAlignment="1">
      <alignment horizontal="left" indent="1"/>
    </xf>
    <xf numFmtId="44" fontId="7" fillId="0" borderId="0" xfId="9" applyFont="1" applyFill="1" applyBorder="1"/>
    <xf numFmtId="44" fontId="7" fillId="0" borderId="6" xfId="9" applyFont="1" applyBorder="1"/>
    <xf numFmtId="44" fontId="7" fillId="0" borderId="0" xfId="1" applyNumberFormat="1" applyFont="1" applyBorder="1"/>
    <xf numFmtId="0" fontId="17" fillId="0" borderId="0" xfId="1" applyNumberFormat="1" applyFont="1" applyFill="1" applyBorder="1"/>
    <xf numFmtId="0" fontId="17" fillId="0" borderId="13" xfId="1" applyNumberFormat="1" applyFont="1" applyFill="1" applyBorder="1"/>
    <xf numFmtId="0" fontId="7" fillId="0" borderId="0" xfId="9" applyNumberFormat="1" applyFont="1" applyBorder="1"/>
    <xf numFmtId="44" fontId="10" fillId="0" borderId="0" xfId="9" applyFont="1" applyFill="1" applyBorder="1"/>
    <xf numFmtId="44" fontId="10" fillId="0" borderId="0" xfId="9" applyFont="1" applyBorder="1"/>
    <xf numFmtId="44" fontId="9" fillId="0" borderId="0" xfId="9" applyFont="1" applyFill="1" applyBorder="1"/>
    <xf numFmtId="44" fontId="9" fillId="0" borderId="0" xfId="9" applyFont="1" applyBorder="1"/>
    <xf numFmtId="44" fontId="9" fillId="0" borderId="0" xfId="9" applyNumberFormat="1" applyFont="1" applyBorder="1"/>
    <xf numFmtId="44" fontId="9" fillId="0" borderId="6" xfId="9" applyFont="1" applyBorder="1"/>
    <xf numFmtId="44" fontId="9" fillId="0" borderId="6" xfId="9" applyNumberFormat="1" applyFont="1" applyBorder="1"/>
    <xf numFmtId="44" fontId="7" fillId="0" borderId="11" xfId="9" applyFont="1" applyBorder="1"/>
    <xf numFmtId="172" fontId="7" fillId="0" borderId="6" xfId="1" applyNumberFormat="1" applyFont="1" applyBorder="1"/>
    <xf numFmtId="10" fontId="10" fillId="0" borderId="0" xfId="15" applyNumberFormat="1" applyFont="1" applyFill="1" applyBorder="1"/>
    <xf numFmtId="10" fontId="10" fillId="0" borderId="11" xfId="15" applyNumberFormat="1" applyFont="1" applyFill="1" applyBorder="1"/>
    <xf numFmtId="0" fontId="7" fillId="0" borderId="11" xfId="1" applyFont="1" applyFill="1" applyBorder="1"/>
    <xf numFmtId="10" fontId="7" fillId="0" borderId="11" xfId="15" applyNumberFormat="1" applyFont="1" applyFill="1" applyBorder="1"/>
    <xf numFmtId="43" fontId="7" fillId="0" borderId="6" xfId="1" applyNumberFormat="1" applyFont="1" applyFill="1" applyBorder="1"/>
    <xf numFmtId="0" fontId="7" fillId="0" borderId="10" xfId="1" applyFont="1" applyFill="1" applyBorder="1"/>
    <xf numFmtId="0" fontId="7" fillId="0" borderId="14" xfId="1" applyFont="1" applyFill="1" applyBorder="1"/>
    <xf numFmtId="9" fontId="7" fillId="0" borderId="13" xfId="1" applyNumberFormat="1" applyFont="1" applyFill="1" applyBorder="1"/>
    <xf numFmtId="0" fontId="9" fillId="0" borderId="4" xfId="1" applyFont="1" applyFill="1" applyBorder="1"/>
    <xf numFmtId="10" fontId="7" fillId="0" borderId="15" xfId="15" applyNumberFormat="1" applyFont="1" applyFill="1" applyBorder="1"/>
    <xf numFmtId="43" fontId="12" fillId="0" borderId="0" xfId="1" applyNumberFormat="1" applyFont="1" applyBorder="1"/>
    <xf numFmtId="17" fontId="12" fillId="0" borderId="0" xfId="1" applyNumberFormat="1" applyFont="1" applyBorder="1" applyAlignment="1">
      <alignment horizontal="center"/>
    </xf>
    <xf numFmtId="0" fontId="19" fillId="0" borderId="14" xfId="1" applyFont="1" applyBorder="1"/>
    <xf numFmtId="0" fontId="19" fillId="0" borderId="13" xfId="1" applyFont="1" applyBorder="1"/>
    <xf numFmtId="43" fontId="19" fillId="0" borderId="13" xfId="1" applyNumberFormat="1" applyFont="1" applyFill="1" applyBorder="1" applyAlignment="1">
      <alignment horizontal="center"/>
    </xf>
    <xf numFmtId="43" fontId="19" fillId="0" borderId="13" xfId="1" applyNumberFormat="1" applyFont="1" applyBorder="1" applyAlignment="1">
      <alignment horizontal="center"/>
    </xf>
    <xf numFmtId="43" fontId="19" fillId="0" borderId="3" xfId="1" applyNumberFormat="1" applyFont="1" applyBorder="1" applyAlignment="1">
      <alignment horizontal="center"/>
    </xf>
    <xf numFmtId="0" fontId="19" fillId="0" borderId="4" xfId="1" applyNumberFormat="1" applyFont="1" applyBorder="1"/>
    <xf numFmtId="0" fontId="19" fillId="0" borderId="0" xfId="1" applyNumberFormat="1" applyFont="1" applyBorder="1"/>
    <xf numFmtId="43" fontId="20" fillId="0" borderId="0" xfId="1" applyNumberFormat="1" applyFont="1" applyFill="1" applyBorder="1"/>
    <xf numFmtId="43" fontId="20" fillId="0" borderId="0" xfId="1" applyNumberFormat="1" applyFont="1" applyBorder="1"/>
    <xf numFmtId="43" fontId="19" fillId="0" borderId="6" xfId="1" applyNumberFormat="1" applyFont="1" applyBorder="1"/>
    <xf numFmtId="43" fontId="19" fillId="0" borderId="0" xfId="1" applyNumberFormat="1" applyFont="1" applyBorder="1"/>
    <xf numFmtId="173" fontId="12" fillId="0" borderId="0" xfId="1" applyNumberFormat="1" applyFont="1" applyBorder="1"/>
    <xf numFmtId="43" fontId="19" fillId="0" borderId="0" xfId="1" applyNumberFormat="1" applyFont="1" applyFill="1" applyBorder="1"/>
    <xf numFmtId="43" fontId="19" fillId="0" borderId="11" xfId="1" applyNumberFormat="1" applyFont="1" applyFill="1" applyBorder="1"/>
    <xf numFmtId="43" fontId="19" fillId="0" borderId="11" xfId="1" applyNumberFormat="1" applyFont="1" applyBorder="1"/>
    <xf numFmtId="43" fontId="19" fillId="0" borderId="15" xfId="1" applyNumberFormat="1" applyFont="1" applyBorder="1"/>
    <xf numFmtId="0" fontId="12" fillId="0" borderId="0" xfId="1" applyNumberFormat="1" applyFont="1" applyBorder="1"/>
    <xf numFmtId="173" fontId="12" fillId="0" borderId="0" xfId="1" applyNumberFormat="1" applyFont="1" applyFill="1" applyBorder="1"/>
    <xf numFmtId="170" fontId="12" fillId="0" borderId="0" xfId="1" applyNumberFormat="1" applyFont="1" applyFill="1" applyBorder="1"/>
    <xf numFmtId="43" fontId="12" fillId="0" borderId="0" xfId="1" applyNumberFormat="1" applyFont="1" applyFill="1" applyBorder="1"/>
    <xf numFmtId="0" fontId="12" fillId="0" borderId="0" xfId="1" applyNumberFormat="1" applyFont="1" applyFill="1" applyBorder="1"/>
    <xf numFmtId="168" fontId="12" fillId="0" borderId="0" xfId="15" applyNumberFormat="1" applyFont="1" applyFill="1" applyBorder="1"/>
    <xf numFmtId="10" fontId="12" fillId="0" borderId="0" xfId="15" applyNumberFormat="1" applyFont="1" applyFill="1" applyBorder="1"/>
    <xf numFmtId="0" fontId="12" fillId="0" borderId="14" xfId="1" applyNumberFormat="1" applyFont="1" applyFill="1" applyBorder="1"/>
    <xf numFmtId="0" fontId="12" fillId="0" borderId="13" xfId="1" applyNumberFormat="1" applyFont="1" applyFill="1" applyBorder="1"/>
    <xf numFmtId="173" fontId="12" fillId="0" borderId="13" xfId="1" applyNumberFormat="1" applyFont="1" applyFill="1" applyBorder="1"/>
    <xf numFmtId="10" fontId="12" fillId="0" borderId="13" xfId="15" applyNumberFormat="1" applyFont="1" applyFill="1" applyBorder="1"/>
    <xf numFmtId="10" fontId="12" fillId="0" borderId="3" xfId="15" applyNumberFormat="1" applyFont="1" applyFill="1" applyBorder="1"/>
    <xf numFmtId="0" fontId="12" fillId="0" borderId="4" xfId="1" applyNumberFormat="1" applyFont="1" applyFill="1" applyBorder="1"/>
    <xf numFmtId="10" fontId="12" fillId="0" borderId="6" xfId="15" applyNumberFormat="1" applyFont="1" applyFill="1" applyBorder="1"/>
    <xf numFmtId="10" fontId="20" fillId="0" borderId="0" xfId="15" applyNumberFormat="1" applyFont="1" applyFill="1" applyBorder="1"/>
    <xf numFmtId="0" fontId="12" fillId="0" borderId="11" xfId="1" applyNumberFormat="1" applyFont="1" applyFill="1" applyBorder="1"/>
    <xf numFmtId="173" fontId="12" fillId="0" borderId="11" xfId="1" applyNumberFormat="1" applyFont="1" applyFill="1" applyBorder="1"/>
    <xf numFmtId="10" fontId="12" fillId="0" borderId="11" xfId="15" applyNumberFormat="1" applyFont="1" applyFill="1" applyBorder="1"/>
    <xf numFmtId="10" fontId="12" fillId="0" borderId="15" xfId="15" applyNumberFormat="1" applyFont="1" applyFill="1" applyBorder="1"/>
    <xf numFmtId="168" fontId="12" fillId="0" borderId="13" xfId="15" applyNumberFormat="1" applyFont="1" applyFill="1" applyBorder="1"/>
    <xf numFmtId="168" fontId="12" fillId="0" borderId="3" xfId="15" applyNumberFormat="1" applyFont="1" applyFill="1" applyBorder="1"/>
    <xf numFmtId="168" fontId="12" fillId="0" borderId="6" xfId="15" applyNumberFormat="1" applyFont="1" applyFill="1" applyBorder="1"/>
    <xf numFmtId="0" fontId="12" fillId="0" borderId="10" xfId="1" applyNumberFormat="1" applyFont="1" applyFill="1" applyBorder="1"/>
    <xf numFmtId="168" fontId="12" fillId="0" borderId="11" xfId="15" applyNumberFormat="1" applyFont="1" applyFill="1" applyBorder="1"/>
    <xf numFmtId="168" fontId="12" fillId="0" borderId="15" xfId="15" applyNumberFormat="1" applyFont="1" applyFill="1" applyBorder="1"/>
    <xf numFmtId="173" fontId="20" fillId="0" borderId="0" xfId="1" applyNumberFormat="1" applyFont="1" applyFill="1" applyBorder="1"/>
    <xf numFmtId="9" fontId="12" fillId="0" borderId="0" xfId="1" applyNumberFormat="1" applyFont="1" applyBorder="1"/>
    <xf numFmtId="43" fontId="8" fillId="0" borderId="0" xfId="8" applyFont="1" applyFill="1" applyBorder="1"/>
    <xf numFmtId="0" fontId="7" fillId="0" borderId="11" xfId="1" applyNumberFormat="1" applyFont="1" applyFill="1" applyBorder="1"/>
    <xf numFmtId="0" fontId="8" fillId="0" borderId="0" xfId="1" applyFont="1"/>
    <xf numFmtId="0" fontId="8" fillId="0" borderId="0" xfId="1" applyFont="1" applyFill="1"/>
    <xf numFmtId="0" fontId="8" fillId="0" borderId="0" xfId="1" applyFont="1" applyBorder="1"/>
    <xf numFmtId="0" fontId="8" fillId="0" borderId="11" xfId="1" applyFont="1" applyBorder="1"/>
    <xf numFmtId="0" fontId="21" fillId="0" borderId="0" xfId="1" applyFont="1" applyBorder="1" applyAlignment="1"/>
    <xf numFmtId="0" fontId="21" fillId="0" borderId="0" xfId="1" applyFont="1" applyFill="1" applyBorder="1" applyAlignment="1"/>
    <xf numFmtId="0" fontId="21" fillId="0" borderId="0" xfId="1" applyFont="1" applyBorder="1" applyAlignment="1">
      <alignment horizontal="center"/>
    </xf>
    <xf numFmtId="41" fontId="8" fillId="0" borderId="0" xfId="1" applyNumberFormat="1" applyFont="1" applyBorder="1"/>
    <xf numFmtId="41" fontId="8" fillId="0" borderId="18" xfId="1" applyNumberFormat="1" applyFont="1" applyBorder="1"/>
    <xf numFmtId="183" fontId="8" fillId="0" borderId="0" xfId="1" applyNumberFormat="1" applyFont="1" applyBorder="1"/>
    <xf numFmtId="180" fontId="8" fillId="0" borderId="18" xfId="1" applyNumberFormat="1" applyFont="1" applyBorder="1"/>
    <xf numFmtId="41" fontId="8" fillId="0" borderId="8" xfId="1" applyNumberFormat="1" applyFont="1" applyBorder="1"/>
    <xf numFmtId="41" fontId="8" fillId="0" borderId="19" xfId="1" applyNumberFormat="1" applyFont="1" applyBorder="1"/>
    <xf numFmtId="180" fontId="8" fillId="0" borderId="19" xfId="1" applyNumberFormat="1" applyFont="1" applyBorder="1"/>
    <xf numFmtId="180" fontId="10" fillId="0" borderId="8" xfId="1" applyNumberFormat="1" applyFont="1" applyBorder="1"/>
    <xf numFmtId="180" fontId="8" fillId="0" borderId="8" xfId="1" applyNumberFormat="1" applyFont="1" applyBorder="1"/>
    <xf numFmtId="180" fontId="8" fillId="0" borderId="18" xfId="1" applyNumberFormat="1" applyFont="1" applyFill="1" applyBorder="1"/>
    <xf numFmtId="41" fontId="8" fillId="0" borderId="18" xfId="1" applyNumberFormat="1" applyFont="1" applyFill="1" applyBorder="1"/>
    <xf numFmtId="41" fontId="8" fillId="0" borderId="0" xfId="1" applyNumberFormat="1" applyFont="1" applyFill="1" applyBorder="1"/>
    <xf numFmtId="180" fontId="8" fillId="0" borderId="19" xfId="1" applyNumberFormat="1" applyFont="1" applyFill="1" applyBorder="1"/>
    <xf numFmtId="10" fontId="8" fillId="0" borderId="0" xfId="1" applyNumberFormat="1" applyFont="1" applyFill="1" applyBorder="1"/>
    <xf numFmtId="10" fontId="10" fillId="0" borderId="0" xfId="1" applyNumberFormat="1" applyFont="1" applyFill="1" applyBorder="1"/>
    <xf numFmtId="180" fontId="8" fillId="0" borderId="0" xfId="1" applyNumberFormat="1" applyFont="1" applyFill="1" applyBorder="1"/>
    <xf numFmtId="180" fontId="8" fillId="0" borderId="8" xfId="1" applyNumberFormat="1" applyFont="1" applyFill="1" applyBorder="1"/>
    <xf numFmtId="180" fontId="10" fillId="0" borderId="8" xfId="1" applyNumberFormat="1" applyFont="1" applyFill="1" applyBorder="1"/>
    <xf numFmtId="180" fontId="24" fillId="0" borderId="8" xfId="1" applyNumberFormat="1" applyFont="1" applyFill="1" applyBorder="1"/>
    <xf numFmtId="180" fontId="10" fillId="0" borderId="19" xfId="1" applyNumberFormat="1" applyFont="1" applyFill="1" applyBorder="1"/>
    <xf numFmtId="180" fontId="10" fillId="7" borderId="8" xfId="1" applyNumberFormat="1" applyFont="1" applyFill="1" applyBorder="1"/>
    <xf numFmtId="180" fontId="8" fillId="7" borderId="8" xfId="1" applyNumberFormat="1" applyFont="1" applyFill="1" applyBorder="1"/>
    <xf numFmtId="180" fontId="24" fillId="7" borderId="8" xfId="1" applyNumberFormat="1" applyFont="1" applyFill="1" applyBorder="1"/>
    <xf numFmtId="180" fontId="10" fillId="0" borderId="0" xfId="1" applyNumberFormat="1" applyFont="1" applyFill="1" applyBorder="1"/>
    <xf numFmtId="0" fontId="8" fillId="0" borderId="0" xfId="1" applyFont="1" applyFill="1" applyBorder="1"/>
    <xf numFmtId="170" fontId="10" fillId="7" borderId="0" xfId="8" applyNumberFormat="1" applyFont="1" applyFill="1" applyBorder="1"/>
    <xf numFmtId="180" fontId="8" fillId="7" borderId="0" xfId="1" applyNumberFormat="1" applyFont="1" applyFill="1" applyBorder="1"/>
    <xf numFmtId="180" fontId="8" fillId="7" borderId="18" xfId="1" applyNumberFormat="1" applyFont="1" applyFill="1" applyBorder="1"/>
    <xf numFmtId="170" fontId="10" fillId="0" borderId="8" xfId="8" applyNumberFormat="1" applyFont="1" applyFill="1" applyBorder="1"/>
    <xf numFmtId="0" fontId="8" fillId="0" borderId="0" xfId="1" applyFont="1" applyAlignment="1">
      <alignment horizontal="center"/>
    </xf>
    <xf numFmtId="43" fontId="8" fillId="0" borderId="18" xfId="8" applyFont="1" applyFill="1" applyBorder="1"/>
    <xf numFmtId="43" fontId="8" fillId="0" borderId="18" xfId="8" applyFont="1" applyFill="1" applyBorder="1" applyAlignment="1">
      <alignment horizontal="center"/>
    </xf>
    <xf numFmtId="43" fontId="8" fillId="0" borderId="0" xfId="8" applyFont="1" applyFill="1" applyBorder="1" applyAlignment="1">
      <alignment horizontal="center"/>
    </xf>
    <xf numFmtId="41" fontId="8" fillId="0" borderId="20" xfId="1" applyNumberFormat="1" applyFont="1" applyFill="1" applyBorder="1"/>
    <xf numFmtId="41" fontId="8" fillId="0" borderId="21" xfId="1" applyNumberFormat="1" applyFont="1" applyFill="1" applyBorder="1"/>
    <xf numFmtId="41" fontId="8" fillId="0" borderId="0" xfId="1" applyNumberFormat="1" applyFont="1" applyFill="1" applyBorder="1" applyAlignment="1">
      <alignment horizontal="center"/>
    </xf>
    <xf numFmtId="41" fontId="8" fillId="0" borderId="18" xfId="1" applyNumberFormat="1" applyFont="1" applyFill="1" applyBorder="1" applyAlignment="1">
      <alignment horizontal="center"/>
    </xf>
    <xf numFmtId="0" fontId="7" fillId="0" borderId="0" xfId="1" applyFont="1" applyAlignment="1">
      <alignment horizontal="center"/>
    </xf>
    <xf numFmtId="180" fontId="8" fillId="7" borderId="18" xfId="1" applyNumberFormat="1" applyFont="1" applyFill="1" applyBorder="1" applyAlignment="1">
      <alignment horizontal="center"/>
    </xf>
    <xf numFmtId="173" fontId="8" fillId="0" borderId="18" xfId="8" applyNumberFormat="1" applyFont="1" applyFill="1" applyBorder="1" applyAlignment="1">
      <alignment horizontal="center"/>
    </xf>
    <xf numFmtId="0" fontId="7" fillId="0" borderId="0" xfId="1" applyFont="1" applyAlignment="1">
      <alignment wrapText="1"/>
    </xf>
    <xf numFmtId="170" fontId="7" fillId="0" borderId="5" xfId="8" quotePrefix="1" applyNumberFormat="1" applyFont="1" applyFill="1" applyBorder="1" applyAlignment="1">
      <alignment horizontal="center"/>
    </xf>
    <xf numFmtId="170" fontId="10" fillId="0" borderId="16" xfId="1" applyNumberFormat="1" applyFont="1" applyFill="1" applyBorder="1"/>
    <xf numFmtId="185" fontId="10" fillId="0" borderId="8" xfId="1" applyNumberFormat="1" applyFont="1" applyBorder="1"/>
    <xf numFmtId="168" fontId="12" fillId="0" borderId="10" xfId="15" applyNumberFormat="1" applyFont="1" applyFill="1" applyBorder="1"/>
    <xf numFmtId="0" fontId="7" fillId="0" borderId="4" xfId="1" applyFont="1" applyFill="1" applyBorder="1" applyAlignment="1">
      <alignment horizontal="left" indent="1"/>
    </xf>
    <xf numFmtId="0" fontId="8" fillId="0" borderId="8" xfId="1" applyFont="1" applyBorder="1"/>
    <xf numFmtId="0" fontId="7" fillId="8" borderId="0" xfId="1" applyFont="1" applyFill="1"/>
    <xf numFmtId="0" fontId="7" fillId="0" borderId="0" xfId="1" applyFont="1" applyAlignment="1">
      <alignment horizontal="right"/>
    </xf>
    <xf numFmtId="10" fontId="20" fillId="0" borderId="13" xfId="15" applyNumberFormat="1" applyFont="1" applyFill="1" applyBorder="1"/>
    <xf numFmtId="168" fontId="10" fillId="0" borderId="0" xfId="1" applyNumberFormat="1" applyFont="1"/>
    <xf numFmtId="170" fontId="10" fillId="0" borderId="0" xfId="8" quotePrefix="1" applyNumberFormat="1" applyFont="1" applyFill="1" applyBorder="1" applyAlignment="1">
      <alignment horizontal="center"/>
    </xf>
    <xf numFmtId="170" fontId="10" fillId="0" borderId="8" xfId="8" quotePrefix="1" applyNumberFormat="1" applyFont="1" applyFill="1" applyBorder="1" applyAlignment="1">
      <alignment horizontal="center"/>
    </xf>
    <xf numFmtId="170" fontId="10" fillId="0" borderId="8" xfId="8" quotePrefix="1" applyNumberFormat="1" applyFont="1" applyBorder="1" applyAlignment="1">
      <alignment horizontal="center"/>
    </xf>
    <xf numFmtId="170" fontId="10" fillId="0" borderId="17" xfId="8" applyNumberFormat="1" applyFont="1" applyBorder="1"/>
    <xf numFmtId="170" fontId="10" fillId="0" borderId="6" xfId="8" applyNumberFormat="1" applyFont="1" applyFill="1" applyBorder="1" applyAlignment="1">
      <alignment horizontal="center"/>
    </xf>
    <xf numFmtId="170" fontId="10" fillId="0" borderId="7" xfId="8" applyNumberFormat="1" applyFont="1" applyBorder="1" applyAlignment="1">
      <alignment horizontal="center"/>
    </xf>
    <xf numFmtId="170" fontId="7" fillId="0" borderId="22" xfId="8" applyNumberFormat="1" applyFont="1" applyBorder="1" applyAlignment="1">
      <alignment horizontal="center"/>
    </xf>
    <xf numFmtId="170" fontId="10" fillId="0" borderId="8" xfId="1" applyNumberFormat="1" applyFont="1" applyFill="1" applyBorder="1"/>
    <xf numFmtId="165" fontId="10" fillId="0" borderId="8" xfId="8" applyNumberFormat="1" applyFont="1" applyBorder="1"/>
    <xf numFmtId="170" fontId="10" fillId="0" borderId="23" xfId="1" applyNumberFormat="1" applyFont="1" applyFill="1" applyBorder="1"/>
    <xf numFmtId="170" fontId="7" fillId="0" borderId="8" xfId="1" applyNumberFormat="1" applyFont="1" applyFill="1" applyBorder="1"/>
    <xf numFmtId="170" fontId="7" fillId="0" borderId="7" xfId="1" applyNumberFormat="1" applyFont="1" applyFill="1" applyBorder="1"/>
    <xf numFmtId="170" fontId="7" fillId="0" borderId="6" xfId="1" applyNumberFormat="1" applyFont="1" applyBorder="1"/>
    <xf numFmtId="170" fontId="7" fillId="0" borderId="7" xfId="1" applyNumberFormat="1" applyFont="1" applyBorder="1"/>
    <xf numFmtId="165" fontId="7" fillId="0" borderId="8" xfId="8" applyNumberFormat="1" applyFont="1" applyBorder="1"/>
    <xf numFmtId="165" fontId="10" fillId="0" borderId="8" xfId="8" applyNumberFormat="1" applyFont="1" applyFill="1" applyBorder="1"/>
    <xf numFmtId="170" fontId="10" fillId="0" borderId="6" xfId="1" applyNumberFormat="1" applyFont="1" applyFill="1" applyBorder="1"/>
    <xf numFmtId="170" fontId="10" fillId="0" borderId="6" xfId="8" applyNumberFormat="1" applyFont="1" applyBorder="1"/>
    <xf numFmtId="170" fontId="10" fillId="0" borderId="7" xfId="1" applyNumberFormat="1" applyFont="1" applyFill="1" applyBorder="1"/>
    <xf numFmtId="170" fontId="10" fillId="0" borderId="7" xfId="1" applyNumberFormat="1" applyFont="1" applyBorder="1"/>
    <xf numFmtId="170" fontId="7" fillId="0" borderId="8" xfId="1" applyNumberFormat="1" applyFont="1" applyBorder="1"/>
    <xf numFmtId="170" fontId="10" fillId="0" borderId="8" xfId="1" applyNumberFormat="1" applyFont="1" applyBorder="1"/>
    <xf numFmtId="165" fontId="10" fillId="0" borderId="8" xfId="1" applyNumberFormat="1" applyFont="1" applyBorder="1"/>
    <xf numFmtId="170" fontId="10" fillId="0" borderId="6" xfId="1" applyNumberFormat="1" applyFont="1" applyBorder="1"/>
    <xf numFmtId="167" fontId="10" fillId="0" borderId="0" xfId="1" applyNumberFormat="1" applyFont="1" applyFill="1" applyBorder="1"/>
    <xf numFmtId="166" fontId="10" fillId="0" borderId="6" xfId="1" applyNumberFormat="1" applyFont="1" applyFill="1" applyBorder="1"/>
    <xf numFmtId="170" fontId="7" fillId="0" borderId="5" xfId="1" applyNumberFormat="1" applyFont="1" applyFill="1" applyBorder="1"/>
    <xf numFmtId="170" fontId="7" fillId="0" borderId="6" xfId="8" quotePrefix="1" applyNumberFormat="1" applyFont="1" applyBorder="1" applyAlignment="1">
      <alignment horizontal="center"/>
    </xf>
    <xf numFmtId="170" fontId="7" fillId="0" borderId="6" xfId="8" quotePrefix="1" applyNumberFormat="1" applyFont="1" applyFill="1" applyBorder="1" applyAlignment="1">
      <alignment horizontal="center"/>
    </xf>
    <xf numFmtId="170" fontId="7" fillId="0" borderId="7" xfId="8" quotePrefix="1" applyNumberFormat="1" applyFont="1" applyBorder="1" applyAlignment="1">
      <alignment horizontal="center"/>
    </xf>
    <xf numFmtId="165" fontId="7" fillId="0" borderId="6" xfId="8" applyNumberFormat="1" applyFont="1" applyBorder="1"/>
    <xf numFmtId="165" fontId="7" fillId="0" borderId="7" xfId="8" applyNumberFormat="1" applyFont="1" applyBorder="1"/>
    <xf numFmtId="170" fontId="10" fillId="0" borderId="24" xfId="1" applyNumberFormat="1" applyFont="1" applyFill="1" applyBorder="1"/>
    <xf numFmtId="170" fontId="7" fillId="0" borderId="25" xfId="1" applyNumberFormat="1" applyFont="1" applyFill="1" applyBorder="1"/>
    <xf numFmtId="170" fontId="10" fillId="0" borderId="25" xfId="1" applyNumberFormat="1" applyFont="1" applyFill="1" applyBorder="1"/>
    <xf numFmtId="170" fontId="7" fillId="0" borderId="23" xfId="1" applyNumberFormat="1" applyFont="1" applyFill="1" applyBorder="1"/>
    <xf numFmtId="170" fontId="7" fillId="0" borderId="26" xfId="1" applyNumberFormat="1" applyFont="1" applyFill="1" applyBorder="1"/>
    <xf numFmtId="170" fontId="7" fillId="0" borderId="9" xfId="1" applyNumberFormat="1" applyFont="1" applyFill="1" applyBorder="1"/>
    <xf numFmtId="170" fontId="7" fillId="0" borderId="8" xfId="8" applyNumberFormat="1" applyFont="1" applyBorder="1"/>
    <xf numFmtId="170" fontId="7" fillId="0" borderId="7" xfId="8" applyNumberFormat="1" applyFont="1" applyBorder="1"/>
    <xf numFmtId="170" fontId="10" fillId="0" borderId="13" xfId="1" applyNumberFormat="1" applyFont="1" applyBorder="1"/>
    <xf numFmtId="10" fontId="7" fillId="0" borderId="4" xfId="15" applyNumberFormat="1" applyFont="1" applyBorder="1"/>
    <xf numFmtId="10" fontId="7" fillId="0" borderId="15" xfId="1" applyNumberFormat="1" applyFont="1" applyBorder="1"/>
    <xf numFmtId="165" fontId="10" fillId="0" borderId="5" xfId="8" applyNumberFormat="1" applyFont="1" applyFill="1" applyBorder="1"/>
    <xf numFmtId="165" fontId="10" fillId="0" borderId="0" xfId="8" applyNumberFormat="1" applyFont="1" applyBorder="1"/>
    <xf numFmtId="165" fontId="7" fillId="0" borderId="6" xfId="8" applyNumberFormat="1" applyFont="1" applyFill="1" applyBorder="1"/>
    <xf numFmtId="165" fontId="7" fillId="0" borderId="4" xfId="8" applyNumberFormat="1" applyFont="1" applyFill="1" applyBorder="1"/>
    <xf numFmtId="165" fontId="7" fillId="0" borderId="0" xfId="8" applyNumberFormat="1" applyFont="1" applyFill="1" applyBorder="1"/>
    <xf numFmtId="165" fontId="7" fillId="0" borderId="5" xfId="8" applyNumberFormat="1" applyFont="1" applyFill="1" applyBorder="1"/>
    <xf numFmtId="165" fontId="7" fillId="0" borderId="0" xfId="8" applyNumberFormat="1" applyFont="1" applyBorder="1"/>
    <xf numFmtId="165" fontId="10" fillId="0" borderId="0" xfId="1" applyNumberFormat="1" applyFont="1" applyFill="1" applyBorder="1" applyProtection="1">
      <protection locked="0"/>
    </xf>
    <xf numFmtId="165" fontId="10" fillId="0" borderId="0" xfId="8" applyNumberFormat="1" applyFont="1" applyFill="1" applyBorder="1"/>
    <xf numFmtId="165" fontId="7" fillId="0" borderId="8" xfId="8" applyNumberFormat="1" applyFont="1" applyFill="1" applyBorder="1"/>
    <xf numFmtId="165" fontId="7" fillId="0" borderId="15" xfId="1" applyNumberFormat="1" applyFont="1" applyFill="1" applyBorder="1"/>
    <xf numFmtId="165" fontId="7" fillId="0" borderId="11" xfId="1" applyNumberFormat="1" applyFont="1" applyBorder="1"/>
    <xf numFmtId="165" fontId="7" fillId="0" borderId="15" xfId="1" applyNumberFormat="1" applyFont="1" applyBorder="1"/>
    <xf numFmtId="0" fontId="12" fillId="0" borderId="3" xfId="1" applyFont="1" applyBorder="1"/>
    <xf numFmtId="0" fontId="12" fillId="0" borderId="15" xfId="1" applyFont="1" applyBorder="1"/>
    <xf numFmtId="0" fontId="15" fillId="0" borderId="6" xfId="1" applyFont="1" applyBorder="1"/>
    <xf numFmtId="0" fontId="15" fillId="0" borderId="15" xfId="1" applyFont="1" applyBorder="1"/>
    <xf numFmtId="167" fontId="10" fillId="0" borderId="17" xfId="1" applyNumberFormat="1" applyFont="1" applyFill="1" applyBorder="1"/>
    <xf numFmtId="0" fontId="7" fillId="0" borderId="10" xfId="8" applyNumberFormat="1" applyFont="1" applyBorder="1" applyAlignment="1">
      <alignment horizontal="left" indent="1"/>
    </xf>
    <xf numFmtId="0" fontId="27" fillId="3" borderId="13" xfId="13" applyFont="1" applyFill="1" applyBorder="1" applyAlignment="1">
      <alignment horizontal="left"/>
    </xf>
    <xf numFmtId="0" fontId="27" fillId="3" borderId="13" xfId="13" applyFont="1" applyFill="1" applyBorder="1"/>
    <xf numFmtId="0" fontId="27" fillId="9" borderId="0" xfId="13" applyFont="1" applyFill="1"/>
    <xf numFmtId="0" fontId="27" fillId="3" borderId="0" xfId="13" applyFont="1" applyFill="1" applyBorder="1"/>
    <xf numFmtId="0" fontId="30" fillId="3" borderId="0" xfId="13" applyFont="1" applyFill="1" applyBorder="1" applyAlignment="1">
      <alignment horizontal="left"/>
    </xf>
    <xf numFmtId="0" fontId="29" fillId="3" borderId="0" xfId="13" applyFont="1" applyFill="1" applyBorder="1"/>
    <xf numFmtId="0" fontId="31" fillId="3" borderId="0" xfId="13" applyFont="1" applyFill="1" applyBorder="1" applyAlignment="1">
      <alignment horizontal="left"/>
    </xf>
    <xf numFmtId="0" fontId="31" fillId="3" borderId="0" xfId="13" applyFont="1" applyFill="1" applyBorder="1" applyAlignment="1"/>
    <xf numFmtId="0" fontId="32" fillId="3" borderId="0" xfId="13" applyFont="1" applyFill="1" applyBorder="1"/>
    <xf numFmtId="0" fontId="27" fillId="2" borderId="4" xfId="13" applyFont="1" applyFill="1" applyBorder="1"/>
    <xf numFmtId="0" fontId="27" fillId="2" borderId="0" xfId="13" applyFont="1" applyFill="1" applyBorder="1"/>
    <xf numFmtId="0" fontId="33" fillId="2" borderId="0" xfId="13" applyFont="1" applyFill="1" applyBorder="1" applyAlignment="1">
      <alignment horizontal="left"/>
    </xf>
    <xf numFmtId="0" fontId="34" fillId="2" borderId="0" xfId="13" applyFont="1" applyFill="1" applyBorder="1" applyAlignment="1"/>
    <xf numFmtId="0" fontId="35" fillId="9" borderId="0" xfId="13" applyFont="1" applyFill="1"/>
    <xf numFmtId="0" fontId="36" fillId="9" borderId="0" xfId="10" applyFont="1" applyFill="1" applyAlignment="1" applyProtection="1"/>
    <xf numFmtId="0" fontId="34" fillId="2" borderId="10" xfId="13" applyFont="1" applyFill="1" applyBorder="1"/>
    <xf numFmtId="0" fontId="35" fillId="2" borderId="11" xfId="13" applyFont="1" applyFill="1" applyBorder="1"/>
    <xf numFmtId="0" fontId="27" fillId="2" borderId="11" xfId="13" applyFont="1" applyFill="1" applyBorder="1"/>
    <xf numFmtId="0" fontId="34" fillId="9" borderId="0" xfId="13" applyFont="1" applyFill="1"/>
    <xf numFmtId="0" fontId="27" fillId="9" borderId="0" xfId="13" applyFont="1" applyFill="1" applyAlignment="1">
      <alignment horizontal="left"/>
    </xf>
    <xf numFmtId="0" fontId="28" fillId="9" borderId="0" xfId="13" applyFill="1"/>
    <xf numFmtId="7" fontId="27" fillId="9" borderId="0" xfId="13" applyNumberFormat="1" applyFont="1" applyFill="1"/>
    <xf numFmtId="0" fontId="39" fillId="0" borderId="0" xfId="1" applyFont="1"/>
    <xf numFmtId="169" fontId="7" fillId="10" borderId="0" xfId="8" applyNumberFormat="1" applyFont="1" applyFill="1" applyBorder="1"/>
    <xf numFmtId="169" fontId="7" fillId="10" borderId="6" xfId="8" applyNumberFormat="1" applyFont="1" applyFill="1" applyBorder="1"/>
    <xf numFmtId="169" fontId="10" fillId="10" borderId="0" xfId="8" applyNumberFormat="1" applyFont="1" applyFill="1" applyBorder="1"/>
    <xf numFmtId="169" fontId="7" fillId="10" borderId="0" xfId="8" applyNumberFormat="1" applyFont="1" applyFill="1" applyBorder="1" applyAlignment="1">
      <alignment horizontal="center"/>
    </xf>
    <xf numFmtId="168" fontId="40" fillId="0" borderId="0" xfId="15" applyNumberFormat="1" applyFont="1" applyFill="1" applyBorder="1"/>
    <xf numFmtId="170" fontId="40" fillId="0" borderId="0" xfId="8" applyNumberFormat="1" applyFont="1" applyBorder="1"/>
    <xf numFmtId="170" fontId="7" fillId="10" borderId="0" xfId="8" applyNumberFormat="1" applyFont="1" applyFill="1" applyBorder="1"/>
    <xf numFmtId="170" fontId="10" fillId="10" borderId="0" xfId="8" applyNumberFormat="1" applyFont="1" applyFill="1" applyBorder="1"/>
    <xf numFmtId="169" fontId="7" fillId="0" borderId="13" xfId="1" applyNumberFormat="1" applyFont="1" applyFill="1" applyBorder="1"/>
    <xf numFmtId="170" fontId="40" fillId="0" borderId="0" xfId="8" applyNumberFormat="1" applyFont="1" applyFill="1" applyBorder="1"/>
    <xf numFmtId="170" fontId="7" fillId="0" borderId="4" xfId="8" applyNumberFormat="1" applyFont="1" applyBorder="1"/>
    <xf numFmtId="170" fontId="10" fillId="0" borderId="0" xfId="8" applyNumberFormat="1" applyFont="1" applyBorder="1"/>
    <xf numFmtId="170" fontId="9" fillId="0" borderId="4" xfId="8" applyNumberFormat="1" applyFont="1" applyFill="1" applyBorder="1"/>
    <xf numFmtId="170" fontId="10" fillId="0" borderId="15" xfId="8" applyNumberFormat="1" applyFont="1" applyFill="1" applyBorder="1"/>
    <xf numFmtId="169" fontId="7" fillId="0" borderId="10" xfId="1" applyNumberFormat="1" applyFont="1" applyFill="1" applyBorder="1"/>
    <xf numFmtId="169" fontId="7" fillId="0" borderId="12" xfId="1" applyNumberFormat="1" applyFont="1" applyFill="1" applyBorder="1"/>
    <xf numFmtId="170" fontId="7" fillId="0" borderId="14" xfId="8" applyNumberFormat="1" applyFont="1" applyBorder="1"/>
    <xf numFmtId="182" fontId="7" fillId="0" borderId="15" xfId="15" applyNumberFormat="1" applyFont="1" applyFill="1" applyBorder="1"/>
    <xf numFmtId="0" fontId="9" fillId="0" borderId="4" xfId="1" applyFont="1" applyBorder="1" applyAlignment="1">
      <alignment horizontal="left"/>
    </xf>
    <xf numFmtId="0" fontId="9" fillId="0" borderId="11" xfId="1" applyFont="1" applyBorder="1"/>
    <xf numFmtId="43" fontId="7" fillId="0" borderId="4" xfId="8" applyNumberFormat="1" applyFont="1" applyBorder="1" applyAlignment="1">
      <alignment horizontal="left" indent="1"/>
    </xf>
    <xf numFmtId="43" fontId="7" fillId="0" borderId="10" xfId="8" applyNumberFormat="1" applyFont="1" applyBorder="1" applyAlignment="1">
      <alignment horizontal="left" indent="1"/>
    </xf>
    <xf numFmtId="43" fontId="9" fillId="0" borderId="14" xfId="8" applyNumberFormat="1" applyFont="1" applyBorder="1" applyAlignment="1">
      <alignment horizontal="left"/>
    </xf>
    <xf numFmtId="43" fontId="7" fillId="0" borderId="16" xfId="8" applyFont="1" applyFill="1" applyBorder="1"/>
    <xf numFmtId="0" fontId="7" fillId="0" borderId="4" xfId="8" applyNumberFormat="1" applyFont="1" applyBorder="1" applyAlignment="1">
      <alignment horizontal="left"/>
    </xf>
    <xf numFmtId="170" fontId="7" fillId="0" borderId="11" xfId="1" applyNumberFormat="1" applyFont="1" applyBorder="1"/>
    <xf numFmtId="172" fontId="7" fillId="0" borderId="11" xfId="1" applyNumberFormat="1" applyFont="1" applyBorder="1"/>
    <xf numFmtId="172" fontId="7" fillId="0" borderId="15" xfId="1" applyNumberFormat="1" applyFont="1" applyBorder="1"/>
    <xf numFmtId="0" fontId="7" fillId="0" borderId="4" xfId="1" applyFont="1" applyBorder="1" applyAlignment="1">
      <alignment horizontal="left"/>
    </xf>
    <xf numFmtId="0" fontId="7" fillId="0" borderId="4" xfId="1" applyFont="1" applyFill="1" applyBorder="1" applyAlignment="1">
      <alignment horizontal="left"/>
    </xf>
    <xf numFmtId="0" fontId="7" fillId="0" borderId="10" xfId="1" applyFont="1" applyFill="1" applyBorder="1" applyAlignment="1">
      <alignment horizontal="left"/>
    </xf>
    <xf numFmtId="0" fontId="7" fillId="0" borderId="0" xfId="1" applyFont="1" applyFill="1" applyBorder="1" applyAlignment="1">
      <alignment horizontal="left"/>
    </xf>
    <xf numFmtId="0" fontId="7" fillId="0" borderId="10" xfId="1" applyFont="1" applyBorder="1" applyAlignment="1">
      <alignment horizontal="left"/>
    </xf>
    <xf numFmtId="166" fontId="10" fillId="0" borderId="0" xfId="1" applyNumberFormat="1" applyFont="1" applyBorder="1"/>
    <xf numFmtId="170" fontId="10" fillId="0" borderId="4" xfId="8" applyNumberFormat="1" applyFont="1" applyBorder="1"/>
    <xf numFmtId="170" fontId="10" fillId="0" borderId="5" xfId="8" applyNumberFormat="1" applyFont="1" applyBorder="1"/>
    <xf numFmtId="43" fontId="7" fillId="0" borderId="15" xfId="1" applyNumberFormat="1" applyFont="1" applyFill="1" applyBorder="1"/>
    <xf numFmtId="170" fontId="10" fillId="0" borderId="3" xfId="8" applyNumberFormat="1" applyFont="1" applyBorder="1"/>
    <xf numFmtId="170" fontId="10" fillId="0" borderId="0" xfId="1" applyNumberFormat="1" applyFont="1" applyBorder="1"/>
    <xf numFmtId="170" fontId="10" fillId="0" borderId="0" xfId="1" applyNumberFormat="1" applyFont="1" applyFill="1" applyBorder="1"/>
    <xf numFmtId="0" fontId="7" fillId="0" borderId="0" xfId="1" applyFont="1" applyBorder="1" applyAlignment="1">
      <alignment horizontal="left" indent="1"/>
    </xf>
    <xf numFmtId="170" fontId="7" fillId="0" borderId="15" xfId="1" applyNumberFormat="1" applyFont="1" applyFill="1" applyBorder="1"/>
    <xf numFmtId="177" fontId="7" fillId="0" borderId="0" xfId="15" applyNumberFormat="1" applyFont="1" applyFill="1" applyBorder="1"/>
    <xf numFmtId="166" fontId="7" fillId="0" borderId="3" xfId="1" applyNumberFormat="1" applyFont="1" applyFill="1" applyBorder="1"/>
    <xf numFmtId="166" fontId="7" fillId="0" borderId="13" xfId="1" applyNumberFormat="1" applyFont="1" applyFill="1" applyBorder="1"/>
    <xf numFmtId="166" fontId="7" fillId="0" borderId="13" xfId="1" applyNumberFormat="1" applyFont="1" applyBorder="1"/>
    <xf numFmtId="166" fontId="7" fillId="0" borderId="3" xfId="1" applyNumberFormat="1" applyFont="1" applyBorder="1"/>
    <xf numFmtId="10" fontId="7" fillId="0" borderId="15" xfId="1" applyNumberFormat="1" applyFont="1" applyBorder="1" applyAlignment="1">
      <alignment horizontal="right"/>
    </xf>
    <xf numFmtId="10" fontId="7" fillId="0" borderId="11" xfId="1" applyNumberFormat="1" applyFont="1" applyBorder="1"/>
    <xf numFmtId="10" fontId="7" fillId="0" borderId="11" xfId="1" applyNumberFormat="1" applyFont="1" applyFill="1" applyBorder="1"/>
    <xf numFmtId="10" fontId="7" fillId="0" borderId="13" xfId="1" applyNumberFormat="1" applyFont="1" applyBorder="1"/>
    <xf numFmtId="10" fontId="7" fillId="0" borderId="13" xfId="1" applyNumberFormat="1" applyFont="1" applyFill="1" applyBorder="1"/>
    <xf numFmtId="10" fontId="7" fillId="0" borderId="13" xfId="1" applyNumberFormat="1" applyFont="1" applyBorder="1" applyAlignment="1">
      <alignment horizontal="right"/>
    </xf>
    <xf numFmtId="10" fontId="10" fillId="0" borderId="13" xfId="1" applyNumberFormat="1" applyFont="1" applyBorder="1"/>
    <xf numFmtId="170" fontId="10" fillId="0" borderId="3" xfId="1" applyNumberFormat="1" applyFont="1" applyBorder="1"/>
    <xf numFmtId="170" fontId="7" fillId="0" borderId="15" xfId="1" applyNumberFormat="1" applyFont="1" applyBorder="1"/>
    <xf numFmtId="170" fontId="9" fillId="0" borderId="10" xfId="8" applyNumberFormat="1" applyFont="1" applyFill="1" applyBorder="1"/>
    <xf numFmtId="176" fontId="7" fillId="0" borderId="0" xfId="1" applyNumberFormat="1" applyFont="1" applyBorder="1"/>
    <xf numFmtId="44" fontId="9" fillId="0" borderId="6" xfId="9" applyFont="1" applyFill="1" applyBorder="1"/>
    <xf numFmtId="44" fontId="7" fillId="0" borderId="6" xfId="9" applyFont="1" applyFill="1" applyBorder="1"/>
    <xf numFmtId="0" fontId="7" fillId="0" borderId="0" xfId="1" applyFont="1" applyFill="1" applyAlignment="1">
      <alignment horizontal="center"/>
    </xf>
    <xf numFmtId="0" fontId="7" fillId="0" borderId="0" xfId="1" applyFont="1" applyFill="1" applyBorder="1" applyAlignment="1">
      <alignment horizontal="center"/>
    </xf>
    <xf numFmtId="0" fontId="7" fillId="0" borderId="0" xfId="1" applyFont="1" applyFill="1" applyProtection="1"/>
    <xf numFmtId="0" fontId="8" fillId="0" borderId="14" xfId="1" applyFont="1" applyFill="1" applyBorder="1"/>
    <xf numFmtId="180" fontId="8" fillId="0" borderId="13" xfId="1" applyNumberFormat="1" applyFont="1" applyFill="1" applyBorder="1"/>
    <xf numFmtId="180" fontId="8" fillId="0" borderId="28" xfId="1" applyNumberFormat="1" applyFont="1" applyFill="1" applyBorder="1"/>
    <xf numFmtId="43" fontId="8" fillId="0" borderId="29" xfId="8" applyFont="1" applyFill="1" applyBorder="1" applyAlignment="1">
      <alignment horizontal="center"/>
    </xf>
    <xf numFmtId="0" fontId="6" fillId="0" borderId="0" xfId="1" applyFont="1" applyBorder="1" applyAlignment="1">
      <alignment horizontal="center"/>
    </xf>
    <xf numFmtId="0" fontId="6" fillId="0" borderId="0" xfId="1" applyFont="1" applyFill="1" applyBorder="1" applyAlignment="1">
      <alignment horizontal="center"/>
    </xf>
    <xf numFmtId="0" fontId="8" fillId="0" borderId="4" xfId="1" applyFont="1" applyBorder="1"/>
    <xf numFmtId="0" fontId="23" fillId="0" borderId="0" xfId="1" applyFont="1" applyFill="1" applyBorder="1" applyAlignment="1">
      <alignment horizontal="center"/>
    </xf>
    <xf numFmtId="41" fontId="8" fillId="0" borderId="29" xfId="1" applyNumberFormat="1" applyFont="1" applyFill="1" applyBorder="1" applyAlignment="1">
      <alignment horizontal="center"/>
    </xf>
    <xf numFmtId="7" fontId="7" fillId="0" borderId="0" xfId="1" applyNumberFormat="1" applyFont="1" applyFill="1" applyBorder="1"/>
    <xf numFmtId="184" fontId="7" fillId="0" borderId="0" xfId="1" applyNumberFormat="1" applyFont="1" applyFill="1" applyBorder="1" applyAlignment="1">
      <alignment horizontal="center"/>
    </xf>
    <xf numFmtId="7" fontId="7" fillId="0" borderId="0" xfId="1" applyNumberFormat="1" applyFont="1" applyFill="1" applyBorder="1" applyAlignment="1">
      <alignment horizontal="center"/>
    </xf>
    <xf numFmtId="173" fontId="8" fillId="0" borderId="0" xfId="8" applyNumberFormat="1" applyFont="1" applyFill="1" applyBorder="1" applyAlignment="1">
      <alignment horizontal="center"/>
    </xf>
    <xf numFmtId="173" fontId="8" fillId="0" borderId="29" xfId="8" applyNumberFormat="1" applyFont="1" applyFill="1" applyBorder="1" applyAlignment="1">
      <alignment horizontal="center"/>
    </xf>
    <xf numFmtId="0" fontId="8" fillId="0" borderId="4" xfId="1" applyFont="1" applyFill="1" applyBorder="1"/>
    <xf numFmtId="0" fontId="8" fillId="7" borderId="4" xfId="1" applyFont="1" applyFill="1" applyBorder="1"/>
    <xf numFmtId="180" fontId="8" fillId="7" borderId="0" xfId="1" applyNumberFormat="1" applyFont="1" applyFill="1" applyBorder="1" applyAlignment="1">
      <alignment horizontal="center"/>
    </xf>
    <xf numFmtId="180" fontId="8" fillId="7" borderId="29" xfId="1" applyNumberFormat="1" applyFont="1" applyFill="1" applyBorder="1" applyAlignment="1">
      <alignment horizontal="center"/>
    </xf>
    <xf numFmtId="0" fontId="8" fillId="0" borderId="10" xfId="1" applyFont="1" applyFill="1" applyBorder="1"/>
    <xf numFmtId="180" fontId="8" fillId="0" borderId="11" xfId="1" applyNumberFormat="1" applyFont="1" applyFill="1" applyBorder="1"/>
    <xf numFmtId="180" fontId="8" fillId="0" borderId="30" xfId="1" applyNumberFormat="1" applyFont="1" applyFill="1" applyBorder="1"/>
    <xf numFmtId="180" fontId="8" fillId="0" borderId="11" xfId="1" applyNumberFormat="1" applyFont="1" applyFill="1" applyBorder="1" applyAlignment="1">
      <alignment horizontal="center"/>
    </xf>
    <xf numFmtId="180" fontId="8" fillId="0" borderId="30" xfId="1" applyNumberFormat="1" applyFont="1" applyFill="1" applyBorder="1" applyAlignment="1">
      <alignment horizontal="center"/>
    </xf>
    <xf numFmtId="180" fontId="8" fillId="0" borderId="31" xfId="1" applyNumberFormat="1" applyFont="1" applyFill="1" applyBorder="1" applyAlignment="1">
      <alignment horizontal="center"/>
    </xf>
    <xf numFmtId="0" fontId="8" fillId="0" borderId="0" xfId="1" applyFont="1" applyAlignment="1">
      <alignment horizontal="right"/>
    </xf>
    <xf numFmtId="10" fontId="10" fillId="0" borderId="13" xfId="15" applyNumberFormat="1" applyFont="1" applyFill="1" applyBorder="1" applyAlignment="1">
      <alignment horizontal="right"/>
    </xf>
    <xf numFmtId="180" fontId="8" fillId="0" borderId="13" xfId="1" applyNumberFormat="1" applyFont="1" applyFill="1" applyBorder="1" applyAlignment="1">
      <alignment horizontal="right"/>
    </xf>
    <xf numFmtId="180" fontId="8" fillId="0" borderId="28" xfId="1" applyNumberFormat="1" applyFont="1" applyFill="1" applyBorder="1" applyAlignment="1">
      <alignment horizontal="right"/>
    </xf>
    <xf numFmtId="180" fontId="8" fillId="0" borderId="32" xfId="1" applyNumberFormat="1" applyFont="1" applyFill="1" applyBorder="1" applyAlignment="1">
      <alignment horizontal="right"/>
    </xf>
    <xf numFmtId="0" fontId="8" fillId="0" borderId="14" xfId="1" applyFont="1" applyFill="1" applyBorder="1" applyAlignment="1">
      <alignment horizontal="left"/>
    </xf>
    <xf numFmtId="180" fontId="8" fillId="0" borderId="0" xfId="1" applyNumberFormat="1" applyFont="1" applyFill="1" applyBorder="1" applyAlignment="1">
      <alignment horizontal="center"/>
    </xf>
    <xf numFmtId="170" fontId="10" fillId="0" borderId="13" xfId="8" applyNumberFormat="1" applyFont="1" applyFill="1" applyBorder="1"/>
    <xf numFmtId="180" fontId="8" fillId="0" borderId="32" xfId="1" applyNumberFormat="1" applyFont="1" applyFill="1" applyBorder="1"/>
    <xf numFmtId="180" fontId="8" fillId="0" borderId="29" xfId="1" applyNumberFormat="1" applyFont="1" applyFill="1" applyBorder="1"/>
    <xf numFmtId="180" fontId="8" fillId="7" borderId="29" xfId="1" applyNumberFormat="1" applyFont="1" applyFill="1" applyBorder="1"/>
    <xf numFmtId="180" fontId="8" fillId="0" borderId="31" xfId="1" applyNumberFormat="1" applyFont="1" applyFill="1" applyBorder="1"/>
    <xf numFmtId="0" fontId="8" fillId="7" borderId="10" xfId="1" applyFont="1" applyFill="1" applyBorder="1"/>
    <xf numFmtId="170" fontId="10" fillId="7" borderId="11" xfId="8" applyNumberFormat="1" applyFont="1" applyFill="1" applyBorder="1"/>
    <xf numFmtId="180" fontId="8" fillId="7" borderId="11" xfId="1" applyNumberFormat="1" applyFont="1" applyFill="1" applyBorder="1"/>
    <xf numFmtId="180" fontId="8" fillId="7" borderId="30" xfId="1" applyNumberFormat="1" applyFont="1" applyFill="1" applyBorder="1"/>
    <xf numFmtId="180" fontId="8" fillId="7" borderId="31" xfId="1" applyNumberFormat="1" applyFont="1" applyFill="1" applyBorder="1"/>
    <xf numFmtId="0" fontId="38" fillId="0" borderId="16" xfId="1" applyFont="1" applyBorder="1" applyAlignment="1"/>
    <xf numFmtId="0" fontId="38" fillId="0" borderId="16" xfId="1" applyFont="1" applyFill="1" applyBorder="1" applyAlignment="1"/>
    <xf numFmtId="10" fontId="35" fillId="0" borderId="16" xfId="15" applyNumberFormat="1" applyFont="1" applyBorder="1" applyAlignment="1">
      <alignment horizontal="center"/>
    </xf>
    <xf numFmtId="9" fontId="35" fillId="0" borderId="33" xfId="15" applyFont="1" applyBorder="1" applyAlignment="1">
      <alignment horizontal="center"/>
    </xf>
    <xf numFmtId="9" fontId="35" fillId="0" borderId="33" xfId="15" applyFont="1" applyFill="1" applyBorder="1" applyAlignment="1">
      <alignment horizontal="center"/>
    </xf>
    <xf numFmtId="0" fontId="23" fillId="0" borderId="13" xfId="1" applyFont="1" applyFill="1" applyBorder="1" applyAlignment="1">
      <alignment horizontal="center"/>
    </xf>
    <xf numFmtId="0" fontId="8" fillId="0" borderId="13" xfId="1" applyFont="1" applyBorder="1"/>
    <xf numFmtId="0" fontId="8" fillId="0" borderId="4" xfId="1" applyFont="1" applyFill="1" applyBorder="1" applyAlignment="1">
      <alignment wrapText="1"/>
    </xf>
    <xf numFmtId="10" fontId="10" fillId="0" borderId="0" xfId="15" applyNumberFormat="1" applyFont="1" applyFill="1" applyBorder="1" applyAlignment="1">
      <alignment horizontal="center"/>
    </xf>
    <xf numFmtId="10" fontId="8" fillId="0" borderId="0" xfId="15" applyNumberFormat="1" applyFont="1" applyFill="1" applyBorder="1"/>
    <xf numFmtId="168" fontId="10" fillId="0" borderId="0" xfId="15" applyNumberFormat="1" applyFont="1" applyBorder="1"/>
    <xf numFmtId="41" fontId="8" fillId="0" borderId="29" xfId="1" applyNumberFormat="1" applyFont="1" applyFill="1" applyBorder="1"/>
    <xf numFmtId="0" fontId="23" fillId="0" borderId="0" xfId="1" applyFont="1" applyBorder="1" applyAlignment="1">
      <alignment horizontal="center"/>
    </xf>
    <xf numFmtId="180" fontId="10" fillId="0" borderId="0" xfId="1" applyNumberFormat="1" applyFont="1" applyBorder="1"/>
    <xf numFmtId="180" fontId="8" fillId="0" borderId="34" xfId="1" applyNumberFormat="1" applyFont="1" applyFill="1" applyBorder="1"/>
    <xf numFmtId="180" fontId="8" fillId="0" borderId="0" xfId="1" applyNumberFormat="1" applyFont="1" applyBorder="1"/>
    <xf numFmtId="180" fontId="8" fillId="0" borderId="29" xfId="1" applyNumberFormat="1" applyFont="1" applyBorder="1"/>
    <xf numFmtId="10" fontId="10" fillId="0" borderId="13" xfId="15" applyNumberFormat="1" applyFont="1" applyFill="1" applyBorder="1"/>
    <xf numFmtId="0" fontId="8" fillId="0" borderId="35" xfId="1" applyFont="1" applyFill="1" applyBorder="1"/>
    <xf numFmtId="170" fontId="10" fillId="0" borderId="11" xfId="8" applyNumberFormat="1" applyFont="1" applyBorder="1"/>
    <xf numFmtId="0" fontId="8" fillId="0" borderId="14" xfId="1" applyFont="1" applyFill="1" applyBorder="1" applyAlignment="1">
      <alignment wrapText="1"/>
    </xf>
    <xf numFmtId="0" fontId="23" fillId="0" borderId="13" xfId="1" applyFont="1" applyBorder="1" applyAlignment="1">
      <alignment horizontal="center"/>
    </xf>
    <xf numFmtId="41" fontId="8" fillId="0" borderId="13" xfId="1" applyNumberFormat="1" applyFont="1" applyBorder="1"/>
    <xf numFmtId="41" fontId="8" fillId="0" borderId="28" xfId="1" applyNumberFormat="1" applyFont="1" applyBorder="1"/>
    <xf numFmtId="10" fontId="10" fillId="0" borderId="13" xfId="15" applyNumberFormat="1" applyFont="1" applyBorder="1" applyAlignment="1">
      <alignment horizontal="center"/>
    </xf>
    <xf numFmtId="10" fontId="7" fillId="0" borderId="13" xfId="15" applyNumberFormat="1" applyFont="1" applyBorder="1" applyAlignment="1">
      <alignment horizontal="center"/>
    </xf>
    <xf numFmtId="41" fontId="7" fillId="0" borderId="28" xfId="1" applyNumberFormat="1" applyFont="1" applyBorder="1"/>
    <xf numFmtId="41" fontId="8" fillId="0" borderId="32" xfId="1" applyNumberFormat="1" applyFont="1" applyBorder="1"/>
    <xf numFmtId="41" fontId="8" fillId="0" borderId="29" xfId="1" applyNumberFormat="1" applyFont="1" applyBorder="1"/>
    <xf numFmtId="180" fontId="8" fillId="0" borderId="34" xfId="1" applyNumberFormat="1" applyFont="1" applyBorder="1"/>
    <xf numFmtId="0" fontId="8" fillId="0" borderId="10" xfId="1" applyFont="1" applyBorder="1"/>
    <xf numFmtId="0" fontId="22" fillId="0" borderId="0" xfId="10" applyFont="1" applyBorder="1" applyAlignment="1" applyProtection="1"/>
    <xf numFmtId="0" fontId="21" fillId="0" borderId="0" xfId="1" applyFont="1" applyFill="1" applyBorder="1"/>
    <xf numFmtId="170" fontId="19" fillId="0" borderId="13" xfId="1" applyNumberFormat="1" applyFont="1" applyFill="1" applyBorder="1" applyAlignment="1">
      <alignment horizontal="center"/>
    </xf>
    <xf numFmtId="0" fontId="19" fillId="0" borderId="0" xfId="1" applyNumberFormat="1" applyFont="1" applyFill="1" applyBorder="1"/>
    <xf numFmtId="173" fontId="19" fillId="0" borderId="0" xfId="1" applyNumberFormat="1" applyFont="1" applyFill="1" applyBorder="1"/>
    <xf numFmtId="173" fontId="19" fillId="0" borderId="0" xfId="8" applyNumberFormat="1" applyFont="1" applyFill="1" applyBorder="1"/>
    <xf numFmtId="170" fontId="20" fillId="0" borderId="0" xfId="1" applyNumberFormat="1" applyFont="1" applyFill="1" applyBorder="1"/>
    <xf numFmtId="43" fontId="19" fillId="0" borderId="0" xfId="8" applyNumberFormat="1" applyFont="1" applyFill="1" applyBorder="1"/>
    <xf numFmtId="170" fontId="19" fillId="0" borderId="0" xfId="1" applyNumberFormat="1" applyFont="1" applyFill="1" applyBorder="1"/>
    <xf numFmtId="0" fontId="19" fillId="0" borderId="11" xfId="1" applyNumberFormat="1" applyFont="1" applyFill="1" applyBorder="1"/>
    <xf numFmtId="173" fontId="19" fillId="0" borderId="11" xfId="1" applyNumberFormat="1" applyFont="1" applyFill="1" applyBorder="1"/>
    <xf numFmtId="170" fontId="19" fillId="0" borderId="11" xfId="1" applyNumberFormat="1" applyFont="1" applyFill="1" applyBorder="1"/>
    <xf numFmtId="0" fontId="21" fillId="0" borderId="36" xfId="1" applyFont="1" applyBorder="1"/>
    <xf numFmtId="43" fontId="8" fillId="7" borderId="0" xfId="8" applyFont="1" applyFill="1" applyBorder="1" applyAlignment="1">
      <alignment horizontal="center"/>
    </xf>
    <xf numFmtId="168" fontId="7" fillId="0" borderId="6" xfId="15" applyNumberFormat="1" applyFont="1" applyFill="1" applyBorder="1" applyAlignment="1">
      <alignment horizontal="right"/>
    </xf>
    <xf numFmtId="168" fontId="10" fillId="0" borderId="0" xfId="15" applyNumberFormat="1" applyFont="1" applyFill="1" applyBorder="1" applyAlignment="1">
      <alignment horizontal="right"/>
    </xf>
    <xf numFmtId="168" fontId="10" fillId="0" borderId="6" xfId="15" applyNumberFormat="1" applyFont="1" applyFill="1" applyBorder="1" applyAlignment="1">
      <alignment horizontal="right"/>
    </xf>
    <xf numFmtId="168" fontId="10" fillId="0" borderId="3" xfId="15" applyNumberFormat="1" applyFont="1" applyFill="1" applyBorder="1"/>
    <xf numFmtId="168" fontId="10" fillId="0" borderId="14" xfId="15" applyNumberFormat="1" applyFont="1" applyFill="1" applyBorder="1"/>
    <xf numFmtId="0" fontId="7" fillId="0" borderId="4" xfId="1" applyNumberFormat="1" applyFont="1" applyFill="1" applyBorder="1" applyAlignment="1">
      <alignment horizontal="left" indent="1"/>
    </xf>
    <xf numFmtId="0" fontId="7" fillId="0" borderId="16" xfId="1" applyFont="1" applyBorder="1"/>
    <xf numFmtId="185" fontId="10" fillId="0" borderId="0" xfId="1" applyNumberFormat="1" applyFont="1" applyFill="1" applyBorder="1"/>
    <xf numFmtId="185" fontId="8" fillId="0" borderId="18" xfId="1" applyNumberFormat="1" applyFont="1" applyFill="1" applyBorder="1"/>
    <xf numFmtId="185" fontId="8" fillId="0" borderId="0" xfId="1" applyNumberFormat="1" applyFont="1" applyFill="1" applyBorder="1"/>
    <xf numFmtId="185" fontId="8" fillId="0" borderId="29" xfId="1" applyNumberFormat="1" applyFont="1" applyFill="1" applyBorder="1"/>
    <xf numFmtId="185" fontId="10" fillId="0" borderId="37" xfId="1" applyNumberFormat="1" applyFont="1" applyFill="1" applyBorder="1"/>
    <xf numFmtId="185" fontId="10" fillId="0" borderId="19" xfId="1" applyNumberFormat="1" applyFont="1" applyFill="1" applyBorder="1"/>
    <xf numFmtId="185" fontId="10" fillId="0" borderId="8" xfId="1" applyNumberFormat="1" applyFont="1" applyFill="1" applyBorder="1"/>
    <xf numFmtId="185" fontId="8" fillId="0" borderId="19" xfId="1" applyNumberFormat="1" applyFont="1" applyFill="1" applyBorder="1"/>
    <xf numFmtId="185" fontId="10" fillId="7" borderId="8" xfId="1" applyNumberFormat="1" applyFont="1" applyFill="1" applyBorder="1"/>
    <xf numFmtId="185" fontId="8" fillId="0" borderId="34" xfId="1" applyNumberFormat="1" applyFont="1" applyFill="1" applyBorder="1"/>
    <xf numFmtId="185" fontId="10" fillId="0" borderId="0" xfId="8" applyNumberFormat="1" applyFont="1" applyFill="1" applyBorder="1"/>
    <xf numFmtId="185" fontId="8" fillId="0" borderId="0" xfId="1" applyNumberFormat="1" applyFont="1" applyBorder="1"/>
    <xf numFmtId="185" fontId="8" fillId="0" borderId="18" xfId="1" applyNumberFormat="1" applyFont="1" applyBorder="1"/>
    <xf numFmtId="183" fontId="8" fillId="0" borderId="0" xfId="1" applyNumberFormat="1" applyFont="1"/>
    <xf numFmtId="183" fontId="8" fillId="0" borderId="10" xfId="1" applyNumberFormat="1" applyFont="1" applyFill="1" applyBorder="1"/>
    <xf numFmtId="183" fontId="10" fillId="0" borderId="11" xfId="8" applyNumberFormat="1" applyFont="1" applyFill="1" applyBorder="1"/>
    <xf numFmtId="183" fontId="8" fillId="0" borderId="11" xfId="1" applyNumberFormat="1" applyFont="1" applyFill="1" applyBorder="1"/>
    <xf numFmtId="183" fontId="8" fillId="0" borderId="30" xfId="1" applyNumberFormat="1" applyFont="1" applyFill="1" applyBorder="1"/>
    <xf numFmtId="183" fontId="8" fillId="0" borderId="31" xfId="1" applyNumberFormat="1" applyFont="1" applyFill="1" applyBorder="1"/>
    <xf numFmtId="185" fontId="8" fillId="0" borderId="8" xfId="1" applyNumberFormat="1" applyFont="1" applyFill="1" applyBorder="1"/>
    <xf numFmtId="170" fontId="10" fillId="0" borderId="4" xfId="1" applyNumberFormat="1" applyFont="1" applyFill="1" applyBorder="1"/>
    <xf numFmtId="183" fontId="8" fillId="0" borderId="13" xfId="1" applyNumberFormat="1" applyFont="1" applyFill="1" applyBorder="1"/>
    <xf numFmtId="183" fontId="8" fillId="0" borderId="28" xfId="1" applyNumberFormat="1" applyFont="1" applyFill="1" applyBorder="1"/>
    <xf numFmtId="183" fontId="8" fillId="0" borderId="38" xfId="1" applyNumberFormat="1" applyFont="1" applyFill="1" applyBorder="1"/>
    <xf numFmtId="165" fontId="10" fillId="0" borderId="35" xfId="1" applyNumberFormat="1" applyFont="1" applyFill="1" applyBorder="1"/>
    <xf numFmtId="165" fontId="10" fillId="0" borderId="7" xfId="1" applyNumberFormat="1" applyFont="1" applyFill="1" applyBorder="1"/>
    <xf numFmtId="165" fontId="10" fillId="0" borderId="9" xfId="1" applyNumberFormat="1" applyFont="1" applyFill="1" applyBorder="1"/>
    <xf numFmtId="43" fontId="7" fillId="0" borderId="11" xfId="8" applyFont="1" applyBorder="1"/>
    <xf numFmtId="43" fontId="7" fillId="0" borderId="0" xfId="8" applyNumberFormat="1" applyFont="1" applyBorder="1"/>
    <xf numFmtId="43" fontId="7" fillId="0" borderId="13" xfId="8" applyFont="1" applyBorder="1"/>
    <xf numFmtId="43" fontId="10" fillId="0" borderId="0" xfId="8" applyFont="1" applyBorder="1"/>
    <xf numFmtId="43" fontId="7" fillId="0" borderId="15" xfId="8" applyFont="1" applyBorder="1"/>
    <xf numFmtId="0" fontId="19" fillId="0" borderId="4" xfId="1" applyNumberFormat="1" applyFont="1" applyFill="1" applyBorder="1"/>
    <xf numFmtId="43" fontId="19" fillId="0" borderId="6" xfId="1" applyNumberFormat="1" applyFont="1" applyFill="1" applyBorder="1"/>
    <xf numFmtId="183" fontId="8" fillId="7" borderId="0" xfId="1" applyNumberFormat="1" applyFont="1" applyFill="1" applyBorder="1"/>
    <xf numFmtId="183" fontId="8" fillId="0" borderId="0" xfId="1" applyNumberFormat="1" applyFont="1" applyFill="1" applyBorder="1"/>
    <xf numFmtId="165" fontId="7" fillId="2" borderId="0" xfId="1" applyNumberFormat="1" applyFont="1" applyFill="1" applyBorder="1"/>
    <xf numFmtId="168" fontId="10" fillId="2" borderId="0" xfId="15" applyNumberFormat="1" applyFont="1" applyFill="1" applyBorder="1"/>
    <xf numFmtId="168" fontId="7" fillId="2" borderId="0" xfId="15" applyNumberFormat="1" applyFont="1" applyFill="1" applyBorder="1"/>
    <xf numFmtId="165" fontId="7" fillId="2" borderId="6" xfId="1" applyNumberFormat="1" applyFont="1" applyFill="1" applyBorder="1"/>
    <xf numFmtId="165" fontId="10" fillId="2" borderId="0" xfId="1" applyNumberFormat="1" applyFont="1" applyFill="1" applyBorder="1"/>
    <xf numFmtId="170" fontId="7" fillId="2" borderId="4" xfId="8" applyNumberFormat="1" applyFont="1" applyFill="1" applyBorder="1"/>
    <xf numFmtId="168" fontId="7" fillId="2" borderId="6" xfId="15" applyNumberFormat="1" applyFont="1" applyFill="1" applyBorder="1"/>
    <xf numFmtId="0" fontId="7" fillId="2" borderId="0" xfId="1" applyFont="1" applyFill="1" applyBorder="1"/>
    <xf numFmtId="165" fontId="10" fillId="2" borderId="6" xfId="1" applyNumberFormat="1" applyFont="1" applyFill="1" applyBorder="1"/>
    <xf numFmtId="165" fontId="10" fillId="2" borderId="4" xfId="1" applyNumberFormat="1" applyFont="1" applyFill="1" applyBorder="1"/>
    <xf numFmtId="165" fontId="10" fillId="2" borderId="5" xfId="8" applyNumberFormat="1" applyFont="1" applyFill="1" applyBorder="1"/>
    <xf numFmtId="0" fontId="7" fillId="2" borderId="0" xfId="1" applyFont="1" applyFill="1"/>
    <xf numFmtId="169" fontId="7" fillId="0" borderId="0" xfId="1" applyNumberFormat="1" applyFont="1" applyBorder="1"/>
    <xf numFmtId="0" fontId="7" fillId="0" borderId="0" xfId="1" applyFont="1" applyBorder="1" applyAlignment="1">
      <alignment horizontal="left"/>
    </xf>
    <xf numFmtId="175" fontId="43" fillId="0" borderId="0" xfId="1" applyNumberFormat="1" applyFont="1" applyFill="1" applyBorder="1"/>
    <xf numFmtId="44" fontId="44" fillId="0" borderId="0" xfId="9" applyFont="1" applyFill="1"/>
    <xf numFmtId="43" fontId="19" fillId="0" borderId="15" xfId="1" applyNumberFormat="1" applyFont="1" applyFill="1" applyBorder="1"/>
    <xf numFmtId="0" fontId="9" fillId="5" borderId="17" xfId="1" applyFont="1" applyFill="1" applyBorder="1" applyAlignment="1">
      <alignment horizontal="center"/>
    </xf>
    <xf numFmtId="168" fontId="49" fillId="0" borderId="13" xfId="15" applyNumberFormat="1" applyFont="1" applyFill="1" applyBorder="1"/>
    <xf numFmtId="168" fontId="49" fillId="0" borderId="0" xfId="15" applyNumberFormat="1" applyFont="1" applyFill="1" applyBorder="1"/>
    <xf numFmtId="0" fontId="0" fillId="2" borderId="0" xfId="1" applyFont="1" applyFill="1"/>
    <xf numFmtId="10" fontId="10" fillId="2" borderId="0" xfId="1" applyNumberFormat="1" applyFont="1" applyFill="1" applyBorder="1"/>
    <xf numFmtId="43" fontId="7" fillId="0" borderId="6" xfId="8" quotePrefix="1" applyNumberFormat="1" applyFont="1" applyFill="1" applyBorder="1" applyAlignment="1">
      <alignment horizontal="center"/>
    </xf>
    <xf numFmtId="49" fontId="0" fillId="0" borderId="0" xfId="1" applyNumberFormat="1" applyFont="1"/>
    <xf numFmtId="173" fontId="10" fillId="0" borderId="13" xfId="8" applyNumberFormat="1" applyFont="1" applyFill="1" applyBorder="1"/>
    <xf numFmtId="173" fontId="7" fillId="0" borderId="13" xfId="8" applyNumberFormat="1" applyFont="1" applyBorder="1"/>
    <xf numFmtId="180" fontId="7" fillId="7" borderId="8" xfId="1" applyNumberFormat="1" applyFont="1" applyFill="1" applyBorder="1"/>
    <xf numFmtId="0" fontId="7" fillId="7" borderId="13" xfId="1" applyFont="1" applyFill="1" applyBorder="1" applyAlignment="1">
      <alignment horizontal="right"/>
    </xf>
    <xf numFmtId="2" fontId="7" fillId="7" borderId="15" xfId="1" applyNumberFormat="1" applyFont="1" applyFill="1" applyBorder="1"/>
    <xf numFmtId="0" fontId="7" fillId="0" borderId="39" xfId="1" applyFont="1" applyBorder="1"/>
    <xf numFmtId="10" fontId="7" fillId="0" borderId="40" xfId="1" applyNumberFormat="1" applyFont="1" applyBorder="1"/>
    <xf numFmtId="10" fontId="7" fillId="0" borderId="39" xfId="15" applyNumberFormat="1" applyFont="1" applyBorder="1"/>
    <xf numFmtId="10" fontId="7" fillId="0" borderId="40" xfId="15" applyNumberFormat="1" applyFont="1" applyBorder="1"/>
    <xf numFmtId="10" fontId="7" fillId="0" borderId="39" xfId="15" applyNumberFormat="1" applyFont="1" applyFill="1" applyBorder="1"/>
    <xf numFmtId="44" fontId="15" fillId="0" borderId="0" xfId="9" applyFont="1" applyBorder="1"/>
    <xf numFmtId="168" fontId="15" fillId="0" borderId="0" xfId="15" applyNumberFormat="1" applyFont="1" applyBorder="1"/>
    <xf numFmtId="44" fontId="12" fillId="0" borderId="0" xfId="9" applyFont="1" applyBorder="1"/>
    <xf numFmtId="44" fontId="12" fillId="0" borderId="6" xfId="9" applyFont="1" applyBorder="1"/>
    <xf numFmtId="44" fontId="12" fillId="0" borderId="0" xfId="9" applyFont="1" applyFill="1" applyBorder="1"/>
    <xf numFmtId="44" fontId="15" fillId="0" borderId="6" xfId="9" applyFont="1" applyBorder="1"/>
    <xf numFmtId="0" fontId="15" fillId="0" borderId="3" xfId="1" applyFont="1" applyBorder="1"/>
    <xf numFmtId="165" fontId="7" fillId="0" borderId="13" xfId="1" applyNumberFormat="1" applyFont="1" applyBorder="1"/>
    <xf numFmtId="165" fontId="7" fillId="0" borderId="3" xfId="1" applyNumberFormat="1" applyFont="1" applyBorder="1"/>
    <xf numFmtId="39" fontId="7" fillId="0" borderId="13" xfId="1" applyNumberFormat="1" applyFont="1" applyBorder="1"/>
    <xf numFmtId="168" fontId="15" fillId="0" borderId="39" xfId="15" applyNumberFormat="1" applyFont="1" applyBorder="1"/>
    <xf numFmtId="168" fontId="12" fillId="0" borderId="39" xfId="15" applyNumberFormat="1" applyFont="1" applyBorder="1"/>
    <xf numFmtId="168" fontId="12" fillId="0" borderId="40" xfId="15" applyNumberFormat="1" applyFont="1" applyBorder="1"/>
    <xf numFmtId="168" fontId="12" fillId="0" borderId="39" xfId="15" applyNumberFormat="1" applyFont="1" applyFill="1" applyBorder="1"/>
    <xf numFmtId="168" fontId="15" fillId="0" borderId="40" xfId="15" applyNumberFormat="1" applyFont="1" applyBorder="1"/>
    <xf numFmtId="168" fontId="7" fillId="0" borderId="39" xfId="15" applyNumberFormat="1" applyFont="1" applyBorder="1"/>
    <xf numFmtId="168" fontId="7" fillId="0" borderId="40" xfId="15" applyNumberFormat="1" applyFont="1" applyBorder="1"/>
    <xf numFmtId="166" fontId="7" fillId="0" borderId="16" xfId="1" applyNumberFormat="1" applyFont="1" applyFill="1" applyBorder="1"/>
    <xf numFmtId="166" fontId="10" fillId="0" borderId="16" xfId="1" applyNumberFormat="1" applyFont="1" applyBorder="1"/>
    <xf numFmtId="2" fontId="7" fillId="0" borderId="16" xfId="1" applyNumberFormat="1" applyFont="1" applyBorder="1"/>
    <xf numFmtId="0" fontId="7" fillId="0" borderId="16" xfId="1" applyFont="1" applyFill="1" applyBorder="1"/>
    <xf numFmtId="164" fontId="7" fillId="0" borderId="16" xfId="1" applyNumberFormat="1" applyFont="1" applyFill="1" applyBorder="1"/>
    <xf numFmtId="166" fontId="7" fillId="0" borderId="16" xfId="1" applyNumberFormat="1" applyFont="1" applyBorder="1"/>
    <xf numFmtId="0" fontId="6" fillId="0" borderId="0" xfId="1" applyFont="1" applyAlignment="1">
      <alignment wrapText="1"/>
    </xf>
    <xf numFmtId="0" fontId="7" fillId="6" borderId="0" xfId="1" applyFont="1" applyFill="1" applyAlignment="1" applyProtection="1">
      <alignment wrapText="1"/>
    </xf>
    <xf numFmtId="0" fontId="9" fillId="0" borderId="0" xfId="1" applyFont="1" applyAlignment="1">
      <alignment wrapText="1"/>
    </xf>
    <xf numFmtId="0" fontId="7" fillId="0" borderId="4" xfId="8" applyNumberFormat="1" applyFont="1" applyBorder="1" applyAlignment="1">
      <alignment wrapText="1"/>
    </xf>
    <xf numFmtId="0" fontId="7" fillId="0" borderId="4" xfId="1" applyFont="1" applyBorder="1" applyAlignment="1">
      <alignment horizontal="left" wrapText="1"/>
    </xf>
    <xf numFmtId="0" fontId="7" fillId="0" borderId="4" xfId="1" applyFont="1" applyBorder="1" applyAlignment="1">
      <alignment wrapText="1"/>
    </xf>
    <xf numFmtId="0" fontId="7" fillId="0" borderId="4" xfId="1" applyFont="1" applyFill="1" applyBorder="1" applyAlignment="1">
      <alignment horizontal="left" wrapText="1"/>
    </xf>
    <xf numFmtId="0" fontId="7" fillId="0" borderId="10" xfId="1" applyFont="1" applyFill="1" applyBorder="1" applyAlignment="1">
      <alignment wrapText="1"/>
    </xf>
    <xf numFmtId="0" fontId="7" fillId="0" borderId="0" xfId="1" applyFont="1" applyBorder="1" applyAlignment="1">
      <alignment wrapText="1"/>
    </xf>
    <xf numFmtId="0" fontId="7" fillId="7" borderId="14" xfId="1" applyFont="1" applyFill="1" applyBorder="1" applyAlignment="1">
      <alignment wrapText="1"/>
    </xf>
    <xf numFmtId="0" fontId="9" fillId="0" borderId="14" xfId="1" applyFont="1" applyFill="1" applyBorder="1" applyAlignment="1">
      <alignment wrapText="1"/>
    </xf>
    <xf numFmtId="165" fontId="7" fillId="0" borderId="4" xfId="1" applyNumberFormat="1" applyFont="1" applyFill="1" applyBorder="1" applyAlignment="1">
      <alignment horizontal="left" wrapText="1"/>
    </xf>
    <xf numFmtId="165" fontId="7" fillId="0" borderId="4" xfId="1" applyNumberFormat="1" applyFont="1" applyBorder="1" applyAlignment="1">
      <alignment horizontal="left" wrapText="1"/>
    </xf>
    <xf numFmtId="165" fontId="7" fillId="0" borderId="4" xfId="1" applyNumberFormat="1" applyFont="1" applyBorder="1" applyAlignment="1">
      <alignment wrapText="1"/>
    </xf>
    <xf numFmtId="0" fontId="7" fillId="0" borderId="10" xfId="1" applyFont="1" applyBorder="1" applyAlignment="1">
      <alignment wrapText="1"/>
    </xf>
    <xf numFmtId="0" fontId="7" fillId="7" borderId="10" xfId="1" applyFont="1" applyFill="1" applyBorder="1" applyAlignment="1">
      <alignment wrapText="1"/>
    </xf>
    <xf numFmtId="0" fontId="7" fillId="0" borderId="0" xfId="1" applyFont="1" applyFill="1" applyBorder="1" applyAlignment="1">
      <alignment wrapText="1"/>
    </xf>
    <xf numFmtId="175" fontId="7" fillId="0" borderId="36" xfId="1" applyNumberFormat="1" applyFont="1" applyBorder="1" applyAlignment="1">
      <alignment wrapText="1"/>
    </xf>
    <xf numFmtId="175" fontId="7" fillId="0" borderId="0" xfId="1" applyNumberFormat="1" applyFont="1" applyFill="1" applyBorder="1" applyAlignment="1">
      <alignment wrapText="1"/>
    </xf>
    <xf numFmtId="0" fontId="7" fillId="0" borderId="4" xfId="1" applyFont="1" applyFill="1" applyBorder="1" applyAlignment="1">
      <alignment wrapText="1"/>
    </xf>
    <xf numFmtId="0" fontId="9" fillId="0" borderId="0" xfId="1" applyFont="1" applyBorder="1" applyAlignment="1">
      <alignment wrapText="1"/>
    </xf>
    <xf numFmtId="175" fontId="7" fillId="0" borderId="14" xfId="1" applyNumberFormat="1" applyFont="1" applyFill="1" applyBorder="1" applyAlignment="1">
      <alignment wrapText="1"/>
    </xf>
    <xf numFmtId="175" fontId="7" fillId="0" borderId="10" xfId="1" applyNumberFormat="1" applyFont="1" applyFill="1" applyBorder="1" applyAlignment="1">
      <alignment wrapText="1"/>
    </xf>
    <xf numFmtId="175" fontId="7" fillId="0" borderId="0" xfId="1" applyNumberFormat="1" applyFont="1" applyBorder="1" applyAlignment="1">
      <alignment wrapText="1"/>
    </xf>
    <xf numFmtId="0" fontId="7" fillId="0" borderId="13" xfId="1" applyFont="1" applyBorder="1" applyAlignment="1">
      <alignment horizontal="left" wrapText="1"/>
    </xf>
    <xf numFmtId="0" fontId="7" fillId="0" borderId="13" xfId="1" applyFont="1" applyBorder="1" applyAlignment="1">
      <alignment wrapText="1"/>
    </xf>
    <xf numFmtId="0" fontId="7" fillId="0" borderId="41" xfId="1" applyFont="1" applyBorder="1" applyAlignment="1">
      <alignment wrapText="1"/>
    </xf>
    <xf numFmtId="0" fontId="9" fillId="0" borderId="4" xfId="1" applyFont="1" applyBorder="1" applyAlignment="1">
      <alignment wrapText="1"/>
    </xf>
    <xf numFmtId="0" fontId="7" fillId="2" borderId="4" xfId="1" applyFont="1" applyFill="1" applyBorder="1" applyAlignment="1">
      <alignment wrapText="1"/>
    </xf>
    <xf numFmtId="170" fontId="7" fillId="7" borderId="4" xfId="8" applyNumberFormat="1" applyFont="1" applyFill="1" applyBorder="1" applyAlignment="1">
      <alignment wrapText="1"/>
    </xf>
    <xf numFmtId="0" fontId="7" fillId="0" borderId="16" xfId="1" applyFont="1" applyFill="1" applyBorder="1" applyAlignment="1">
      <alignment wrapText="1"/>
    </xf>
    <xf numFmtId="168" fontId="7" fillId="0" borderId="4" xfId="15" applyNumberFormat="1" applyFont="1" applyFill="1" applyBorder="1" applyAlignment="1">
      <alignment wrapText="1"/>
    </xf>
    <xf numFmtId="177" fontId="7" fillId="0" borderId="4" xfId="15" applyNumberFormat="1" applyFont="1" applyFill="1" applyBorder="1" applyAlignment="1">
      <alignment wrapText="1"/>
    </xf>
    <xf numFmtId="0" fontId="7" fillId="0" borderId="14" xfId="1" applyFont="1" applyBorder="1" applyAlignment="1">
      <alignment wrapText="1"/>
    </xf>
    <xf numFmtId="0" fontId="7" fillId="0" borderId="4" xfId="9" applyNumberFormat="1" applyFont="1" applyBorder="1" applyAlignment="1">
      <alignment horizontal="left" wrapText="1"/>
    </xf>
    <xf numFmtId="0" fontId="7" fillId="0" borderId="41" xfId="15" applyNumberFormat="1" applyFont="1" applyBorder="1" applyAlignment="1">
      <alignment wrapText="1"/>
    </xf>
    <xf numFmtId="0" fontId="15" fillId="0" borderId="0" xfId="1" applyFont="1" applyBorder="1" applyAlignment="1">
      <alignment wrapText="1"/>
    </xf>
    <xf numFmtId="0" fontId="7" fillId="0" borderId="0" xfId="1" applyFont="1" applyFill="1" applyAlignment="1">
      <alignment wrapText="1"/>
    </xf>
    <xf numFmtId="0" fontId="9" fillId="0" borderId="0" xfId="1" applyFont="1" applyAlignment="1"/>
    <xf numFmtId="17" fontId="7" fillId="0" borderId="0" xfId="1" applyNumberFormat="1" applyFont="1" applyFill="1" applyAlignment="1">
      <alignment horizontal="center"/>
    </xf>
    <xf numFmtId="0" fontId="7" fillId="7" borderId="10" xfId="1" applyNumberFormat="1" applyFont="1" applyFill="1" applyBorder="1"/>
    <xf numFmtId="43" fontId="7" fillId="2" borderId="0" xfId="8" applyFont="1" applyFill="1" applyBorder="1"/>
    <xf numFmtId="43" fontId="7" fillId="2" borderId="11" xfId="8" applyFont="1" applyFill="1" applyBorder="1"/>
    <xf numFmtId="0" fontId="7" fillId="0" borderId="16" xfId="8" applyNumberFormat="1" applyFont="1" applyFill="1" applyBorder="1"/>
    <xf numFmtId="43" fontId="7" fillId="0" borderId="16" xfId="8" applyNumberFormat="1" applyFont="1" applyFill="1" applyBorder="1"/>
    <xf numFmtId="10" fontId="7" fillId="0" borderId="16" xfId="15" applyNumberFormat="1" applyFont="1" applyFill="1" applyBorder="1"/>
    <xf numFmtId="0" fontId="9" fillId="0" borderId="41" xfId="1" applyFont="1" applyBorder="1" applyAlignment="1">
      <alignment horizontal="left"/>
    </xf>
    <xf numFmtId="0" fontId="7" fillId="0" borderId="39" xfId="1" applyNumberFormat="1" applyFont="1" applyBorder="1"/>
    <xf numFmtId="168" fontId="7" fillId="0" borderId="41" xfId="15" applyNumberFormat="1" applyFont="1" applyBorder="1"/>
    <xf numFmtId="0" fontId="7" fillId="0" borderId="39" xfId="1" applyFont="1" applyFill="1" applyBorder="1"/>
    <xf numFmtId="10" fontId="7" fillId="0" borderId="40" xfId="15" applyNumberFormat="1" applyFont="1" applyFill="1" applyBorder="1"/>
    <xf numFmtId="168" fontId="7" fillId="0" borderId="39" xfId="15" applyNumberFormat="1" applyFont="1" applyFill="1" applyBorder="1"/>
    <xf numFmtId="168" fontId="10" fillId="0" borderId="27" xfId="15" applyNumberFormat="1" applyFont="1" applyFill="1" applyBorder="1"/>
    <xf numFmtId="168" fontId="10" fillId="0" borderId="11" xfId="15" applyNumberFormat="1" applyFont="1" applyFill="1" applyBorder="1"/>
    <xf numFmtId="168" fontId="10" fillId="0" borderId="11" xfId="15" applyNumberFormat="1" applyFont="1" applyFill="1" applyBorder="1" applyAlignment="1">
      <alignment horizontal="right"/>
    </xf>
    <xf numFmtId="168" fontId="7" fillId="0" borderId="15" xfId="15" applyNumberFormat="1" applyFont="1" applyFill="1" applyBorder="1" applyAlignment="1">
      <alignment horizontal="right"/>
    </xf>
    <xf numFmtId="170" fontId="7" fillId="0" borderId="13" xfId="8" applyNumberFormat="1" applyFont="1" applyBorder="1"/>
    <xf numFmtId="170" fontId="7" fillId="0" borderId="8" xfId="8" applyNumberFormat="1" applyFont="1" applyFill="1" applyBorder="1"/>
    <xf numFmtId="170" fontId="9" fillId="0" borderId="14" xfId="8" applyNumberFormat="1" applyFont="1" applyFill="1" applyBorder="1"/>
    <xf numFmtId="170" fontId="9" fillId="0" borderId="13" xfId="8" applyNumberFormat="1" applyFont="1" applyFill="1" applyBorder="1"/>
    <xf numFmtId="170" fontId="9" fillId="0" borderId="14" xfId="8" applyNumberFormat="1" applyFont="1" applyBorder="1"/>
    <xf numFmtId="170" fontId="7" fillId="0" borderId="4" xfId="8" applyNumberFormat="1" applyFont="1" applyBorder="1" applyAlignment="1">
      <alignment horizontal="left" indent="1"/>
    </xf>
    <xf numFmtId="170" fontId="9" fillId="0" borderId="4" xfId="8" applyNumberFormat="1" applyFont="1" applyBorder="1"/>
    <xf numFmtId="170" fontId="9" fillId="0" borderId="10" xfId="8" applyNumberFormat="1" applyFont="1" applyBorder="1"/>
    <xf numFmtId="0" fontId="7" fillId="0" borderId="42" xfId="1" applyFont="1" applyBorder="1"/>
    <xf numFmtId="0" fontId="7" fillId="0" borderId="43" xfId="1" applyFont="1" applyBorder="1" applyAlignment="1">
      <alignment horizontal="left" indent="1"/>
    </xf>
    <xf numFmtId="0" fontId="7" fillId="0" borderId="43" xfId="1" applyFont="1" applyBorder="1"/>
    <xf numFmtId="0" fontId="9" fillId="0" borderId="43" xfId="1" applyFont="1" applyBorder="1"/>
    <xf numFmtId="0" fontId="7" fillId="0" borderId="44" xfId="1" applyFont="1" applyBorder="1" applyAlignment="1">
      <alignment horizontal="left" indent="1"/>
    </xf>
    <xf numFmtId="44" fontId="7" fillId="0" borderId="39" xfId="9" applyFont="1" applyBorder="1"/>
    <xf numFmtId="172" fontId="7" fillId="0" borderId="4" xfId="8" applyNumberFormat="1" applyFont="1" applyBorder="1"/>
    <xf numFmtId="172" fontId="7" fillId="0" borderId="0" xfId="8" applyNumberFormat="1" applyFont="1" applyBorder="1"/>
    <xf numFmtId="172" fontId="7" fillId="0" borderId="6" xfId="8" applyNumberFormat="1" applyFont="1" applyBorder="1"/>
    <xf numFmtId="43" fontId="7" fillId="0" borderId="4" xfId="8" applyNumberFormat="1" applyFont="1" applyBorder="1"/>
    <xf numFmtId="43" fontId="7" fillId="0" borderId="6" xfId="8" applyNumberFormat="1" applyFont="1" applyBorder="1"/>
    <xf numFmtId="44" fontId="7" fillId="0" borderId="45" xfId="9" applyFont="1" applyFill="1" applyBorder="1"/>
    <xf numFmtId="168" fontId="7" fillId="0" borderId="46" xfId="15" applyNumberFormat="1" applyFont="1" applyFill="1" applyBorder="1"/>
    <xf numFmtId="44" fontId="7" fillId="0" borderId="46" xfId="9" applyFont="1" applyBorder="1"/>
    <xf numFmtId="44" fontId="9" fillId="0" borderId="46" xfId="9" applyFont="1" applyBorder="1"/>
    <xf numFmtId="10" fontId="7" fillId="0" borderId="47" xfId="15" applyNumberFormat="1" applyFont="1" applyFill="1" applyBorder="1"/>
    <xf numFmtId="43" fontId="7" fillId="0" borderId="0" xfId="8" applyFont="1" applyFill="1"/>
    <xf numFmtId="0" fontId="27" fillId="3" borderId="0" xfId="13" applyFont="1" applyFill="1"/>
    <xf numFmtId="0" fontId="31" fillId="3" borderId="4" xfId="13" applyFont="1" applyFill="1" applyBorder="1"/>
    <xf numFmtId="0" fontId="59" fillId="8" borderId="48" xfId="1" applyFont="1" applyFill="1" applyBorder="1" applyAlignment="1">
      <alignment horizontal="left" wrapText="1"/>
    </xf>
    <xf numFmtId="0" fontId="7" fillId="8" borderId="49" xfId="1" applyFont="1" applyFill="1" applyBorder="1"/>
    <xf numFmtId="0" fontId="7" fillId="8" borderId="50" xfId="1" applyFont="1" applyFill="1" applyBorder="1"/>
    <xf numFmtId="0" fontId="9" fillId="8" borderId="48" xfId="1" applyFont="1" applyFill="1" applyBorder="1" applyAlignment="1">
      <alignment horizontal="centerContinuous"/>
    </xf>
    <xf numFmtId="0" fontId="9" fillId="8" borderId="51" xfId="1" applyFont="1" applyFill="1" applyBorder="1" applyAlignment="1">
      <alignment horizontal="centerContinuous"/>
    </xf>
    <xf numFmtId="0" fontId="9" fillId="8" borderId="49" xfId="1" applyFont="1" applyFill="1" applyBorder="1" applyAlignment="1">
      <alignment horizontal="centerContinuous"/>
    </xf>
    <xf numFmtId="0" fontId="9" fillId="8" borderId="13" xfId="1" applyFont="1" applyFill="1" applyBorder="1" applyAlignment="1">
      <alignment horizontal="centerContinuous"/>
    </xf>
    <xf numFmtId="0" fontId="7" fillId="8" borderId="3" xfId="1" applyFont="1" applyFill="1" applyBorder="1"/>
    <xf numFmtId="0" fontId="57" fillId="8" borderId="10" xfId="1" quotePrefix="1" applyFont="1" applyFill="1" applyBorder="1" applyAlignment="1">
      <alignment wrapText="1"/>
    </xf>
    <xf numFmtId="0" fontId="9" fillId="8" borderId="12" xfId="1" applyFont="1" applyFill="1" applyBorder="1" applyAlignment="1">
      <alignment horizontal="center"/>
    </xf>
    <xf numFmtId="0" fontId="9" fillId="8" borderId="15" xfId="1" applyFont="1" applyFill="1" applyBorder="1" applyAlignment="1">
      <alignment horizontal="center"/>
    </xf>
    <xf numFmtId="0" fontId="9" fillId="8" borderId="16" xfId="1" quotePrefix="1" applyFont="1" applyFill="1" applyBorder="1" applyAlignment="1">
      <alignment horizontal="center"/>
    </xf>
    <xf numFmtId="0" fontId="9" fillId="8" borderId="36" xfId="1" quotePrefix="1" applyFont="1" applyFill="1" applyBorder="1" applyAlignment="1">
      <alignment horizontal="center"/>
    </xf>
    <xf numFmtId="0" fontId="9" fillId="8" borderId="52" xfId="1" quotePrefix="1" applyFont="1" applyFill="1" applyBorder="1" applyAlignment="1">
      <alignment horizontal="center"/>
    </xf>
    <xf numFmtId="0" fontId="9" fillId="8" borderId="15" xfId="1" quotePrefix="1" applyFont="1" applyFill="1" applyBorder="1" applyAlignment="1">
      <alignment horizontal="center"/>
    </xf>
    <xf numFmtId="0" fontId="9" fillId="8" borderId="36" xfId="1" applyFont="1" applyFill="1" applyBorder="1" applyAlignment="1">
      <alignment wrapText="1"/>
    </xf>
    <xf numFmtId="175" fontId="7" fillId="8" borderId="16" xfId="1" applyNumberFormat="1" applyFont="1" applyFill="1" applyBorder="1"/>
    <xf numFmtId="170" fontId="7" fillId="8" borderId="16" xfId="8" applyNumberFormat="1" applyFont="1" applyFill="1" applyBorder="1"/>
    <xf numFmtId="170" fontId="7" fillId="8" borderId="16" xfId="1" applyNumberFormat="1" applyFont="1" applyFill="1" applyBorder="1"/>
    <xf numFmtId="170" fontId="7" fillId="8" borderId="52" xfId="8" applyNumberFormat="1" applyFont="1" applyFill="1" applyBorder="1"/>
    <xf numFmtId="0" fontId="7" fillId="8" borderId="16" xfId="1" applyFont="1" applyFill="1" applyBorder="1"/>
    <xf numFmtId="10" fontId="7" fillId="8" borderId="16" xfId="1" applyNumberFormat="1" applyFont="1" applyFill="1" applyBorder="1"/>
    <xf numFmtId="43" fontId="7" fillId="8" borderId="16" xfId="8" applyFont="1" applyFill="1" applyBorder="1"/>
    <xf numFmtId="10" fontId="7" fillId="8" borderId="52" xfId="1" applyNumberFormat="1" applyFont="1" applyFill="1" applyBorder="1"/>
    <xf numFmtId="0" fontId="9" fillId="8" borderId="36" xfId="1" applyFont="1" applyFill="1" applyBorder="1" applyAlignment="1">
      <alignment horizontal="left" wrapText="1"/>
    </xf>
    <xf numFmtId="0" fontId="9" fillId="8" borderId="16" xfId="1" applyFont="1" applyFill="1" applyBorder="1" applyAlignment="1">
      <alignment horizontal="centerContinuous"/>
    </xf>
    <xf numFmtId="10" fontId="7" fillId="8" borderId="16" xfId="15" applyNumberFormat="1" applyFont="1" applyFill="1" applyBorder="1"/>
    <xf numFmtId="0" fontId="7" fillId="8" borderId="51" xfId="1" applyFont="1" applyFill="1" applyBorder="1"/>
    <xf numFmtId="0" fontId="9" fillId="8" borderId="52" xfId="1" applyFont="1" applyFill="1" applyBorder="1" applyAlignment="1">
      <alignment horizontal="center"/>
    </xf>
    <xf numFmtId="0" fontId="9" fillId="8" borderId="17" xfId="1" applyFont="1" applyFill="1" applyBorder="1" applyAlignment="1">
      <alignment horizontal="center"/>
    </xf>
    <xf numFmtId="0" fontId="9" fillId="8" borderId="17" xfId="1" quotePrefix="1" applyFont="1" applyFill="1" applyBorder="1" applyAlignment="1">
      <alignment horizontal="center"/>
    </xf>
    <xf numFmtId="0" fontId="7" fillId="8" borderId="27" xfId="1" applyFont="1" applyFill="1" applyBorder="1"/>
    <xf numFmtId="0" fontId="15" fillId="8" borderId="16" xfId="1" applyFont="1" applyFill="1" applyBorder="1"/>
    <xf numFmtId="0" fontId="12" fillId="8" borderId="16" xfId="1" applyFont="1" applyFill="1" applyBorder="1"/>
    <xf numFmtId="0" fontId="12" fillId="8" borderId="17" xfId="1" applyFont="1" applyFill="1" applyBorder="1"/>
    <xf numFmtId="166" fontId="12" fillId="8" borderId="16" xfId="1" applyNumberFormat="1" applyFont="1" applyFill="1" applyBorder="1"/>
    <xf numFmtId="166" fontId="12" fillId="8" borderId="17" xfId="1" applyNumberFormat="1" applyFont="1" applyFill="1" applyBorder="1"/>
    <xf numFmtId="0" fontId="15" fillId="8" borderId="17" xfId="1" applyFont="1" applyFill="1" applyBorder="1"/>
    <xf numFmtId="165" fontId="7" fillId="8" borderId="16" xfId="1" applyNumberFormat="1" applyFont="1" applyFill="1" applyBorder="1"/>
    <xf numFmtId="165" fontId="7" fillId="8" borderId="17" xfId="1" applyNumberFormat="1" applyFont="1" applyFill="1" applyBorder="1"/>
    <xf numFmtId="43" fontId="7" fillId="0" borderId="13" xfId="8" applyNumberFormat="1" applyFont="1" applyBorder="1"/>
    <xf numFmtId="0" fontId="7" fillId="0" borderId="11" xfId="1" applyFont="1" applyBorder="1" applyAlignment="1">
      <alignment wrapText="1"/>
    </xf>
    <xf numFmtId="175" fontId="7" fillId="0" borderId="11" xfId="1" applyNumberFormat="1" applyFont="1" applyFill="1" applyBorder="1"/>
    <xf numFmtId="176" fontId="7" fillId="0" borderId="11" xfId="1" applyNumberFormat="1" applyFont="1" applyFill="1" applyBorder="1"/>
    <xf numFmtId="0" fontId="7" fillId="0" borderId="36" xfId="15" applyNumberFormat="1" applyFont="1" applyBorder="1" applyAlignment="1">
      <alignment wrapText="1"/>
    </xf>
    <xf numFmtId="168" fontId="15" fillId="0" borderId="16" xfId="15" applyNumberFormat="1" applyFont="1" applyBorder="1"/>
    <xf numFmtId="168" fontId="12" fillId="0" borderId="16" xfId="15" applyNumberFormat="1" applyFont="1" applyBorder="1"/>
    <xf numFmtId="168" fontId="12" fillId="0" borderId="17" xfId="15" applyNumberFormat="1" applyFont="1" applyBorder="1"/>
    <xf numFmtId="168" fontId="12" fillId="0" borderId="16" xfId="15" applyNumberFormat="1" applyFont="1" applyFill="1" applyBorder="1"/>
    <xf numFmtId="168" fontId="15" fillId="0" borderId="17" xfId="15" applyNumberFormat="1" applyFont="1" applyBorder="1"/>
    <xf numFmtId="168" fontId="7" fillId="0" borderId="16" xfId="15" applyNumberFormat="1" applyFont="1" applyBorder="1"/>
    <xf numFmtId="168" fontId="7" fillId="0" borderId="17" xfId="15" applyNumberFormat="1" applyFont="1" applyBorder="1"/>
    <xf numFmtId="0" fontId="7" fillId="8" borderId="0" xfId="1" applyFont="1" applyFill="1" applyBorder="1"/>
    <xf numFmtId="0" fontId="17" fillId="8" borderId="0" xfId="1" applyFont="1" applyFill="1" applyBorder="1" applyAlignment="1">
      <alignment horizontal="center"/>
    </xf>
    <xf numFmtId="10" fontId="7" fillId="8" borderId="0" xfId="1" applyNumberFormat="1" applyFont="1" applyFill="1" applyBorder="1" applyAlignment="1">
      <alignment horizontal="center"/>
    </xf>
    <xf numFmtId="168" fontId="17" fillId="8" borderId="0" xfId="15" applyNumberFormat="1" applyFont="1" applyFill="1" applyBorder="1" applyAlignment="1">
      <alignment horizontal="center"/>
    </xf>
    <xf numFmtId="0" fontId="9" fillId="8" borderId="36" xfId="1" applyFont="1" applyFill="1" applyBorder="1"/>
    <xf numFmtId="0" fontId="7" fillId="8" borderId="16" xfId="1" applyFont="1" applyFill="1" applyBorder="1" applyAlignment="1">
      <alignment horizontal="center"/>
    </xf>
    <xf numFmtId="0" fontId="18" fillId="8" borderId="16" xfId="1" applyFont="1" applyFill="1" applyBorder="1" applyAlignment="1">
      <alignment horizontal="center"/>
    </xf>
    <xf numFmtId="168" fontId="7" fillId="8" borderId="16" xfId="15" applyNumberFormat="1" applyFont="1" applyFill="1" applyBorder="1" applyAlignment="1">
      <alignment horizontal="center"/>
    </xf>
    <xf numFmtId="169" fontId="7" fillId="8" borderId="16" xfId="8" applyNumberFormat="1" applyFont="1" applyFill="1" applyBorder="1"/>
    <xf numFmtId="167" fontId="18" fillId="8" borderId="16" xfId="1" applyNumberFormat="1" applyFont="1" applyFill="1" applyBorder="1" applyAlignment="1">
      <alignment horizontal="center"/>
    </xf>
    <xf numFmtId="0" fontId="18" fillId="8" borderId="52" xfId="1" applyFont="1" applyFill="1" applyBorder="1" applyAlignment="1">
      <alignment horizontal="center"/>
    </xf>
    <xf numFmtId="0" fontId="9" fillId="8" borderId="36" xfId="1" applyNumberFormat="1" applyFont="1" applyFill="1" applyBorder="1"/>
    <xf numFmtId="0" fontId="9" fillId="8" borderId="16" xfId="1" applyNumberFormat="1" applyFont="1" applyFill="1" applyBorder="1"/>
    <xf numFmtId="43" fontId="7" fillId="8" borderId="16" xfId="1" applyNumberFormat="1" applyFont="1" applyFill="1" applyBorder="1"/>
    <xf numFmtId="169" fontId="7" fillId="8" borderId="16" xfId="1" applyNumberFormat="1" applyFont="1" applyFill="1" applyBorder="1"/>
    <xf numFmtId="0" fontId="7" fillId="8" borderId="16" xfId="1" applyNumberFormat="1" applyFont="1" applyFill="1" applyBorder="1"/>
    <xf numFmtId="43" fontId="7" fillId="8" borderId="52" xfId="1" applyNumberFormat="1" applyFont="1" applyFill="1" applyBorder="1"/>
    <xf numFmtId="43" fontId="18" fillId="8" borderId="16" xfId="1" applyNumberFormat="1" applyFont="1" applyFill="1" applyBorder="1" applyAlignment="1">
      <alignment horizontal="center"/>
    </xf>
    <xf numFmtId="168" fontId="7" fillId="8" borderId="16" xfId="8" applyNumberFormat="1" applyFont="1" applyFill="1" applyBorder="1"/>
    <xf numFmtId="10" fontId="18" fillId="8" borderId="16" xfId="15" applyNumberFormat="1" applyFont="1" applyFill="1" applyBorder="1" applyAlignment="1">
      <alignment horizontal="center"/>
    </xf>
    <xf numFmtId="43" fontId="18" fillId="8" borderId="52" xfId="1" applyNumberFormat="1" applyFont="1" applyFill="1" applyBorder="1" applyAlignment="1">
      <alignment horizontal="center"/>
    </xf>
    <xf numFmtId="0" fontId="7" fillId="8" borderId="52" xfId="1" applyFont="1" applyFill="1" applyBorder="1"/>
    <xf numFmtId="0" fontId="9" fillId="8" borderId="36" xfId="8" applyNumberFormat="1" applyFont="1" applyFill="1" applyBorder="1"/>
    <xf numFmtId="0" fontId="7" fillId="8" borderId="16" xfId="8" applyNumberFormat="1" applyFont="1" applyFill="1" applyBorder="1"/>
    <xf numFmtId="173" fontId="7" fillId="8" borderId="16" xfId="8" applyNumberFormat="1" applyFont="1" applyFill="1" applyBorder="1"/>
    <xf numFmtId="10" fontId="7" fillId="8" borderId="16" xfId="8" applyNumberFormat="1" applyFont="1" applyFill="1" applyBorder="1"/>
    <xf numFmtId="0" fontId="9" fillId="8" borderId="36" xfId="1" applyFont="1" applyFill="1" applyBorder="1" applyAlignment="1">
      <alignment horizontal="left"/>
    </xf>
    <xf numFmtId="168" fontId="7" fillId="8" borderId="16" xfId="15" applyNumberFormat="1" applyFont="1" applyFill="1" applyBorder="1"/>
    <xf numFmtId="168" fontId="7" fillId="8" borderId="52" xfId="15" applyNumberFormat="1" applyFont="1" applyFill="1" applyBorder="1"/>
    <xf numFmtId="187" fontId="7" fillId="8" borderId="16" xfId="9" applyNumberFormat="1" applyFont="1" applyFill="1" applyBorder="1"/>
    <xf numFmtId="0" fontId="7" fillId="0" borderId="0" xfId="1" applyFont="1" applyFill="1" applyAlignment="1" applyProtection="1">
      <alignment wrapText="1"/>
    </xf>
    <xf numFmtId="0" fontId="54" fillId="3" borderId="0" xfId="1" applyFont="1" applyFill="1" applyBorder="1" applyAlignment="1">
      <alignment wrapText="1"/>
    </xf>
    <xf numFmtId="0" fontId="13" fillId="3" borderId="0" xfId="1" applyFont="1" applyFill="1" applyBorder="1"/>
    <xf numFmtId="0" fontId="16" fillId="3" borderId="0" xfId="1" applyFont="1" applyFill="1" applyBorder="1"/>
    <xf numFmtId="43" fontId="16" fillId="3" borderId="0" xfId="8" applyFont="1" applyFill="1" applyBorder="1"/>
    <xf numFmtId="43" fontId="16" fillId="3" borderId="0" xfId="1" applyNumberFormat="1" applyFont="1" applyFill="1" applyBorder="1"/>
    <xf numFmtId="169" fontId="16" fillId="3" borderId="0" xfId="1" applyNumberFormat="1" applyFont="1" applyFill="1" applyBorder="1"/>
    <xf numFmtId="173" fontId="16" fillId="3" borderId="0" xfId="1" applyNumberFormat="1" applyFont="1" applyFill="1" applyBorder="1"/>
    <xf numFmtId="165" fontId="16" fillId="3" borderId="0" xfId="1" applyNumberFormat="1" applyFont="1" applyFill="1" applyBorder="1"/>
    <xf numFmtId="7" fontId="16" fillId="3" borderId="0" xfId="1" applyNumberFormat="1" applyFont="1" applyFill="1" applyBorder="1"/>
    <xf numFmtId="10" fontId="16" fillId="3" borderId="0" xfId="15" applyNumberFormat="1" applyFont="1" applyFill="1" applyBorder="1"/>
    <xf numFmtId="0" fontId="16" fillId="3" borderId="0" xfId="1" applyFont="1" applyFill="1" applyBorder="1" applyAlignment="1"/>
    <xf numFmtId="0" fontId="13" fillId="3" borderId="0" xfId="1" applyFont="1" applyFill="1" applyBorder="1" applyAlignment="1">
      <alignment wrapText="1"/>
    </xf>
    <xf numFmtId="168" fontId="16" fillId="3" borderId="0" xfId="15" applyNumberFormat="1" applyFont="1" applyFill="1" applyBorder="1"/>
    <xf numFmtId="10" fontId="16" fillId="3" borderId="0" xfId="1" applyNumberFormat="1" applyFont="1" applyFill="1" applyBorder="1"/>
    <xf numFmtId="170" fontId="16" fillId="3" borderId="0" xfId="1" applyNumberFormat="1" applyFont="1" applyFill="1" applyBorder="1"/>
    <xf numFmtId="171" fontId="16" fillId="3" borderId="0" xfId="1" applyNumberFormat="1" applyFont="1" applyFill="1" applyBorder="1"/>
    <xf numFmtId="166" fontId="16" fillId="3" borderId="0" xfId="1" applyNumberFormat="1" applyFont="1" applyFill="1" applyBorder="1"/>
    <xf numFmtId="0" fontId="9" fillId="8" borderId="13" xfId="1" applyFont="1" applyFill="1" applyBorder="1" applyAlignment="1">
      <alignment horizontal="right"/>
    </xf>
    <xf numFmtId="0" fontId="17" fillId="8" borderId="13" xfId="1" applyFont="1" applyFill="1" applyBorder="1"/>
    <xf numFmtId="0" fontId="45" fillId="8" borderId="13" xfId="1" applyFont="1" applyFill="1" applyBorder="1"/>
    <xf numFmtId="0" fontId="26" fillId="2" borderId="0" xfId="1" applyFont="1" applyFill="1"/>
    <xf numFmtId="168" fontId="26" fillId="2" borderId="0" xfId="15" applyNumberFormat="1" applyFont="1" applyFill="1"/>
    <xf numFmtId="0" fontId="7" fillId="2" borderId="4" xfId="1" applyFont="1" applyFill="1" applyBorder="1"/>
    <xf numFmtId="0" fontId="17" fillId="2" borderId="0" xfId="1" applyFont="1" applyFill="1" applyBorder="1" applyAlignment="1">
      <alignment horizontal="left"/>
    </xf>
    <xf numFmtId="172" fontId="7" fillId="2" borderId="0" xfId="1" applyNumberFormat="1" applyFont="1" applyFill="1" applyBorder="1"/>
    <xf numFmtId="0" fontId="7" fillId="2" borderId="5" xfId="1" applyFont="1" applyFill="1" applyBorder="1"/>
    <xf numFmtId="0" fontId="13" fillId="2" borderId="0" xfId="1" applyFont="1" applyFill="1" applyBorder="1" applyAlignment="1">
      <alignment horizontal="right"/>
    </xf>
    <xf numFmtId="0" fontId="13" fillId="2" borderId="5" xfId="1" applyFont="1" applyFill="1" applyBorder="1" applyAlignment="1">
      <alignment horizontal="right"/>
    </xf>
    <xf numFmtId="0" fontId="9" fillId="2" borderId="0" xfId="1" applyFont="1" applyFill="1" applyBorder="1" applyAlignment="1">
      <alignment horizontal="center"/>
    </xf>
    <xf numFmtId="10" fontId="10" fillId="2" borderId="0" xfId="15" applyNumberFormat="1" applyFont="1" applyFill="1" applyBorder="1"/>
    <xf numFmtId="0" fontId="7" fillId="2" borderId="0" xfId="1" applyFont="1" applyFill="1" applyBorder="1" applyAlignment="1">
      <alignment horizontal="center"/>
    </xf>
    <xf numFmtId="0" fontId="7" fillId="2" borderId="10" xfId="1" applyFont="1" applyFill="1" applyBorder="1"/>
    <xf numFmtId="0" fontId="7" fillId="2" borderId="11" xfId="1" applyFont="1" applyFill="1" applyBorder="1" applyAlignment="1">
      <alignment horizontal="center"/>
    </xf>
    <xf numFmtId="0" fontId="7" fillId="2" borderId="11" xfId="1" applyFont="1" applyFill="1" applyBorder="1"/>
    <xf numFmtId="0" fontId="7" fillId="2" borderId="12" xfId="1" applyFont="1" applyFill="1" applyBorder="1"/>
    <xf numFmtId="0" fontId="4" fillId="2" borderId="0" xfId="1" applyFont="1" applyFill="1" applyBorder="1"/>
    <xf numFmtId="0" fontId="4" fillId="2" borderId="4" xfId="1" applyFont="1" applyFill="1" applyBorder="1"/>
    <xf numFmtId="0" fontId="47" fillId="2" borderId="0" xfId="1" applyFont="1" applyFill="1" applyBorder="1"/>
    <xf numFmtId="0" fontId="48" fillId="2" borderId="0" xfId="1" applyFont="1" applyFill="1" applyBorder="1"/>
    <xf numFmtId="0" fontId="16" fillId="2" borderId="0" xfId="1" applyFont="1" applyFill="1" applyBorder="1" applyAlignment="1">
      <alignment horizontal="right"/>
    </xf>
    <xf numFmtId="0" fontId="16" fillId="2" borderId="5" xfId="1" applyFont="1" applyFill="1" applyBorder="1" applyAlignment="1">
      <alignment horizontal="right"/>
    </xf>
    <xf numFmtId="0" fontId="4" fillId="2" borderId="5" xfId="1" applyFont="1" applyFill="1" applyBorder="1"/>
    <xf numFmtId="10" fontId="7" fillId="2" borderId="0" xfId="1" applyNumberFormat="1" applyFont="1" applyFill="1" applyBorder="1"/>
    <xf numFmtId="0" fontId="4" fillId="2" borderId="10" xfId="1" applyFont="1" applyFill="1" applyBorder="1"/>
    <xf numFmtId="0" fontId="4" fillId="2" borderId="11" xfId="1" applyFont="1" applyFill="1" applyBorder="1"/>
    <xf numFmtId="0" fontId="4" fillId="2" borderId="12" xfId="1" applyFont="1" applyFill="1" applyBorder="1"/>
    <xf numFmtId="43" fontId="0" fillId="2" borderId="0" xfId="1" applyNumberFormat="1" applyFont="1" applyFill="1"/>
    <xf numFmtId="10" fontId="0" fillId="2" borderId="0" xfId="15" applyNumberFormat="1" applyFont="1" applyFill="1"/>
    <xf numFmtId="0" fontId="0" fillId="2" borderId="0" xfId="1" applyFont="1" applyFill="1" applyBorder="1"/>
    <xf numFmtId="43" fontId="15" fillId="2" borderId="0" xfId="8" applyFont="1" applyFill="1"/>
    <xf numFmtId="0" fontId="9" fillId="2" borderId="0" xfId="1" applyFont="1" applyFill="1" applyAlignment="1">
      <alignment horizontal="center"/>
    </xf>
    <xf numFmtId="168" fontId="15" fillId="2" borderId="0" xfId="15" applyNumberFormat="1" applyFont="1" applyFill="1"/>
    <xf numFmtId="168" fontId="46" fillId="2" borderId="0" xfId="15" applyNumberFormat="1" applyFont="1" applyFill="1"/>
    <xf numFmtId="43" fontId="51" fillId="2" borderId="0" xfId="1" applyNumberFormat="1" applyFont="1" applyFill="1"/>
    <xf numFmtId="168" fontId="50" fillId="2" borderId="0" xfId="15" applyNumberFormat="1" applyFont="1" applyFill="1"/>
    <xf numFmtId="168" fontId="51" fillId="2" borderId="0" xfId="15" applyNumberFormat="1" applyFont="1" applyFill="1"/>
    <xf numFmtId="0" fontId="44" fillId="2" borderId="0" xfId="1" applyFont="1" applyFill="1"/>
    <xf numFmtId="0" fontId="52" fillId="2" borderId="0" xfId="1" applyFont="1" applyFill="1"/>
    <xf numFmtId="0" fontId="44" fillId="2" borderId="0" xfId="1" applyFont="1" applyFill="1" applyBorder="1"/>
    <xf numFmtId="43" fontId="50" fillId="2" borderId="0" xfId="1" applyNumberFormat="1" applyFont="1" applyFill="1"/>
    <xf numFmtId="0" fontId="4" fillId="8" borderId="14" xfId="1" applyFont="1" applyFill="1" applyBorder="1"/>
    <xf numFmtId="0" fontId="26" fillId="7" borderId="0" xfId="1" applyFont="1" applyFill="1"/>
    <xf numFmtId="44" fontId="0" fillId="7" borderId="0" xfId="9" applyFont="1" applyFill="1"/>
    <xf numFmtId="44" fontId="26" fillId="7" borderId="0" xfId="9" applyFont="1" applyFill="1"/>
    <xf numFmtId="44" fontId="44" fillId="7" borderId="0" xfId="9" applyFont="1" applyFill="1"/>
    <xf numFmtId="44" fontId="53" fillId="7" borderId="0" xfId="9" applyFont="1" applyFill="1"/>
    <xf numFmtId="0" fontId="13" fillId="3" borderId="0" xfId="1" applyFont="1" applyFill="1" applyBorder="1" applyAlignment="1"/>
    <xf numFmtId="0" fontId="11" fillId="8" borderId="36" xfId="1" applyNumberFormat="1" applyFont="1" applyFill="1" applyBorder="1"/>
    <xf numFmtId="0" fontId="11" fillId="8" borderId="16" xfId="1" applyNumberFormat="1" applyFont="1" applyFill="1" applyBorder="1"/>
    <xf numFmtId="173" fontId="12" fillId="8" borderId="16" xfId="1" applyNumberFormat="1" applyFont="1" applyFill="1" applyBorder="1"/>
    <xf numFmtId="10" fontId="12" fillId="8" borderId="16" xfId="15" applyNumberFormat="1" applyFont="1" applyFill="1" applyBorder="1"/>
    <xf numFmtId="173" fontId="12" fillId="8" borderId="52" xfId="1" applyNumberFormat="1" applyFont="1" applyFill="1" applyBorder="1"/>
    <xf numFmtId="0" fontId="59" fillId="8" borderId="53" xfId="1" applyFont="1" applyFill="1" applyBorder="1" applyAlignment="1">
      <alignment horizontal="left" wrapText="1"/>
    </xf>
    <xf numFmtId="0" fontId="7" fillId="8" borderId="54" xfId="1" applyFont="1" applyFill="1" applyBorder="1"/>
    <xf numFmtId="0" fontId="57" fillId="8" borderId="55" xfId="1" quotePrefix="1" applyFont="1" applyFill="1" applyBorder="1" applyAlignment="1">
      <alignment wrapText="1"/>
    </xf>
    <xf numFmtId="0" fontId="9" fillId="8" borderId="56" xfId="1" applyFont="1" applyFill="1" applyBorder="1" applyAlignment="1">
      <alignment horizontal="center"/>
    </xf>
    <xf numFmtId="0" fontId="17" fillId="8" borderId="57" xfId="1" applyNumberFormat="1" applyFont="1" applyFill="1" applyBorder="1"/>
    <xf numFmtId="0" fontId="17" fillId="8" borderId="16" xfId="1" applyNumberFormat="1" applyFont="1" applyFill="1" applyBorder="1"/>
    <xf numFmtId="9" fontId="7" fillId="8" borderId="16" xfId="1" applyNumberFormat="1" applyFont="1" applyFill="1" applyBorder="1"/>
    <xf numFmtId="0" fontId="7" fillId="8" borderId="58" xfId="1" applyFont="1" applyFill="1" applyBorder="1"/>
    <xf numFmtId="9" fontId="7" fillId="8" borderId="16" xfId="15" applyFont="1" applyFill="1" applyBorder="1"/>
    <xf numFmtId="0" fontId="41" fillId="8" borderId="36" xfId="1" applyFont="1" applyFill="1" applyBorder="1"/>
    <xf numFmtId="0" fontId="19" fillId="0" borderId="14" xfId="1" applyFont="1" applyFill="1" applyBorder="1"/>
    <xf numFmtId="0" fontId="19" fillId="0" borderId="13" xfId="1" applyFont="1" applyFill="1" applyBorder="1"/>
    <xf numFmtId="43" fontId="19" fillId="0" borderId="3" xfId="1" applyNumberFormat="1" applyFont="1" applyFill="1" applyBorder="1" applyAlignment="1">
      <alignment horizontal="center"/>
    </xf>
    <xf numFmtId="0" fontId="19" fillId="0" borderId="10" xfId="1" applyNumberFormat="1" applyFont="1" applyFill="1" applyBorder="1"/>
    <xf numFmtId="0" fontId="9" fillId="8" borderId="16" xfId="1" applyFont="1" applyFill="1" applyBorder="1" applyAlignment="1"/>
    <xf numFmtId="0" fontId="9" fillId="8" borderId="16" xfId="1" applyFont="1" applyFill="1" applyBorder="1" applyAlignment="1">
      <alignment horizontal="center"/>
    </xf>
    <xf numFmtId="0" fontId="17" fillId="8" borderId="36" xfId="1" applyFont="1" applyFill="1" applyBorder="1"/>
    <xf numFmtId="180" fontId="7" fillId="8" borderId="16" xfId="1" applyNumberFormat="1" applyFont="1" applyFill="1" applyBorder="1"/>
    <xf numFmtId="180" fontId="7" fillId="8" borderId="52" xfId="1" applyNumberFormat="1" applyFont="1" applyFill="1" applyBorder="1"/>
    <xf numFmtId="0" fontId="42" fillId="8" borderId="36" xfId="10" applyFont="1" applyFill="1" applyBorder="1" applyAlignment="1" applyProtection="1"/>
    <xf numFmtId="180" fontId="7" fillId="8" borderId="16" xfId="1" applyNumberFormat="1" applyFont="1" applyFill="1" applyBorder="1" applyAlignment="1">
      <alignment horizontal="center"/>
    </xf>
    <xf numFmtId="180" fontId="7" fillId="8" borderId="52" xfId="1" applyNumberFormat="1" applyFont="1" applyFill="1" applyBorder="1" applyAlignment="1">
      <alignment horizontal="center"/>
    </xf>
    <xf numFmtId="170" fontId="9" fillId="8" borderId="16" xfId="8" applyNumberFormat="1" applyFont="1" applyFill="1" applyBorder="1"/>
    <xf numFmtId="180" fontId="9" fillId="8" borderId="16" xfId="1" applyNumberFormat="1" applyFont="1" applyFill="1" applyBorder="1"/>
    <xf numFmtId="180" fontId="9" fillId="8" borderId="52" xfId="1" applyNumberFormat="1" applyFont="1" applyFill="1" applyBorder="1"/>
    <xf numFmtId="0" fontId="17" fillId="8" borderId="16" xfId="1" applyFont="1" applyFill="1" applyBorder="1" applyAlignment="1">
      <alignment horizontal="center"/>
    </xf>
    <xf numFmtId="41" fontId="7" fillId="8" borderId="16" xfId="1" applyNumberFormat="1" applyFont="1" applyFill="1" applyBorder="1"/>
    <xf numFmtId="0" fontId="21" fillId="8" borderId="36" xfId="1" applyFont="1" applyFill="1" applyBorder="1" applyAlignment="1">
      <alignment wrapText="1"/>
    </xf>
    <xf numFmtId="0" fontId="22" fillId="8" borderId="16" xfId="1" applyFont="1" applyFill="1" applyBorder="1" applyAlignment="1">
      <alignment horizontal="center"/>
    </xf>
    <xf numFmtId="41" fontId="8" fillId="8" borderId="16" xfId="1" applyNumberFormat="1" applyFont="1" applyFill="1" applyBorder="1"/>
    <xf numFmtId="10" fontId="10" fillId="8" borderId="16" xfId="15" applyNumberFormat="1" applyFont="1" applyFill="1" applyBorder="1" applyAlignment="1">
      <alignment horizontal="center"/>
    </xf>
    <xf numFmtId="10" fontId="8" fillId="8" borderId="16" xfId="1" applyNumberFormat="1" applyFont="1" applyFill="1" applyBorder="1"/>
    <xf numFmtId="10" fontId="8" fillId="8" borderId="16" xfId="15" applyNumberFormat="1" applyFont="1" applyFill="1" applyBorder="1"/>
    <xf numFmtId="10" fontId="10" fillId="8" borderId="16" xfId="15" applyNumberFormat="1" applyFont="1" applyFill="1" applyBorder="1"/>
    <xf numFmtId="41" fontId="8" fillId="8" borderId="52" xfId="1" applyNumberFormat="1" applyFont="1" applyFill="1" applyBorder="1"/>
    <xf numFmtId="170" fontId="10" fillId="8" borderId="16" xfId="8" applyNumberFormat="1" applyFont="1" applyFill="1" applyBorder="1"/>
    <xf numFmtId="180" fontId="8" fillId="8" borderId="16" xfId="1" applyNumberFormat="1" applyFont="1" applyFill="1" applyBorder="1"/>
    <xf numFmtId="0" fontId="8" fillId="8" borderId="16" xfId="1" applyFont="1" applyFill="1" applyBorder="1"/>
    <xf numFmtId="180" fontId="8" fillId="8" borderId="52" xfId="1" applyNumberFormat="1" applyFont="1" applyFill="1" applyBorder="1"/>
    <xf numFmtId="0" fontId="21" fillId="8" borderId="36" xfId="1" applyFont="1" applyFill="1" applyBorder="1"/>
    <xf numFmtId="41" fontId="8" fillId="0" borderId="28" xfId="1" applyNumberFormat="1" applyFont="1" applyFill="1" applyBorder="1"/>
    <xf numFmtId="0" fontId="33" fillId="2" borderId="4" xfId="13" applyFont="1" applyFill="1" applyBorder="1" applyAlignment="1">
      <alignment horizontal="left"/>
    </xf>
    <xf numFmtId="0" fontId="5" fillId="2" borderId="4" xfId="10" applyFont="1" applyFill="1" applyBorder="1" applyAlignment="1" applyProtection="1">
      <alignment horizontal="left"/>
    </xf>
    <xf numFmtId="168" fontId="15" fillId="2" borderId="0" xfId="15" applyNumberFormat="1" applyFont="1" applyFill="1" applyBorder="1"/>
    <xf numFmtId="168" fontId="50" fillId="2" borderId="0" xfId="15" applyNumberFormat="1" applyFont="1" applyFill="1" applyBorder="1"/>
    <xf numFmtId="43" fontId="50" fillId="2" borderId="0" xfId="1" applyNumberFormat="1" applyFont="1" applyFill="1" applyBorder="1"/>
    <xf numFmtId="43" fontId="0" fillId="2" borderId="0" xfId="1" applyNumberFormat="1" applyFont="1" applyFill="1" applyBorder="1"/>
    <xf numFmtId="168" fontId="26" fillId="2" borderId="0" xfId="15" applyNumberFormat="1" applyFont="1" applyFill="1" applyBorder="1"/>
    <xf numFmtId="0" fontId="0" fillId="8" borderId="14" xfId="1" applyFont="1" applyFill="1" applyBorder="1"/>
    <xf numFmtId="0" fontId="26" fillId="8" borderId="13" xfId="1" applyFont="1" applyFill="1" applyBorder="1"/>
    <xf numFmtId="0" fontId="7" fillId="8" borderId="10" xfId="1" applyFont="1" applyFill="1" applyBorder="1" applyAlignment="1">
      <alignment horizontal="right"/>
    </xf>
    <xf numFmtId="0" fontId="17" fillId="8" borderId="11" xfId="1" applyFont="1" applyFill="1" applyBorder="1" applyAlignment="1">
      <alignment horizontal="left"/>
    </xf>
    <xf numFmtId="0" fontId="0" fillId="9" borderId="0" xfId="1" applyFont="1" applyFill="1"/>
    <xf numFmtId="0" fontId="41" fillId="8" borderId="36" xfId="1" applyFont="1" applyFill="1" applyBorder="1" applyAlignment="1">
      <alignment horizontal="left"/>
    </xf>
    <xf numFmtId="0" fontId="0" fillId="2" borderId="0" xfId="1" applyFont="1" applyFill="1" applyAlignment="1"/>
    <xf numFmtId="168" fontId="13" fillId="2" borderId="0" xfId="15" applyNumberFormat="1" applyFont="1" applyFill="1" applyBorder="1" applyAlignment="1">
      <alignment horizontal="right"/>
    </xf>
    <xf numFmtId="168" fontId="7" fillId="2" borderId="5" xfId="15" applyNumberFormat="1" applyFont="1" applyFill="1" applyBorder="1"/>
    <xf numFmtId="44" fontId="26" fillId="7" borderId="0" xfId="9" applyNumberFormat="1" applyFont="1" applyFill="1"/>
    <xf numFmtId="44" fontId="53" fillId="7" borderId="0" xfId="9" applyNumberFormat="1" applyFont="1" applyFill="1"/>
    <xf numFmtId="168" fontId="44" fillId="0" borderId="0" xfId="15" applyNumberFormat="1" applyFont="1" applyFill="1"/>
    <xf numFmtId="0" fontId="59" fillId="8" borderId="10" xfId="1" quotePrefix="1" applyFont="1" applyFill="1" applyBorder="1" applyAlignment="1">
      <alignment wrapText="1"/>
    </xf>
    <xf numFmtId="0" fontId="6" fillId="0" borderId="0" xfId="1" applyFont="1" applyBorder="1"/>
    <xf numFmtId="0" fontId="7" fillId="0" borderId="0" xfId="1" applyFont="1" applyFill="1" applyBorder="1" applyProtection="1"/>
    <xf numFmtId="0" fontId="7" fillId="6" borderId="0" xfId="1" applyFont="1" applyFill="1" applyBorder="1" applyProtection="1"/>
    <xf numFmtId="179" fontId="7" fillId="0" borderId="0" xfId="1" applyNumberFormat="1" applyFont="1" applyBorder="1"/>
    <xf numFmtId="8" fontId="7" fillId="0" borderId="0" xfId="1" applyNumberFormat="1" applyFont="1" applyBorder="1"/>
    <xf numFmtId="168" fontId="10" fillId="2" borderId="13" xfId="15" applyNumberFormat="1" applyFont="1" applyFill="1" applyBorder="1"/>
    <xf numFmtId="189" fontId="0" fillId="2" borderId="0" xfId="8" applyNumberFormat="1" applyFont="1" applyFill="1"/>
    <xf numFmtId="43" fontId="8" fillId="0" borderId="6" xfId="8" applyFont="1" applyFill="1" applyBorder="1"/>
    <xf numFmtId="43" fontId="10" fillId="0" borderId="11" xfId="8" applyFont="1" applyFill="1" applyBorder="1"/>
    <xf numFmtId="0" fontId="7" fillId="8" borderId="6" xfId="1" applyFont="1" applyFill="1" applyBorder="1"/>
    <xf numFmtId="0" fontId="9" fillId="8" borderId="0" xfId="1" applyFont="1" applyFill="1" applyBorder="1" applyAlignment="1">
      <alignment horizontal="centerContinuous"/>
    </xf>
    <xf numFmtId="0" fontId="54" fillId="3" borderId="14" xfId="1" applyFont="1" applyFill="1" applyBorder="1" applyAlignment="1">
      <alignment wrapText="1"/>
    </xf>
    <xf numFmtId="0" fontId="13" fillId="3" borderId="13" xfId="1" applyFont="1" applyFill="1" applyBorder="1"/>
    <xf numFmtId="0" fontId="16" fillId="3" borderId="13" xfId="1" applyFont="1" applyFill="1" applyBorder="1"/>
    <xf numFmtId="43" fontId="16" fillId="3" borderId="13" xfId="8" applyFont="1" applyFill="1" applyBorder="1"/>
    <xf numFmtId="43" fontId="16" fillId="3" borderId="13" xfId="1" applyNumberFormat="1" applyFont="1" applyFill="1" applyBorder="1"/>
    <xf numFmtId="169" fontId="16" fillId="3" borderId="13" xfId="1" applyNumberFormat="1" applyFont="1" applyFill="1" applyBorder="1"/>
    <xf numFmtId="173" fontId="16" fillId="3" borderId="13" xfId="1" applyNumberFormat="1" applyFont="1" applyFill="1" applyBorder="1"/>
    <xf numFmtId="165" fontId="16" fillId="3" borderId="13" xfId="1" applyNumberFormat="1" applyFont="1" applyFill="1" applyBorder="1"/>
    <xf numFmtId="7" fontId="16" fillId="3" borderId="13" xfId="1" applyNumberFormat="1" applyFont="1" applyFill="1" applyBorder="1"/>
    <xf numFmtId="10" fontId="16" fillId="3" borderId="13" xfId="15" applyNumberFormat="1" applyFont="1" applyFill="1" applyBorder="1"/>
    <xf numFmtId="0" fontId="16" fillId="3" borderId="13" xfId="1" applyFont="1" applyFill="1" applyBorder="1" applyAlignment="1"/>
    <xf numFmtId="0" fontId="16" fillId="3" borderId="27" xfId="1" applyFont="1" applyFill="1" applyBorder="1" applyAlignment="1"/>
    <xf numFmtId="0" fontId="16" fillId="3" borderId="11" xfId="1" applyFont="1" applyFill="1" applyBorder="1"/>
    <xf numFmtId="168" fontId="16" fillId="3" borderId="11" xfId="15" applyNumberFormat="1" applyFont="1" applyFill="1" applyBorder="1"/>
    <xf numFmtId="43" fontId="16" fillId="3" borderId="11" xfId="1" applyNumberFormat="1" applyFont="1" applyFill="1" applyBorder="1"/>
    <xf numFmtId="43" fontId="16" fillId="3" borderId="11" xfId="8" applyFont="1" applyFill="1" applyBorder="1"/>
    <xf numFmtId="165" fontId="16" fillId="3" borderId="11" xfId="1" applyNumberFormat="1" applyFont="1" applyFill="1" applyBorder="1"/>
    <xf numFmtId="10" fontId="16" fillId="3" borderId="11" xfId="15" applyNumberFormat="1" applyFont="1" applyFill="1" applyBorder="1"/>
    <xf numFmtId="10" fontId="16" fillId="3" borderId="11" xfId="1" applyNumberFormat="1" applyFont="1" applyFill="1" applyBorder="1"/>
    <xf numFmtId="170" fontId="16" fillId="3" borderId="11" xfId="1" applyNumberFormat="1" applyFont="1" applyFill="1" applyBorder="1"/>
    <xf numFmtId="171" fontId="16" fillId="3" borderId="11" xfId="1" applyNumberFormat="1" applyFont="1" applyFill="1" applyBorder="1"/>
    <xf numFmtId="166" fontId="16" fillId="3" borderId="11" xfId="1" applyNumberFormat="1" applyFont="1" applyFill="1" applyBorder="1"/>
    <xf numFmtId="0" fontId="16" fillId="3" borderId="11" xfId="1" applyFont="1" applyFill="1" applyBorder="1" applyAlignment="1"/>
    <xf numFmtId="0" fontId="16" fillId="3" borderId="12" xfId="1" applyFont="1" applyFill="1" applyBorder="1" applyAlignment="1"/>
    <xf numFmtId="0" fontId="16" fillId="3" borderId="10" xfId="1" applyFont="1" applyFill="1" applyBorder="1" applyAlignment="1">
      <alignment wrapText="1"/>
    </xf>
    <xf numFmtId="180" fontId="7" fillId="8" borderId="13" xfId="1" applyNumberFormat="1" applyFont="1" applyFill="1" applyBorder="1"/>
    <xf numFmtId="180" fontId="8" fillId="0" borderId="59" xfId="1" applyNumberFormat="1" applyFont="1" applyFill="1" applyBorder="1"/>
    <xf numFmtId="168" fontId="7" fillId="8" borderId="16" xfId="1" applyNumberFormat="1" applyFont="1" applyFill="1" applyBorder="1"/>
    <xf numFmtId="0" fontId="6" fillId="2" borderId="0" xfId="1" applyFont="1" applyFill="1" applyBorder="1" applyAlignment="1">
      <alignment horizontal="right"/>
    </xf>
    <xf numFmtId="168" fontId="6" fillId="2" borderId="0" xfId="15" applyNumberFormat="1" applyFont="1" applyFill="1" applyBorder="1" applyAlignment="1">
      <alignment horizontal="right"/>
    </xf>
    <xf numFmtId="168" fontId="10" fillId="2" borderId="6" xfId="15" applyNumberFormat="1" applyFont="1" applyFill="1" applyBorder="1"/>
    <xf numFmtId="0" fontId="7" fillId="0" borderId="0" xfId="1" applyFont="1" applyAlignment="1">
      <alignment vertical="center"/>
    </xf>
    <xf numFmtId="0" fontId="7" fillId="7" borderId="4" xfId="1" applyFont="1" applyFill="1" applyBorder="1" applyAlignment="1">
      <alignment vertical="center" wrapText="1"/>
    </xf>
    <xf numFmtId="167" fontId="7" fillId="7" borderId="6" xfId="1" applyNumberFormat="1" applyFont="1" applyFill="1" applyBorder="1" applyAlignment="1">
      <alignment vertical="center"/>
    </xf>
    <xf numFmtId="167" fontId="7" fillId="7" borderId="0" xfId="1" applyNumberFormat="1" applyFont="1" applyFill="1" applyBorder="1" applyAlignment="1">
      <alignment vertical="center"/>
    </xf>
    <xf numFmtId="167" fontId="7" fillId="7" borderId="6" xfId="1" applyNumberFormat="1" applyFont="1" applyFill="1" applyBorder="1" applyAlignment="1">
      <alignment horizontal="right" vertical="center"/>
    </xf>
    <xf numFmtId="167" fontId="7" fillId="7" borderId="0" xfId="1" applyNumberFormat="1" applyFont="1" applyFill="1" applyBorder="1" applyAlignment="1">
      <alignment horizontal="right" vertical="center"/>
    </xf>
    <xf numFmtId="0" fontId="7" fillId="0" borderId="0" xfId="1" applyFont="1" applyFill="1" applyAlignment="1">
      <alignment vertical="center"/>
    </xf>
    <xf numFmtId="44" fontId="16" fillId="3" borderId="0" xfId="9" applyFont="1" applyFill="1" applyBorder="1"/>
    <xf numFmtId="44" fontId="16" fillId="3" borderId="0" xfId="9" applyFont="1" applyFill="1" applyBorder="1" applyAlignment="1"/>
    <xf numFmtId="44" fontId="16" fillId="3" borderId="0" xfId="1" applyNumberFormat="1" applyFont="1" applyFill="1" applyBorder="1"/>
    <xf numFmtId="178" fontId="16" fillId="3" borderId="0" xfId="1" applyNumberFormat="1" applyFont="1" applyFill="1" applyBorder="1"/>
    <xf numFmtId="44" fontId="0" fillId="7" borderId="0" xfId="9" applyNumberFormat="1" applyFont="1" applyFill="1"/>
    <xf numFmtId="44" fontId="44" fillId="7" borderId="0" xfId="9" applyNumberFormat="1" applyFont="1" applyFill="1"/>
    <xf numFmtId="0" fontId="39" fillId="3" borderId="14" xfId="13" applyFont="1" applyFill="1" applyBorder="1"/>
    <xf numFmtId="170" fontId="16" fillId="3" borderId="13" xfId="1" applyNumberFormat="1" applyFont="1" applyFill="1" applyBorder="1"/>
    <xf numFmtId="43" fontId="60" fillId="2" borderId="0" xfId="8" applyFont="1" applyFill="1"/>
    <xf numFmtId="43" fontId="61" fillId="2" borderId="0" xfId="8" applyFont="1" applyFill="1"/>
    <xf numFmtId="43" fontId="62" fillId="2" borderId="0" xfId="8" applyFont="1" applyFill="1"/>
    <xf numFmtId="43" fontId="63" fillId="2" borderId="0" xfId="8" applyFont="1" applyFill="1"/>
    <xf numFmtId="43" fontId="10" fillId="2" borderId="0" xfId="8" applyFont="1" applyFill="1" applyBorder="1"/>
    <xf numFmtId="43" fontId="65" fillId="2" borderId="0" xfId="8" applyFont="1" applyFill="1"/>
    <xf numFmtId="43" fontId="4" fillId="2" borderId="0" xfId="8" applyFont="1" applyFill="1"/>
    <xf numFmtId="43" fontId="45" fillId="2" borderId="0" xfId="8" applyFont="1" applyFill="1"/>
    <xf numFmtId="43" fontId="64" fillId="2" borderId="0" xfId="8" applyFont="1" applyFill="1"/>
    <xf numFmtId="43" fontId="3" fillId="2" borderId="0" xfId="8" applyFont="1" applyFill="1"/>
    <xf numFmtId="43" fontId="66" fillId="2" borderId="0" xfId="8" applyFont="1" applyFill="1"/>
    <xf numFmtId="43" fontId="6" fillId="2" borderId="0" xfId="1" applyNumberFormat="1" applyFont="1" applyFill="1" applyBorder="1" applyAlignment="1">
      <alignment horizontal="right"/>
    </xf>
    <xf numFmtId="172" fontId="6" fillId="2" borderId="0" xfId="1" applyNumberFormat="1" applyFont="1" applyFill="1" applyBorder="1" applyAlignment="1">
      <alignment horizontal="right"/>
    </xf>
    <xf numFmtId="43" fontId="6" fillId="2" borderId="0" xfId="8" applyFont="1" applyFill="1" applyBorder="1" applyAlignment="1">
      <alignment horizontal="right"/>
    </xf>
    <xf numFmtId="0" fontId="7" fillId="0" borderId="14" xfId="8" applyNumberFormat="1" applyFont="1" applyFill="1" applyBorder="1" applyAlignment="1">
      <alignment horizontal="left" indent="1"/>
    </xf>
    <xf numFmtId="169" fontId="10" fillId="0" borderId="13" xfId="8" applyNumberFormat="1" applyFont="1" applyFill="1" applyBorder="1"/>
    <xf numFmtId="169" fontId="10" fillId="0" borderId="3" xfId="8" applyNumberFormat="1" applyFont="1" applyFill="1" applyBorder="1"/>
    <xf numFmtId="169" fontId="10" fillId="0" borderId="3" xfId="8" applyNumberFormat="1" applyFont="1" applyBorder="1"/>
    <xf numFmtId="0" fontId="7" fillId="0" borderId="10" xfId="8" applyNumberFormat="1" applyFont="1" applyFill="1" applyBorder="1" applyAlignment="1">
      <alignment horizontal="left" indent="1"/>
    </xf>
    <xf numFmtId="169" fontId="10" fillId="0" borderId="11" xfId="8" applyNumberFormat="1" applyFont="1" applyFill="1" applyBorder="1"/>
    <xf numFmtId="169" fontId="10" fillId="0" borderId="15" xfId="8" applyNumberFormat="1" applyFont="1" applyFill="1" applyBorder="1"/>
    <xf numFmtId="169" fontId="10" fillId="0" borderId="15" xfId="8" applyNumberFormat="1" applyFont="1" applyBorder="1"/>
    <xf numFmtId="168" fontId="9" fillId="5" borderId="17" xfId="15" applyNumberFormat="1" applyFont="1" applyFill="1" applyBorder="1" applyAlignment="1">
      <alignment horizontal="center"/>
    </xf>
    <xf numFmtId="168" fontId="0" fillId="2" borderId="0" xfId="15" applyNumberFormat="1" applyFont="1" applyFill="1"/>
    <xf numFmtId="168" fontId="65" fillId="2" borderId="0" xfId="15" applyNumberFormat="1" applyFont="1" applyFill="1"/>
    <xf numFmtId="168" fontId="60" fillId="2" borderId="0" xfId="15" applyNumberFormat="1" applyFont="1" applyFill="1"/>
    <xf numFmtId="168" fontId="4" fillId="2" borderId="0" xfId="15" applyNumberFormat="1" applyFont="1" applyFill="1"/>
    <xf numFmtId="167" fontId="7" fillId="7" borderId="5" xfId="1" applyNumberFormat="1" applyFont="1" applyFill="1" applyBorder="1" applyAlignment="1">
      <alignment vertical="center"/>
    </xf>
    <xf numFmtId="178" fontId="7" fillId="3" borderId="0" xfId="9" applyNumberFormat="1" applyFont="1" applyFill="1" applyBorder="1"/>
    <xf numFmtId="190" fontId="7" fillId="3" borderId="0" xfId="9" applyNumberFormat="1" applyFont="1" applyFill="1" applyBorder="1"/>
    <xf numFmtId="43" fontId="13" fillId="3" borderId="0" xfId="8" applyNumberFormat="1" applyFont="1" applyFill="1" applyBorder="1"/>
    <xf numFmtId="191" fontId="16" fillId="3" borderId="0" xfId="1" applyNumberFormat="1" applyFont="1" applyFill="1" applyBorder="1"/>
    <xf numFmtId="0" fontId="5" fillId="2" borderId="0" xfId="10" applyFill="1" applyBorder="1" applyAlignment="1" applyProtection="1">
      <alignment horizontal="left"/>
    </xf>
    <xf numFmtId="166" fontId="10" fillId="0" borderId="13" xfId="1" applyNumberFormat="1" applyFont="1" applyBorder="1"/>
    <xf numFmtId="10" fontId="35" fillId="0" borderId="60" xfId="15" applyNumberFormat="1" applyFont="1" applyFill="1" applyBorder="1" applyAlignment="1">
      <alignment horizontal="right"/>
    </xf>
    <xf numFmtId="10" fontId="35" fillId="0" borderId="16" xfId="15" applyNumberFormat="1" applyFont="1" applyFill="1" applyBorder="1" applyAlignment="1">
      <alignment horizontal="right"/>
    </xf>
    <xf numFmtId="10" fontId="35" fillId="0" borderId="61" xfId="15" applyNumberFormat="1" applyFont="1" applyFill="1" applyBorder="1" applyAlignment="1">
      <alignment horizontal="right"/>
    </xf>
    <xf numFmtId="10" fontId="35" fillId="0" borderId="16" xfId="15" applyNumberFormat="1" applyFont="1" applyFill="1" applyBorder="1" applyAlignment="1">
      <alignment horizontal="center"/>
    </xf>
    <xf numFmtId="10" fontId="35" fillId="2" borderId="16" xfId="15" applyNumberFormat="1" applyFont="1" applyFill="1" applyBorder="1" applyAlignment="1">
      <alignment horizontal="center"/>
    </xf>
    <xf numFmtId="9" fontId="35" fillId="2" borderId="62" xfId="15" applyFont="1" applyFill="1" applyBorder="1" applyAlignment="1">
      <alignment horizontal="center"/>
    </xf>
    <xf numFmtId="174" fontId="43" fillId="0" borderId="0" xfId="1" applyNumberFormat="1" applyFont="1" applyFill="1" applyBorder="1"/>
    <xf numFmtId="176" fontId="43" fillId="0" borderId="0" xfId="1" applyNumberFormat="1" applyFont="1" applyFill="1" applyBorder="1"/>
    <xf numFmtId="44" fontId="0" fillId="7" borderId="0" xfId="9" applyNumberFormat="1" applyFont="1" applyFill="1" applyBorder="1"/>
    <xf numFmtId="44" fontId="44" fillId="7" borderId="0" xfId="9" applyNumberFormat="1" applyFont="1" applyFill="1" applyBorder="1"/>
    <xf numFmtId="173" fontId="10" fillId="0" borderId="0" xfId="8" applyNumberFormat="1" applyFont="1" applyBorder="1"/>
    <xf numFmtId="0" fontId="10" fillId="0" borderId="13" xfId="8" applyNumberFormat="1" applyFont="1" applyBorder="1" applyAlignment="1">
      <alignment horizontal="left" indent="1"/>
    </xf>
    <xf numFmtId="0" fontId="10" fillId="0" borderId="11" xfId="8" applyNumberFormat="1" applyFont="1" applyBorder="1" applyAlignment="1">
      <alignment horizontal="left" indent="1"/>
    </xf>
    <xf numFmtId="43" fontId="7" fillId="7" borderId="11" xfId="1" applyNumberFormat="1" applyFont="1" applyFill="1" applyBorder="1"/>
    <xf numFmtId="43" fontId="9" fillId="7" borderId="10" xfId="1" applyNumberFormat="1" applyFont="1" applyFill="1" applyBorder="1"/>
    <xf numFmtId="43" fontId="7" fillId="7" borderId="15" xfId="1" applyNumberFormat="1" applyFont="1" applyFill="1" applyBorder="1"/>
    <xf numFmtId="43" fontId="7" fillId="7" borderId="10" xfId="1" applyNumberFormat="1" applyFont="1" applyFill="1" applyBorder="1"/>
    <xf numFmtId="43" fontId="7" fillId="7" borderId="12" xfId="1" applyNumberFormat="1" applyFont="1" applyFill="1" applyBorder="1"/>
    <xf numFmtId="181" fontId="7" fillId="0" borderId="6" xfId="15" applyNumberFormat="1" applyFont="1" applyFill="1" applyBorder="1"/>
    <xf numFmtId="181" fontId="7" fillId="0" borderId="15" xfId="15" applyNumberFormat="1" applyFont="1" applyFill="1" applyBorder="1"/>
    <xf numFmtId="169" fontId="7" fillId="7" borderId="11" xfId="8" applyNumberFormat="1" applyFont="1" applyFill="1" applyBorder="1"/>
    <xf numFmtId="185" fontId="8" fillId="0" borderId="8" xfId="1" applyNumberFormat="1" applyFont="1" applyBorder="1"/>
    <xf numFmtId="0" fontId="9" fillId="2" borderId="0" xfId="1" applyFont="1" applyFill="1" applyBorder="1" applyAlignment="1">
      <alignment horizontal="right"/>
    </xf>
    <xf numFmtId="10" fontId="7" fillId="2" borderId="0" xfId="15" applyNumberFormat="1" applyFont="1" applyFill="1" applyBorder="1"/>
    <xf numFmtId="168" fontId="9" fillId="2" borderId="0" xfId="15" applyNumberFormat="1" applyFont="1" applyFill="1" applyBorder="1" applyAlignment="1">
      <alignment horizontal="right"/>
    </xf>
    <xf numFmtId="44" fontId="9" fillId="2" borderId="0" xfId="1" applyNumberFormat="1" applyFont="1" applyFill="1" applyBorder="1" applyAlignment="1">
      <alignment horizontal="right"/>
    </xf>
    <xf numFmtId="0" fontId="9" fillId="0" borderId="10" xfId="1" applyFont="1" applyFill="1" applyBorder="1" applyAlignment="1">
      <alignment horizontal="left" wrapText="1"/>
    </xf>
    <xf numFmtId="9" fontId="43" fillId="0" borderId="0" xfId="15" applyFont="1" applyFill="1" applyBorder="1"/>
    <xf numFmtId="168" fontId="44" fillId="0" borderId="0" xfId="9" applyNumberFormat="1" applyFont="1" applyFill="1"/>
    <xf numFmtId="8" fontId="10" fillId="0" borderId="0" xfId="8" applyNumberFormat="1" applyFont="1" applyFill="1" applyBorder="1"/>
    <xf numFmtId="168" fontId="7" fillId="0" borderId="10" xfId="15" applyNumberFormat="1" applyFont="1" applyFill="1" applyBorder="1" applyAlignment="1">
      <alignment horizontal="left" indent="1"/>
    </xf>
    <xf numFmtId="168" fontId="10" fillId="0" borderId="11" xfId="15" applyNumberFormat="1" applyFont="1" applyBorder="1" applyAlignment="1">
      <alignment horizontal="left" indent="1"/>
    </xf>
    <xf numFmtId="168" fontId="10" fillId="0" borderId="15" xfId="15" applyNumberFormat="1" applyFont="1" applyFill="1" applyBorder="1"/>
    <xf numFmtId="168" fontId="10" fillId="0" borderId="15" xfId="15" applyNumberFormat="1" applyFont="1" applyBorder="1"/>
    <xf numFmtId="192" fontId="16" fillId="3" borderId="0" xfId="1" applyNumberFormat="1" applyFont="1" applyFill="1" applyBorder="1"/>
    <xf numFmtId="168" fontId="7" fillId="2" borderId="11" xfId="1" applyNumberFormat="1" applyFont="1" applyFill="1" applyBorder="1"/>
    <xf numFmtId="180" fontId="8" fillId="7" borderId="16" xfId="1" applyNumberFormat="1" applyFont="1" applyFill="1" applyBorder="1"/>
    <xf numFmtId="180" fontId="8" fillId="7" borderId="33" xfId="1" applyNumberFormat="1" applyFont="1" applyFill="1" applyBorder="1"/>
    <xf numFmtId="0" fontId="5" fillId="2" borderId="0" xfId="10" applyFill="1" applyAlignment="1" applyProtection="1">
      <alignment wrapText="1"/>
    </xf>
    <xf numFmtId="0" fontId="16" fillId="2" borderId="0" xfId="1" applyFont="1" applyFill="1"/>
    <xf numFmtId="0" fontId="7" fillId="2" borderId="13" xfId="1" applyFont="1" applyFill="1" applyBorder="1"/>
    <xf numFmtId="170" fontId="7" fillId="2" borderId="3" xfId="1" applyNumberFormat="1" applyFont="1" applyFill="1" applyBorder="1"/>
    <xf numFmtId="170" fontId="7" fillId="2" borderId="13" xfId="1" applyNumberFormat="1" applyFont="1" applyFill="1" applyBorder="1"/>
    <xf numFmtId="170" fontId="7" fillId="2" borderId="0" xfId="8" applyNumberFormat="1" applyFont="1" applyFill="1" applyBorder="1"/>
    <xf numFmtId="170" fontId="10" fillId="2" borderId="0" xfId="8" applyNumberFormat="1" applyFont="1" applyFill="1" applyBorder="1"/>
    <xf numFmtId="170" fontId="7" fillId="2" borderId="6" xfId="1" applyNumberFormat="1" applyFont="1" applyFill="1" applyBorder="1"/>
    <xf numFmtId="170" fontId="7" fillId="2" borderId="0" xfId="1" applyNumberFormat="1" applyFont="1" applyFill="1" applyBorder="1"/>
    <xf numFmtId="170" fontId="10" fillId="2" borderId="6" xfId="8" applyNumberFormat="1" applyFont="1" applyFill="1" applyBorder="1"/>
    <xf numFmtId="170" fontId="7" fillId="2" borderId="6" xfId="8" applyNumberFormat="1" applyFont="1" applyFill="1" applyBorder="1"/>
    <xf numFmtId="170" fontId="7" fillId="2" borderId="0" xfId="15" applyNumberFormat="1" applyFont="1" applyFill="1" applyBorder="1"/>
    <xf numFmtId="0" fontId="9" fillId="2" borderId="0" xfId="1" applyFont="1" applyFill="1" applyBorder="1"/>
    <xf numFmtId="168" fontId="7" fillId="2" borderId="3" xfId="15" applyNumberFormat="1" applyFont="1" applyFill="1" applyBorder="1"/>
    <xf numFmtId="168" fontId="7" fillId="2" borderId="13" xfId="15" applyNumberFormat="1" applyFont="1" applyFill="1" applyBorder="1"/>
    <xf numFmtId="168" fontId="7" fillId="2" borderId="15" xfId="15" applyNumberFormat="1" applyFont="1" applyFill="1" applyBorder="1"/>
    <xf numFmtId="168" fontId="7" fillId="2" borderId="11" xfId="15" applyNumberFormat="1" applyFont="1" applyFill="1" applyBorder="1"/>
    <xf numFmtId="173" fontId="7" fillId="2" borderId="0" xfId="8" applyNumberFormat="1" applyFont="1" applyFill="1" applyBorder="1"/>
    <xf numFmtId="170" fontId="7" fillId="2" borderId="15" xfId="8" applyNumberFormat="1" applyFont="1" applyFill="1" applyBorder="1"/>
    <xf numFmtId="168" fontId="7" fillId="2" borderId="6" xfId="15" applyNumberFormat="1" applyFont="1" applyFill="1" applyBorder="1" applyAlignment="1">
      <alignment horizontal="right"/>
    </xf>
    <xf numFmtId="43" fontId="7" fillId="2" borderId="13" xfId="8" applyFont="1" applyFill="1" applyBorder="1"/>
    <xf numFmtId="0" fontId="9" fillId="2" borderId="14" xfId="1" applyFont="1" applyFill="1" applyBorder="1" applyAlignment="1">
      <alignment horizontal="left"/>
    </xf>
    <xf numFmtId="0" fontId="7" fillId="2" borderId="16" xfId="1" applyFont="1" applyFill="1" applyBorder="1"/>
    <xf numFmtId="0" fontId="7" fillId="2" borderId="6" xfId="1" applyFont="1" applyFill="1" applyBorder="1"/>
    <xf numFmtId="0" fontId="7" fillId="2" borderId="15" xfId="1" applyFont="1" applyFill="1" applyBorder="1"/>
    <xf numFmtId="170" fontId="7" fillId="2" borderId="11" xfId="1" applyNumberFormat="1" applyFont="1" applyFill="1" applyBorder="1"/>
    <xf numFmtId="170" fontId="7" fillId="2" borderId="15" xfId="1" applyNumberFormat="1" applyFont="1" applyFill="1" applyBorder="1"/>
    <xf numFmtId="44" fontId="7" fillId="2" borderId="0" xfId="9" applyFont="1" applyFill="1"/>
    <xf numFmtId="44" fontId="7" fillId="2" borderId="0" xfId="1" applyNumberFormat="1" applyFont="1" applyFill="1"/>
    <xf numFmtId="7" fontId="7" fillId="2" borderId="0" xfId="1" applyNumberFormat="1" applyFont="1" applyFill="1"/>
    <xf numFmtId="0" fontId="67" fillId="3" borderId="0" xfId="1" applyFont="1" applyFill="1"/>
    <xf numFmtId="0" fontId="7" fillId="3" borderId="0" xfId="1" applyFont="1" applyFill="1"/>
    <xf numFmtId="44" fontId="43" fillId="3" borderId="0" xfId="9" applyFont="1" applyFill="1"/>
    <xf numFmtId="0" fontId="9" fillId="8" borderId="14" xfId="1" applyFont="1" applyFill="1" applyBorder="1" applyAlignment="1">
      <alignment horizontal="centerContinuous"/>
    </xf>
    <xf numFmtId="0" fontId="9" fillId="8" borderId="27" xfId="1" applyFont="1" applyFill="1" applyBorder="1" applyAlignment="1">
      <alignment horizontal="centerContinuous"/>
    </xf>
    <xf numFmtId="0" fontId="9" fillId="8" borderId="15" xfId="1" applyFont="1" applyFill="1" applyBorder="1"/>
    <xf numFmtId="173" fontId="7" fillId="2" borderId="6" xfId="8" applyNumberFormat="1" applyFont="1" applyFill="1" applyBorder="1"/>
    <xf numFmtId="170" fontId="10" fillId="2" borderId="0" xfId="15" applyNumberFormat="1" applyFont="1" applyFill="1" applyBorder="1"/>
    <xf numFmtId="170" fontId="10" fillId="2" borderId="0" xfId="15" applyNumberFormat="1" applyFont="1" applyFill="1" applyBorder="1" applyAlignment="1">
      <alignment horizontal="right"/>
    </xf>
    <xf numFmtId="170" fontId="10" fillId="2" borderId="4" xfId="15" applyNumberFormat="1" applyFont="1" applyFill="1" applyBorder="1" applyAlignment="1">
      <alignment horizontal="right"/>
    </xf>
    <xf numFmtId="170" fontId="7" fillId="2" borderId="6" xfId="15" applyNumberFormat="1" applyFont="1" applyFill="1" applyBorder="1" applyAlignment="1">
      <alignment horizontal="right"/>
    </xf>
    <xf numFmtId="170" fontId="10" fillId="2" borderId="0" xfId="1" applyNumberFormat="1" applyFont="1" applyFill="1" applyBorder="1"/>
    <xf numFmtId="173" fontId="10" fillId="2" borderId="0" xfId="8" applyNumberFormat="1" applyFont="1" applyFill="1" applyBorder="1"/>
    <xf numFmtId="173" fontId="10" fillId="2" borderId="0" xfId="15" applyNumberFormat="1" applyFont="1" applyFill="1" applyBorder="1"/>
    <xf numFmtId="173" fontId="7" fillId="2" borderId="6" xfId="15" applyNumberFormat="1" applyFont="1" applyFill="1" applyBorder="1"/>
    <xf numFmtId="173" fontId="10" fillId="2" borderId="0" xfId="15" applyNumberFormat="1" applyFont="1" applyFill="1" applyBorder="1" applyAlignment="1">
      <alignment horizontal="right"/>
    </xf>
    <xf numFmtId="173" fontId="7" fillId="2" borderId="6" xfId="15" applyNumberFormat="1" applyFont="1" applyFill="1" applyBorder="1" applyAlignment="1">
      <alignment horizontal="right"/>
    </xf>
    <xf numFmtId="173" fontId="10" fillId="2" borderId="5" xfId="15" applyNumberFormat="1" applyFont="1" applyFill="1" applyBorder="1" applyAlignment="1">
      <alignment horizontal="right"/>
    </xf>
    <xf numFmtId="173" fontId="7" fillId="2" borderId="5" xfId="15" applyNumberFormat="1" applyFont="1" applyFill="1" applyBorder="1" applyAlignment="1">
      <alignment horizontal="right"/>
    </xf>
    <xf numFmtId="173" fontId="7" fillId="2" borderId="4" xfId="15" applyNumberFormat="1" applyFont="1" applyFill="1" applyBorder="1" applyAlignment="1">
      <alignment horizontal="right"/>
    </xf>
    <xf numFmtId="173" fontId="10" fillId="2" borderId="4" xfId="15" applyNumberFormat="1" applyFont="1" applyFill="1" applyBorder="1" applyAlignment="1">
      <alignment horizontal="right"/>
    </xf>
    <xf numFmtId="173" fontId="7" fillId="2" borderId="0" xfId="15" applyNumberFormat="1" applyFont="1" applyFill="1" applyBorder="1" applyAlignment="1">
      <alignment horizontal="right"/>
    </xf>
    <xf numFmtId="168" fontId="10" fillId="2" borderId="0" xfId="8" applyNumberFormat="1" applyFont="1" applyFill="1" applyBorder="1"/>
    <xf numFmtId="168" fontId="7" fillId="2" borderId="6" xfId="8" applyNumberFormat="1" applyFont="1" applyFill="1" applyBorder="1"/>
    <xf numFmtId="168" fontId="10" fillId="2" borderId="0" xfId="15" applyNumberFormat="1" applyFont="1" applyFill="1" applyBorder="1" applyAlignment="1">
      <alignment horizontal="right"/>
    </xf>
    <xf numFmtId="168" fontId="10" fillId="2" borderId="5" xfId="15" applyNumberFormat="1" applyFont="1" applyFill="1" applyBorder="1" applyAlignment="1">
      <alignment horizontal="right"/>
    </xf>
    <xf numFmtId="168" fontId="7" fillId="2" borderId="5" xfId="15" applyNumberFormat="1" applyFont="1" applyFill="1" applyBorder="1" applyAlignment="1">
      <alignment horizontal="right"/>
    </xf>
    <xf numFmtId="168" fontId="10" fillId="2" borderId="4" xfId="15" applyNumberFormat="1" applyFont="1" applyFill="1" applyBorder="1" applyAlignment="1">
      <alignment horizontal="right"/>
    </xf>
    <xf numFmtId="168" fontId="10" fillId="0" borderId="5" xfId="15" applyNumberFormat="1" applyFont="1" applyFill="1" applyBorder="1" applyAlignment="1">
      <alignment horizontal="right"/>
    </xf>
    <xf numFmtId="168" fontId="10" fillId="0" borderId="4" xfId="15" applyNumberFormat="1" applyFont="1" applyFill="1" applyBorder="1" applyAlignment="1">
      <alignment horizontal="right"/>
    </xf>
    <xf numFmtId="173" fontId="7" fillId="2" borderId="0" xfId="15" applyNumberFormat="1" applyFont="1" applyFill="1" applyBorder="1"/>
    <xf numFmtId="43" fontId="7" fillId="2" borderId="5" xfId="15" applyNumberFormat="1" applyFont="1" applyFill="1" applyBorder="1" applyAlignment="1">
      <alignment horizontal="right"/>
    </xf>
    <xf numFmtId="10" fontId="7" fillId="2" borderId="0" xfId="15" applyNumberFormat="1" applyFont="1" applyFill="1" applyBorder="1" applyAlignment="1">
      <alignment horizontal="right"/>
    </xf>
    <xf numFmtId="173" fontId="7" fillId="2" borderId="15" xfId="8" applyNumberFormat="1" applyFont="1" applyFill="1" applyBorder="1"/>
    <xf numFmtId="170" fontId="7" fillId="2" borderId="15" xfId="15" applyNumberFormat="1" applyFont="1" applyFill="1" applyBorder="1"/>
    <xf numFmtId="170" fontId="7" fillId="2" borderId="11" xfId="15" applyNumberFormat="1" applyFont="1" applyFill="1" applyBorder="1" applyAlignment="1">
      <alignment horizontal="right"/>
    </xf>
    <xf numFmtId="170" fontId="7" fillId="2" borderId="15" xfId="15" applyNumberFormat="1" applyFont="1" applyFill="1" applyBorder="1" applyAlignment="1">
      <alignment horizontal="right"/>
    </xf>
    <xf numFmtId="170" fontId="7" fillId="2" borderId="12" xfId="15" applyNumberFormat="1" applyFont="1" applyFill="1" applyBorder="1" applyAlignment="1">
      <alignment horizontal="right"/>
    </xf>
    <xf numFmtId="170" fontId="7" fillId="2" borderId="10" xfId="1" applyNumberFormat="1" applyFont="1" applyFill="1" applyBorder="1"/>
    <xf numFmtId="170" fontId="10" fillId="2" borderId="11" xfId="1" applyNumberFormat="1" applyFont="1" applyFill="1" applyBorder="1"/>
    <xf numFmtId="0" fontId="16" fillId="2" borderId="0" xfId="1" applyFont="1" applyFill="1" applyBorder="1"/>
    <xf numFmtId="192" fontId="7" fillId="2" borderId="0" xfId="1" applyNumberFormat="1" applyFont="1" applyFill="1" applyBorder="1"/>
    <xf numFmtId="168" fontId="16" fillId="2" borderId="0" xfId="15" applyNumberFormat="1" applyFont="1" applyFill="1" applyBorder="1"/>
    <xf numFmtId="168" fontId="7" fillId="2" borderId="14" xfId="15" applyNumberFormat="1" applyFont="1" applyFill="1" applyBorder="1"/>
    <xf numFmtId="168" fontId="7" fillId="2" borderId="27" xfId="15" applyNumberFormat="1" applyFont="1" applyFill="1" applyBorder="1"/>
    <xf numFmtId="172" fontId="16" fillId="2" borderId="0" xfId="8" applyNumberFormat="1" applyFont="1" applyFill="1" applyBorder="1"/>
    <xf numFmtId="170" fontId="7" fillId="2" borderId="5" xfId="8" applyNumberFormat="1" applyFont="1" applyFill="1" applyBorder="1"/>
    <xf numFmtId="170" fontId="10" fillId="2" borderId="4" xfId="8" applyNumberFormat="1" applyFont="1" applyFill="1" applyBorder="1"/>
    <xf numFmtId="170" fontId="10" fillId="2" borderId="5" xfId="8" applyNumberFormat="1" applyFont="1" applyFill="1" applyBorder="1"/>
    <xf numFmtId="170" fontId="7" fillId="2" borderId="4" xfId="1" applyNumberFormat="1" applyFont="1" applyFill="1" applyBorder="1"/>
    <xf numFmtId="170" fontId="7" fillId="2" borderId="5" xfId="1" applyNumberFormat="1" applyFont="1" applyFill="1" applyBorder="1"/>
    <xf numFmtId="0" fontId="6" fillId="2" borderId="0" xfId="1" applyFont="1" applyFill="1" applyBorder="1" applyAlignment="1">
      <alignment horizontal="center"/>
    </xf>
    <xf numFmtId="0" fontId="7" fillId="2" borderId="14" xfId="1" applyFont="1" applyFill="1" applyBorder="1"/>
    <xf numFmtId="9" fontId="7" fillId="2" borderId="13" xfId="15" applyFont="1" applyFill="1" applyBorder="1"/>
    <xf numFmtId="9" fontId="7" fillId="2" borderId="3" xfId="15" applyFont="1" applyFill="1" applyBorder="1"/>
    <xf numFmtId="9" fontId="7" fillId="2" borderId="11" xfId="15" applyFont="1" applyFill="1" applyBorder="1"/>
    <xf numFmtId="9" fontId="7" fillId="2" borderId="15" xfId="15" applyFont="1" applyFill="1" applyBorder="1"/>
    <xf numFmtId="43" fontId="7" fillId="2" borderId="0" xfId="8" applyFont="1" applyFill="1"/>
    <xf numFmtId="43" fontId="10" fillId="2" borderId="0" xfId="8" applyNumberFormat="1" applyFont="1" applyFill="1" applyBorder="1"/>
    <xf numFmtId="170" fontId="49" fillId="0" borderId="0" xfId="8" applyNumberFormat="1" applyFont="1" applyBorder="1"/>
    <xf numFmtId="168" fontId="10" fillId="2" borderId="11" xfId="15" applyNumberFormat="1" applyFont="1" applyFill="1" applyBorder="1"/>
    <xf numFmtId="0" fontId="7" fillId="2" borderId="36" xfId="1" applyFont="1" applyFill="1" applyBorder="1"/>
    <xf numFmtId="170" fontId="10" fillId="2" borderId="16" xfId="8" applyNumberFormat="1" applyFont="1" applyFill="1" applyBorder="1"/>
    <xf numFmtId="170" fontId="7" fillId="2" borderId="17" xfId="8" applyNumberFormat="1" applyFont="1" applyFill="1" applyBorder="1"/>
    <xf numFmtId="170" fontId="10" fillId="2" borderId="36" xfId="8" applyNumberFormat="1" applyFont="1" applyFill="1" applyBorder="1"/>
    <xf numFmtId="170" fontId="10" fillId="2" borderId="52" xfId="8" applyNumberFormat="1" applyFont="1" applyFill="1" applyBorder="1"/>
    <xf numFmtId="43" fontId="10" fillId="2" borderId="16" xfId="8" applyNumberFormat="1" applyFont="1" applyFill="1" applyBorder="1"/>
    <xf numFmtId="170" fontId="7" fillId="2" borderId="17" xfId="1" applyNumberFormat="1" applyFont="1" applyFill="1" applyBorder="1"/>
    <xf numFmtId="0" fontId="7" fillId="2" borderId="7" xfId="1" applyFont="1" applyFill="1" applyBorder="1"/>
    <xf numFmtId="173" fontId="7" fillId="2" borderId="7" xfId="8" applyNumberFormat="1" applyFont="1" applyFill="1" applyBorder="1"/>
    <xf numFmtId="173" fontId="10" fillId="2" borderId="8" xfId="8" applyNumberFormat="1" applyFont="1" applyFill="1" applyBorder="1"/>
    <xf numFmtId="173" fontId="10" fillId="2" borderId="8" xfId="15" applyNumberFormat="1" applyFont="1" applyFill="1" applyBorder="1"/>
    <xf numFmtId="173" fontId="7" fillId="2" borderId="7" xfId="15" applyNumberFormat="1" applyFont="1" applyFill="1" applyBorder="1"/>
    <xf numFmtId="173" fontId="10" fillId="2" borderId="8" xfId="15" applyNumberFormat="1" applyFont="1" applyFill="1" applyBorder="1" applyAlignment="1">
      <alignment horizontal="right"/>
    </xf>
    <xf numFmtId="173" fontId="7" fillId="2" borderId="7" xfId="15" applyNumberFormat="1" applyFont="1" applyFill="1" applyBorder="1" applyAlignment="1">
      <alignment horizontal="right"/>
    </xf>
    <xf numFmtId="173" fontId="10" fillId="2" borderId="9" xfId="15" applyNumberFormat="1" applyFont="1" applyFill="1" applyBorder="1" applyAlignment="1">
      <alignment horizontal="right"/>
    </xf>
    <xf numFmtId="173" fontId="7" fillId="2" borderId="9" xfId="15" applyNumberFormat="1" applyFont="1" applyFill="1" applyBorder="1" applyAlignment="1">
      <alignment horizontal="right"/>
    </xf>
    <xf numFmtId="170" fontId="7" fillId="2" borderId="0" xfId="15" applyNumberFormat="1" applyFont="1" applyFill="1" applyBorder="1" applyAlignment="1">
      <alignment horizontal="right"/>
    </xf>
    <xf numFmtId="170" fontId="7" fillId="2" borderId="4" xfId="15" applyNumberFormat="1" applyFont="1" applyFill="1" applyBorder="1" applyAlignment="1">
      <alignment horizontal="right"/>
    </xf>
    <xf numFmtId="170" fontId="10" fillId="2" borderId="8" xfId="8" applyNumberFormat="1" applyFont="1" applyFill="1" applyBorder="1"/>
    <xf numFmtId="170" fontId="7" fillId="2" borderId="7" xfId="8" applyNumberFormat="1" applyFont="1" applyFill="1" applyBorder="1"/>
    <xf numFmtId="170" fontId="10" fillId="2" borderId="8" xfId="15" applyNumberFormat="1" applyFont="1" applyFill="1" applyBorder="1"/>
    <xf numFmtId="170" fontId="10" fillId="2" borderId="8" xfId="15" applyNumberFormat="1" applyFont="1" applyFill="1" applyBorder="1" applyAlignment="1">
      <alignment horizontal="right"/>
    </xf>
    <xf numFmtId="170" fontId="7" fillId="2" borderId="7" xfId="15" applyNumberFormat="1" applyFont="1" applyFill="1" applyBorder="1" applyAlignment="1">
      <alignment horizontal="right"/>
    </xf>
    <xf numFmtId="170" fontId="7" fillId="2" borderId="35" xfId="15" applyNumberFormat="1" applyFont="1" applyFill="1" applyBorder="1" applyAlignment="1">
      <alignment horizontal="right"/>
    </xf>
    <xf numFmtId="170" fontId="7" fillId="2" borderId="8" xfId="15" applyNumberFormat="1" applyFont="1" applyFill="1" applyBorder="1" applyAlignment="1">
      <alignment horizontal="right"/>
    </xf>
    <xf numFmtId="170" fontId="7" fillId="2" borderId="9" xfId="15" applyNumberFormat="1" applyFont="1" applyFill="1" applyBorder="1" applyAlignment="1">
      <alignment horizontal="right"/>
    </xf>
    <xf numFmtId="170" fontId="7" fillId="2" borderId="14" xfId="1" applyNumberFormat="1" applyFont="1" applyFill="1" applyBorder="1"/>
    <xf numFmtId="170" fontId="7" fillId="2" borderId="27" xfId="1" applyNumberFormat="1" applyFont="1" applyFill="1" applyBorder="1"/>
    <xf numFmtId="168" fontId="7" fillId="0" borderId="5" xfId="15" applyNumberFormat="1" applyFont="1" applyFill="1" applyBorder="1" applyAlignment="1">
      <alignment horizontal="right"/>
    </xf>
    <xf numFmtId="168" fontId="7" fillId="0" borderId="4" xfId="15" applyNumberFormat="1" applyFont="1" applyFill="1" applyBorder="1" applyAlignment="1">
      <alignment horizontal="right"/>
    </xf>
    <xf numFmtId="168" fontId="7" fillId="0" borderId="0" xfId="15" applyNumberFormat="1" applyFont="1" applyFill="1" applyBorder="1" applyAlignment="1">
      <alignment horizontal="right"/>
    </xf>
    <xf numFmtId="170" fontId="49" fillId="0" borderId="0" xfId="8" applyNumberFormat="1" applyFont="1" applyFill="1" applyBorder="1"/>
    <xf numFmtId="172" fontId="49" fillId="0" borderId="0" xfId="8" applyNumberFormat="1" applyFont="1" applyFill="1" applyBorder="1"/>
    <xf numFmtId="172" fontId="7" fillId="7" borderId="11" xfId="8" applyNumberFormat="1" applyFont="1" applyFill="1" applyBorder="1"/>
    <xf numFmtId="0" fontId="7" fillId="2" borderId="4" xfId="1" applyFont="1" applyFill="1" applyBorder="1" applyAlignment="1">
      <alignment horizontal="left" wrapText="1"/>
    </xf>
    <xf numFmtId="43" fontId="68" fillId="0" borderId="13" xfId="1" applyNumberFormat="1" applyFont="1" applyBorder="1" applyAlignment="1">
      <alignment horizontal="center"/>
    </xf>
    <xf numFmtId="43" fontId="68" fillId="0" borderId="0" xfId="1" applyNumberFormat="1" applyFont="1" applyBorder="1"/>
    <xf numFmtId="0" fontId="19" fillId="0" borderId="4" xfId="1" applyNumberFormat="1" applyFont="1" applyBorder="1" applyAlignment="1">
      <alignment horizontal="left" indent="2"/>
    </xf>
    <xf numFmtId="0" fontId="39" fillId="2" borderId="0" xfId="1" applyFont="1" applyFill="1" applyBorder="1"/>
    <xf numFmtId="0" fontId="42" fillId="8" borderId="36" xfId="1" applyFont="1" applyFill="1" applyBorder="1"/>
    <xf numFmtId="0" fontId="42" fillId="8" borderId="16" xfId="1" applyFont="1" applyFill="1" applyBorder="1" applyAlignment="1"/>
    <xf numFmtId="10" fontId="27" fillId="8" borderId="16" xfId="15" applyNumberFormat="1" applyFont="1" applyFill="1" applyBorder="1" applyAlignment="1">
      <alignment horizontal="center"/>
    </xf>
    <xf numFmtId="9" fontId="27" fillId="8" borderId="16" xfId="15" applyFont="1" applyFill="1" applyBorder="1" applyAlignment="1">
      <alignment horizontal="center"/>
    </xf>
    <xf numFmtId="173" fontId="27" fillId="8" borderId="16" xfId="8" applyNumberFormat="1" applyFont="1" applyFill="1" applyBorder="1"/>
    <xf numFmtId="9" fontId="27" fillId="8" borderId="52" xfId="15" applyFont="1" applyFill="1" applyBorder="1" applyAlignment="1">
      <alignment horizontal="center"/>
    </xf>
    <xf numFmtId="0" fontId="39" fillId="2" borderId="14" xfId="1" applyFont="1" applyFill="1" applyBorder="1"/>
    <xf numFmtId="10" fontId="35" fillId="2" borderId="0" xfId="15" applyNumberFormat="1" applyFont="1" applyFill="1" applyBorder="1" applyAlignment="1">
      <alignment horizontal="center"/>
    </xf>
    <xf numFmtId="0" fontId="69" fillId="2" borderId="13" xfId="1" applyFont="1" applyFill="1" applyBorder="1" applyAlignment="1">
      <alignment horizontal="center"/>
    </xf>
    <xf numFmtId="41" fontId="39" fillId="2" borderId="13" xfId="1" applyNumberFormat="1" applyFont="1" applyFill="1" applyBorder="1"/>
    <xf numFmtId="41" fontId="39" fillId="2" borderId="28" xfId="1" applyNumberFormat="1" applyFont="1" applyFill="1" applyBorder="1"/>
    <xf numFmtId="10" fontId="39" fillId="2" borderId="13" xfId="1" applyNumberFormat="1" applyFont="1" applyFill="1" applyBorder="1"/>
    <xf numFmtId="10" fontId="35" fillId="2" borderId="13" xfId="1" applyNumberFormat="1" applyFont="1" applyFill="1" applyBorder="1"/>
    <xf numFmtId="41" fontId="39" fillId="2" borderId="3" xfId="1" applyNumberFormat="1" applyFont="1" applyFill="1" applyBorder="1"/>
    <xf numFmtId="41" fontId="39" fillId="2" borderId="32" xfId="1" applyNumberFormat="1" applyFont="1" applyFill="1" applyBorder="1"/>
    <xf numFmtId="0" fontId="39" fillId="2" borderId="0" xfId="1" applyFont="1" applyFill="1"/>
    <xf numFmtId="0" fontId="39" fillId="2" borderId="4" xfId="1" applyFont="1" applyFill="1" applyBorder="1"/>
    <xf numFmtId="0" fontId="69" fillId="2" borderId="0" xfId="1" applyFont="1" applyFill="1" applyBorder="1" applyAlignment="1">
      <alignment horizontal="center"/>
    </xf>
    <xf numFmtId="170" fontId="69" fillId="2" borderId="0" xfId="1" applyNumberFormat="1" applyFont="1" applyFill="1" applyBorder="1" applyAlignment="1">
      <alignment horizontal="center"/>
    </xf>
    <xf numFmtId="170" fontId="39" fillId="2" borderId="0" xfId="1" applyNumberFormat="1" applyFont="1" applyFill="1" applyBorder="1"/>
    <xf numFmtId="170" fontId="39" fillId="2" borderId="18" xfId="1" applyNumberFormat="1" applyFont="1" applyFill="1" applyBorder="1"/>
    <xf numFmtId="170" fontId="39" fillId="2" borderId="20" xfId="8" applyNumberFormat="1" applyFont="1" applyFill="1" applyBorder="1"/>
    <xf numFmtId="170" fontId="39" fillId="2" borderId="18" xfId="8" applyNumberFormat="1" applyFont="1" applyFill="1" applyBorder="1"/>
    <xf numFmtId="170" fontId="39" fillId="2" borderId="0" xfId="8" applyNumberFormat="1" applyFont="1" applyFill="1" applyBorder="1"/>
    <xf numFmtId="170" fontId="35" fillId="2" borderId="0" xfId="8" applyNumberFormat="1" applyFont="1" applyFill="1" applyBorder="1"/>
    <xf numFmtId="170" fontId="39" fillId="2" borderId="6" xfId="8" applyNumberFormat="1" applyFont="1" applyFill="1" applyBorder="1"/>
    <xf numFmtId="170" fontId="39" fillId="2" borderId="29" xfId="8" applyNumberFormat="1" applyFont="1" applyFill="1" applyBorder="1"/>
    <xf numFmtId="170" fontId="35" fillId="2" borderId="0" xfId="15" applyNumberFormat="1" applyFont="1" applyFill="1" applyBorder="1" applyAlignment="1">
      <alignment horizontal="center"/>
    </xf>
    <xf numFmtId="170" fontId="35" fillId="2" borderId="0" xfId="1" applyNumberFormat="1" applyFont="1" applyFill="1" applyBorder="1"/>
    <xf numFmtId="170" fontId="39" fillId="2" borderId="6" xfId="1" applyNumberFormat="1" applyFont="1" applyFill="1" applyBorder="1"/>
    <xf numFmtId="170" fontId="39" fillId="2" borderId="29" xfId="1" applyNumberFormat="1" applyFont="1" applyFill="1" applyBorder="1"/>
    <xf numFmtId="170" fontId="39" fillId="2" borderId="8" xfId="1" applyNumberFormat="1" applyFont="1" applyFill="1" applyBorder="1"/>
    <xf numFmtId="170" fontId="39" fillId="2" borderId="19" xfId="1" applyNumberFormat="1" applyFont="1" applyFill="1" applyBorder="1"/>
    <xf numFmtId="170" fontId="35" fillId="2" borderId="8" xfId="1" applyNumberFormat="1" applyFont="1" applyFill="1" applyBorder="1"/>
    <xf numFmtId="170" fontId="39" fillId="2" borderId="7" xfId="1" applyNumberFormat="1" applyFont="1" applyFill="1" applyBorder="1"/>
    <xf numFmtId="170" fontId="39" fillId="2" borderId="34" xfId="1" applyNumberFormat="1" applyFont="1" applyFill="1" applyBorder="1"/>
    <xf numFmtId="0" fontId="39" fillId="2" borderId="10" xfId="1" applyFont="1" applyFill="1" applyBorder="1"/>
    <xf numFmtId="170" fontId="35" fillId="2" borderId="11" xfId="8" applyNumberFormat="1" applyFont="1" applyFill="1" applyBorder="1"/>
    <xf numFmtId="170" fontId="39" fillId="2" borderId="11" xfId="1" applyNumberFormat="1" applyFont="1" applyFill="1" applyBorder="1"/>
    <xf numFmtId="170" fontId="39" fillId="2" borderId="30" xfId="1" applyNumberFormat="1" applyFont="1" applyFill="1" applyBorder="1"/>
    <xf numFmtId="170" fontId="39" fillId="2" borderId="31" xfId="1" applyNumberFormat="1" applyFont="1" applyFill="1" applyBorder="1"/>
    <xf numFmtId="170" fontId="39" fillId="2" borderId="15" xfId="1" applyNumberFormat="1" applyFont="1" applyFill="1" applyBorder="1"/>
    <xf numFmtId="170" fontId="27" fillId="8" borderId="16" xfId="8" applyNumberFormat="1" applyFont="1" applyFill="1" applyBorder="1"/>
    <xf numFmtId="180" fontId="27" fillId="8" borderId="16" xfId="1" applyNumberFormat="1" applyFont="1" applyFill="1" applyBorder="1"/>
    <xf numFmtId="180" fontId="27" fillId="8" borderId="52" xfId="1" applyNumberFormat="1" applyFont="1" applyFill="1" applyBorder="1"/>
    <xf numFmtId="188" fontId="35" fillId="2" borderId="0" xfId="15" applyNumberFormat="1" applyFont="1" applyFill="1" applyBorder="1" applyAlignment="1">
      <alignment horizontal="center"/>
    </xf>
    <xf numFmtId="0" fontId="39" fillId="2" borderId="13" xfId="1" applyFont="1" applyFill="1" applyBorder="1"/>
    <xf numFmtId="180" fontId="39" fillId="2" borderId="0" xfId="1" applyNumberFormat="1" applyFont="1" applyFill="1" applyBorder="1"/>
    <xf numFmtId="0" fontId="27" fillId="2" borderId="14" xfId="10" applyFont="1" applyFill="1" applyBorder="1" applyAlignment="1" applyProtection="1"/>
    <xf numFmtId="0" fontId="38" fillId="2" borderId="13" xfId="1" applyFont="1" applyFill="1" applyBorder="1" applyAlignment="1"/>
    <xf numFmtId="170" fontId="35" fillId="2" borderId="13" xfId="15" applyNumberFormat="1" applyFont="1" applyFill="1" applyBorder="1" applyAlignment="1">
      <alignment horizontal="center"/>
    </xf>
    <xf numFmtId="170" fontId="35" fillId="2" borderId="28" xfId="15" applyNumberFormat="1" applyFont="1" applyFill="1" applyBorder="1" applyAlignment="1">
      <alignment horizontal="center"/>
    </xf>
    <xf numFmtId="170" fontId="35" fillId="2" borderId="13" xfId="8" applyNumberFormat="1" applyFont="1" applyFill="1" applyBorder="1"/>
    <xf numFmtId="170" fontId="27" fillId="2" borderId="13" xfId="15" applyNumberFormat="1" applyFont="1" applyFill="1" applyBorder="1" applyAlignment="1">
      <alignment horizontal="center"/>
    </xf>
    <xf numFmtId="170" fontId="27" fillId="2" borderId="28" xfId="15" applyNumberFormat="1" applyFont="1" applyFill="1" applyBorder="1" applyAlignment="1">
      <alignment horizontal="center"/>
    </xf>
    <xf numFmtId="170" fontId="27" fillId="2" borderId="3" xfId="15" applyNumberFormat="1" applyFont="1" applyFill="1" applyBorder="1" applyAlignment="1">
      <alignment horizontal="center"/>
    </xf>
    <xf numFmtId="9" fontId="35" fillId="2" borderId="32" xfId="15" applyFont="1" applyFill="1" applyBorder="1" applyAlignment="1">
      <alignment horizontal="center"/>
    </xf>
    <xf numFmtId="0" fontId="27" fillId="2" borderId="4" xfId="10" applyFont="1" applyFill="1" applyBorder="1" applyAlignment="1" applyProtection="1"/>
    <xf numFmtId="0" fontId="38" fillId="2" borderId="0" xfId="1" applyFont="1" applyFill="1" applyBorder="1" applyAlignment="1"/>
    <xf numFmtId="9" fontId="35" fillId="2" borderId="18" xfId="15" applyFont="1" applyFill="1" applyBorder="1" applyAlignment="1">
      <alignment horizontal="center"/>
    </xf>
    <xf numFmtId="188" fontId="35" fillId="2" borderId="0" xfId="15" applyNumberFormat="1" applyFont="1" applyFill="1" applyBorder="1"/>
    <xf numFmtId="9" fontId="35" fillId="2" borderId="6" xfId="15" applyFont="1" applyFill="1" applyBorder="1" applyAlignment="1">
      <alignment horizontal="center"/>
    </xf>
    <xf numFmtId="9" fontId="35" fillId="2" borderId="29" xfId="15" applyFont="1" applyFill="1" applyBorder="1" applyAlignment="1">
      <alignment horizontal="center"/>
    </xf>
    <xf numFmtId="0" fontId="27" fillId="2" borderId="10" xfId="10" applyFont="1" applyFill="1" applyBorder="1" applyAlignment="1" applyProtection="1"/>
    <xf numFmtId="0" fontId="38" fillId="2" borderId="11" xfId="1" applyFont="1" applyFill="1" applyBorder="1" applyAlignment="1"/>
    <xf numFmtId="10" fontId="35" fillId="2" borderId="11" xfId="15" applyNumberFormat="1" applyFont="1" applyFill="1" applyBorder="1" applyAlignment="1">
      <alignment horizontal="center"/>
    </xf>
    <xf numFmtId="9" fontId="35" fillId="2" borderId="30" xfId="15" applyFont="1" applyFill="1" applyBorder="1" applyAlignment="1">
      <alignment horizontal="center"/>
    </xf>
    <xf numFmtId="170" fontId="35" fillId="2" borderId="30" xfId="15" applyNumberFormat="1" applyFont="1" applyFill="1" applyBorder="1" applyAlignment="1">
      <alignment horizontal="center"/>
    </xf>
    <xf numFmtId="170" fontId="35" fillId="2" borderId="15" xfId="15" applyNumberFormat="1" applyFont="1" applyFill="1" applyBorder="1" applyAlignment="1">
      <alignment horizontal="center"/>
    </xf>
    <xf numFmtId="9" fontId="35" fillId="2" borderId="31" xfId="15" applyFont="1" applyFill="1" applyBorder="1" applyAlignment="1">
      <alignment horizontal="center"/>
    </xf>
    <xf numFmtId="170" fontId="27" fillId="8" borderId="16" xfId="15" applyNumberFormat="1" applyFont="1" applyFill="1" applyBorder="1" applyAlignment="1">
      <alignment horizontal="center"/>
    </xf>
    <xf numFmtId="10" fontId="27" fillId="8" borderId="16" xfId="15" applyNumberFormat="1" applyFont="1" applyFill="1" applyBorder="1"/>
    <xf numFmtId="168" fontId="27" fillId="8" borderId="16" xfId="15" applyNumberFormat="1" applyFont="1" applyFill="1" applyBorder="1"/>
    <xf numFmtId="9" fontId="69" fillId="2" borderId="13" xfId="1" applyNumberFormat="1" applyFont="1" applyFill="1" applyBorder="1" applyAlignment="1">
      <alignment horizontal="center"/>
    </xf>
    <xf numFmtId="10" fontId="39" fillId="2" borderId="13" xfId="15" applyNumberFormat="1" applyFont="1" applyFill="1" applyBorder="1"/>
    <xf numFmtId="170" fontId="27" fillId="2" borderId="0" xfId="1" applyNumberFormat="1" applyFont="1" applyFill="1" applyBorder="1"/>
    <xf numFmtId="170" fontId="70" fillId="2" borderId="8" xfId="1" applyNumberFormat="1" applyFont="1" applyFill="1" applyBorder="1"/>
    <xf numFmtId="170" fontId="35" fillId="2" borderId="19" xfId="1" applyNumberFormat="1" applyFont="1" applyFill="1" applyBorder="1"/>
    <xf numFmtId="172" fontId="7" fillId="0" borderId="0" xfId="8" applyNumberFormat="1" applyFont="1"/>
    <xf numFmtId="172" fontId="16" fillId="3" borderId="13" xfId="8" applyNumberFormat="1" applyFont="1" applyFill="1" applyBorder="1"/>
    <xf numFmtId="170" fontId="10" fillId="0" borderId="6" xfId="8" applyNumberFormat="1" applyFont="1" applyFill="1" applyBorder="1"/>
    <xf numFmtId="173" fontId="71" fillId="0" borderId="0" xfId="1" applyNumberFormat="1" applyFont="1" applyFill="1" applyBorder="1"/>
    <xf numFmtId="0" fontId="72" fillId="0" borderId="4" xfId="1" applyNumberFormat="1" applyFont="1" applyFill="1" applyBorder="1" applyAlignment="1">
      <alignment horizontal="left" indent="2"/>
    </xf>
    <xf numFmtId="0" fontId="72" fillId="0" borderId="0" xfId="1" applyNumberFormat="1" applyFont="1" applyFill="1" applyBorder="1"/>
    <xf numFmtId="173" fontId="72" fillId="0" borderId="0" xfId="1" applyNumberFormat="1" applyFont="1" applyFill="1" applyBorder="1"/>
    <xf numFmtId="170" fontId="72" fillId="0" borderId="0" xfId="1" applyNumberFormat="1" applyFont="1" applyFill="1" applyBorder="1"/>
    <xf numFmtId="43" fontId="72" fillId="0" borderId="0" xfId="1" applyNumberFormat="1" applyFont="1" applyFill="1" applyBorder="1"/>
    <xf numFmtId="43" fontId="73" fillId="0" borderId="0" xfId="1" applyNumberFormat="1" applyFont="1" applyFill="1" applyBorder="1"/>
    <xf numFmtId="43" fontId="72" fillId="0" borderId="6" xfId="1" applyNumberFormat="1" applyFont="1" applyFill="1" applyBorder="1"/>
    <xf numFmtId="43" fontId="71" fillId="0" borderId="0" xfId="1" applyNumberFormat="1" applyFont="1" applyFill="1" applyBorder="1"/>
    <xf numFmtId="43" fontId="71" fillId="0" borderId="6" xfId="1" applyNumberFormat="1" applyFont="1" applyFill="1" applyBorder="1"/>
    <xf numFmtId="0" fontId="72" fillId="0" borderId="4" xfId="1" applyNumberFormat="1" applyFont="1" applyBorder="1" applyAlignment="1">
      <alignment horizontal="left" indent="2"/>
    </xf>
    <xf numFmtId="0" fontId="72" fillId="0" borderId="0" xfId="1" applyNumberFormat="1" applyFont="1" applyBorder="1"/>
    <xf numFmtId="43" fontId="73" fillId="0" borderId="0" xfId="1" applyNumberFormat="1" applyFont="1" applyBorder="1"/>
    <xf numFmtId="43" fontId="72" fillId="0" borderId="6" xfId="1" applyNumberFormat="1" applyFont="1" applyBorder="1"/>
    <xf numFmtId="0" fontId="7" fillId="8" borderId="36" xfId="1" applyFont="1" applyFill="1" applyBorder="1" applyAlignment="1">
      <alignment horizontal="right"/>
    </xf>
    <xf numFmtId="0" fontId="17" fillId="8" borderId="16" xfId="1" applyFont="1" applyFill="1" applyBorder="1" applyAlignment="1">
      <alignment horizontal="left"/>
    </xf>
    <xf numFmtId="173" fontId="11" fillId="0" borderId="0" xfId="1" applyNumberFormat="1" applyFont="1" applyFill="1" applyBorder="1"/>
    <xf numFmtId="0" fontId="71" fillId="0" borderId="4" xfId="1" applyNumberFormat="1" applyFont="1" applyFill="1" applyBorder="1"/>
    <xf numFmtId="0" fontId="71" fillId="0" borderId="0" xfId="1" applyNumberFormat="1" applyFont="1" applyFill="1" applyBorder="1"/>
    <xf numFmtId="10" fontId="71" fillId="0" borderId="0" xfId="15" applyNumberFormat="1" applyFont="1" applyFill="1" applyBorder="1"/>
    <xf numFmtId="10" fontId="71" fillId="0" borderId="6" xfId="15" applyNumberFormat="1" applyFont="1" applyFill="1" applyBorder="1"/>
    <xf numFmtId="0" fontId="12" fillId="0" borderId="0" xfId="1" applyNumberFormat="1" applyFont="1" applyFill="1" applyBorder="1" applyAlignment="1">
      <alignment horizontal="right"/>
    </xf>
    <xf numFmtId="173" fontId="12" fillId="0" borderId="0" xfId="1" applyNumberFormat="1" applyFont="1" applyFill="1" applyBorder="1" applyAlignment="1">
      <alignment horizontal="right"/>
    </xf>
    <xf numFmtId="10" fontId="12" fillId="0" borderId="0" xfId="15" applyNumberFormat="1" applyFont="1" applyFill="1" applyBorder="1" applyAlignment="1">
      <alignment horizontal="right"/>
    </xf>
    <xf numFmtId="10" fontId="12" fillId="0" borderId="6" xfId="15" applyNumberFormat="1" applyFont="1" applyFill="1" applyBorder="1" applyAlignment="1">
      <alignment horizontal="right"/>
    </xf>
    <xf numFmtId="0" fontId="12" fillId="0" borderId="4" xfId="1" applyNumberFormat="1" applyFont="1" applyFill="1" applyBorder="1" applyAlignment="1">
      <alignment horizontal="left"/>
    </xf>
    <xf numFmtId="10" fontId="68" fillId="0" borderId="0" xfId="15" applyNumberFormat="1" applyFont="1" applyFill="1" applyBorder="1" applyAlignment="1">
      <alignment horizontal="right"/>
    </xf>
    <xf numFmtId="0" fontId="19" fillId="0" borderId="35" xfId="1" applyNumberFormat="1" applyFont="1" applyBorder="1"/>
    <xf numFmtId="0" fontId="19" fillId="0" borderId="8" xfId="1" applyNumberFormat="1" applyFont="1" applyBorder="1"/>
    <xf numFmtId="0" fontId="19" fillId="0" borderId="8" xfId="1" applyNumberFormat="1" applyFont="1" applyFill="1" applyBorder="1"/>
    <xf numFmtId="173" fontId="19" fillId="0" borderId="8" xfId="1" applyNumberFormat="1" applyFont="1" applyFill="1" applyBorder="1"/>
    <xf numFmtId="170" fontId="19" fillId="0" borderId="8" xfId="1" applyNumberFormat="1" applyFont="1" applyFill="1" applyBorder="1"/>
    <xf numFmtId="43" fontId="19" fillId="0" borderId="8" xfId="1" applyNumberFormat="1" applyFont="1" applyFill="1" applyBorder="1"/>
    <xf numFmtId="43" fontId="19" fillId="0" borderId="7" xfId="1" applyNumberFormat="1" applyFont="1" applyBorder="1"/>
    <xf numFmtId="43" fontId="12" fillId="0" borderId="8" xfId="1" applyNumberFormat="1" applyFont="1" applyBorder="1"/>
    <xf numFmtId="0" fontId="74" fillId="0" borderId="10" xfId="1" applyNumberFormat="1" applyFont="1" applyBorder="1"/>
    <xf numFmtId="0" fontId="74" fillId="0" borderId="11" xfId="1" applyNumberFormat="1" applyFont="1" applyBorder="1"/>
    <xf numFmtId="0" fontId="74" fillId="0" borderId="11" xfId="1" applyNumberFormat="1" applyFont="1" applyFill="1" applyBorder="1"/>
    <xf numFmtId="173" fontId="74" fillId="0" borderId="11" xfId="1" applyNumberFormat="1" applyFont="1" applyFill="1" applyBorder="1"/>
    <xf numFmtId="170" fontId="74" fillId="0" borderId="11" xfId="1" applyNumberFormat="1" applyFont="1" applyFill="1" applyBorder="1"/>
    <xf numFmtId="43" fontId="74" fillId="0" borderId="11" xfId="1" applyNumberFormat="1" applyFont="1" applyFill="1" applyBorder="1"/>
    <xf numFmtId="43" fontId="74" fillId="0" borderId="11" xfId="1" applyNumberFormat="1" applyFont="1" applyBorder="1"/>
    <xf numFmtId="43" fontId="74" fillId="0" borderId="15" xfId="1" applyNumberFormat="1" applyFont="1" applyBorder="1"/>
    <xf numFmtId="43" fontId="11" fillId="0" borderId="10" xfId="1" applyNumberFormat="1" applyFont="1" applyBorder="1"/>
    <xf numFmtId="43" fontId="74" fillId="0" borderId="15" xfId="1" applyNumberFormat="1" applyFont="1" applyFill="1" applyBorder="1"/>
    <xf numFmtId="0" fontId="12" fillId="11" borderId="36" xfId="1" applyNumberFormat="1" applyFont="1" applyFill="1" applyBorder="1"/>
    <xf numFmtId="0" fontId="12" fillId="11" borderId="16" xfId="1" applyNumberFormat="1" applyFont="1" applyFill="1" applyBorder="1"/>
    <xf numFmtId="173" fontId="12" fillId="11" borderId="16" xfId="1" applyNumberFormat="1" applyFont="1" applyFill="1" applyBorder="1"/>
    <xf numFmtId="170" fontId="12" fillId="11" borderId="16" xfId="1" applyNumberFormat="1" applyFont="1" applyFill="1" applyBorder="1"/>
    <xf numFmtId="43" fontId="12" fillId="11" borderId="16" xfId="1" applyNumberFormat="1" applyFont="1" applyFill="1" applyBorder="1"/>
    <xf numFmtId="43" fontId="12" fillId="11" borderId="17" xfId="1" applyNumberFormat="1" applyFont="1" applyFill="1" applyBorder="1"/>
    <xf numFmtId="0" fontId="72" fillId="0" borderId="4" xfId="1" applyNumberFormat="1" applyFont="1" applyBorder="1" applyAlignment="1">
      <alignment horizontal="left"/>
    </xf>
    <xf numFmtId="10" fontId="75" fillId="2" borderId="13" xfId="1" applyNumberFormat="1" applyFont="1" applyFill="1" applyBorder="1"/>
    <xf numFmtId="0" fontId="0" fillId="7" borderId="0" xfId="1" applyFont="1" applyFill="1"/>
    <xf numFmtId="44" fontId="0" fillId="7" borderId="0" xfId="1" applyNumberFormat="1" applyFont="1" applyFill="1"/>
    <xf numFmtId="43" fontId="0" fillId="7" borderId="0" xfId="8" applyFont="1" applyFill="1"/>
    <xf numFmtId="172" fontId="0" fillId="7" borderId="0" xfId="8" applyNumberFormat="1" applyFont="1" applyFill="1"/>
    <xf numFmtId="43" fontId="0" fillId="7" borderId="0" xfId="8" applyNumberFormat="1" applyFont="1" applyFill="1"/>
    <xf numFmtId="0" fontId="28" fillId="2" borderId="0" xfId="1" applyFont="1" applyFill="1"/>
    <xf numFmtId="0" fontId="28" fillId="7" borderId="0" xfId="1" applyFont="1" applyFill="1"/>
    <xf numFmtId="44" fontId="28" fillId="7" borderId="0" xfId="1" applyNumberFormat="1" applyFont="1" applyFill="1"/>
    <xf numFmtId="44" fontId="28" fillId="7" borderId="0" xfId="9" applyFont="1" applyFill="1"/>
    <xf numFmtId="44" fontId="28" fillId="7" borderId="0" xfId="9" applyNumberFormat="1" applyFont="1" applyFill="1"/>
    <xf numFmtId="44" fontId="28" fillId="7" borderId="0" xfId="9" applyNumberFormat="1" applyFont="1" applyFill="1" applyBorder="1"/>
    <xf numFmtId="43" fontId="28" fillId="7" borderId="0" xfId="8" applyFont="1" applyFill="1"/>
    <xf numFmtId="172" fontId="28" fillId="7" borderId="0" xfId="8" applyNumberFormat="1" applyFont="1" applyFill="1"/>
    <xf numFmtId="43" fontId="28" fillId="7" borderId="0" xfId="8" applyNumberFormat="1" applyFont="1" applyFill="1"/>
    <xf numFmtId="44" fontId="76" fillId="7" borderId="0" xfId="9" applyFont="1" applyFill="1"/>
    <xf numFmtId="44" fontId="76" fillId="7" borderId="0" xfId="9" applyNumberFormat="1" applyFont="1" applyFill="1"/>
    <xf numFmtId="44" fontId="76" fillId="7" borderId="0" xfId="9" applyNumberFormat="1" applyFont="1" applyFill="1" applyBorder="1"/>
    <xf numFmtId="165" fontId="7" fillId="0" borderId="16" xfId="1" applyNumberFormat="1" applyFont="1" applyFill="1" applyBorder="1"/>
    <xf numFmtId="165" fontId="7" fillId="0" borderId="16" xfId="1" applyNumberFormat="1" applyFont="1" applyBorder="1"/>
    <xf numFmtId="173" fontId="7" fillId="0" borderId="16" xfId="1" applyNumberFormat="1" applyFont="1" applyBorder="1"/>
    <xf numFmtId="171" fontId="7" fillId="0" borderId="16" xfId="1" applyNumberFormat="1" applyFont="1" applyBorder="1"/>
    <xf numFmtId="39" fontId="7" fillId="0" borderId="16" xfId="1" applyNumberFormat="1" applyFont="1" applyBorder="1"/>
    <xf numFmtId="186" fontId="7" fillId="0" borderId="16" xfId="1" applyNumberFormat="1" applyFont="1" applyBorder="1"/>
    <xf numFmtId="0" fontId="0" fillId="0" borderId="16" xfId="1" applyFont="1" applyBorder="1"/>
    <xf numFmtId="170" fontId="10" fillId="0" borderId="15" xfId="8" applyNumberFormat="1" applyFont="1" applyBorder="1"/>
    <xf numFmtId="170" fontId="10" fillId="0" borderId="10" xfId="1" applyNumberFormat="1" applyFont="1" applyBorder="1"/>
    <xf numFmtId="170" fontId="10" fillId="0" borderId="11" xfId="1" applyNumberFormat="1" applyFont="1" applyBorder="1"/>
    <xf numFmtId="170" fontId="10" fillId="0" borderId="12" xfId="8" applyNumberFormat="1" applyFont="1" applyBorder="1"/>
    <xf numFmtId="170" fontId="7" fillId="0" borderId="10" xfId="8" applyNumberFormat="1" applyFont="1" applyBorder="1"/>
    <xf numFmtId="170" fontId="7" fillId="0" borderId="12" xfId="8" applyNumberFormat="1" applyFont="1" applyBorder="1"/>
    <xf numFmtId="170" fontId="10" fillId="0" borderId="11" xfId="1" applyNumberFormat="1" applyFont="1" applyFill="1" applyBorder="1"/>
    <xf numFmtId="193" fontId="7" fillId="0" borderId="13" xfId="8" applyNumberFormat="1" applyFont="1" applyFill="1" applyBorder="1"/>
    <xf numFmtId="43" fontId="7" fillId="7" borderId="0" xfId="8" applyNumberFormat="1" applyFont="1" applyFill="1" applyBorder="1"/>
    <xf numFmtId="170" fontId="9" fillId="0" borderId="5" xfId="8" applyNumberFormat="1" applyFont="1" applyBorder="1" applyAlignment="1">
      <alignment horizontal="center"/>
    </xf>
    <xf numFmtId="170" fontId="9" fillId="0" borderId="5" xfId="8" applyNumberFormat="1" applyFont="1" applyFill="1" applyBorder="1" applyAlignment="1">
      <alignment horizontal="center"/>
    </xf>
    <xf numFmtId="0" fontId="7" fillId="0" borderId="5" xfId="1" applyFont="1" applyBorder="1" applyAlignment="1">
      <alignment horizontal="left" indent="1"/>
    </xf>
    <xf numFmtId="0" fontId="7" fillId="0" borderId="5" xfId="1" applyFont="1" applyFill="1" applyBorder="1" applyAlignment="1">
      <alignment horizontal="left" indent="1"/>
    </xf>
    <xf numFmtId="0" fontId="7" fillId="0" borderId="12" xfId="1" applyFont="1" applyFill="1" applyBorder="1"/>
    <xf numFmtId="0" fontId="7" fillId="7" borderId="5" xfId="1" applyFont="1" applyFill="1" applyBorder="1" applyAlignment="1">
      <alignment vertical="center"/>
    </xf>
    <xf numFmtId="175" fontId="7" fillId="0" borderId="52" xfId="1" applyNumberFormat="1" applyFont="1" applyBorder="1"/>
    <xf numFmtId="175" fontId="7" fillId="0" borderId="27" xfId="1" applyNumberFormat="1" applyFont="1" applyBorder="1"/>
    <xf numFmtId="175" fontId="7" fillId="0" borderId="12" xfId="1" applyNumberFormat="1" applyFont="1" applyBorder="1"/>
    <xf numFmtId="0" fontId="7" fillId="0" borderId="12" xfId="1" applyFont="1" applyBorder="1"/>
    <xf numFmtId="0" fontId="7" fillId="0" borderId="63" xfId="1" applyFont="1" applyBorder="1"/>
    <xf numFmtId="0" fontId="7" fillId="0" borderId="64" xfId="1" applyFont="1" applyBorder="1"/>
    <xf numFmtId="167" fontId="7" fillId="0" borderId="64" xfId="1" applyNumberFormat="1" applyFont="1" applyFill="1" applyBorder="1"/>
    <xf numFmtId="167" fontId="7" fillId="0" borderId="64" xfId="1" applyNumberFormat="1" applyFont="1" applyBorder="1"/>
    <xf numFmtId="9" fontId="7" fillId="0" borderId="64" xfId="15" applyFont="1" applyFill="1" applyBorder="1"/>
    <xf numFmtId="170" fontId="12" fillId="11" borderId="17" xfId="1" applyNumberFormat="1" applyFont="1" applyFill="1" applyBorder="1"/>
    <xf numFmtId="168" fontId="7" fillId="2" borderId="36" xfId="15" applyNumberFormat="1" applyFont="1" applyFill="1" applyBorder="1"/>
    <xf numFmtId="168" fontId="7" fillId="2" borderId="16" xfId="15" applyNumberFormat="1" applyFont="1" applyFill="1" applyBorder="1"/>
    <xf numFmtId="168" fontId="7" fillId="2" borderId="52" xfId="15" applyNumberFormat="1" applyFont="1" applyFill="1" applyBorder="1"/>
    <xf numFmtId="9" fontId="53" fillId="7" borderId="0" xfId="15" applyFont="1" applyFill="1"/>
    <xf numFmtId="43" fontId="7" fillId="0" borderId="64" xfId="8" applyFont="1" applyFill="1" applyBorder="1"/>
    <xf numFmtId="9" fontId="12" fillId="0" borderId="0" xfId="15" applyFont="1" applyBorder="1"/>
    <xf numFmtId="168" fontId="12" fillId="0" borderId="0" xfId="15" applyNumberFormat="1" applyFont="1" applyBorder="1"/>
    <xf numFmtId="2" fontId="12" fillId="0" borderId="0" xfId="1" applyNumberFormat="1" applyFont="1" applyBorder="1"/>
    <xf numFmtId="0" fontId="53" fillId="7" borderId="0" xfId="1" applyFont="1" applyFill="1"/>
    <xf numFmtId="2" fontId="16" fillId="3" borderId="13" xfId="1" applyNumberFormat="1" applyFont="1" applyFill="1" applyBorder="1"/>
    <xf numFmtId="43" fontId="7" fillId="8" borderId="50" xfId="8" applyFont="1" applyFill="1" applyBorder="1"/>
    <xf numFmtId="170" fontId="12" fillId="0" borderId="0" xfId="8" applyNumberFormat="1" applyFont="1" applyBorder="1" applyAlignment="1">
      <alignment horizontal="center"/>
    </xf>
    <xf numFmtId="44" fontId="10" fillId="0" borderId="6" xfId="9" applyFont="1" applyBorder="1"/>
    <xf numFmtId="168" fontId="78" fillId="0" borderId="0" xfId="15" applyNumberFormat="1" applyFont="1"/>
    <xf numFmtId="7" fontId="78" fillId="0" borderId="4" xfId="9" applyNumberFormat="1" applyFont="1" applyBorder="1" applyAlignment="1">
      <alignment horizontal="center"/>
    </xf>
    <xf numFmtId="7" fontId="78" fillId="0" borderId="18" xfId="9" applyNumberFormat="1" applyFont="1" applyBorder="1" applyAlignment="1">
      <alignment horizontal="center"/>
    </xf>
    <xf numFmtId="7" fontId="78" fillId="0" borderId="29" xfId="9" applyNumberFormat="1" applyFont="1" applyBorder="1" applyAlignment="1">
      <alignment horizontal="center"/>
    </xf>
    <xf numFmtId="199" fontId="78" fillId="0" borderId="20" xfId="9" applyNumberFormat="1" applyFont="1" applyBorder="1" applyAlignment="1">
      <alignment horizontal="center"/>
    </xf>
    <xf numFmtId="168" fontId="78" fillId="0" borderId="18" xfId="15" applyNumberFormat="1" applyFont="1" applyBorder="1" applyAlignment="1">
      <alignment horizontal="center"/>
    </xf>
    <xf numFmtId="168" fontId="78" fillId="0" borderId="29" xfId="15" applyNumberFormat="1" applyFont="1" applyBorder="1" applyAlignment="1">
      <alignment horizontal="center"/>
    </xf>
    <xf numFmtId="168" fontId="78" fillId="0" borderId="20" xfId="15" applyNumberFormat="1" applyFont="1" applyBorder="1" applyAlignment="1">
      <alignment horizontal="center"/>
    </xf>
    <xf numFmtId="10" fontId="78" fillId="0" borderId="18" xfId="9" applyNumberFormat="1" applyFont="1" applyBorder="1" applyAlignment="1">
      <alignment horizontal="center"/>
    </xf>
    <xf numFmtId="10" fontId="78" fillId="0" borderId="29" xfId="9" applyNumberFormat="1" applyFont="1" applyBorder="1" applyAlignment="1">
      <alignment horizontal="center"/>
    </xf>
    <xf numFmtId="7" fontId="41" fillId="0" borderId="36" xfId="9" applyNumberFormat="1" applyFont="1" applyBorder="1" applyAlignment="1">
      <alignment horizontal="center"/>
    </xf>
    <xf numFmtId="7" fontId="41" fillId="0" borderId="17" xfId="9" applyNumberFormat="1" applyFont="1" applyBorder="1" applyAlignment="1">
      <alignment horizontal="center"/>
    </xf>
    <xf numFmtId="7" fontId="41" fillId="0" borderId="61" xfId="9" applyNumberFormat="1" applyFont="1" applyBorder="1" applyAlignment="1">
      <alignment horizontal="center"/>
    </xf>
    <xf numFmtId="7" fontId="41" fillId="0" borderId="33" xfId="9" applyNumberFormat="1" applyFont="1" applyBorder="1" applyAlignment="1">
      <alignment horizontal="center"/>
    </xf>
    <xf numFmtId="7" fontId="41" fillId="0" borderId="62" xfId="9" applyNumberFormat="1" applyFont="1" applyBorder="1" applyAlignment="1">
      <alignment horizontal="center"/>
    </xf>
    <xf numFmtId="39" fontId="78" fillId="0" borderId="4" xfId="8" applyNumberFormat="1" applyFont="1" applyBorder="1" applyAlignment="1">
      <alignment horizontal="center"/>
    </xf>
    <xf numFmtId="37" fontId="78" fillId="0" borderId="18" xfId="8" applyNumberFormat="1" applyFont="1" applyBorder="1" applyAlignment="1">
      <alignment horizontal="center"/>
    </xf>
    <xf numFmtId="37" fontId="78" fillId="0" borderId="29" xfId="8" applyNumberFormat="1" applyFont="1" applyBorder="1" applyAlignment="1">
      <alignment horizontal="center"/>
    </xf>
    <xf numFmtId="37" fontId="78" fillId="0" borderId="6" xfId="8" applyNumberFormat="1" applyFont="1" applyBorder="1" applyAlignment="1">
      <alignment horizontal="center"/>
    </xf>
    <xf numFmtId="167" fontId="78" fillId="0" borderId="6" xfId="9" applyNumberFormat="1" applyFont="1" applyBorder="1" applyAlignment="1">
      <alignment horizontal="center"/>
    </xf>
    <xf numFmtId="199" fontId="78" fillId="0" borderId="18" xfId="9" applyNumberFormat="1" applyFont="1" applyBorder="1" applyAlignment="1">
      <alignment horizontal="center"/>
    </xf>
    <xf numFmtId="199" fontId="78" fillId="0" borderId="29" xfId="9" applyNumberFormat="1" applyFont="1" applyBorder="1" applyAlignment="1">
      <alignment horizontal="center"/>
    </xf>
    <xf numFmtId="199" fontId="78" fillId="0" borderId="6" xfId="9" applyNumberFormat="1" applyFont="1" applyBorder="1" applyAlignment="1">
      <alignment horizontal="center"/>
    </xf>
    <xf numFmtId="7" fontId="78" fillId="0" borderId="65" xfId="9" applyNumberFormat="1" applyFont="1" applyBorder="1" applyAlignment="1">
      <alignment horizontal="center"/>
    </xf>
    <xf numFmtId="7" fontId="78" fillId="0" borderId="6" xfId="9" applyNumberFormat="1" applyFont="1" applyBorder="1" applyAlignment="1">
      <alignment horizontal="center"/>
    </xf>
    <xf numFmtId="7" fontId="78" fillId="0" borderId="10" xfId="9" applyNumberFormat="1" applyFont="1" applyBorder="1" applyAlignment="1">
      <alignment horizontal="center"/>
    </xf>
    <xf numFmtId="7" fontId="78" fillId="0" borderId="30" xfId="9" applyNumberFormat="1" applyFont="1" applyBorder="1" applyAlignment="1">
      <alignment horizontal="center"/>
    </xf>
    <xf numFmtId="7" fontId="78" fillId="0" borderId="31" xfId="9" applyNumberFormat="1" applyFont="1" applyBorder="1" applyAlignment="1">
      <alignment horizontal="center"/>
    </xf>
    <xf numFmtId="7" fontId="78" fillId="0" borderId="38" xfId="9" applyNumberFormat="1" applyFont="1" applyBorder="1" applyAlignment="1">
      <alignment horizontal="center"/>
    </xf>
    <xf numFmtId="7" fontId="41" fillId="0" borderId="16" xfId="9" applyNumberFormat="1" applyFont="1" applyBorder="1" applyAlignment="1">
      <alignment horizontal="center"/>
    </xf>
    <xf numFmtId="199" fontId="78" fillId="0" borderId="0" xfId="9" applyNumberFormat="1" applyFont="1" applyBorder="1" applyAlignment="1">
      <alignment horizontal="center"/>
    </xf>
    <xf numFmtId="168" fontId="78" fillId="0" borderId="20" xfId="9" applyNumberFormat="1" applyFont="1" applyBorder="1" applyAlignment="1">
      <alignment horizontal="center"/>
    </xf>
    <xf numFmtId="178" fontId="76" fillId="7" borderId="0" xfId="9" applyNumberFormat="1" applyFont="1" applyFill="1"/>
    <xf numFmtId="0" fontId="27" fillId="2" borderId="14" xfId="13" applyFont="1" applyFill="1" applyBorder="1"/>
    <xf numFmtId="0" fontId="27" fillId="2" borderId="13" xfId="13" applyFont="1" applyFill="1" applyBorder="1" applyAlignment="1">
      <alignment horizontal="left"/>
    </xf>
    <xf numFmtId="0" fontId="27" fillId="2" borderId="13" xfId="13" applyFont="1" applyFill="1" applyBorder="1"/>
    <xf numFmtId="0" fontId="7" fillId="7" borderId="14" xfId="1" applyFont="1" applyFill="1" applyBorder="1" applyAlignment="1">
      <alignment horizontal="left"/>
    </xf>
    <xf numFmtId="43" fontId="7" fillId="7" borderId="13" xfId="1" applyNumberFormat="1" applyFont="1" applyFill="1" applyBorder="1"/>
    <xf numFmtId="43" fontId="7" fillId="7" borderId="3" xfId="1" applyNumberFormat="1" applyFont="1" applyFill="1" applyBorder="1"/>
    <xf numFmtId="0" fontId="7" fillId="7" borderId="4" xfId="1" applyFont="1" applyFill="1" applyBorder="1" applyAlignment="1">
      <alignment horizontal="left"/>
    </xf>
    <xf numFmtId="0" fontId="7" fillId="7" borderId="0" xfId="1" applyFont="1" applyFill="1" applyBorder="1"/>
    <xf numFmtId="43" fontId="7" fillId="7" borderId="0" xfId="1" applyNumberFormat="1" applyFont="1" applyFill="1" applyBorder="1"/>
    <xf numFmtId="43" fontId="7" fillId="7" borderId="6" xfId="1" applyNumberFormat="1" applyFont="1" applyFill="1" applyBorder="1"/>
    <xf numFmtId="0" fontId="9" fillId="7" borderId="10" xfId="1" applyFont="1" applyFill="1" applyBorder="1" applyAlignment="1">
      <alignment horizontal="left"/>
    </xf>
    <xf numFmtId="188" fontId="39" fillId="2" borderId="13" xfId="1" applyNumberFormat="1" applyFont="1" applyFill="1" applyBorder="1"/>
    <xf numFmtId="43" fontId="7" fillId="2" borderId="5" xfId="8" applyFont="1" applyFill="1" applyBorder="1"/>
    <xf numFmtId="43" fontId="7" fillId="7" borderId="14" xfId="1" applyNumberFormat="1" applyFont="1" applyFill="1" applyBorder="1"/>
    <xf numFmtId="43" fontId="7" fillId="7" borderId="27" xfId="1" applyNumberFormat="1" applyFont="1" applyFill="1" applyBorder="1"/>
    <xf numFmtId="43" fontId="4" fillId="2" borderId="0" xfId="1" applyNumberFormat="1" applyFont="1" applyFill="1" applyBorder="1"/>
    <xf numFmtId="9" fontId="7" fillId="0" borderId="13" xfId="15" applyFont="1" applyFill="1" applyBorder="1"/>
    <xf numFmtId="197" fontId="10" fillId="2" borderId="0" xfId="1" applyNumberFormat="1" applyFont="1" applyFill="1" applyBorder="1" applyAlignment="1">
      <alignment horizontal="right"/>
    </xf>
    <xf numFmtId="197" fontId="10" fillId="2" borderId="0" xfId="8" applyNumberFormat="1" applyFont="1" applyFill="1" applyBorder="1" applyAlignment="1">
      <alignment horizontal="right"/>
    </xf>
    <xf numFmtId="43" fontId="9" fillId="2" borderId="0" xfId="8" applyFont="1" applyFill="1" applyBorder="1" applyAlignment="1">
      <alignment horizontal="right"/>
    </xf>
    <xf numFmtId="43" fontId="53" fillId="7" borderId="0" xfId="8" applyFont="1" applyFill="1"/>
    <xf numFmtId="9" fontId="7" fillId="8" borderId="16" xfId="1" applyNumberFormat="1" applyFont="1" applyFill="1" applyBorder="1" applyAlignment="1">
      <alignment horizontal="center"/>
    </xf>
    <xf numFmtId="172" fontId="7" fillId="8" borderId="16" xfId="8" applyNumberFormat="1" applyFont="1" applyFill="1" applyBorder="1" applyAlignment="1">
      <alignment horizontal="center"/>
    </xf>
    <xf numFmtId="43" fontId="7" fillId="8" borderId="16" xfId="8" applyNumberFormat="1" applyFont="1" applyFill="1" applyBorder="1" applyAlignment="1">
      <alignment horizontal="center"/>
    </xf>
    <xf numFmtId="43" fontId="7" fillId="8" borderId="16" xfId="1" applyNumberFormat="1" applyFont="1" applyFill="1" applyBorder="1" applyAlignment="1">
      <alignment horizontal="center"/>
    </xf>
    <xf numFmtId="195" fontId="10" fillId="2" borderId="0" xfId="15" applyNumberFormat="1" applyFont="1" applyFill="1" applyBorder="1"/>
    <xf numFmtId="195" fontId="7" fillId="2" borderId="0" xfId="15" applyNumberFormat="1" applyFont="1" applyFill="1" applyBorder="1"/>
    <xf numFmtId="44" fontId="7" fillId="2" borderId="0" xfId="1" applyNumberFormat="1" applyFont="1" applyFill="1" applyBorder="1"/>
    <xf numFmtId="43" fontId="0" fillId="2" borderId="0" xfId="8" applyFont="1" applyFill="1"/>
    <xf numFmtId="43" fontId="7" fillId="2" borderId="11" xfId="1" applyNumberFormat="1" applyFont="1" applyFill="1" applyBorder="1"/>
    <xf numFmtId="9" fontId="9" fillId="2" borderId="0" xfId="1" applyNumberFormat="1" applyFont="1" applyFill="1" applyBorder="1" applyAlignment="1">
      <alignment horizontal="right"/>
    </xf>
    <xf numFmtId="44" fontId="0" fillId="2" borderId="0" xfId="1" applyNumberFormat="1" applyFont="1" applyFill="1"/>
    <xf numFmtId="39" fontId="78" fillId="0" borderId="0" xfId="8" applyNumberFormat="1" applyFont="1" applyBorder="1" applyAlignment="1">
      <alignment horizontal="center"/>
    </xf>
    <xf numFmtId="173" fontId="7" fillId="2" borderId="35" xfId="15" applyNumberFormat="1" applyFont="1" applyFill="1" applyBorder="1" applyAlignment="1">
      <alignment horizontal="right"/>
    </xf>
    <xf numFmtId="173" fontId="10" fillId="2" borderId="35" xfId="15" applyNumberFormat="1" applyFont="1" applyFill="1" applyBorder="1" applyAlignment="1">
      <alignment horizontal="right"/>
    </xf>
    <xf numFmtId="173" fontId="7" fillId="2" borderId="8" xfId="15" applyNumberFormat="1" applyFont="1" applyFill="1" applyBorder="1" applyAlignment="1">
      <alignment horizontal="right"/>
    </xf>
    <xf numFmtId="44" fontId="78" fillId="0" borderId="0" xfId="9" applyFont="1" applyAlignment="1">
      <alignment horizontal="center"/>
    </xf>
    <xf numFmtId="39" fontId="78" fillId="0" borderId="5" xfId="8" applyNumberFormat="1" applyFont="1" applyBorder="1" applyAlignment="1">
      <alignment horizontal="center"/>
    </xf>
    <xf numFmtId="44" fontId="78" fillId="0" borderId="4" xfId="9" applyFont="1" applyBorder="1" applyAlignment="1">
      <alignment horizontal="center"/>
    </xf>
    <xf numFmtId="44" fontId="78" fillId="0" borderId="10" xfId="9" applyFont="1" applyBorder="1" applyAlignment="1">
      <alignment horizontal="center"/>
    </xf>
    <xf numFmtId="199" fontId="78" fillId="0" borderId="5" xfId="9" applyNumberFormat="1" applyFont="1" applyBorder="1" applyAlignment="1">
      <alignment horizontal="center"/>
    </xf>
    <xf numFmtId="168" fontId="78" fillId="0" borderId="5" xfId="15" applyNumberFormat="1" applyFont="1" applyBorder="1" applyAlignment="1">
      <alignment horizontal="center"/>
    </xf>
    <xf numFmtId="10" fontId="78" fillId="0" borderId="5" xfId="9" applyNumberFormat="1" applyFont="1" applyBorder="1" applyAlignment="1">
      <alignment horizontal="center"/>
    </xf>
    <xf numFmtId="7" fontId="41" fillId="0" borderId="52" xfId="9" applyNumberFormat="1" applyFont="1" applyBorder="1" applyAlignment="1">
      <alignment horizontal="center"/>
    </xf>
    <xf numFmtId="37" fontId="78" fillId="0" borderId="5" xfId="8" applyNumberFormat="1" applyFont="1" applyBorder="1" applyAlignment="1">
      <alignment horizontal="center"/>
    </xf>
    <xf numFmtId="7" fontId="78" fillId="0" borderId="5" xfId="9" applyNumberFormat="1" applyFont="1" applyBorder="1" applyAlignment="1">
      <alignment horizontal="center"/>
    </xf>
    <xf numFmtId="7" fontId="78" fillId="0" borderId="12" xfId="9" applyNumberFormat="1" applyFont="1" applyBorder="1" applyAlignment="1">
      <alignment horizontal="center"/>
    </xf>
    <xf numFmtId="39" fontId="78" fillId="0" borderId="6" xfId="8" applyNumberFormat="1" applyFont="1" applyBorder="1" applyAlignment="1">
      <alignment horizontal="center"/>
    </xf>
    <xf numFmtId="170" fontId="7" fillId="7" borderId="13" xfId="1" applyNumberFormat="1" applyFont="1" applyFill="1" applyBorder="1"/>
    <xf numFmtId="173" fontId="7" fillId="7" borderId="11" xfId="1" applyNumberFormat="1" applyFont="1" applyFill="1" applyBorder="1"/>
    <xf numFmtId="173" fontId="7" fillId="7" borderId="12" xfId="1" applyNumberFormat="1" applyFont="1" applyFill="1" applyBorder="1"/>
    <xf numFmtId="173" fontId="7" fillId="7" borderId="15" xfId="1" applyNumberFormat="1" applyFont="1" applyFill="1" applyBorder="1"/>
    <xf numFmtId="173" fontId="7" fillId="7" borderId="10" xfId="1" applyNumberFormat="1" applyFont="1" applyFill="1" applyBorder="1"/>
    <xf numFmtId="0" fontId="59" fillId="8" borderId="14" xfId="1" applyFont="1" applyFill="1" applyBorder="1" applyAlignment="1">
      <alignment horizontal="left" wrapText="1"/>
    </xf>
    <xf numFmtId="43" fontId="10" fillId="2" borderId="0" xfId="1" applyNumberFormat="1" applyFont="1" applyFill="1" applyBorder="1"/>
    <xf numFmtId="170" fontId="49" fillId="2" borderId="0" xfId="1" applyNumberFormat="1" applyFont="1" applyFill="1" applyBorder="1"/>
    <xf numFmtId="0" fontId="7" fillId="0" borderId="36" xfId="1" applyFont="1" applyBorder="1" applyAlignment="1">
      <alignment wrapText="1"/>
    </xf>
    <xf numFmtId="0" fontId="59" fillId="8" borderId="4" xfId="1" applyFont="1" applyFill="1" applyBorder="1" applyAlignment="1">
      <alignment horizontal="left" wrapText="1"/>
    </xf>
    <xf numFmtId="0" fontId="7" fillId="8" borderId="5" xfId="1" applyFont="1" applyFill="1" applyBorder="1"/>
    <xf numFmtId="0" fontId="9" fillId="8" borderId="4" xfId="1" applyFont="1" applyFill="1" applyBorder="1" applyAlignment="1">
      <alignment horizontal="centerContinuous"/>
    </xf>
    <xf numFmtId="0" fontId="9" fillId="8" borderId="5" xfId="1" applyFont="1" applyFill="1" applyBorder="1" applyAlignment="1">
      <alignment horizontal="centerContinuous"/>
    </xf>
    <xf numFmtId="0" fontId="13" fillId="3" borderId="10" xfId="1" applyFont="1" applyFill="1" applyBorder="1" applyAlignment="1">
      <alignment wrapText="1"/>
    </xf>
    <xf numFmtId="172" fontId="16" fillId="3" borderId="11" xfId="1" applyNumberFormat="1" applyFont="1" applyFill="1" applyBorder="1"/>
    <xf numFmtId="0" fontId="7" fillId="0" borderId="14" xfId="1" applyFont="1" applyFill="1" applyBorder="1" applyAlignment="1">
      <alignment wrapText="1"/>
    </xf>
    <xf numFmtId="165" fontId="7" fillId="0" borderId="3" xfId="1" applyNumberFormat="1" applyFont="1" applyFill="1" applyBorder="1"/>
    <xf numFmtId="165" fontId="7" fillId="0" borderId="13" xfId="1" applyNumberFormat="1" applyFont="1" applyFill="1" applyBorder="1"/>
    <xf numFmtId="165" fontId="7" fillId="0" borderId="14" xfId="1" applyNumberFormat="1" applyFont="1" applyFill="1" applyBorder="1"/>
    <xf numFmtId="165" fontId="7" fillId="0" borderId="27" xfId="1" applyNumberFormat="1" applyFont="1" applyFill="1" applyBorder="1"/>
    <xf numFmtId="165" fontId="7" fillId="2" borderId="3" xfId="1" applyNumberFormat="1" applyFont="1" applyFill="1" applyBorder="1"/>
    <xf numFmtId="165" fontId="10" fillId="0" borderId="13" xfId="1" applyNumberFormat="1" applyFont="1" applyBorder="1"/>
    <xf numFmtId="168" fontId="7" fillId="0" borderId="10" xfId="15" applyNumberFormat="1" applyFont="1" applyFill="1" applyBorder="1"/>
    <xf numFmtId="168" fontId="7" fillId="0" borderId="12" xfId="15" applyNumberFormat="1" applyFont="1" applyFill="1" applyBorder="1"/>
    <xf numFmtId="178" fontId="53" fillId="7" borderId="0" xfId="9" applyNumberFormat="1" applyFont="1" applyFill="1"/>
    <xf numFmtId="43" fontId="20" fillId="0" borderId="13" xfId="1" applyNumberFormat="1" applyFont="1" applyBorder="1" applyAlignment="1">
      <alignment horizontal="center"/>
    </xf>
    <xf numFmtId="43" fontId="20" fillId="0" borderId="11" xfId="1" applyNumberFormat="1" applyFont="1" applyBorder="1"/>
    <xf numFmtId="170" fontId="39" fillId="0" borderId="11" xfId="1" applyNumberFormat="1" applyFont="1" applyFill="1" applyBorder="1"/>
    <xf numFmtId="43" fontId="7" fillId="2" borderId="0" xfId="1" applyNumberFormat="1" applyFont="1" applyFill="1" applyBorder="1"/>
    <xf numFmtId="168" fontId="7" fillId="0" borderId="11" xfId="1" applyNumberFormat="1" applyFont="1" applyFill="1" applyBorder="1"/>
    <xf numFmtId="175" fontId="7" fillId="0" borderId="4" xfId="1" applyNumberFormat="1" applyFont="1" applyFill="1" applyBorder="1" applyAlignment="1">
      <alignment wrapText="1"/>
    </xf>
    <xf numFmtId="0" fontId="7" fillId="0" borderId="35" xfId="1" applyFont="1" applyBorder="1" applyAlignment="1">
      <alignment horizontal="left" wrapText="1"/>
    </xf>
    <xf numFmtId="0" fontId="7" fillId="0" borderId="9" xfId="1" applyFont="1" applyBorder="1" applyAlignment="1">
      <alignment horizontal="left" indent="1"/>
    </xf>
    <xf numFmtId="0" fontId="7" fillId="0" borderId="35" xfId="1" applyFont="1" applyFill="1" applyBorder="1" applyAlignment="1">
      <alignment horizontal="left" wrapText="1"/>
    </xf>
    <xf numFmtId="0" fontId="7" fillId="0" borderId="9" xfId="1" applyFont="1" applyFill="1" applyBorder="1" applyAlignment="1">
      <alignment horizontal="left" indent="1"/>
    </xf>
    <xf numFmtId="0" fontId="7" fillId="0" borderId="64" xfId="1" applyFont="1" applyBorder="1" applyAlignment="1">
      <alignment wrapText="1"/>
    </xf>
    <xf numFmtId="175" fontId="7" fillId="0" borderId="35" xfId="1" applyNumberFormat="1" applyFont="1" applyFill="1" applyBorder="1" applyAlignment="1">
      <alignment horizontal="left" wrapText="1"/>
    </xf>
    <xf numFmtId="175" fontId="7" fillId="0" borderId="9" xfId="1" applyNumberFormat="1" applyFont="1" applyBorder="1" applyAlignment="1">
      <alignment horizontal="left" indent="1"/>
    </xf>
    <xf numFmtId="7" fontId="7" fillId="0" borderId="64" xfId="15" applyNumberFormat="1" applyFont="1" applyFill="1" applyBorder="1"/>
    <xf numFmtId="0" fontId="13" fillId="2" borderId="13" xfId="1" applyFont="1" applyFill="1" applyBorder="1" applyAlignment="1">
      <alignment horizontal="right"/>
    </xf>
    <xf numFmtId="172" fontId="10" fillId="2" borderId="0" xfId="8" applyNumberFormat="1" applyFont="1" applyFill="1" applyBorder="1"/>
    <xf numFmtId="7" fontId="41" fillId="0" borderId="17" xfId="9" applyNumberFormat="1" applyFont="1" applyFill="1" applyBorder="1" applyAlignment="1">
      <alignment horizontal="center"/>
    </xf>
    <xf numFmtId="39" fontId="78" fillId="0" borderId="6" xfId="8" applyNumberFormat="1" applyFont="1" applyFill="1" applyBorder="1" applyAlignment="1">
      <alignment horizontal="center"/>
    </xf>
    <xf numFmtId="195" fontId="78" fillId="0" borderId="6" xfId="15" applyNumberFormat="1" applyFont="1" applyBorder="1" applyAlignment="1">
      <alignment horizontal="center"/>
    </xf>
    <xf numFmtId="167" fontId="78" fillId="0" borderId="6" xfId="15" applyNumberFormat="1" applyFont="1" applyBorder="1" applyAlignment="1">
      <alignment horizontal="center"/>
    </xf>
    <xf numFmtId="168" fontId="78" fillId="0" borderId="6" xfId="15" applyNumberFormat="1" applyFont="1" applyBorder="1" applyAlignment="1">
      <alignment horizontal="center"/>
    </xf>
    <xf numFmtId="195" fontId="78" fillId="0" borderId="15" xfId="15" applyNumberFormat="1" applyFont="1" applyBorder="1" applyAlignment="1">
      <alignment horizontal="center"/>
    </xf>
    <xf numFmtId="0" fontId="78" fillId="0" borderId="0" xfId="3" applyFont="1"/>
    <xf numFmtId="0" fontId="78" fillId="0" borderId="0" xfId="3" applyFont="1" applyBorder="1"/>
    <xf numFmtId="0" fontId="41" fillId="8" borderId="3" xfId="3" applyFont="1" applyFill="1" applyBorder="1"/>
    <xf numFmtId="0" fontId="79" fillId="8" borderId="13" xfId="3" applyFont="1" applyFill="1" applyBorder="1" applyAlignment="1">
      <alignment horizontal="centerContinuous"/>
    </xf>
    <xf numFmtId="0" fontId="79" fillId="8" borderId="27" xfId="3" applyFont="1" applyFill="1" applyBorder="1" applyAlignment="1">
      <alignment horizontal="centerContinuous"/>
    </xf>
    <xf numFmtId="0" fontId="79" fillId="0" borderId="13" xfId="3" applyFont="1" applyFill="1" applyBorder="1" applyAlignment="1">
      <alignment horizontal="left"/>
    </xf>
    <xf numFmtId="0" fontId="79" fillId="8" borderId="14" xfId="3" applyFont="1" applyFill="1" applyBorder="1" applyAlignment="1">
      <alignment horizontal="centerContinuous"/>
    </xf>
    <xf numFmtId="0" fontId="78" fillId="8" borderId="13" xfId="3" applyFont="1" applyFill="1" applyBorder="1" applyAlignment="1">
      <alignment horizontal="centerContinuous"/>
    </xf>
    <xf numFmtId="0" fontId="78" fillId="8" borderId="27" xfId="3" applyFont="1" applyFill="1" applyBorder="1" applyAlignment="1">
      <alignment horizontal="centerContinuous"/>
    </xf>
    <xf numFmtId="0" fontId="79" fillId="8" borderId="3" xfId="3" applyFont="1" applyFill="1" applyBorder="1" applyAlignment="1">
      <alignment horizontal="centerContinuous"/>
    </xf>
    <xf numFmtId="0" fontId="78" fillId="0" borderId="14" xfId="3" applyFont="1" applyBorder="1"/>
    <xf numFmtId="0" fontId="78" fillId="0" borderId="13" xfId="3" applyFont="1" applyBorder="1"/>
    <xf numFmtId="0" fontId="78" fillId="8" borderId="22" xfId="3" applyFont="1" applyFill="1" applyBorder="1"/>
    <xf numFmtId="0" fontId="41" fillId="8" borderId="66" xfId="3" applyFont="1" applyFill="1" applyBorder="1" applyAlignment="1">
      <alignment horizontal="center"/>
    </xf>
    <xf numFmtId="0" fontId="41" fillId="8" borderId="2" xfId="3" applyFont="1" applyFill="1" applyBorder="1" applyAlignment="1">
      <alignment horizontal="center"/>
    </xf>
    <xf numFmtId="0" fontId="41" fillId="8" borderId="67" xfId="3" applyFont="1" applyFill="1" applyBorder="1" applyAlignment="1">
      <alignment horizontal="center"/>
    </xf>
    <xf numFmtId="0" fontId="41" fillId="0" borderId="0" xfId="3" applyFont="1" applyFill="1" applyBorder="1" applyAlignment="1">
      <alignment horizontal="center"/>
    </xf>
    <xf numFmtId="0" fontId="41" fillId="8" borderId="68" xfId="3" applyFont="1" applyFill="1" applyBorder="1" applyAlignment="1">
      <alignment horizontal="center"/>
    </xf>
    <xf numFmtId="0" fontId="41" fillId="8" borderId="69" xfId="3" applyFont="1" applyFill="1" applyBorder="1" applyAlignment="1">
      <alignment horizontal="center"/>
    </xf>
    <xf numFmtId="0" fontId="41" fillId="8" borderId="22" xfId="3" applyFont="1" applyFill="1" applyBorder="1" applyAlignment="1">
      <alignment horizontal="center"/>
    </xf>
    <xf numFmtId="14" fontId="41" fillId="8" borderId="66" xfId="3" applyNumberFormat="1" applyFont="1" applyFill="1" applyBorder="1" applyAlignment="1">
      <alignment horizontal="center"/>
    </xf>
    <xf numFmtId="0" fontId="78" fillId="0" borderId="4" xfId="3" applyFont="1" applyBorder="1"/>
    <xf numFmtId="0" fontId="41" fillId="8" borderId="70" xfId="3" applyFont="1" applyFill="1" applyBorder="1" applyAlignment="1">
      <alignment horizontal="center"/>
    </xf>
    <xf numFmtId="14" fontId="41" fillId="8" borderId="68" xfId="3" applyNumberFormat="1" applyFont="1" applyFill="1" applyBorder="1" applyAlignment="1">
      <alignment horizontal="center"/>
    </xf>
    <xf numFmtId="14" fontId="41" fillId="8" borderId="67" xfId="3" applyNumberFormat="1" applyFont="1" applyFill="1" applyBorder="1" applyAlignment="1">
      <alignment horizontal="center"/>
    </xf>
    <xf numFmtId="14" fontId="41" fillId="8" borderId="22" xfId="3" applyNumberFormat="1" applyFont="1" applyFill="1" applyBorder="1" applyAlignment="1">
      <alignment horizontal="center"/>
    </xf>
    <xf numFmtId="0" fontId="78" fillId="8" borderId="6" xfId="3" applyFont="1" applyFill="1" applyBorder="1"/>
    <xf numFmtId="0" fontId="78" fillId="0" borderId="18" xfId="3" applyFont="1" applyBorder="1"/>
    <xf numFmtId="0" fontId="78" fillId="0" borderId="5" xfId="3" applyFont="1" applyBorder="1"/>
    <xf numFmtId="0" fontId="78" fillId="0" borderId="0" xfId="3" applyFont="1" applyFill="1" applyBorder="1"/>
    <xf numFmtId="0" fontId="78" fillId="0" borderId="29" xfId="3" applyFont="1" applyBorder="1"/>
    <xf numFmtId="0" fontId="78" fillId="0" borderId="6" xfId="3" applyFont="1" applyBorder="1"/>
    <xf numFmtId="0" fontId="78" fillId="0" borderId="4" xfId="3" applyFont="1" applyBorder="1" applyAlignment="1">
      <alignment horizontal="center"/>
    </xf>
    <xf numFmtId="0" fontId="78" fillId="0" borderId="6" xfId="3" applyFont="1" applyBorder="1" applyAlignment="1">
      <alignment horizontal="center"/>
    </xf>
    <xf numFmtId="0" fontId="78" fillId="0" borderId="3" xfId="3" applyFont="1" applyBorder="1"/>
    <xf numFmtId="0" fontId="78" fillId="0" borderId="27" xfId="3" applyFont="1" applyBorder="1"/>
    <xf numFmtId="0" fontId="78" fillId="0" borderId="14" xfId="3" applyFont="1" applyBorder="1" applyAlignment="1">
      <alignment horizontal="center"/>
    </xf>
    <xf numFmtId="0" fontId="78" fillId="0" borderId="27" xfId="3" applyFont="1" applyBorder="1" applyAlignment="1">
      <alignment horizontal="center"/>
    </xf>
    <xf numFmtId="0" fontId="78" fillId="4" borderId="3" xfId="3" applyFont="1" applyFill="1" applyBorder="1" applyAlignment="1">
      <alignment horizontal="center"/>
    </xf>
    <xf numFmtId="0" fontId="78" fillId="0" borderId="13" xfId="3" applyFont="1" applyBorder="1" applyAlignment="1">
      <alignment horizontal="center"/>
    </xf>
    <xf numFmtId="0" fontId="78" fillId="0" borderId="3" xfId="3" applyFont="1" applyBorder="1" applyAlignment="1">
      <alignment horizontal="center"/>
    </xf>
    <xf numFmtId="9" fontId="78" fillId="0" borderId="10" xfId="3" applyNumberFormat="1" applyFont="1" applyBorder="1" applyAlignment="1">
      <alignment horizontal="center"/>
    </xf>
    <xf numFmtId="9" fontId="78" fillId="0" borderId="15" xfId="3" applyNumberFormat="1" applyFont="1" applyBorder="1" applyAlignment="1">
      <alignment horizontal="center"/>
    </xf>
    <xf numFmtId="9" fontId="78" fillId="0" borderId="12" xfId="3" applyNumberFormat="1" applyFont="1" applyBorder="1" applyAlignment="1">
      <alignment horizontal="center"/>
    </xf>
    <xf numFmtId="9" fontId="78" fillId="0" borderId="4" xfId="3" applyNumberFormat="1" applyFont="1" applyBorder="1" applyAlignment="1">
      <alignment horizontal="center"/>
    </xf>
    <xf numFmtId="9" fontId="78" fillId="0" borderId="0" xfId="3" applyNumberFormat="1" applyFont="1" applyBorder="1" applyAlignment="1">
      <alignment horizontal="center"/>
    </xf>
    <xf numFmtId="168" fontId="78" fillId="0" borderId="0" xfId="3" applyNumberFormat="1" applyFont="1" applyBorder="1" applyAlignment="1">
      <alignment horizontal="center"/>
    </xf>
    <xf numFmtId="168" fontId="78" fillId="0" borderId="5" xfId="3" applyNumberFormat="1" applyFont="1" applyBorder="1" applyAlignment="1">
      <alignment horizontal="center"/>
    </xf>
    <xf numFmtId="9" fontId="78" fillId="4" borderId="6" xfId="3" applyNumberFormat="1" applyFont="1" applyFill="1" applyBorder="1" applyAlignment="1">
      <alignment horizontal="center"/>
    </xf>
    <xf numFmtId="9" fontId="78" fillId="0" borderId="5" xfId="3" applyNumberFormat="1" applyFont="1" applyBorder="1" applyAlignment="1">
      <alignment horizontal="center"/>
    </xf>
    <xf numFmtId="168" fontId="78" fillId="0" borderId="6" xfId="3" applyNumberFormat="1" applyFont="1" applyBorder="1" applyAlignment="1">
      <alignment horizontal="center"/>
    </xf>
    <xf numFmtId="9" fontId="78" fillId="0" borderId="6" xfId="3" applyNumberFormat="1" applyFont="1" applyBorder="1" applyAlignment="1">
      <alignment horizontal="center"/>
    </xf>
    <xf numFmtId="0" fontId="41" fillId="8" borderId="17" xfId="3" applyFont="1" applyFill="1" applyBorder="1"/>
    <xf numFmtId="0" fontId="41" fillId="0" borderId="16" xfId="3" applyFont="1" applyBorder="1"/>
    <xf numFmtId="0" fontId="41" fillId="0" borderId="33" xfId="3" applyFont="1" applyBorder="1"/>
    <xf numFmtId="0" fontId="41" fillId="0" borderId="52" xfId="3" applyFont="1" applyBorder="1"/>
    <xf numFmtId="0" fontId="41" fillId="0" borderId="0" xfId="3" applyFont="1" applyBorder="1"/>
    <xf numFmtId="0" fontId="41" fillId="0" borderId="36" xfId="3" applyFont="1" applyBorder="1" applyAlignment="1">
      <alignment horizontal="center"/>
    </xf>
    <xf numFmtId="0" fontId="41" fillId="0" borderId="33" xfId="3" applyFont="1" applyBorder="1" applyAlignment="1">
      <alignment horizontal="center"/>
    </xf>
    <xf numFmtId="0" fontId="41" fillId="0" borderId="61" xfId="3" applyFont="1" applyBorder="1" applyAlignment="1">
      <alignment horizontal="center"/>
    </xf>
    <xf numFmtId="0" fontId="41" fillId="0" borderId="52" xfId="3" applyFont="1" applyBorder="1" applyAlignment="1">
      <alignment horizontal="center"/>
    </xf>
    <xf numFmtId="0" fontId="41" fillId="0" borderId="4" xfId="3" applyFont="1" applyBorder="1"/>
    <xf numFmtId="0" fontId="41" fillId="0" borderId="0" xfId="3" applyFont="1"/>
    <xf numFmtId="0" fontId="41" fillId="0" borderId="4" xfId="3" applyFont="1" applyBorder="1" applyAlignment="1">
      <alignment horizontal="center"/>
    </xf>
    <xf numFmtId="0" fontId="41" fillId="0" borderId="0" xfId="3" applyFont="1" applyBorder="1" applyAlignment="1">
      <alignment horizontal="center"/>
    </xf>
    <xf numFmtId="0" fontId="41" fillId="0" borderId="5" xfId="3" applyFont="1" applyBorder="1" applyAlignment="1">
      <alignment horizontal="center"/>
    </xf>
    <xf numFmtId="0" fontId="41" fillId="0" borderId="6" xfId="3" applyFont="1" applyFill="1" applyBorder="1" applyAlignment="1">
      <alignment horizontal="center"/>
    </xf>
    <xf numFmtId="0" fontId="41" fillId="0" borderId="6" xfId="3" applyFont="1" applyBorder="1" applyAlignment="1">
      <alignment horizontal="center"/>
    </xf>
    <xf numFmtId="0" fontId="78" fillId="0" borderId="18" xfId="3" applyFont="1" applyBorder="1" applyAlignment="1">
      <alignment horizontal="center"/>
    </xf>
    <xf numFmtId="0" fontId="78" fillId="0" borderId="20" xfId="3" applyFont="1" applyBorder="1" applyAlignment="1">
      <alignment horizontal="center"/>
    </xf>
    <xf numFmtId="0" fontId="78" fillId="0" borderId="5" xfId="3" applyFont="1" applyBorder="1" applyAlignment="1">
      <alignment horizontal="center"/>
    </xf>
    <xf numFmtId="0" fontId="78" fillId="0" borderId="0" xfId="3" applyFont="1" applyBorder="1" applyAlignment="1">
      <alignment horizontal="center"/>
    </xf>
    <xf numFmtId="0" fontId="78" fillId="0" borderId="6" xfId="3" applyFont="1" applyFill="1" applyBorder="1" applyAlignment="1">
      <alignment horizontal="center"/>
    </xf>
    <xf numFmtId="6" fontId="78" fillId="0" borderId="5" xfId="3" applyNumberFormat="1" applyFont="1" applyBorder="1" applyAlignment="1">
      <alignment horizontal="center"/>
    </xf>
    <xf numFmtId="6" fontId="78" fillId="0" borderId="6" xfId="3" applyNumberFormat="1" applyFont="1" applyBorder="1" applyAlignment="1">
      <alignment horizontal="center"/>
    </xf>
    <xf numFmtId="200" fontId="78" fillId="0" borderId="6" xfId="3" applyNumberFormat="1" applyFont="1" applyBorder="1" applyAlignment="1">
      <alignment horizontal="center"/>
    </xf>
    <xf numFmtId="44" fontId="78" fillId="0" borderId="0" xfId="3" applyNumberFormat="1" applyFont="1"/>
    <xf numFmtId="0" fontId="78" fillId="0" borderId="20" xfId="3" applyFont="1" applyBorder="1"/>
    <xf numFmtId="6" fontId="78" fillId="0" borderId="0" xfId="3" applyNumberFormat="1" applyFont="1" applyBorder="1" applyAlignment="1">
      <alignment horizontal="center"/>
    </xf>
    <xf numFmtId="201" fontId="78" fillId="0" borderId="6" xfId="3" applyNumberFormat="1" applyFont="1" applyBorder="1" applyAlignment="1">
      <alignment horizontal="center"/>
    </xf>
    <xf numFmtId="0" fontId="78" fillId="8" borderId="15" xfId="3" applyFont="1" applyFill="1" applyBorder="1"/>
    <xf numFmtId="0" fontId="78" fillId="0" borderId="11" xfId="3" applyFont="1" applyBorder="1"/>
    <xf numFmtId="0" fontId="78" fillId="0" borderId="30" xfId="3" applyFont="1" applyBorder="1"/>
    <xf numFmtId="0" fontId="78" fillId="0" borderId="12" xfId="3" applyFont="1" applyBorder="1"/>
    <xf numFmtId="0" fontId="78" fillId="0" borderId="10" xfId="3" applyFont="1" applyBorder="1"/>
    <xf numFmtId="0" fontId="78" fillId="0" borderId="38" xfId="3" applyFont="1" applyBorder="1"/>
    <xf numFmtId="199" fontId="78" fillId="0" borderId="30" xfId="9" applyNumberFormat="1" applyFont="1" applyBorder="1" applyAlignment="1">
      <alignment horizontal="center"/>
    </xf>
    <xf numFmtId="199" fontId="78" fillId="0" borderId="31" xfId="9" applyNumberFormat="1" applyFont="1" applyBorder="1" applyAlignment="1">
      <alignment horizontal="center"/>
    </xf>
    <xf numFmtId="199" fontId="78" fillId="0" borderId="12" xfId="9" applyNumberFormat="1" applyFont="1" applyBorder="1" applyAlignment="1">
      <alignment horizontal="center"/>
    </xf>
    <xf numFmtId="0" fontId="78" fillId="0" borderId="10" xfId="3" applyFont="1" applyBorder="1" applyAlignment="1">
      <alignment horizontal="center"/>
    </xf>
    <xf numFmtId="0" fontId="78" fillId="0" borderId="11" xfId="3" applyFont="1" applyBorder="1" applyAlignment="1">
      <alignment horizontal="center"/>
    </xf>
    <xf numFmtId="0" fontId="78" fillId="0" borderId="15" xfId="3" applyFont="1" applyBorder="1" applyAlignment="1">
      <alignment horizontal="center"/>
    </xf>
    <xf numFmtId="199" fontId="78" fillId="0" borderId="11" xfId="9" applyNumberFormat="1" applyFont="1" applyBorder="1" applyAlignment="1">
      <alignment horizontal="center"/>
    </xf>
    <xf numFmtId="0" fontId="78" fillId="0" borderId="15" xfId="3" quotePrefix="1" applyFont="1" applyFill="1" applyBorder="1" applyAlignment="1">
      <alignment horizontal="center"/>
    </xf>
    <xf numFmtId="0" fontId="78" fillId="0" borderId="12" xfId="3" applyFont="1" applyBorder="1" applyAlignment="1">
      <alignment horizontal="center"/>
    </xf>
    <xf numFmtId="0" fontId="78" fillId="4" borderId="6" xfId="3" applyFont="1" applyFill="1" applyBorder="1" applyAlignment="1">
      <alignment horizontal="center"/>
    </xf>
    <xf numFmtId="0" fontId="78" fillId="0" borderId="30" xfId="3" applyFont="1" applyBorder="1" applyAlignment="1">
      <alignment horizontal="center"/>
    </xf>
    <xf numFmtId="0" fontId="78" fillId="0" borderId="38" xfId="3" applyFont="1" applyBorder="1" applyAlignment="1">
      <alignment horizontal="center"/>
    </xf>
    <xf numFmtId="0" fontId="78" fillId="8" borderId="6" xfId="3" applyFont="1" applyFill="1" applyBorder="1" applyAlignment="1">
      <alignment horizontal="left"/>
    </xf>
    <xf numFmtId="0" fontId="78" fillId="0" borderId="0" xfId="3" applyFont="1" applyFill="1"/>
    <xf numFmtId="0" fontId="4" fillId="0" borderId="0" xfId="3" applyFont="1" applyFill="1" applyBorder="1" applyAlignment="1">
      <alignment wrapText="1"/>
    </xf>
    <xf numFmtId="0" fontId="4" fillId="0" borderId="5" xfId="3" applyFont="1" applyFill="1" applyBorder="1" applyAlignment="1">
      <alignment wrapText="1"/>
    </xf>
    <xf numFmtId="0" fontId="78" fillId="0" borderId="0" xfId="3" applyFont="1" applyFill="1" applyBorder="1" applyAlignment="1"/>
    <xf numFmtId="0" fontId="78" fillId="0" borderId="5" xfId="3" applyFont="1" applyFill="1" applyBorder="1" applyAlignment="1"/>
    <xf numFmtId="8" fontId="78" fillId="0" borderId="4" xfId="3" applyNumberFormat="1" applyFont="1" applyBorder="1" applyAlignment="1">
      <alignment horizontal="center"/>
    </xf>
    <xf numFmtId="0" fontId="78" fillId="8" borderId="15" xfId="3" applyFont="1" applyFill="1" applyBorder="1" applyAlignment="1"/>
    <xf numFmtId="0" fontId="78" fillId="0" borderId="11" xfId="3" applyFont="1" applyFill="1" applyBorder="1" applyAlignment="1"/>
    <xf numFmtId="0" fontId="78" fillId="0" borderId="12" xfId="3" applyFont="1" applyFill="1" applyBorder="1" applyAlignment="1"/>
    <xf numFmtId="0" fontId="78" fillId="0" borderId="11" xfId="3" applyFont="1" applyFill="1" applyBorder="1"/>
    <xf numFmtId="0" fontId="78" fillId="0" borderId="0" xfId="3" applyFont="1" applyAlignment="1">
      <alignment horizontal="center"/>
    </xf>
    <xf numFmtId="170" fontId="49" fillId="0" borderId="0" xfId="1" applyNumberFormat="1" applyFont="1" applyFill="1" applyBorder="1"/>
    <xf numFmtId="175" fontId="7" fillId="0" borderId="5" xfId="1" applyNumberFormat="1" applyFont="1" applyFill="1" applyBorder="1"/>
    <xf numFmtId="4" fontId="7" fillId="0" borderId="64" xfId="15" applyNumberFormat="1" applyFont="1" applyFill="1" applyBorder="1"/>
    <xf numFmtId="180" fontId="8" fillId="0" borderId="12" xfId="1" applyNumberFormat="1" applyFont="1" applyFill="1" applyBorder="1"/>
    <xf numFmtId="170" fontId="39" fillId="0" borderId="0" xfId="1" applyNumberFormat="1" applyFont="1" applyFill="1" applyBorder="1"/>
    <xf numFmtId="170" fontId="39" fillId="2" borderId="12" xfId="1" applyNumberFormat="1" applyFont="1" applyFill="1" applyBorder="1"/>
    <xf numFmtId="43" fontId="9" fillId="0" borderId="4" xfId="8" applyNumberFormat="1" applyFont="1" applyBorder="1" applyAlignment="1">
      <alignment wrapText="1"/>
    </xf>
    <xf numFmtId="9" fontId="7" fillId="0" borderId="16" xfId="1" applyNumberFormat="1" applyFont="1" applyFill="1" applyBorder="1"/>
    <xf numFmtId="180" fontId="83" fillId="0" borderId="8" xfId="1" applyNumberFormat="1" applyFont="1" applyFill="1" applyBorder="1"/>
    <xf numFmtId="180" fontId="83" fillId="0" borderId="0" xfId="1" applyNumberFormat="1" applyFont="1" applyFill="1" applyBorder="1"/>
    <xf numFmtId="169" fontId="7" fillId="7" borderId="11" xfId="1" applyNumberFormat="1" applyFont="1" applyFill="1" applyBorder="1"/>
    <xf numFmtId="167" fontId="10" fillId="0" borderId="0" xfId="8" applyNumberFormat="1" applyFont="1" applyFill="1" applyBorder="1"/>
    <xf numFmtId="168" fontId="10" fillId="0" borderId="11" xfId="1" applyNumberFormat="1" applyFont="1" applyBorder="1"/>
    <xf numFmtId="0" fontId="0" fillId="12" borderId="27" xfId="0" applyFill="1" applyBorder="1" applyAlignment="1"/>
    <xf numFmtId="39" fontId="78" fillId="0" borderId="10" xfId="8" applyNumberFormat="1" applyFont="1" applyBorder="1" applyAlignment="1">
      <alignment horizontal="center"/>
    </xf>
    <xf numFmtId="37" fontId="78" fillId="0" borderId="30" xfId="8" applyNumberFormat="1" applyFont="1" applyBorder="1" applyAlignment="1">
      <alignment horizontal="center"/>
    </xf>
    <xf numFmtId="37" fontId="78" fillId="0" borderId="31" xfId="8" applyNumberFormat="1" applyFont="1" applyBorder="1" applyAlignment="1">
      <alignment horizontal="center"/>
    </xf>
    <xf numFmtId="37" fontId="78" fillId="0" borderId="12" xfId="8" applyNumberFormat="1" applyFont="1" applyBorder="1" applyAlignment="1">
      <alignment horizontal="center"/>
    </xf>
    <xf numFmtId="39" fontId="78" fillId="0" borderId="17" xfId="8" applyNumberFormat="1" applyFont="1" applyBorder="1" applyAlignment="1">
      <alignment horizontal="center"/>
    </xf>
    <xf numFmtId="39" fontId="78" fillId="0" borderId="11" xfId="8" applyNumberFormat="1" applyFont="1" applyBorder="1" applyAlignment="1">
      <alignment horizontal="center"/>
    </xf>
    <xf numFmtId="37" fontId="78" fillId="0" borderId="15" xfId="8" applyNumberFormat="1" applyFont="1" applyBorder="1" applyAlignment="1">
      <alignment horizontal="center"/>
    </xf>
    <xf numFmtId="39" fontId="78" fillId="0" borderId="15" xfId="8" applyNumberFormat="1" applyFont="1" applyFill="1" applyBorder="1" applyAlignment="1">
      <alignment horizontal="center"/>
    </xf>
    <xf numFmtId="39" fontId="78" fillId="0" borderId="12" xfId="8" applyNumberFormat="1" applyFont="1" applyBorder="1" applyAlignment="1">
      <alignment horizontal="center"/>
    </xf>
    <xf numFmtId="39" fontId="78" fillId="0" borderId="15" xfId="8" applyNumberFormat="1" applyFont="1" applyBorder="1" applyAlignment="1">
      <alignment horizontal="center"/>
    </xf>
    <xf numFmtId="180" fontId="85" fillId="0" borderId="8" xfId="1" applyNumberFormat="1" applyFont="1" applyFill="1" applyBorder="1"/>
    <xf numFmtId="0" fontId="41" fillId="14" borderId="0" xfId="3" applyFont="1" applyFill="1" applyBorder="1" applyAlignment="1">
      <alignment horizontal="center"/>
    </xf>
    <xf numFmtId="0" fontId="41" fillId="14" borderId="6" xfId="3" applyFont="1" applyFill="1" applyBorder="1" applyAlignment="1">
      <alignment horizontal="center"/>
    </xf>
    <xf numFmtId="39" fontId="78" fillId="0" borderId="0" xfId="8" applyNumberFormat="1" applyFont="1" applyFill="1" applyBorder="1" applyAlignment="1">
      <alignment horizontal="center"/>
    </xf>
    <xf numFmtId="195" fontId="78" fillId="0" borderId="6" xfId="15" applyNumberFormat="1" applyFont="1" applyFill="1" applyBorder="1" applyAlignment="1">
      <alignment horizontal="center"/>
    </xf>
    <xf numFmtId="167" fontId="78" fillId="0" borderId="6" xfId="15" applyNumberFormat="1" applyFont="1" applyFill="1" applyBorder="1" applyAlignment="1">
      <alignment horizontal="center"/>
    </xf>
    <xf numFmtId="0" fontId="78" fillId="0" borderId="0" xfId="3" applyFont="1" applyFill="1" applyBorder="1" applyAlignment="1">
      <alignment horizontal="center"/>
    </xf>
    <xf numFmtId="200" fontId="78" fillId="0" borderId="6" xfId="3" applyNumberFormat="1" applyFont="1" applyFill="1" applyBorder="1" applyAlignment="1">
      <alignment horizontal="center"/>
    </xf>
    <xf numFmtId="168" fontId="78" fillId="0" borderId="6" xfId="15" applyNumberFormat="1" applyFont="1" applyFill="1" applyBorder="1" applyAlignment="1">
      <alignment horizontal="center"/>
    </xf>
    <xf numFmtId="201" fontId="78" fillId="0" borderId="6" xfId="3" applyNumberFormat="1" applyFont="1" applyFill="1" applyBorder="1" applyAlignment="1">
      <alignment horizontal="center"/>
    </xf>
    <xf numFmtId="195" fontId="78" fillId="0" borderId="15" xfId="15" applyNumberFormat="1" applyFont="1" applyFill="1" applyBorder="1" applyAlignment="1">
      <alignment horizontal="center"/>
    </xf>
    <xf numFmtId="39" fontId="78" fillId="0" borderId="11" xfId="8" applyNumberFormat="1" applyFont="1" applyFill="1" applyBorder="1" applyAlignment="1">
      <alignment horizontal="center"/>
    </xf>
    <xf numFmtId="39" fontId="78" fillId="0" borderId="15" xfId="8" quotePrefix="1" applyNumberFormat="1" applyFont="1" applyFill="1" applyBorder="1" applyAlignment="1">
      <alignment horizontal="center"/>
    </xf>
    <xf numFmtId="37" fontId="78" fillId="0" borderId="15" xfId="8" applyNumberFormat="1" applyFont="1" applyFill="1" applyBorder="1" applyAlignment="1">
      <alignment horizontal="center"/>
    </xf>
    <xf numFmtId="37" fontId="78" fillId="0" borderId="15" xfId="8" quotePrefix="1" applyNumberFormat="1" applyFont="1" applyFill="1" applyBorder="1" applyAlignment="1">
      <alignment horizontal="center"/>
    </xf>
    <xf numFmtId="3" fontId="78" fillId="0" borderId="0" xfId="3" applyNumberFormat="1" applyFont="1" applyAlignment="1">
      <alignment horizontal="center"/>
    </xf>
    <xf numFmtId="0" fontId="78" fillId="0" borderId="11" xfId="3" quotePrefix="1" applyFont="1" applyFill="1" applyBorder="1" applyAlignment="1">
      <alignment horizontal="center"/>
    </xf>
    <xf numFmtId="7" fontId="41" fillId="0" borderId="16" xfId="9" applyNumberFormat="1" applyFont="1" applyFill="1" applyBorder="1" applyAlignment="1">
      <alignment horizontal="center"/>
    </xf>
    <xf numFmtId="196" fontId="78" fillId="0" borderId="0" xfId="3" applyNumberFormat="1" applyFont="1"/>
    <xf numFmtId="197" fontId="78" fillId="0" borderId="0" xfId="3" applyNumberFormat="1" applyFont="1" applyAlignment="1">
      <alignment horizontal="center"/>
    </xf>
    <xf numFmtId="167" fontId="78" fillId="0" borderId="0" xfId="3" applyNumberFormat="1" applyFont="1" applyAlignment="1">
      <alignment horizontal="center"/>
    </xf>
    <xf numFmtId="168" fontId="78" fillId="0" borderId="0" xfId="3" applyNumberFormat="1" applyFont="1"/>
    <xf numFmtId="197" fontId="7" fillId="0" borderId="16" xfId="1" applyNumberFormat="1" applyFont="1" applyFill="1" applyBorder="1"/>
    <xf numFmtId="0" fontId="9" fillId="0" borderId="0" xfId="1" applyFont="1"/>
    <xf numFmtId="165" fontId="9" fillId="0" borderId="6" xfId="1" applyNumberFormat="1" applyFont="1" applyFill="1" applyBorder="1"/>
    <xf numFmtId="165" fontId="9" fillId="0" borderId="4" xfId="1" applyNumberFormat="1" applyFont="1" applyFill="1" applyBorder="1"/>
    <xf numFmtId="165" fontId="9" fillId="0" borderId="0" xfId="1" applyNumberFormat="1" applyFont="1" applyFill="1" applyBorder="1"/>
    <xf numFmtId="165" fontId="9" fillId="0" borderId="0" xfId="1" applyNumberFormat="1" applyFont="1" applyBorder="1"/>
    <xf numFmtId="165" fontId="9" fillId="0" borderId="6" xfId="1" applyNumberFormat="1" applyFont="1" applyBorder="1"/>
    <xf numFmtId="0" fontId="9" fillId="0" borderId="0" xfId="1" applyFont="1" applyFill="1"/>
    <xf numFmtId="165" fontId="9" fillId="0" borderId="6" xfId="8" applyNumberFormat="1" applyFont="1" applyFill="1" applyBorder="1"/>
    <xf numFmtId="165" fontId="9" fillId="0" borderId="4" xfId="8" applyNumberFormat="1" applyFont="1" applyFill="1" applyBorder="1"/>
    <xf numFmtId="165" fontId="9" fillId="0" borderId="0" xfId="8" applyNumberFormat="1" applyFont="1" applyFill="1" applyBorder="1"/>
    <xf numFmtId="165" fontId="9" fillId="0" borderId="5" xfId="8" applyNumberFormat="1" applyFont="1" applyFill="1" applyBorder="1"/>
    <xf numFmtId="165" fontId="9" fillId="0" borderId="0" xfId="8" applyNumberFormat="1" applyFont="1" applyBorder="1"/>
    <xf numFmtId="165" fontId="9" fillId="0" borderId="6" xfId="8" applyNumberFormat="1" applyFont="1" applyBorder="1"/>
    <xf numFmtId="170" fontId="7" fillId="7" borderId="15" xfId="8" applyNumberFormat="1" applyFont="1" applyFill="1" applyBorder="1"/>
    <xf numFmtId="168" fontId="86" fillId="0" borderId="13" xfId="15" applyNumberFormat="1" applyFont="1" applyFill="1" applyBorder="1"/>
    <xf numFmtId="168" fontId="86" fillId="0" borderId="0" xfId="15" applyNumberFormat="1" applyFont="1" applyFill="1" applyBorder="1"/>
    <xf numFmtId="43" fontId="87" fillId="0" borderId="13" xfId="1" applyNumberFormat="1" applyFont="1" applyBorder="1" applyAlignment="1">
      <alignment horizontal="center"/>
    </xf>
    <xf numFmtId="43" fontId="88" fillId="0" borderId="0" xfId="1" applyNumberFormat="1" applyFont="1" applyFill="1" applyBorder="1"/>
    <xf numFmtId="0" fontId="4" fillId="0" borderId="0" xfId="12"/>
    <xf numFmtId="43" fontId="87" fillId="0" borderId="0" xfId="1" applyNumberFormat="1" applyFont="1" applyBorder="1"/>
    <xf numFmtId="0" fontId="0" fillId="12" borderId="13" xfId="0" applyFill="1" applyBorder="1" applyAlignment="1"/>
    <xf numFmtId="0" fontId="78" fillId="0" borderId="15" xfId="3" applyFont="1" applyFill="1" applyBorder="1" applyAlignment="1">
      <alignment horizontal="center"/>
    </xf>
    <xf numFmtId="39" fontId="78" fillId="0" borderId="3" xfId="8" quotePrefix="1" applyNumberFormat="1" applyFont="1" applyFill="1" applyBorder="1" applyAlignment="1">
      <alignment horizontal="center"/>
    </xf>
    <xf numFmtId="165" fontId="10" fillId="0" borderId="35" xfId="8" applyNumberFormat="1" applyFont="1" applyBorder="1"/>
    <xf numFmtId="39" fontId="7" fillId="0" borderId="0" xfId="8" applyNumberFormat="1" applyFont="1" applyBorder="1"/>
    <xf numFmtId="197" fontId="85" fillId="0" borderId="16" xfId="1" applyNumberFormat="1" applyFont="1" applyFill="1" applyBorder="1"/>
    <xf numFmtId="37" fontId="5" fillId="2" borderId="0" xfId="10" applyNumberFormat="1" applyFill="1" applyBorder="1" applyAlignment="1" applyProtection="1">
      <alignment horizontal="left"/>
    </xf>
    <xf numFmtId="167" fontId="7" fillId="0" borderId="16" xfId="15" applyNumberFormat="1" applyFont="1" applyBorder="1"/>
    <xf numFmtId="0" fontId="78" fillId="8" borderId="3" xfId="3" applyFont="1" applyFill="1" applyBorder="1"/>
    <xf numFmtId="0" fontId="78" fillId="0" borderId="28" xfId="3" applyFont="1" applyBorder="1"/>
    <xf numFmtId="0" fontId="78" fillId="0" borderId="28" xfId="3" applyFont="1" applyBorder="1" applyAlignment="1">
      <alignment horizontal="center"/>
    </xf>
    <xf numFmtId="0" fontId="78" fillId="0" borderId="71" xfId="3" applyFont="1" applyBorder="1" applyAlignment="1">
      <alignment horizontal="center"/>
    </xf>
    <xf numFmtId="39" fontId="78" fillId="0" borderId="14" xfId="8" applyNumberFormat="1" applyFont="1" applyBorder="1" applyAlignment="1">
      <alignment horizontal="center"/>
    </xf>
    <xf numFmtId="37" fontId="78" fillId="0" borderId="28" xfId="8" applyNumberFormat="1" applyFont="1" applyBorder="1" applyAlignment="1">
      <alignment horizontal="center"/>
    </xf>
    <xf numFmtId="37" fontId="78" fillId="0" borderId="32" xfId="8" applyNumberFormat="1" applyFont="1" applyBorder="1" applyAlignment="1">
      <alignment horizontal="center"/>
    </xf>
    <xf numFmtId="37" fontId="78" fillId="0" borderId="27" xfId="8" applyNumberFormat="1" applyFont="1" applyBorder="1" applyAlignment="1">
      <alignment horizontal="center"/>
    </xf>
    <xf numFmtId="39" fontId="78" fillId="0" borderId="3" xfId="8" applyNumberFormat="1" applyFont="1" applyBorder="1" applyAlignment="1">
      <alignment horizontal="center"/>
    </xf>
    <xf numFmtId="39" fontId="78" fillId="0" borderId="13" xfId="8" applyNumberFormat="1" applyFont="1" applyBorder="1" applyAlignment="1">
      <alignment horizontal="center"/>
    </xf>
    <xf numFmtId="37" fontId="78" fillId="0" borderId="3" xfId="8" applyNumberFormat="1" applyFont="1" applyBorder="1" applyAlignment="1">
      <alignment horizontal="center"/>
    </xf>
    <xf numFmtId="39" fontId="78" fillId="0" borderId="3" xfId="8" applyNumberFormat="1" applyFont="1" applyFill="1" applyBorder="1" applyAlignment="1">
      <alignment horizontal="center"/>
    </xf>
    <xf numFmtId="39" fontId="78" fillId="0" borderId="27" xfId="8" applyNumberFormat="1" applyFont="1" applyBorder="1" applyAlignment="1">
      <alignment horizontal="center"/>
    </xf>
    <xf numFmtId="195" fontId="78" fillId="0" borderId="3" xfId="15" applyNumberFormat="1" applyFont="1" applyBorder="1" applyAlignment="1">
      <alignment horizontal="center"/>
    </xf>
    <xf numFmtId="195" fontId="78" fillId="0" borderId="3" xfId="15" applyNumberFormat="1" applyFont="1" applyFill="1" applyBorder="1" applyAlignment="1">
      <alignment horizontal="center"/>
    </xf>
    <xf numFmtId="14" fontId="41" fillId="8" borderId="22" xfId="3" applyNumberFormat="1" applyFont="1" applyFill="1" applyBorder="1" applyAlignment="1">
      <alignment horizontal="center" wrapText="1"/>
    </xf>
    <xf numFmtId="168" fontId="78" fillId="0" borderId="0" xfId="3" applyNumberFormat="1" applyFont="1" applyAlignment="1">
      <alignment horizontal="center"/>
    </xf>
    <xf numFmtId="9" fontId="78" fillId="0" borderId="0" xfId="3" applyNumberFormat="1" applyFont="1" applyAlignment="1">
      <alignment horizontal="center"/>
    </xf>
    <xf numFmtId="39" fontId="78" fillId="0" borderId="6" xfId="8" quotePrefix="1" applyNumberFormat="1" applyFont="1" applyFill="1" applyBorder="1" applyAlignment="1">
      <alignment horizontal="center"/>
    </xf>
    <xf numFmtId="0" fontId="78" fillId="0" borderId="6" xfId="3" quotePrefix="1" applyFont="1" applyFill="1" applyBorder="1" applyAlignment="1">
      <alignment horizontal="center"/>
    </xf>
    <xf numFmtId="195" fontId="78" fillId="0" borderId="0" xfId="3" applyNumberFormat="1" applyFont="1" applyBorder="1"/>
    <xf numFmtId="3" fontId="78" fillId="0" borderId="0" xfId="3" applyNumberFormat="1" applyFont="1"/>
    <xf numFmtId="0" fontId="79" fillId="12" borderId="14" xfId="3" applyFont="1" applyFill="1" applyBorder="1" applyAlignment="1">
      <alignment horizontal="centerContinuous"/>
    </xf>
    <xf numFmtId="0" fontId="79" fillId="12" borderId="13" xfId="3" applyFont="1" applyFill="1" applyBorder="1" applyAlignment="1">
      <alignment horizontal="centerContinuous"/>
    </xf>
    <xf numFmtId="0" fontId="0" fillId="12" borderId="27" xfId="0" applyFill="1" applyBorder="1" applyAlignment="1">
      <alignment horizontal="centerContinuous"/>
    </xf>
    <xf numFmtId="0" fontId="78" fillId="0" borderId="0" xfId="3" applyFont="1" applyAlignment="1">
      <alignment horizontal="left" indent="1"/>
    </xf>
    <xf numFmtId="0" fontId="78" fillId="0" borderId="16" xfId="3" applyFont="1" applyBorder="1"/>
    <xf numFmtId="0" fontId="78" fillId="0" borderId="16" xfId="3" applyFont="1" applyBorder="1" applyAlignment="1">
      <alignment horizontal="center"/>
    </xf>
    <xf numFmtId="199" fontId="78" fillId="0" borderId="16" xfId="9" applyNumberFormat="1" applyFont="1" applyBorder="1" applyAlignment="1">
      <alignment horizontal="center"/>
    </xf>
    <xf numFmtId="0" fontId="78" fillId="0" borderId="4" xfId="3" applyFont="1" applyBorder="1" applyAlignment="1">
      <alignment horizontal="left" indent="1"/>
    </xf>
    <xf numFmtId="168" fontId="78" fillId="0" borderId="0" xfId="15" applyNumberFormat="1" applyFont="1" applyBorder="1"/>
    <xf numFmtId="44" fontId="78" fillId="0" borderId="0" xfId="9" applyFont="1" applyBorder="1" applyAlignment="1">
      <alignment horizontal="center"/>
    </xf>
    <xf numFmtId="0" fontId="78" fillId="0" borderId="10" xfId="3" applyFont="1" applyBorder="1" applyAlignment="1">
      <alignment horizontal="left" indent="1"/>
    </xf>
    <xf numFmtId="7" fontId="78" fillId="0" borderId="16" xfId="9" applyNumberFormat="1" applyFont="1" applyBorder="1" applyAlignment="1">
      <alignment horizontal="center"/>
    </xf>
    <xf numFmtId="0" fontId="78" fillId="0" borderId="16" xfId="3" quotePrefix="1" applyFont="1" applyFill="1" applyBorder="1" applyAlignment="1">
      <alignment horizontal="center"/>
    </xf>
    <xf numFmtId="195" fontId="78" fillId="0" borderId="16" xfId="15" applyNumberFormat="1" applyFont="1" applyBorder="1" applyAlignment="1">
      <alignment horizontal="center"/>
    </xf>
    <xf numFmtId="0" fontId="78" fillId="8" borderId="16" xfId="3" applyFont="1" applyFill="1" applyBorder="1"/>
    <xf numFmtId="0" fontId="78" fillId="8" borderId="52" xfId="3" applyFont="1" applyFill="1" applyBorder="1"/>
    <xf numFmtId="0" fontId="41" fillId="8" borderId="36" xfId="3" applyFont="1" applyFill="1" applyBorder="1"/>
    <xf numFmtId="44" fontId="78" fillId="0" borderId="3" xfId="9" applyFont="1" applyBorder="1" applyAlignment="1">
      <alignment horizontal="center"/>
    </xf>
    <xf numFmtId="195" fontId="78" fillId="0" borderId="0" xfId="3" applyNumberFormat="1" applyFont="1" applyAlignment="1">
      <alignment horizontal="center"/>
    </xf>
    <xf numFmtId="10" fontId="78" fillId="0" borderId="0" xfId="3" applyNumberFormat="1" applyFont="1" applyAlignment="1">
      <alignment horizontal="center"/>
    </xf>
    <xf numFmtId="2" fontId="78" fillId="0" borderId="0" xfId="3" applyNumberFormat="1" applyFont="1" applyAlignment="1">
      <alignment horizontal="center"/>
    </xf>
    <xf numFmtId="2" fontId="78" fillId="0" borderId="6" xfId="3" applyNumberFormat="1" applyFont="1" applyBorder="1" applyAlignment="1">
      <alignment horizontal="center"/>
    </xf>
    <xf numFmtId="2" fontId="78" fillId="0" borderId="15" xfId="3" applyNumberFormat="1" applyFont="1" applyBorder="1" applyAlignment="1">
      <alignment horizontal="center"/>
    </xf>
    <xf numFmtId="167" fontId="78" fillId="0" borderId="6" xfId="3" applyNumberFormat="1" applyFont="1" applyBorder="1" applyAlignment="1">
      <alignment horizontal="center"/>
    </xf>
    <xf numFmtId="167" fontId="78" fillId="0" borderId="15" xfId="3" applyNumberFormat="1" applyFont="1" applyBorder="1" applyAlignment="1">
      <alignment horizontal="center"/>
    </xf>
    <xf numFmtId="0" fontId="78" fillId="0" borderId="6" xfId="3" quotePrefix="1" applyFont="1" applyBorder="1" applyAlignment="1">
      <alignment horizontal="center"/>
    </xf>
    <xf numFmtId="0" fontId="78" fillId="0" borderId="15" xfId="3" quotePrefix="1" applyFont="1" applyBorder="1" applyAlignment="1">
      <alignment horizontal="center"/>
    </xf>
    <xf numFmtId="167" fontId="78" fillId="0" borderId="3" xfId="3" applyNumberFormat="1" applyFont="1" applyBorder="1" applyAlignment="1">
      <alignment horizontal="center"/>
    </xf>
    <xf numFmtId="0" fontId="78" fillId="0" borderId="0" xfId="3" applyFont="1" applyBorder="1" applyAlignment="1">
      <alignment horizontal="left" indent="1"/>
    </xf>
    <xf numFmtId="0" fontId="78" fillId="0" borderId="0" xfId="3" quotePrefix="1" applyFont="1" applyBorder="1" applyAlignment="1">
      <alignment horizontal="center"/>
    </xf>
    <xf numFmtId="2" fontId="78" fillId="0" borderId="0" xfId="3" applyNumberFormat="1" applyFont="1" applyBorder="1" applyAlignment="1">
      <alignment horizontal="center"/>
    </xf>
    <xf numFmtId="167" fontId="78" fillId="0" borderId="0" xfId="3" applyNumberFormat="1" applyFont="1" applyBorder="1" applyAlignment="1">
      <alignment horizontal="center"/>
    </xf>
    <xf numFmtId="168" fontId="7" fillId="0" borderId="3" xfId="8" quotePrefix="1" applyNumberFormat="1" applyFont="1" applyBorder="1" applyAlignment="1">
      <alignment horizontal="center"/>
    </xf>
    <xf numFmtId="39" fontId="7" fillId="0" borderId="0" xfId="1" applyNumberFormat="1" applyFont="1" applyBorder="1"/>
    <xf numFmtId="168" fontId="43" fillId="0" borderId="0" xfId="1" applyNumberFormat="1" applyFont="1" applyFill="1" applyBorder="1"/>
    <xf numFmtId="168" fontId="7" fillId="2" borderId="5" xfId="1" applyNumberFormat="1" applyFont="1" applyFill="1" applyBorder="1"/>
    <xf numFmtId="195" fontId="78" fillId="0" borderId="0" xfId="3" applyNumberFormat="1" applyFont="1"/>
    <xf numFmtId="168" fontId="7" fillId="0" borderId="16" xfId="8" applyNumberFormat="1" applyFont="1" applyFill="1" applyBorder="1"/>
    <xf numFmtId="168" fontId="7" fillId="0" borderId="64" xfId="15" applyNumberFormat="1" applyFont="1" applyFill="1" applyBorder="1"/>
    <xf numFmtId="166" fontId="10" fillId="0" borderId="3" xfId="1" applyNumberFormat="1" applyFont="1" applyBorder="1"/>
    <xf numFmtId="166" fontId="10" fillId="0" borderId="6" xfId="1" applyNumberFormat="1" applyFont="1" applyBorder="1"/>
    <xf numFmtId="165" fontId="10" fillId="0" borderId="6" xfId="1" applyNumberFormat="1" applyFont="1" applyBorder="1"/>
    <xf numFmtId="165" fontId="10" fillId="0" borderId="7" xfId="1" applyNumberFormat="1" applyFont="1" applyBorder="1"/>
    <xf numFmtId="170" fontId="89" fillId="0" borderId="11" xfId="1" applyNumberFormat="1" applyFont="1" applyBorder="1"/>
    <xf numFmtId="43" fontId="90" fillId="0" borderId="0" xfId="1" applyNumberFormat="1" applyFont="1" applyBorder="1"/>
    <xf numFmtId="43" fontId="91" fillId="0" borderId="0" xfId="1" applyNumberFormat="1" applyFont="1" applyBorder="1"/>
    <xf numFmtId="173" fontId="91" fillId="0" borderId="0" xfId="1" applyNumberFormat="1" applyFont="1" applyFill="1" applyBorder="1"/>
    <xf numFmtId="173" fontId="91" fillId="8" borderId="16" xfId="1" applyNumberFormat="1" applyFont="1" applyFill="1" applyBorder="1"/>
    <xf numFmtId="173" fontId="91" fillId="8" borderId="52" xfId="1" applyNumberFormat="1" applyFont="1" applyFill="1" applyBorder="1"/>
    <xf numFmtId="43" fontId="90" fillId="0" borderId="6" xfId="1" applyNumberFormat="1" applyFont="1" applyBorder="1"/>
    <xf numFmtId="43" fontId="90" fillId="0" borderId="3" xfId="1" applyNumberFormat="1" applyFont="1" applyBorder="1" applyAlignment="1">
      <alignment horizontal="center"/>
    </xf>
    <xf numFmtId="43" fontId="90" fillId="0" borderId="15" xfId="1" applyNumberFormat="1" applyFont="1" applyBorder="1"/>
    <xf numFmtId="43" fontId="12" fillId="0" borderId="13" xfId="1" applyNumberFormat="1" applyFont="1" applyBorder="1" applyAlignment="1">
      <alignment horizontal="center"/>
    </xf>
    <xf numFmtId="43" fontId="12" fillId="0" borderId="11" xfId="1" applyNumberFormat="1" applyFont="1" applyBorder="1"/>
    <xf numFmtId="168" fontId="89" fillId="0" borderId="0" xfId="15" applyNumberFormat="1" applyFont="1" applyFill="1" applyBorder="1"/>
    <xf numFmtId="43" fontId="11" fillId="0" borderId="11" xfId="1" applyNumberFormat="1" applyFont="1" applyFill="1" applyBorder="1"/>
    <xf numFmtId="43" fontId="11" fillId="0" borderId="15" xfId="1" applyNumberFormat="1" applyFont="1" applyFill="1" applyBorder="1"/>
    <xf numFmtId="0" fontId="0" fillId="12" borderId="13" xfId="0" applyFill="1" applyBorder="1" applyAlignment="1"/>
    <xf numFmtId="8" fontId="78" fillId="0" borderId="0" xfId="3" applyNumberFormat="1" applyFont="1" applyBorder="1" applyAlignment="1">
      <alignment horizontal="center"/>
    </xf>
    <xf numFmtId="1" fontId="7" fillId="0" borderId="0" xfId="15" applyNumberFormat="1" applyFont="1" applyFill="1" applyBorder="1"/>
    <xf numFmtId="167" fontId="78" fillId="0" borderId="0" xfId="3" applyNumberFormat="1" applyFont="1"/>
    <xf numFmtId="168" fontId="7" fillId="0" borderId="15" xfId="1" applyNumberFormat="1" applyFont="1" applyBorder="1"/>
    <xf numFmtId="0" fontId="41" fillId="13" borderId="72" xfId="3" applyFont="1" applyFill="1" applyBorder="1"/>
    <xf numFmtId="0" fontId="41" fillId="13" borderId="73" xfId="3" applyFont="1" applyFill="1" applyBorder="1" applyAlignment="1">
      <alignment horizontal="center"/>
    </xf>
    <xf numFmtId="0" fontId="41" fillId="13" borderId="74" xfId="3" applyFont="1" applyFill="1" applyBorder="1" applyAlignment="1">
      <alignment horizontal="center"/>
    </xf>
    <xf numFmtId="0" fontId="41" fillId="13" borderId="72" xfId="3" applyFont="1" applyFill="1" applyBorder="1" applyAlignment="1">
      <alignment horizontal="centerContinuous"/>
    </xf>
    <xf numFmtId="0" fontId="41" fillId="13" borderId="73" xfId="3" applyFont="1" applyFill="1" applyBorder="1" applyAlignment="1">
      <alignment horizontal="centerContinuous"/>
    </xf>
    <xf numFmtId="7" fontId="41" fillId="0" borderId="17" xfId="9" quotePrefix="1" applyNumberFormat="1" applyFont="1" applyFill="1" applyBorder="1" applyAlignment="1">
      <alignment horizontal="center"/>
    </xf>
    <xf numFmtId="0" fontId="0" fillId="12" borderId="13" xfId="0" applyFill="1" applyBorder="1" applyAlignment="1"/>
    <xf numFmtId="10" fontId="43" fillId="0" borderId="0" xfId="1" applyNumberFormat="1" applyFont="1" applyFill="1" applyBorder="1"/>
    <xf numFmtId="170" fontId="10" fillId="0" borderId="23" xfId="1" applyNumberFormat="1" applyFont="1" applyFill="1" applyBorder="1" applyAlignment="1"/>
    <xf numFmtId="0" fontId="0" fillId="12" borderId="13" xfId="0" applyFill="1" applyBorder="1" applyAlignment="1"/>
    <xf numFmtId="0" fontId="78" fillId="0" borderId="0" xfId="3" applyFont="1" applyAlignment="1">
      <alignment horizontal="left"/>
    </xf>
    <xf numFmtId="0" fontId="78" fillId="13" borderId="73" xfId="3" applyFont="1" applyFill="1" applyBorder="1"/>
    <xf numFmtId="0" fontId="78" fillId="13" borderId="74" xfId="3" applyFont="1" applyFill="1" applyBorder="1"/>
    <xf numFmtId="168" fontId="78" fillId="13" borderId="73" xfId="3" applyNumberFormat="1" applyFont="1" applyFill="1" applyBorder="1" applyAlignment="1">
      <alignment horizontal="center"/>
    </xf>
    <xf numFmtId="197" fontId="7" fillId="0" borderId="64" xfId="15" applyNumberFormat="1" applyFont="1" applyFill="1" applyBorder="1"/>
    <xf numFmtId="168" fontId="89" fillId="0" borderId="13" xfId="15" applyNumberFormat="1" applyFont="1" applyFill="1" applyBorder="1"/>
    <xf numFmtId="14" fontId="41" fillId="8" borderId="0" xfId="3" applyNumberFormat="1" applyFont="1" applyFill="1" applyBorder="1" applyAlignment="1">
      <alignment horizontal="center"/>
    </xf>
    <xf numFmtId="7" fontId="41" fillId="0" borderId="0" xfId="9" applyNumberFormat="1" applyFont="1" applyBorder="1" applyAlignment="1">
      <alignment horizontal="center"/>
    </xf>
    <xf numFmtId="195" fontId="78" fillId="0" borderId="0" xfId="15" applyNumberFormat="1" applyFont="1" applyBorder="1" applyAlignment="1">
      <alignment horizontal="center"/>
    </xf>
    <xf numFmtId="0" fontId="79" fillId="8" borderId="0" xfId="3" applyFont="1" applyFill="1" applyBorder="1" applyAlignment="1">
      <alignment horizontal="centerContinuous"/>
    </xf>
    <xf numFmtId="44" fontId="93" fillId="0" borderId="0" xfId="9" applyNumberFormat="1" applyFont="1"/>
    <xf numFmtId="170" fontId="7" fillId="0" borderId="0" xfId="1" applyNumberFormat="1" applyFont="1"/>
    <xf numFmtId="167" fontId="7" fillId="0" borderId="6" xfId="8" applyNumberFormat="1" applyFont="1" applyFill="1" applyBorder="1"/>
    <xf numFmtId="44" fontId="7" fillId="0" borderId="46" xfId="9" applyFont="1" applyFill="1" applyBorder="1"/>
    <xf numFmtId="10" fontId="7" fillId="0" borderId="0" xfId="15" applyNumberFormat="1" applyFont="1"/>
    <xf numFmtId="0" fontId="7" fillId="0" borderId="75" xfId="1" applyFont="1" applyBorder="1" applyAlignment="1">
      <alignment wrapText="1"/>
    </xf>
    <xf numFmtId="0" fontId="7" fillId="0" borderId="23" xfId="1" applyFont="1" applyBorder="1"/>
    <xf numFmtId="165" fontId="7" fillId="0" borderId="26" xfId="1" applyNumberFormat="1" applyFont="1" applyFill="1" applyBorder="1"/>
    <xf numFmtId="165" fontId="7" fillId="0" borderId="24" xfId="1" applyNumberFormat="1" applyFont="1" applyFill="1" applyBorder="1"/>
    <xf numFmtId="165" fontId="7" fillId="0" borderId="23" xfId="1" applyNumberFormat="1" applyFont="1" applyFill="1" applyBorder="1"/>
    <xf numFmtId="165" fontId="7" fillId="0" borderId="23" xfId="1" applyNumberFormat="1" applyFont="1" applyBorder="1"/>
    <xf numFmtId="165" fontId="7" fillId="0" borderId="26" xfId="1" applyNumberFormat="1" applyFont="1" applyBorder="1"/>
    <xf numFmtId="0" fontId="7" fillId="0" borderId="76" xfId="1" applyFont="1" applyBorder="1" applyAlignment="1">
      <alignment wrapText="1"/>
    </xf>
    <xf numFmtId="0" fontId="7" fillId="0" borderId="8" xfId="1" applyFont="1" applyBorder="1"/>
    <xf numFmtId="165" fontId="7" fillId="0" borderId="35" xfId="1" applyNumberFormat="1" applyFont="1" applyFill="1" applyBorder="1"/>
    <xf numFmtId="165" fontId="7" fillId="0" borderId="8" xfId="1" applyNumberFormat="1" applyFont="1" applyBorder="1"/>
    <xf numFmtId="170" fontId="89" fillId="0" borderId="8" xfId="8" applyNumberFormat="1" applyFont="1" applyBorder="1"/>
    <xf numFmtId="170" fontId="89" fillId="0" borderId="11" xfId="8" applyNumberFormat="1" applyFont="1" applyFill="1" applyBorder="1"/>
    <xf numFmtId="170" fontId="9" fillId="0" borderId="11" xfId="8" applyNumberFormat="1" applyFont="1" applyFill="1" applyBorder="1"/>
    <xf numFmtId="170" fontId="89" fillId="0" borderId="0" xfId="8" applyNumberFormat="1" applyFont="1" applyFill="1" applyBorder="1"/>
    <xf numFmtId="9" fontId="7" fillId="0" borderId="16" xfId="15" applyFont="1" applyFill="1" applyBorder="1"/>
    <xf numFmtId="170" fontId="89" fillId="0" borderId="15" xfId="8" applyNumberFormat="1" applyFont="1" applyFill="1" applyBorder="1"/>
    <xf numFmtId="9" fontId="10" fillId="0" borderId="11" xfId="15" applyFont="1" applyFill="1" applyBorder="1"/>
    <xf numFmtId="165" fontId="10" fillId="0" borderId="5" xfId="8" applyNumberFormat="1" applyFont="1" applyBorder="1"/>
    <xf numFmtId="202" fontId="7" fillId="0" borderId="0" xfId="8" applyNumberFormat="1" applyFont="1" applyFill="1" applyBorder="1"/>
    <xf numFmtId="9" fontId="7" fillId="2" borderId="0" xfId="15" applyFont="1" applyFill="1" applyBorder="1"/>
    <xf numFmtId="168" fontId="89" fillId="0" borderId="11" xfId="15" applyNumberFormat="1" applyFont="1" applyFill="1" applyBorder="1"/>
    <xf numFmtId="0" fontId="7" fillId="0" borderId="24" xfId="1" applyFont="1" applyBorder="1" applyAlignment="1">
      <alignment horizontal="left" indent="1"/>
    </xf>
    <xf numFmtId="0" fontId="0" fillId="0" borderId="23" xfId="0" applyBorder="1"/>
    <xf numFmtId="172" fontId="7" fillId="0" borderId="26" xfId="8" applyNumberFormat="1" applyFont="1" applyFill="1" applyBorder="1"/>
    <xf numFmtId="43" fontId="7" fillId="0" borderId="35" xfId="8" applyNumberFormat="1" applyFont="1" applyBorder="1" applyAlignment="1">
      <alignment horizontal="left" indent="1"/>
    </xf>
    <xf numFmtId="172" fontId="7" fillId="0" borderId="7" xfId="8" applyNumberFormat="1" applyFont="1" applyFill="1" applyBorder="1"/>
    <xf numFmtId="172" fontId="7" fillId="0" borderId="23" xfId="1" applyNumberFormat="1" applyFont="1" applyBorder="1"/>
    <xf numFmtId="172" fontId="7" fillId="0" borderId="8" xfId="1" applyNumberFormat="1" applyFont="1" applyBorder="1"/>
    <xf numFmtId="43" fontId="7" fillId="0" borderId="0" xfId="8" quotePrefix="1" applyNumberFormat="1" applyFont="1" applyBorder="1" applyAlignment="1">
      <alignment horizontal="center"/>
    </xf>
    <xf numFmtId="201" fontId="78" fillId="0" borderId="0" xfId="3" applyNumberFormat="1" applyFont="1" applyBorder="1" applyAlignment="1">
      <alignment horizontal="center"/>
    </xf>
    <xf numFmtId="9" fontId="78" fillId="0" borderId="6" xfId="3" applyNumberFormat="1" applyFont="1" applyFill="1" applyBorder="1" applyAlignment="1">
      <alignment horizontal="center"/>
    </xf>
    <xf numFmtId="0" fontId="7" fillId="2" borderId="20" xfId="1" applyFont="1" applyFill="1" applyBorder="1"/>
    <xf numFmtId="168" fontId="10" fillId="2" borderId="20" xfId="15" applyNumberFormat="1" applyFont="1" applyFill="1" applyBorder="1"/>
    <xf numFmtId="43" fontId="0" fillId="0" borderId="0" xfId="0" applyNumberFormat="1"/>
    <xf numFmtId="167" fontId="7" fillId="0" borderId="0" xfId="1" applyNumberFormat="1" applyFont="1" applyFill="1" applyBorder="1" applyAlignment="1">
      <alignment vertical="center"/>
    </xf>
    <xf numFmtId="169" fontId="7" fillId="0" borderId="3" xfId="1" applyNumberFormat="1" applyFont="1" applyFill="1" applyBorder="1"/>
    <xf numFmtId="168" fontId="7" fillId="0" borderId="0" xfId="1" applyNumberFormat="1" applyFont="1" applyFill="1" applyBorder="1"/>
    <xf numFmtId="168" fontId="85" fillId="0" borderId="0" xfId="1" applyNumberFormat="1" applyFont="1" applyFill="1" applyBorder="1"/>
    <xf numFmtId="0" fontId="41" fillId="0" borderId="0" xfId="3" applyFont="1" applyFill="1" applyBorder="1"/>
    <xf numFmtId="168" fontId="78" fillId="0" borderId="0" xfId="3" applyNumberFormat="1" applyFont="1" applyFill="1" applyBorder="1" applyAlignment="1">
      <alignment horizontal="center"/>
    </xf>
    <xf numFmtId="4" fontId="41" fillId="0" borderId="0" xfId="3" applyNumberFormat="1" applyFont="1" applyAlignment="1">
      <alignment horizontal="center"/>
    </xf>
    <xf numFmtId="2" fontId="41" fillId="0" borderId="0" xfId="3" applyNumberFormat="1" applyFont="1" applyFill="1" applyBorder="1" applyAlignment="1">
      <alignment horizontal="center"/>
    </xf>
    <xf numFmtId="9" fontId="41" fillId="0" borderId="0" xfId="3" applyNumberFormat="1" applyFont="1" applyAlignment="1">
      <alignment horizontal="center"/>
    </xf>
    <xf numFmtId="10" fontId="10" fillId="0" borderId="0" xfId="1" applyNumberFormat="1" applyFont="1" applyBorder="1"/>
    <xf numFmtId="43" fontId="7" fillId="2" borderId="0" xfId="1" applyNumberFormat="1" applyFont="1" applyFill="1"/>
    <xf numFmtId="10" fontId="10" fillId="0" borderId="4" xfId="1" applyNumberFormat="1" applyFont="1" applyBorder="1"/>
    <xf numFmtId="10" fontId="10" fillId="0" borderId="5" xfId="1" applyNumberFormat="1" applyFont="1" applyBorder="1"/>
    <xf numFmtId="203" fontId="10" fillId="0" borderId="13" xfId="8" applyNumberFormat="1" applyFont="1" applyFill="1" applyBorder="1"/>
    <xf numFmtId="203" fontId="10" fillId="0" borderId="0" xfId="8" applyNumberFormat="1" applyFont="1" applyFill="1" applyBorder="1"/>
    <xf numFmtId="170" fontId="7" fillId="0" borderId="64" xfId="15" applyNumberFormat="1" applyFont="1" applyFill="1" applyBorder="1"/>
    <xf numFmtId="3" fontId="12" fillId="0" borderId="13" xfId="15" applyNumberFormat="1" applyFont="1" applyFill="1" applyBorder="1"/>
    <xf numFmtId="3" fontId="12" fillId="0" borderId="3" xfId="15" applyNumberFormat="1" applyFont="1" applyFill="1" applyBorder="1"/>
    <xf numFmtId="168" fontId="12" fillId="0" borderId="12" xfId="15" applyNumberFormat="1" applyFont="1" applyFill="1" applyBorder="1"/>
    <xf numFmtId="3" fontId="12" fillId="0" borderId="0" xfId="15" applyNumberFormat="1" applyFont="1" applyFill="1" applyBorder="1"/>
    <xf numFmtId="3" fontId="12" fillId="0" borderId="6" xfId="15" applyNumberFormat="1" applyFont="1" applyFill="1" applyBorder="1"/>
    <xf numFmtId="168" fontId="12" fillId="0" borderId="5" xfId="15" applyNumberFormat="1" applyFont="1" applyFill="1" applyBorder="1"/>
    <xf numFmtId="168" fontId="7" fillId="0" borderId="0" xfId="1" applyNumberFormat="1" applyFont="1" applyBorder="1"/>
    <xf numFmtId="3" fontId="12" fillId="0" borderId="0" xfId="1" applyNumberFormat="1" applyFont="1" applyBorder="1"/>
    <xf numFmtId="168" fontId="12" fillId="0" borderId="0" xfId="1" applyNumberFormat="1" applyFont="1" applyBorder="1"/>
    <xf numFmtId="165" fontId="0" fillId="0" borderId="0" xfId="0" applyNumberFormat="1"/>
    <xf numFmtId="169" fontId="10" fillId="15" borderId="0" xfId="8" applyNumberFormat="1" applyFont="1" applyFill="1" applyBorder="1"/>
    <xf numFmtId="168" fontId="10" fillId="14" borderId="0" xfId="15" applyNumberFormat="1" applyFont="1" applyFill="1" applyBorder="1"/>
    <xf numFmtId="168" fontId="86" fillId="15" borderId="0" xfId="15" applyNumberFormat="1" applyFont="1" applyFill="1" applyBorder="1"/>
    <xf numFmtId="168" fontId="86" fillId="15" borderId="13" xfId="15" applyNumberFormat="1" applyFont="1" applyFill="1" applyBorder="1"/>
    <xf numFmtId="182" fontId="7" fillId="15" borderId="0" xfId="15" applyNumberFormat="1" applyFont="1" applyFill="1" applyBorder="1"/>
    <xf numFmtId="182" fontId="7" fillId="15" borderId="0" xfId="15" applyNumberFormat="1" applyFont="1" applyFill="1" applyBorder="1" applyAlignment="1">
      <alignment horizontal="right"/>
    </xf>
    <xf numFmtId="168" fontId="10" fillId="15" borderId="0" xfId="15" applyNumberFormat="1" applyFont="1" applyFill="1" applyBorder="1"/>
    <xf numFmtId="3" fontId="7" fillId="0" borderId="11" xfId="15" applyNumberFormat="1" applyFont="1" applyFill="1" applyBorder="1"/>
    <xf numFmtId="169" fontId="7" fillId="0" borderId="0" xfId="1" applyNumberFormat="1" applyFont="1" applyBorder="1" applyAlignment="1">
      <alignment horizontal="center"/>
    </xf>
    <xf numFmtId="10" fontId="7" fillId="0" borderId="16" xfId="1" applyNumberFormat="1" applyFont="1" applyBorder="1"/>
    <xf numFmtId="10" fontId="12" fillId="0" borderId="0" xfId="1" applyNumberFormat="1" applyFont="1" applyBorder="1"/>
    <xf numFmtId="165" fontId="0" fillId="0" borderId="0" xfId="0" applyNumberFormat="1" applyFill="1"/>
    <xf numFmtId="3" fontId="7" fillId="0" borderId="0" xfId="8" applyNumberFormat="1" applyFont="1" applyFill="1" applyBorder="1"/>
    <xf numFmtId="37" fontId="7" fillId="0" borderId="0" xfId="8" applyNumberFormat="1" applyFont="1" applyFill="1" applyBorder="1"/>
    <xf numFmtId="188" fontId="10" fillId="2" borderId="0" xfId="15" applyNumberFormat="1" applyFont="1" applyFill="1" applyBorder="1"/>
    <xf numFmtId="197" fontId="7" fillId="0" borderId="11" xfId="15" applyNumberFormat="1" applyFont="1" applyFill="1" applyBorder="1"/>
    <xf numFmtId="167" fontId="7" fillId="0" borderId="0" xfId="8" applyNumberFormat="1" applyFont="1" applyFill="1" applyBorder="1"/>
    <xf numFmtId="0" fontId="41" fillId="13" borderId="72" xfId="3" applyFont="1" applyFill="1" applyBorder="1" applyAlignment="1">
      <alignment horizontal="center"/>
    </xf>
    <xf numFmtId="14" fontId="3" fillId="12" borderId="27" xfId="0" applyNumberFormat="1" applyFont="1" applyFill="1" applyBorder="1" applyAlignment="1">
      <alignment horizontal="centerContinuous"/>
    </xf>
    <xf numFmtId="0" fontId="3" fillId="12" borderId="27" xfId="0" applyFont="1" applyFill="1" applyBorder="1" applyAlignment="1">
      <alignment horizontal="centerContinuous"/>
    </xf>
    <xf numFmtId="37" fontId="78" fillId="0" borderId="6" xfId="8" applyNumberFormat="1" applyFont="1" applyFill="1" applyBorder="1" applyAlignment="1">
      <alignment horizontal="center"/>
    </xf>
    <xf numFmtId="37" fontId="78" fillId="0" borderId="13" xfId="8" applyNumberFormat="1" applyFont="1" applyFill="1" applyBorder="1" applyAlignment="1">
      <alignment horizontal="center"/>
    </xf>
    <xf numFmtId="37" fontId="78" fillId="0" borderId="13" xfId="8" quotePrefix="1" applyNumberFormat="1" applyFont="1" applyFill="1" applyBorder="1" applyAlignment="1">
      <alignment horizontal="center"/>
    </xf>
    <xf numFmtId="37" fontId="78" fillId="0" borderId="13" xfId="8" applyNumberFormat="1" applyFont="1" applyBorder="1" applyAlignment="1">
      <alignment horizontal="center"/>
    </xf>
    <xf numFmtId="167" fontId="78" fillId="0" borderId="0" xfId="15" applyNumberFormat="1" applyFont="1" applyBorder="1" applyAlignment="1">
      <alignment horizontal="center"/>
    </xf>
    <xf numFmtId="200" fontId="78" fillId="0" borderId="0" xfId="3" applyNumberFormat="1" applyFont="1" applyBorder="1" applyAlignment="1">
      <alignment horizontal="center"/>
    </xf>
    <xf numFmtId="168" fontId="78" fillId="0" borderId="0" xfId="15" applyNumberFormat="1" applyFont="1" applyBorder="1" applyAlignment="1">
      <alignment horizontal="center"/>
    </xf>
    <xf numFmtId="4" fontId="7" fillId="0" borderId="0" xfId="8" applyNumberFormat="1" applyFont="1" applyFill="1" applyBorder="1"/>
    <xf numFmtId="4" fontId="78" fillId="0" borderId="0" xfId="3" applyNumberFormat="1" applyFont="1"/>
    <xf numFmtId="165" fontId="10" fillId="0" borderId="5" xfId="1" applyNumberFormat="1" applyFont="1" applyBorder="1"/>
    <xf numFmtId="170" fontId="85" fillId="0" borderId="0" xfId="1" applyNumberFormat="1" applyFont="1" applyBorder="1"/>
    <xf numFmtId="168" fontId="7" fillId="0" borderId="11" xfId="8" applyNumberFormat="1" applyFont="1" applyFill="1" applyBorder="1"/>
    <xf numFmtId="168" fontId="7" fillId="0" borderId="16" xfId="1" applyNumberFormat="1" applyFont="1" applyBorder="1"/>
    <xf numFmtId="0" fontId="4" fillId="16" borderId="0" xfId="25" applyFont="1" applyFill="1" applyAlignment="1">
      <alignment vertical="top"/>
    </xf>
    <xf numFmtId="0" fontId="4" fillId="16" borderId="0" xfId="12" applyFill="1" applyAlignment="1">
      <alignment vertical="top"/>
    </xf>
    <xf numFmtId="0" fontId="4" fillId="16" borderId="0" xfId="12" applyFill="1"/>
    <xf numFmtId="0" fontId="77" fillId="16" borderId="0" xfId="25" applyFont="1" applyFill="1" applyAlignment="1">
      <alignment horizontal="left" vertical="top"/>
    </xf>
    <xf numFmtId="0" fontId="4" fillId="16" borderId="0" xfId="12" applyFont="1" applyFill="1" applyAlignment="1">
      <alignment vertical="top"/>
    </xf>
    <xf numFmtId="0" fontId="92" fillId="16" borderId="0" xfId="25" applyFont="1" applyFill="1" applyAlignment="1">
      <alignment vertical="top"/>
    </xf>
    <xf numFmtId="0" fontId="0" fillId="16" borderId="0" xfId="0" applyFill="1" applyAlignment="1">
      <alignment vertical="top"/>
    </xf>
    <xf numFmtId="0" fontId="96" fillId="16" borderId="0" xfId="0" applyFont="1" applyFill="1" applyAlignment="1">
      <alignment vertical="top"/>
    </xf>
    <xf numFmtId="0" fontId="97" fillId="16" borderId="0" xfId="0" applyFont="1" applyFill="1" applyAlignment="1">
      <alignment vertical="top"/>
    </xf>
    <xf numFmtId="0" fontId="96" fillId="16" borderId="77" xfId="0" applyFont="1" applyFill="1" applyBorder="1" applyAlignment="1">
      <alignment vertical="top"/>
    </xf>
    <xf numFmtId="9" fontId="96" fillId="16" borderId="77" xfId="0" applyNumberFormat="1" applyFont="1" applyFill="1" applyBorder="1" applyAlignment="1">
      <alignment vertical="top"/>
    </xf>
    <xf numFmtId="3" fontId="96" fillId="16" borderId="77" xfId="0" applyNumberFormat="1" applyFont="1" applyFill="1" applyBorder="1" applyAlignment="1">
      <alignment vertical="top"/>
    </xf>
    <xf numFmtId="2" fontId="4" fillId="0" borderId="0" xfId="12" applyNumberFormat="1" applyAlignment="1">
      <alignment horizontal="left"/>
    </xf>
    <xf numFmtId="0" fontId="4" fillId="0" borderId="0" xfId="12" applyNumberFormat="1" applyAlignment="1">
      <alignment horizontal="left"/>
    </xf>
    <xf numFmtId="1" fontId="4" fillId="0" borderId="0" xfId="12" applyNumberFormat="1" applyAlignment="1">
      <alignment horizontal="left"/>
    </xf>
    <xf numFmtId="0" fontId="4" fillId="0" borderId="0" xfId="12" applyFont="1"/>
    <xf numFmtId="204" fontId="4" fillId="0" borderId="0" xfId="12" applyNumberFormat="1" applyAlignment="1">
      <alignment horizontal="left"/>
    </xf>
    <xf numFmtId="49" fontId="4" fillId="0" borderId="0" xfId="12" applyNumberFormat="1"/>
    <xf numFmtId="0" fontId="98" fillId="0" borderId="0" xfId="12" applyFont="1" applyAlignment="1">
      <alignment wrapText="1"/>
    </xf>
    <xf numFmtId="0" fontId="98" fillId="0" borderId="0" xfId="12" applyFont="1" applyAlignment="1">
      <alignment horizontal="left" wrapText="1" indent="3"/>
    </xf>
    <xf numFmtId="0" fontId="98" fillId="0" borderId="0" xfId="12" applyFont="1" applyAlignment="1">
      <alignment horizontal="left" wrapText="1" indent="1"/>
    </xf>
    <xf numFmtId="0" fontId="100" fillId="0" borderId="0" xfId="12" applyFont="1" applyAlignment="1">
      <alignment wrapText="1"/>
    </xf>
    <xf numFmtId="49" fontId="0" fillId="0" borderId="0" xfId="0" applyNumberFormat="1"/>
    <xf numFmtId="0" fontId="0" fillId="16" borderId="82" xfId="0" applyFill="1" applyBorder="1" applyAlignment="1">
      <alignment vertical="top"/>
    </xf>
    <xf numFmtId="0" fontId="96" fillId="16" borderId="0" xfId="0" applyFont="1" applyFill="1" applyAlignment="1">
      <alignment vertical="top"/>
    </xf>
    <xf numFmtId="0" fontId="96" fillId="16" borderId="78" xfId="0" applyFont="1" applyFill="1" applyBorder="1" applyAlignment="1">
      <alignment vertical="top"/>
    </xf>
    <xf numFmtId="0" fontId="96" fillId="16" borderId="79" xfId="0" applyFont="1" applyFill="1" applyBorder="1" applyAlignment="1">
      <alignment vertical="top"/>
    </xf>
    <xf numFmtId="0" fontId="96" fillId="16" borderId="80" xfId="0" applyFont="1" applyFill="1" applyBorder="1" applyAlignment="1">
      <alignment vertical="top"/>
    </xf>
    <xf numFmtId="0" fontId="97" fillId="16" borderId="0" xfId="0" applyFont="1" applyFill="1" applyAlignment="1">
      <alignment vertical="top"/>
    </xf>
    <xf numFmtId="0" fontId="0" fillId="16" borderId="0" xfId="0" applyFill="1" applyAlignment="1">
      <alignment vertical="top"/>
    </xf>
    <xf numFmtId="0" fontId="0" fillId="16" borderId="81" xfId="0" applyFill="1" applyBorder="1" applyAlignment="1">
      <alignment vertical="top"/>
    </xf>
    <xf numFmtId="194" fontId="7" fillId="0" borderId="13" xfId="8" applyNumberFormat="1" applyFont="1" applyFill="1" applyBorder="1" applyAlignment="1"/>
    <xf numFmtId="194" fontId="0" fillId="0" borderId="13" xfId="1" applyNumberFormat="1" applyFont="1" applyBorder="1" applyAlignment="1"/>
    <xf numFmtId="0" fontId="9" fillId="8" borderId="13" xfId="1" quotePrefix="1" applyFont="1" applyFill="1" applyBorder="1" applyAlignment="1">
      <alignment horizontal="center"/>
    </xf>
    <xf numFmtId="0" fontId="9" fillId="2" borderId="4" xfId="1" applyFont="1" applyFill="1" applyBorder="1" applyAlignment="1">
      <alignment horizontal="center" wrapText="1"/>
    </xf>
    <xf numFmtId="0" fontId="0" fillId="2" borderId="0" xfId="1" applyFont="1" applyFill="1" applyBorder="1" applyAlignment="1">
      <alignment wrapText="1"/>
    </xf>
    <xf numFmtId="189" fontId="54" fillId="3" borderId="0" xfId="8" applyNumberFormat="1" applyFont="1" applyFill="1" applyBorder="1" applyAlignment="1">
      <alignment horizontal="left" wrapText="1"/>
    </xf>
    <xf numFmtId="0" fontId="0" fillId="0" borderId="0" xfId="1" applyFont="1" applyAlignment="1">
      <alignment horizontal="left" wrapText="1"/>
    </xf>
    <xf numFmtId="0" fontId="9" fillId="2" borderId="4" xfId="1" applyFont="1" applyFill="1" applyBorder="1" applyAlignment="1">
      <alignment horizontal="left" wrapText="1"/>
    </xf>
    <xf numFmtId="0" fontId="0" fillId="2" borderId="0" xfId="1" applyFont="1" applyFill="1" applyAlignment="1">
      <alignment horizontal="left" wrapText="1"/>
    </xf>
    <xf numFmtId="0" fontId="79" fillId="8" borderId="14" xfId="3" applyFont="1" applyFill="1" applyBorder="1" applyAlignment="1">
      <alignment horizontal="center"/>
    </xf>
    <xf numFmtId="0" fontId="0" fillId="0" borderId="13" xfId="0" applyBorder="1" applyAlignment="1"/>
    <xf numFmtId="0" fontId="0" fillId="0" borderId="27" xfId="0" applyBorder="1" applyAlignment="1"/>
    <xf numFmtId="0" fontId="79" fillId="12" borderId="14" xfId="3" applyFont="1" applyFill="1" applyBorder="1" applyAlignment="1">
      <alignment horizontal="center"/>
    </xf>
    <xf numFmtId="0" fontId="0" fillId="12" borderId="13" xfId="0" applyFill="1" applyBorder="1" applyAlignment="1"/>
    <xf numFmtId="0" fontId="92" fillId="16" borderId="0" xfId="25" applyFont="1" applyFill="1" applyAlignment="1">
      <alignment vertical="top" wrapText="1"/>
    </xf>
  </cellXfs>
  <cellStyles count="26">
    <cellStyle name="******************************************" xfId="1"/>
    <cellStyle name="******************************************_ESRX_4Q13_earnings" xfId="3"/>
    <cellStyle name="_SUMMARY " xfId="4"/>
    <cellStyle name="0_Capex &amp; Depreciation " xfId="5"/>
    <cellStyle name="0_Quarterly " xfId="23"/>
    <cellStyle name="0_Valuing BP " xfId="6"/>
    <cellStyle name="c_HardInc " xfId="7"/>
    <cellStyle name="Comma" xfId="8" builtinId="3"/>
    <cellStyle name="Comma 2 2" xfId="22"/>
    <cellStyle name="Currency" xfId="9" builtinId="4"/>
    <cellStyle name="Currency 3" xfId="21"/>
    <cellStyle name="Hyperlink" xfId="10" builtinId="8"/>
    <cellStyle name="Normal" xfId="0" builtinId="0" customBuiltin="1"/>
    <cellStyle name="Normal 4" xfId="11"/>
    <cellStyle name="Normal 4 2" xfId="20"/>
    <cellStyle name="Normal 4 3" xfId="24"/>
    <cellStyle name="Normal 5" xfId="12"/>
    <cellStyle name="Normal_AGNwk-old" xfId="13"/>
    <cellStyle name="Normal_DisclaimerSheet Samples" xfId="25"/>
    <cellStyle name="p " xfId="14"/>
    <cellStyle name="Percent" xfId="15" builtinId="5"/>
    <cellStyle name="RRSInstruction" xfId="2"/>
    <cellStyle name="RRSInstruction 2" xfId="16"/>
    <cellStyle name="s_HardInc " xfId="17"/>
    <cellStyle name="s_Valuation " xfId="18"/>
    <cellStyle name="ssp " xfId="19"/>
  </cellStyles>
  <dxfs count="14">
    <dxf>
      <font>
        <condense val="0"/>
        <extend val="0"/>
        <color indexed="10"/>
      </font>
      <fill>
        <patternFill>
          <bgColor indexed="42"/>
        </patternFill>
      </fill>
    </dxf>
    <dxf>
      <font>
        <condense val="0"/>
        <extend val="0"/>
        <color indexed="10"/>
      </font>
      <fill>
        <patternFill>
          <bgColor indexed="42"/>
        </patternFill>
      </fill>
    </dxf>
    <dxf>
      <font>
        <condense val="0"/>
        <extend val="0"/>
        <color indexed="10"/>
      </font>
      <fill>
        <patternFill>
          <bgColor indexed="42"/>
        </patternFill>
      </fill>
    </dxf>
    <dxf>
      <font>
        <condense val="0"/>
        <extend val="0"/>
        <color indexed="10"/>
      </font>
      <fill>
        <patternFill>
          <bgColor indexed="42"/>
        </patternFill>
      </fill>
    </dxf>
    <dxf>
      <font>
        <condense val="0"/>
        <extend val="0"/>
        <color indexed="10"/>
      </font>
      <fill>
        <patternFill>
          <bgColor indexed="42"/>
        </patternFill>
      </fill>
    </dxf>
    <dxf>
      <font>
        <condense val="0"/>
        <extend val="0"/>
        <color indexed="10"/>
      </font>
      <fill>
        <patternFill>
          <bgColor indexed="42"/>
        </patternFill>
      </fill>
    </dxf>
    <dxf>
      <font>
        <condense val="0"/>
        <extend val="0"/>
        <color indexed="10"/>
      </font>
      <fill>
        <patternFill>
          <bgColor indexed="42"/>
        </patternFill>
      </fill>
    </dxf>
    <dxf>
      <font>
        <condense val="0"/>
        <extend val="0"/>
        <color indexed="10"/>
      </font>
      <fill>
        <patternFill>
          <bgColor indexed="42"/>
        </patternFill>
      </fill>
    </dxf>
    <dxf>
      <font>
        <condense val="0"/>
        <extend val="0"/>
        <color indexed="10"/>
      </font>
      <fill>
        <patternFill>
          <bgColor indexed="42"/>
        </patternFill>
      </fill>
    </dxf>
    <dxf>
      <font>
        <condense val="0"/>
        <extend val="0"/>
        <color indexed="10"/>
      </font>
      <fill>
        <patternFill>
          <bgColor indexed="42"/>
        </patternFill>
      </fill>
    </dxf>
    <dxf>
      <font>
        <condense val="0"/>
        <extend val="0"/>
        <color indexed="10"/>
      </font>
      <fill>
        <patternFill>
          <bgColor indexed="42"/>
        </patternFill>
      </fill>
    </dxf>
    <dxf>
      <font>
        <condense val="0"/>
        <extend val="0"/>
        <color indexed="10"/>
      </font>
      <fill>
        <patternFill>
          <bgColor indexed="42"/>
        </patternFill>
      </fill>
    </dxf>
    <dxf>
      <font>
        <condense val="0"/>
        <extend val="0"/>
        <color indexed="10"/>
      </font>
      <fill>
        <patternFill>
          <bgColor indexed="42"/>
        </patternFill>
      </fill>
    </dxf>
    <dxf>
      <font>
        <condense val="0"/>
        <extend val="0"/>
        <color indexed="10"/>
      </font>
      <fill>
        <patternFill>
          <bgColor indexed="42"/>
        </patternFill>
      </fill>
    </dxf>
  </dxfs>
  <tableStyles count="0" defaultTableStyle="TableStyleMedium2" defaultPivotStyle="PivotStyleLight16"/>
  <colors>
    <mruColors>
      <color rgb="FF0000FF"/>
      <color rgb="FF0000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worksheets/sheet12.xml" Type="http://schemas.openxmlformats.org/officeDocument/2006/relationships/worksheet"/>
<Relationship Id="rId13" Target="worksheets/sheet13.xml" Type="http://schemas.openxmlformats.org/officeDocument/2006/relationships/worksheet"/>
<Relationship Id="rId14" Target="worksheets/sheet14.xml" Type="http://schemas.openxmlformats.org/officeDocument/2006/relationships/worksheet"/>
<Relationship Id="rId15" Target="worksheets/sheet15.xml" Type="http://schemas.openxmlformats.org/officeDocument/2006/relationships/worksheet"/>
<Relationship Id="rId16" Target="worksheets/sheet16.xml" Type="http://schemas.openxmlformats.org/officeDocument/2006/relationships/worksheet"/>
<Relationship Id="rId17" Target="worksheets/sheet17.xml" Type="http://schemas.openxmlformats.org/officeDocument/2006/relationships/worksheet"/>
<Relationship Id="rId18" Target="worksheets/sheet18.xml" Type="http://schemas.openxmlformats.org/officeDocument/2006/relationships/worksheet"/>
<Relationship Id="rId19" Target="externalLinks/externalLink1.xml" Type="http://schemas.openxmlformats.org/officeDocument/2006/relationships/externalLink"/>
<Relationship Id="rId2" Target="worksheets/sheet2.xml" Type="http://schemas.openxmlformats.org/officeDocument/2006/relationships/worksheet"/>
<Relationship Id="rId20" Target="externalLinks/externalLink2.xml" Type="http://schemas.openxmlformats.org/officeDocument/2006/relationships/externalLink"/>
<Relationship Id="rId21" Target="externalLinks/externalLink3.xml" Type="http://schemas.openxmlformats.org/officeDocument/2006/relationships/externalLink"/>
<Relationship Id="rId22" Target="externalLinks/externalLink4.xml" Type="http://schemas.openxmlformats.org/officeDocument/2006/relationships/externalLink"/>
<Relationship Id="rId23" Target="externalLinks/externalLink5.xml" Type="http://schemas.openxmlformats.org/officeDocument/2006/relationships/externalLink"/>
<Relationship Id="rId24" Target="theme/theme1.xml" Type="http://schemas.openxmlformats.org/officeDocument/2006/relationships/theme"/>
<Relationship Id="rId25" Target="styles.xml" Type="http://schemas.openxmlformats.org/officeDocument/2006/relationships/styles"/>
<Relationship Id="rId26" Target="sharedStrings.xml" Type="http://schemas.openxmlformats.org/officeDocument/2006/relationships/sharedStrings"/>
<Relationship Id="rId27" Target="calcChain.xml" Type="http://schemas.openxmlformats.org/officeDocument/2006/relationships/calcChain"/>
<Relationship Id="rId28" Target="../customXml/item1.xml" Type="http://schemas.openxmlformats.org/officeDocument/2006/relationships/customXml"/>
<Relationship Id="rId29" Target="../customXml/item2.xml" Type="http://schemas.openxmlformats.org/officeDocument/2006/relationships/customXml"/>
<Relationship Id="rId3" Target="worksheets/sheet3.xml" Type="http://schemas.openxmlformats.org/officeDocument/2006/relationships/worksheet"/>
<Relationship Id="rId30" Target="vbaProject.bin" Type="http://schemas.microsoft.com/office/2006/relationships/vbaProject"/>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spPr>
            <a:solidFill>
              <a:srgbClr val="9999FF"/>
            </a:solidFill>
            <a:ln w="12700">
              <a:solidFill>
                <a:srgbClr val="000000"/>
              </a:solidFill>
              <a:prstDash val="solid"/>
            </a:ln>
          </c:spPr>
          <c:dPt>
            <c:idx val="0"/>
            <c:bubble3D val="0"/>
            <c:spPr>
              <a:solidFill>
                <a:srgbClr val="CCFFCC"/>
              </a:solidFill>
              <a:ln w="12700">
                <a:solidFill>
                  <a:srgbClr val="000000"/>
                </a:solidFill>
                <a:prstDash val="solid"/>
              </a:ln>
            </c:spPr>
          </c:dPt>
          <c:dPt>
            <c:idx val="1"/>
            <c:bubble3D val="0"/>
            <c:spPr>
              <a:solidFill>
                <a:srgbClr val="993366"/>
              </a:solidFill>
              <a:ln w="12700">
                <a:solidFill>
                  <a:srgbClr val="000000"/>
                </a:solidFill>
                <a:prstDash val="solid"/>
              </a:ln>
            </c:spPr>
          </c:dPt>
          <c:dPt>
            <c:idx val="2"/>
            <c:bubble3D val="0"/>
            <c:spPr>
              <a:solidFill>
                <a:srgbClr val="FFFFCC"/>
              </a:solidFill>
              <a:ln w="12700">
                <a:solidFill>
                  <a:srgbClr val="000000"/>
                </a:solidFill>
                <a:prstDash val="solid"/>
              </a:ln>
            </c:spPr>
          </c:dPt>
          <c:dPt>
            <c:idx val="3"/>
            <c:bubble3D val="0"/>
            <c:spPr>
              <a:solidFill>
                <a:srgbClr val="CCFFFF"/>
              </a:solidFill>
              <a:ln w="12700">
                <a:solidFill>
                  <a:srgbClr val="000000"/>
                </a:solidFill>
                <a:prstDash val="solid"/>
              </a:ln>
            </c:spPr>
          </c:dPt>
          <c:dPt>
            <c:idx val="4"/>
            <c:bubble3D val="0"/>
            <c:spPr>
              <a:solidFill>
                <a:srgbClr val="660066"/>
              </a:solidFill>
              <a:ln w="12700">
                <a:solidFill>
                  <a:srgbClr val="000000"/>
                </a:solidFill>
                <a:prstDash val="solid"/>
              </a:ln>
            </c:spPr>
          </c:dPt>
          <c:dPt>
            <c:idx val="5"/>
            <c:bubble3D val="0"/>
            <c:spPr>
              <a:solidFill>
                <a:srgbClr val="FF8080"/>
              </a:solidFill>
              <a:ln w="12700">
                <a:solidFill>
                  <a:srgbClr val="000000"/>
                </a:solidFill>
                <a:prstDash val="solid"/>
              </a:ln>
            </c:spPr>
          </c:dPt>
          <c:dPt>
            <c:idx val="6"/>
            <c:bubble3D val="0"/>
            <c:spPr>
              <a:solidFill>
                <a:srgbClr val="FF0000"/>
              </a:solidFill>
              <a:ln w="12700">
                <a:solidFill>
                  <a:srgbClr val="000000"/>
                </a:solidFill>
                <a:prstDash val="solid"/>
              </a:ln>
            </c:spPr>
          </c:dPt>
          <c:dPt>
            <c:idx val="7"/>
            <c:bubble3D val="0"/>
            <c:spPr>
              <a:solidFill>
                <a:srgbClr val="CCCCFF"/>
              </a:solidFill>
              <a:ln w="12700">
                <a:solidFill>
                  <a:srgbClr val="000000"/>
                </a:solidFill>
                <a:prstDash val="solid"/>
              </a:ln>
            </c:spPr>
          </c:dPt>
          <c:dPt>
            <c:idx val="8"/>
            <c:bubble3D val="0"/>
            <c:spPr>
              <a:solidFill>
                <a:srgbClr val="FFFF99"/>
              </a:solidFill>
              <a:ln w="12700">
                <a:solidFill>
                  <a:srgbClr val="000000"/>
                </a:solidFill>
                <a:prstDash val="solid"/>
              </a:ln>
            </c:spPr>
          </c:dPt>
          <c:dPt>
            <c:idx val="9"/>
            <c:bubble3D val="0"/>
            <c:spPr>
              <a:solidFill>
                <a:srgbClr val="FF00FF"/>
              </a:solidFill>
              <a:ln w="12700">
                <a:solidFill>
                  <a:srgbClr val="000000"/>
                </a:solidFill>
                <a:prstDash val="solid"/>
              </a:ln>
            </c:spPr>
          </c:dPt>
          <c:dPt>
            <c:idx val="10"/>
            <c:bubble3D val="0"/>
            <c:spPr>
              <a:solidFill>
                <a:srgbClr val="FFFF00"/>
              </a:solidFill>
              <a:ln w="12700">
                <a:solidFill>
                  <a:srgbClr val="000000"/>
                </a:solidFill>
                <a:prstDash val="solid"/>
              </a:ln>
            </c:spPr>
          </c:dPt>
          <c:dPt>
            <c:idx val="11"/>
            <c:bubble3D val="0"/>
            <c:spPr>
              <a:solidFill>
                <a:srgbClr val="00FFFF"/>
              </a:solidFill>
              <a:ln w="12700">
                <a:solidFill>
                  <a:srgbClr val="000000"/>
                </a:solidFill>
                <a:prstDash val="solid"/>
              </a:ln>
            </c:spPr>
          </c:dPt>
          <c:dLbls>
            <c:numFmt formatCode="0%" sourceLinked="0"/>
            <c:spPr>
              <a:noFill/>
              <a:ln w="25400">
                <a:noFill/>
              </a:ln>
            </c:spPr>
            <c:txPr>
              <a:bodyPr/>
              <a:lstStyle/>
              <a:p>
                <a:pPr>
                  <a:defRPr sz="150" b="0" i="0" u="none" strike="noStrike" baseline="0">
                    <a:solidFill>
                      <a:srgbClr val="000000"/>
                    </a:solidFill>
                    <a:latin typeface="Times New Roman"/>
                    <a:ea typeface="Times New Roman"/>
                    <a:cs typeface="Times New Roman"/>
                  </a:defRPr>
                </a:pPr>
                <a:endParaRPr lang="en-US"/>
              </a:p>
            </c:txPr>
            <c:showLegendKey val="0"/>
            <c:showVal val="0"/>
            <c:showCatName val="0"/>
            <c:showSerName val="0"/>
            <c:showPercent val="1"/>
            <c:showBubbleSize val="0"/>
            <c:showLeaderLines val="1"/>
          </c:dLbls>
          <c:val>
            <c:numLit>
              <c:formatCode>General</c:formatCode>
              <c:ptCount val="12"/>
              <c:pt idx="1">
                <c:v>119.26614807267535</c:v>
              </c:pt>
              <c:pt idx="2">
                <c:v>0.73385192732465099</c:v>
              </c:pt>
              <c:pt idx="3">
                <c:v>120</c:v>
              </c:pt>
              <c:pt idx="5">
                <c:v>22.212300906916489</c:v>
              </c:pt>
              <c:pt idx="6">
                <c:v>0.38769909308351252</c:v>
              </c:pt>
              <c:pt idx="8">
                <c:v>22.6</c:v>
              </c:pt>
              <c:pt idx="10">
                <c:v>66.137125950343844</c:v>
              </c:pt>
              <c:pt idx="11">
                <c:v>67.234999999999999</c:v>
              </c:pt>
            </c:numLit>
          </c:val>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rgbClr val="FFFFFF"/>
    </a:solidFill>
    <a:ln w="3175">
      <a:solidFill>
        <a:srgbClr val="000000"/>
      </a:solidFill>
      <a:prstDash val="solid"/>
    </a:ln>
  </c:spPr>
  <c:txPr>
    <a:bodyPr/>
    <a:lstStyle/>
    <a:p>
      <a:pPr>
        <a:defRPr sz="150" b="0" i="0" u="none" strike="noStrike" baseline="0">
          <a:solidFill>
            <a:srgbClr val="000000"/>
          </a:solidFill>
          <a:latin typeface="Times New Roman"/>
          <a:ea typeface="Times New Roman"/>
          <a:cs typeface="Times New Roman"/>
        </a:defRPr>
      </a:pPr>
      <a:endParaRPr lang="en-US"/>
    </a:p>
  </c:txPr>
  <c:printSettings>
    <c:headerFooter alignWithMargins="0"/>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spPr>
            <a:solidFill>
              <a:srgbClr val="9999FF"/>
            </a:solidFill>
            <a:ln w="12700">
              <a:solidFill>
                <a:srgbClr val="000000"/>
              </a:solidFill>
              <a:prstDash val="solid"/>
            </a:ln>
          </c:spPr>
          <c:dPt>
            <c:idx val="0"/>
            <c:bubble3D val="0"/>
            <c:spPr>
              <a:solidFill>
                <a:srgbClr val="CCFFCC"/>
              </a:solidFill>
              <a:ln w="12700">
                <a:solidFill>
                  <a:srgbClr val="000000"/>
                </a:solidFill>
                <a:prstDash val="solid"/>
              </a:ln>
            </c:spPr>
          </c:dPt>
          <c:dPt>
            <c:idx val="1"/>
            <c:bubble3D val="0"/>
            <c:spPr>
              <a:solidFill>
                <a:srgbClr val="993366"/>
              </a:solidFill>
              <a:ln w="12700">
                <a:solidFill>
                  <a:srgbClr val="000000"/>
                </a:solidFill>
                <a:prstDash val="solid"/>
              </a:ln>
            </c:spPr>
          </c:dPt>
          <c:dPt>
            <c:idx val="2"/>
            <c:bubble3D val="0"/>
            <c:spPr>
              <a:solidFill>
                <a:srgbClr val="FFFFCC"/>
              </a:solidFill>
              <a:ln w="12700">
                <a:solidFill>
                  <a:srgbClr val="000000"/>
                </a:solidFill>
                <a:prstDash val="solid"/>
              </a:ln>
            </c:spPr>
          </c:dPt>
          <c:dPt>
            <c:idx val="3"/>
            <c:bubble3D val="0"/>
            <c:spPr>
              <a:solidFill>
                <a:srgbClr val="CCFFFF"/>
              </a:solidFill>
              <a:ln w="12700">
                <a:solidFill>
                  <a:srgbClr val="000000"/>
                </a:solidFill>
                <a:prstDash val="solid"/>
              </a:ln>
            </c:spPr>
          </c:dPt>
          <c:dPt>
            <c:idx val="4"/>
            <c:bubble3D val="0"/>
            <c:spPr>
              <a:solidFill>
                <a:srgbClr val="660066"/>
              </a:solidFill>
              <a:ln w="12700">
                <a:solidFill>
                  <a:srgbClr val="000000"/>
                </a:solidFill>
                <a:prstDash val="solid"/>
              </a:ln>
            </c:spPr>
          </c:dPt>
          <c:dPt>
            <c:idx val="5"/>
            <c:bubble3D val="0"/>
            <c:spPr>
              <a:solidFill>
                <a:srgbClr val="FF8080"/>
              </a:solidFill>
              <a:ln w="12700">
                <a:solidFill>
                  <a:srgbClr val="000000"/>
                </a:solidFill>
                <a:prstDash val="solid"/>
              </a:ln>
            </c:spPr>
          </c:dPt>
          <c:dPt>
            <c:idx val="6"/>
            <c:bubble3D val="0"/>
            <c:spPr>
              <a:solidFill>
                <a:srgbClr val="FF0000"/>
              </a:solidFill>
              <a:ln w="12700">
                <a:solidFill>
                  <a:srgbClr val="000000"/>
                </a:solidFill>
                <a:prstDash val="solid"/>
              </a:ln>
            </c:spPr>
          </c:dPt>
          <c:dPt>
            <c:idx val="7"/>
            <c:bubble3D val="0"/>
            <c:spPr>
              <a:solidFill>
                <a:srgbClr val="CCCCFF"/>
              </a:solidFill>
              <a:ln w="12700">
                <a:solidFill>
                  <a:srgbClr val="000000"/>
                </a:solidFill>
                <a:prstDash val="solid"/>
              </a:ln>
            </c:spPr>
          </c:dPt>
          <c:dPt>
            <c:idx val="8"/>
            <c:bubble3D val="0"/>
            <c:spPr>
              <a:solidFill>
                <a:srgbClr val="FFFF99"/>
              </a:solidFill>
              <a:ln w="12700">
                <a:solidFill>
                  <a:srgbClr val="000000"/>
                </a:solidFill>
                <a:prstDash val="solid"/>
              </a:ln>
            </c:spPr>
          </c:dPt>
          <c:dPt>
            <c:idx val="9"/>
            <c:bubble3D val="0"/>
            <c:spPr>
              <a:solidFill>
                <a:srgbClr val="FF00FF"/>
              </a:solidFill>
              <a:ln w="12700">
                <a:solidFill>
                  <a:srgbClr val="000000"/>
                </a:solidFill>
                <a:prstDash val="solid"/>
              </a:ln>
            </c:spPr>
          </c:dPt>
          <c:dPt>
            <c:idx val="10"/>
            <c:bubble3D val="0"/>
            <c:spPr>
              <a:solidFill>
                <a:srgbClr val="FFFF00"/>
              </a:solidFill>
              <a:ln w="12700">
                <a:solidFill>
                  <a:srgbClr val="000000"/>
                </a:solidFill>
                <a:prstDash val="solid"/>
              </a:ln>
            </c:spPr>
          </c:dPt>
          <c:dPt>
            <c:idx val="11"/>
            <c:bubble3D val="0"/>
            <c:spPr>
              <a:solidFill>
                <a:srgbClr val="00FFFF"/>
              </a:solidFill>
              <a:ln w="12700">
                <a:solidFill>
                  <a:srgbClr val="000000"/>
                </a:solidFill>
                <a:prstDash val="solid"/>
              </a:ln>
            </c:spPr>
          </c:dPt>
          <c:dLbls>
            <c:numFmt formatCode="0%" sourceLinked="0"/>
            <c:spPr>
              <a:noFill/>
              <a:ln w="25400">
                <a:noFill/>
              </a:ln>
            </c:spPr>
            <c:txPr>
              <a:bodyPr/>
              <a:lstStyle/>
              <a:p>
                <a:pPr>
                  <a:defRPr sz="100" b="0" i="0" u="none" strike="noStrike" baseline="0">
                    <a:solidFill>
                      <a:srgbClr val="000000"/>
                    </a:solidFill>
                    <a:latin typeface="Times New Roman"/>
                    <a:ea typeface="Times New Roman"/>
                    <a:cs typeface="Times New Roman"/>
                  </a:defRPr>
                </a:pPr>
                <a:endParaRPr lang="en-US"/>
              </a:p>
            </c:txPr>
            <c:showLegendKey val="0"/>
            <c:showVal val="0"/>
            <c:showCatName val="0"/>
            <c:showSerName val="0"/>
            <c:showPercent val="1"/>
            <c:showBubbleSize val="0"/>
            <c:showLeaderLines val="1"/>
          </c:dLbls>
          <c:val>
            <c:numLit>
              <c:formatCode>General</c:formatCode>
              <c:ptCount val="12"/>
              <c:pt idx="1">
                <c:v>119.26614807267535</c:v>
              </c:pt>
              <c:pt idx="2">
                <c:v>0.73385192732465099</c:v>
              </c:pt>
              <c:pt idx="3">
                <c:v>120</c:v>
              </c:pt>
              <c:pt idx="5">
                <c:v>22.212300906916489</c:v>
              </c:pt>
              <c:pt idx="6">
                <c:v>0.38769909308351252</c:v>
              </c:pt>
              <c:pt idx="8">
                <c:v>22.6</c:v>
              </c:pt>
              <c:pt idx="10">
                <c:v>66.137125950343844</c:v>
              </c:pt>
              <c:pt idx="11">
                <c:v>67.234999999999999</c:v>
              </c:pt>
            </c:numLit>
          </c:val>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Times New Roman"/>
          <a:ea typeface="Times New Roman"/>
          <a:cs typeface="Times New Roman"/>
        </a:defRPr>
      </a:pPr>
      <a:endParaRPr lang="en-US"/>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spPr>
            <a:solidFill>
              <a:srgbClr val="9999FF"/>
            </a:solidFill>
            <a:ln w="12700">
              <a:solidFill>
                <a:srgbClr val="000000"/>
              </a:solidFill>
              <a:prstDash val="solid"/>
            </a:ln>
          </c:spPr>
          <c:dPt>
            <c:idx val="0"/>
            <c:bubble3D val="0"/>
            <c:spPr>
              <a:solidFill>
                <a:srgbClr val="CCFFCC"/>
              </a:solidFill>
              <a:ln w="12700">
                <a:solidFill>
                  <a:srgbClr val="000000"/>
                </a:solidFill>
                <a:prstDash val="solid"/>
              </a:ln>
            </c:spPr>
          </c:dPt>
          <c:dPt>
            <c:idx val="1"/>
            <c:bubble3D val="0"/>
            <c:spPr>
              <a:solidFill>
                <a:srgbClr val="993366"/>
              </a:solidFill>
              <a:ln w="12700">
                <a:solidFill>
                  <a:srgbClr val="000000"/>
                </a:solidFill>
                <a:prstDash val="solid"/>
              </a:ln>
            </c:spPr>
          </c:dPt>
          <c:dPt>
            <c:idx val="2"/>
            <c:bubble3D val="0"/>
            <c:spPr>
              <a:solidFill>
                <a:srgbClr val="FFFFCC"/>
              </a:solidFill>
              <a:ln w="12700">
                <a:solidFill>
                  <a:srgbClr val="000000"/>
                </a:solidFill>
                <a:prstDash val="solid"/>
              </a:ln>
            </c:spPr>
          </c:dPt>
          <c:dPt>
            <c:idx val="3"/>
            <c:bubble3D val="0"/>
            <c:spPr>
              <a:solidFill>
                <a:srgbClr val="CCFFFF"/>
              </a:solidFill>
              <a:ln w="12700">
                <a:solidFill>
                  <a:srgbClr val="000000"/>
                </a:solidFill>
                <a:prstDash val="solid"/>
              </a:ln>
            </c:spPr>
          </c:dPt>
          <c:dPt>
            <c:idx val="4"/>
            <c:bubble3D val="0"/>
            <c:spPr>
              <a:solidFill>
                <a:srgbClr val="660066"/>
              </a:solidFill>
              <a:ln w="12700">
                <a:solidFill>
                  <a:srgbClr val="000000"/>
                </a:solidFill>
                <a:prstDash val="solid"/>
              </a:ln>
            </c:spPr>
          </c:dPt>
          <c:dPt>
            <c:idx val="5"/>
            <c:bubble3D val="0"/>
            <c:spPr>
              <a:solidFill>
                <a:srgbClr val="FF8080"/>
              </a:solidFill>
              <a:ln w="12700">
                <a:solidFill>
                  <a:srgbClr val="000000"/>
                </a:solidFill>
                <a:prstDash val="solid"/>
              </a:ln>
            </c:spPr>
          </c:dPt>
          <c:dPt>
            <c:idx val="6"/>
            <c:bubble3D val="0"/>
            <c:spPr>
              <a:solidFill>
                <a:srgbClr val="FF0000"/>
              </a:solidFill>
              <a:ln w="12700">
                <a:solidFill>
                  <a:srgbClr val="000000"/>
                </a:solidFill>
                <a:prstDash val="solid"/>
              </a:ln>
            </c:spPr>
          </c:dPt>
          <c:dPt>
            <c:idx val="7"/>
            <c:bubble3D val="0"/>
            <c:spPr>
              <a:solidFill>
                <a:srgbClr val="CCCCFF"/>
              </a:solidFill>
              <a:ln w="12700">
                <a:solidFill>
                  <a:srgbClr val="000000"/>
                </a:solidFill>
                <a:prstDash val="solid"/>
              </a:ln>
            </c:spPr>
          </c:dPt>
          <c:dPt>
            <c:idx val="8"/>
            <c:bubble3D val="0"/>
            <c:spPr>
              <a:solidFill>
                <a:srgbClr val="FFFF99"/>
              </a:solidFill>
              <a:ln w="12700">
                <a:solidFill>
                  <a:srgbClr val="000000"/>
                </a:solidFill>
                <a:prstDash val="solid"/>
              </a:ln>
            </c:spPr>
          </c:dPt>
          <c:dPt>
            <c:idx val="9"/>
            <c:bubble3D val="0"/>
            <c:spPr>
              <a:solidFill>
                <a:srgbClr val="FF00FF"/>
              </a:solidFill>
              <a:ln w="12700">
                <a:solidFill>
                  <a:srgbClr val="000000"/>
                </a:solidFill>
                <a:prstDash val="solid"/>
              </a:ln>
            </c:spPr>
          </c:dPt>
          <c:dPt>
            <c:idx val="10"/>
            <c:bubble3D val="0"/>
            <c:spPr>
              <a:solidFill>
                <a:srgbClr val="FFFF00"/>
              </a:solidFill>
              <a:ln w="12700">
                <a:solidFill>
                  <a:srgbClr val="000000"/>
                </a:solidFill>
                <a:prstDash val="solid"/>
              </a:ln>
            </c:spPr>
          </c:dPt>
          <c:dPt>
            <c:idx val="11"/>
            <c:bubble3D val="0"/>
            <c:spPr>
              <a:solidFill>
                <a:srgbClr val="00FFFF"/>
              </a:solidFill>
              <a:ln w="12700">
                <a:solidFill>
                  <a:srgbClr val="000000"/>
                </a:solidFill>
                <a:prstDash val="solid"/>
              </a:ln>
            </c:spPr>
          </c:dPt>
          <c:dLbls>
            <c:numFmt formatCode="0%" sourceLinked="0"/>
            <c:spPr>
              <a:noFill/>
              <a:ln w="25400">
                <a:noFill/>
              </a:ln>
            </c:spPr>
            <c:txPr>
              <a:bodyPr/>
              <a:lstStyle/>
              <a:p>
                <a:pPr>
                  <a:defRPr sz="100" b="0" i="0" u="none" strike="noStrike" baseline="0">
                    <a:solidFill>
                      <a:srgbClr val="000000"/>
                    </a:solidFill>
                    <a:latin typeface="Times New Roman"/>
                    <a:ea typeface="Times New Roman"/>
                    <a:cs typeface="Times New Roman"/>
                  </a:defRPr>
                </a:pPr>
                <a:endParaRPr lang="en-US"/>
              </a:p>
            </c:txPr>
            <c:showLegendKey val="0"/>
            <c:showVal val="0"/>
            <c:showCatName val="0"/>
            <c:showSerName val="0"/>
            <c:showPercent val="1"/>
            <c:showBubbleSize val="0"/>
            <c:showLeaderLines val="1"/>
          </c:dLbls>
          <c:val>
            <c:numLit>
              <c:formatCode>General</c:formatCode>
              <c:ptCount val="12"/>
              <c:pt idx="1">
                <c:v>119.26614807267535</c:v>
              </c:pt>
              <c:pt idx="2">
                <c:v>0.73385192732465099</c:v>
              </c:pt>
              <c:pt idx="3">
                <c:v>120</c:v>
              </c:pt>
              <c:pt idx="5">
                <c:v>22.212300906916489</c:v>
              </c:pt>
              <c:pt idx="6">
                <c:v>0.38769909308351252</c:v>
              </c:pt>
              <c:pt idx="8">
                <c:v>22.6</c:v>
              </c:pt>
              <c:pt idx="10">
                <c:v>66.137125950343844</c:v>
              </c:pt>
              <c:pt idx="11">
                <c:v>67.234999999999999</c:v>
              </c:pt>
            </c:numLit>
          </c:val>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Times New Roman"/>
          <a:ea typeface="Times New Roman"/>
          <a:cs typeface="Times New Roman"/>
        </a:defRPr>
      </a:pPr>
      <a:endParaRPr lang="en-US"/>
    </a:p>
  </c:txPr>
  <c:printSettings>
    <c:headerFooter alignWithMargins="0"/>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spPr>
            <a:solidFill>
              <a:srgbClr val="9999FF"/>
            </a:solidFill>
            <a:ln w="12700">
              <a:solidFill>
                <a:srgbClr val="000000"/>
              </a:solidFill>
              <a:prstDash val="solid"/>
            </a:ln>
          </c:spPr>
          <c:dPt>
            <c:idx val="0"/>
            <c:bubble3D val="0"/>
            <c:spPr>
              <a:solidFill>
                <a:srgbClr val="CCFFCC"/>
              </a:solidFill>
              <a:ln w="12700">
                <a:solidFill>
                  <a:srgbClr val="000000"/>
                </a:solidFill>
                <a:prstDash val="solid"/>
              </a:ln>
            </c:spPr>
          </c:dPt>
          <c:dPt>
            <c:idx val="1"/>
            <c:bubble3D val="0"/>
            <c:spPr>
              <a:solidFill>
                <a:srgbClr val="993366"/>
              </a:solidFill>
              <a:ln w="12700">
                <a:solidFill>
                  <a:srgbClr val="000000"/>
                </a:solidFill>
                <a:prstDash val="solid"/>
              </a:ln>
            </c:spPr>
          </c:dPt>
          <c:dPt>
            <c:idx val="2"/>
            <c:bubble3D val="0"/>
            <c:spPr>
              <a:solidFill>
                <a:srgbClr val="FFFFCC"/>
              </a:solidFill>
              <a:ln w="12700">
                <a:solidFill>
                  <a:srgbClr val="000000"/>
                </a:solidFill>
                <a:prstDash val="solid"/>
              </a:ln>
            </c:spPr>
          </c:dPt>
          <c:dPt>
            <c:idx val="3"/>
            <c:bubble3D val="0"/>
            <c:spPr>
              <a:solidFill>
                <a:srgbClr val="CCFFFF"/>
              </a:solidFill>
              <a:ln w="12700">
                <a:solidFill>
                  <a:srgbClr val="000000"/>
                </a:solidFill>
                <a:prstDash val="solid"/>
              </a:ln>
            </c:spPr>
          </c:dPt>
          <c:dPt>
            <c:idx val="4"/>
            <c:bubble3D val="0"/>
            <c:spPr>
              <a:solidFill>
                <a:srgbClr val="660066"/>
              </a:solidFill>
              <a:ln w="12700">
                <a:solidFill>
                  <a:srgbClr val="000000"/>
                </a:solidFill>
                <a:prstDash val="solid"/>
              </a:ln>
            </c:spPr>
          </c:dPt>
          <c:dPt>
            <c:idx val="5"/>
            <c:bubble3D val="0"/>
            <c:spPr>
              <a:solidFill>
                <a:srgbClr val="FF8080"/>
              </a:solidFill>
              <a:ln w="12700">
                <a:solidFill>
                  <a:srgbClr val="000000"/>
                </a:solidFill>
                <a:prstDash val="solid"/>
              </a:ln>
            </c:spPr>
          </c:dPt>
          <c:dPt>
            <c:idx val="6"/>
            <c:bubble3D val="0"/>
            <c:spPr>
              <a:solidFill>
                <a:srgbClr val="FF0000"/>
              </a:solidFill>
              <a:ln w="12700">
                <a:solidFill>
                  <a:srgbClr val="000000"/>
                </a:solidFill>
                <a:prstDash val="solid"/>
              </a:ln>
            </c:spPr>
          </c:dPt>
          <c:dPt>
            <c:idx val="7"/>
            <c:bubble3D val="0"/>
            <c:spPr>
              <a:solidFill>
                <a:srgbClr val="CCCCFF"/>
              </a:solidFill>
              <a:ln w="12700">
                <a:solidFill>
                  <a:srgbClr val="000000"/>
                </a:solidFill>
                <a:prstDash val="solid"/>
              </a:ln>
            </c:spPr>
          </c:dPt>
          <c:dPt>
            <c:idx val="8"/>
            <c:bubble3D val="0"/>
            <c:spPr>
              <a:solidFill>
                <a:srgbClr val="FFFF99"/>
              </a:solidFill>
              <a:ln w="12700">
                <a:solidFill>
                  <a:srgbClr val="000000"/>
                </a:solidFill>
                <a:prstDash val="solid"/>
              </a:ln>
            </c:spPr>
          </c:dPt>
          <c:dPt>
            <c:idx val="9"/>
            <c:bubble3D val="0"/>
            <c:spPr>
              <a:solidFill>
                <a:srgbClr val="FF00FF"/>
              </a:solidFill>
              <a:ln w="12700">
                <a:solidFill>
                  <a:srgbClr val="000000"/>
                </a:solidFill>
                <a:prstDash val="solid"/>
              </a:ln>
            </c:spPr>
          </c:dPt>
          <c:dPt>
            <c:idx val="10"/>
            <c:bubble3D val="0"/>
            <c:spPr>
              <a:solidFill>
                <a:srgbClr val="FFFF00"/>
              </a:solidFill>
              <a:ln w="12700">
                <a:solidFill>
                  <a:srgbClr val="000000"/>
                </a:solidFill>
                <a:prstDash val="solid"/>
              </a:ln>
            </c:spPr>
          </c:dPt>
          <c:dPt>
            <c:idx val="11"/>
            <c:bubble3D val="0"/>
            <c:spPr>
              <a:solidFill>
                <a:srgbClr val="00FFFF"/>
              </a:solidFill>
              <a:ln w="12700">
                <a:solidFill>
                  <a:srgbClr val="000000"/>
                </a:solidFill>
                <a:prstDash val="solid"/>
              </a:ln>
            </c:spPr>
          </c:dPt>
          <c:dLbls>
            <c:numFmt formatCode="0%" sourceLinked="0"/>
            <c:spPr>
              <a:noFill/>
              <a:ln w="25400">
                <a:noFill/>
              </a:ln>
            </c:spPr>
            <c:txPr>
              <a:bodyPr/>
              <a:lstStyle/>
              <a:p>
                <a:pPr>
                  <a:defRPr sz="100" b="0" i="0" u="none" strike="noStrike" baseline="0">
                    <a:solidFill>
                      <a:srgbClr val="000000"/>
                    </a:solidFill>
                    <a:latin typeface="Times New Roman"/>
                    <a:ea typeface="Times New Roman"/>
                    <a:cs typeface="Times New Roman"/>
                  </a:defRPr>
                </a:pPr>
                <a:endParaRPr lang="en-US"/>
              </a:p>
            </c:txPr>
            <c:showLegendKey val="0"/>
            <c:showVal val="0"/>
            <c:showCatName val="0"/>
            <c:showSerName val="0"/>
            <c:showPercent val="1"/>
            <c:showBubbleSize val="0"/>
            <c:showLeaderLines val="1"/>
          </c:dLbls>
          <c:val>
            <c:numLit>
              <c:formatCode>General</c:formatCode>
              <c:ptCount val="12"/>
              <c:pt idx="1">
                <c:v>119.26614807267535</c:v>
              </c:pt>
              <c:pt idx="2">
                <c:v>0.73385192732465099</c:v>
              </c:pt>
              <c:pt idx="3">
                <c:v>120</c:v>
              </c:pt>
              <c:pt idx="5">
                <c:v>22.212300906916489</c:v>
              </c:pt>
              <c:pt idx="6">
                <c:v>0.38769909308351252</c:v>
              </c:pt>
              <c:pt idx="8">
                <c:v>22.6</c:v>
              </c:pt>
              <c:pt idx="10">
                <c:v>66.137125950343844</c:v>
              </c:pt>
              <c:pt idx="11">
                <c:v>67.234999999999999</c:v>
              </c:pt>
            </c:numLit>
          </c:val>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Times New Roman"/>
          <a:ea typeface="Times New Roman"/>
          <a:cs typeface="Times New Roman"/>
        </a:defRPr>
      </a:pPr>
      <a:endParaRPr lang="en-US"/>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spPr>
            <a:solidFill>
              <a:srgbClr val="9999FF"/>
            </a:solidFill>
            <a:ln w="12700">
              <a:solidFill>
                <a:srgbClr val="000000"/>
              </a:solidFill>
              <a:prstDash val="solid"/>
            </a:ln>
          </c:spPr>
          <c:dPt>
            <c:idx val="0"/>
            <c:bubble3D val="0"/>
            <c:spPr>
              <a:solidFill>
                <a:srgbClr val="CCFFCC"/>
              </a:solidFill>
              <a:ln w="12700">
                <a:solidFill>
                  <a:srgbClr val="000000"/>
                </a:solidFill>
                <a:prstDash val="solid"/>
              </a:ln>
            </c:spPr>
          </c:dPt>
          <c:dPt>
            <c:idx val="1"/>
            <c:bubble3D val="0"/>
            <c:spPr>
              <a:solidFill>
                <a:srgbClr val="993366"/>
              </a:solidFill>
              <a:ln w="12700">
                <a:solidFill>
                  <a:srgbClr val="000000"/>
                </a:solidFill>
                <a:prstDash val="solid"/>
              </a:ln>
            </c:spPr>
          </c:dPt>
          <c:dPt>
            <c:idx val="2"/>
            <c:bubble3D val="0"/>
            <c:spPr>
              <a:solidFill>
                <a:srgbClr val="FFFFCC"/>
              </a:solidFill>
              <a:ln w="12700">
                <a:solidFill>
                  <a:srgbClr val="000000"/>
                </a:solidFill>
                <a:prstDash val="solid"/>
              </a:ln>
            </c:spPr>
          </c:dPt>
          <c:dPt>
            <c:idx val="3"/>
            <c:bubble3D val="0"/>
            <c:spPr>
              <a:solidFill>
                <a:srgbClr val="CCFFFF"/>
              </a:solidFill>
              <a:ln w="12700">
                <a:solidFill>
                  <a:srgbClr val="000000"/>
                </a:solidFill>
                <a:prstDash val="solid"/>
              </a:ln>
            </c:spPr>
          </c:dPt>
          <c:dPt>
            <c:idx val="4"/>
            <c:bubble3D val="0"/>
            <c:spPr>
              <a:solidFill>
                <a:srgbClr val="660066"/>
              </a:solidFill>
              <a:ln w="12700">
                <a:solidFill>
                  <a:srgbClr val="000000"/>
                </a:solidFill>
                <a:prstDash val="solid"/>
              </a:ln>
            </c:spPr>
          </c:dPt>
          <c:dPt>
            <c:idx val="5"/>
            <c:bubble3D val="0"/>
            <c:spPr>
              <a:solidFill>
                <a:srgbClr val="FF8080"/>
              </a:solidFill>
              <a:ln w="12700">
                <a:solidFill>
                  <a:srgbClr val="000000"/>
                </a:solidFill>
                <a:prstDash val="solid"/>
              </a:ln>
            </c:spPr>
          </c:dPt>
          <c:dPt>
            <c:idx val="6"/>
            <c:bubble3D val="0"/>
            <c:spPr>
              <a:solidFill>
                <a:srgbClr val="FF0000"/>
              </a:solidFill>
              <a:ln w="12700">
                <a:solidFill>
                  <a:srgbClr val="000000"/>
                </a:solidFill>
                <a:prstDash val="solid"/>
              </a:ln>
            </c:spPr>
          </c:dPt>
          <c:dPt>
            <c:idx val="7"/>
            <c:bubble3D val="0"/>
            <c:spPr>
              <a:solidFill>
                <a:srgbClr val="CCCCFF"/>
              </a:solidFill>
              <a:ln w="12700">
                <a:solidFill>
                  <a:srgbClr val="000000"/>
                </a:solidFill>
                <a:prstDash val="solid"/>
              </a:ln>
            </c:spPr>
          </c:dPt>
          <c:dPt>
            <c:idx val="8"/>
            <c:bubble3D val="0"/>
            <c:spPr>
              <a:solidFill>
                <a:srgbClr val="FFFF99"/>
              </a:solidFill>
              <a:ln w="12700">
                <a:solidFill>
                  <a:srgbClr val="000000"/>
                </a:solidFill>
                <a:prstDash val="solid"/>
              </a:ln>
            </c:spPr>
          </c:dPt>
          <c:dPt>
            <c:idx val="9"/>
            <c:bubble3D val="0"/>
            <c:spPr>
              <a:solidFill>
                <a:srgbClr val="FF00FF"/>
              </a:solidFill>
              <a:ln w="12700">
                <a:solidFill>
                  <a:srgbClr val="000000"/>
                </a:solidFill>
                <a:prstDash val="solid"/>
              </a:ln>
            </c:spPr>
          </c:dPt>
          <c:dPt>
            <c:idx val="10"/>
            <c:bubble3D val="0"/>
            <c:spPr>
              <a:solidFill>
                <a:srgbClr val="FFFF00"/>
              </a:solidFill>
              <a:ln w="12700">
                <a:solidFill>
                  <a:srgbClr val="000000"/>
                </a:solidFill>
                <a:prstDash val="solid"/>
              </a:ln>
            </c:spPr>
          </c:dPt>
          <c:dPt>
            <c:idx val="11"/>
            <c:bubble3D val="0"/>
            <c:spPr>
              <a:solidFill>
                <a:srgbClr val="00FFFF"/>
              </a:solidFill>
              <a:ln w="12700">
                <a:solidFill>
                  <a:srgbClr val="000000"/>
                </a:solidFill>
                <a:prstDash val="solid"/>
              </a:ln>
            </c:spPr>
          </c:dPt>
          <c:dLbls>
            <c:numFmt formatCode="0%" sourceLinked="0"/>
            <c:spPr>
              <a:noFill/>
              <a:ln w="25400">
                <a:noFill/>
              </a:ln>
            </c:spPr>
            <c:txPr>
              <a:bodyPr/>
              <a:lstStyle/>
              <a:p>
                <a:pPr>
                  <a:defRPr sz="100" b="0" i="0" u="none" strike="noStrike" baseline="0">
                    <a:solidFill>
                      <a:srgbClr val="000000"/>
                    </a:solidFill>
                    <a:latin typeface="Times New Roman"/>
                    <a:ea typeface="Times New Roman"/>
                    <a:cs typeface="Times New Roman"/>
                  </a:defRPr>
                </a:pPr>
                <a:endParaRPr lang="en-US"/>
              </a:p>
            </c:txPr>
            <c:showLegendKey val="0"/>
            <c:showVal val="0"/>
            <c:showCatName val="0"/>
            <c:showSerName val="0"/>
            <c:showPercent val="1"/>
            <c:showBubbleSize val="0"/>
            <c:showLeaderLines val="1"/>
          </c:dLbls>
          <c:val>
            <c:numLit>
              <c:formatCode>General</c:formatCode>
              <c:ptCount val="12"/>
              <c:pt idx="1">
                <c:v>119.26614807267535</c:v>
              </c:pt>
              <c:pt idx="2">
                <c:v>0.73385192732465099</c:v>
              </c:pt>
              <c:pt idx="3">
                <c:v>120</c:v>
              </c:pt>
              <c:pt idx="5">
                <c:v>22.212300906916489</c:v>
              </c:pt>
              <c:pt idx="6">
                <c:v>0.38769909308351252</c:v>
              </c:pt>
              <c:pt idx="8">
                <c:v>22.6</c:v>
              </c:pt>
              <c:pt idx="10">
                <c:v>66.137125950343844</c:v>
              </c:pt>
              <c:pt idx="11">
                <c:v>67.234999999999999</c:v>
              </c:pt>
            </c:numLit>
          </c:val>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Times New Roman"/>
          <a:ea typeface="Times New Roman"/>
          <a:cs typeface="Times New Roman"/>
        </a:defRPr>
      </a:pPr>
      <a:endParaRPr lang="en-US"/>
    </a:p>
  </c:txPr>
  <c:printSettings>
    <c:headerFooter alignWithMargins="0"/>
    <c:pageMargins b="1" l="0.75" r="0.75"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spPr>
            <a:solidFill>
              <a:srgbClr val="9999FF"/>
            </a:solidFill>
            <a:ln w="12700">
              <a:solidFill>
                <a:srgbClr val="000000"/>
              </a:solidFill>
              <a:prstDash val="solid"/>
            </a:ln>
          </c:spPr>
          <c:dPt>
            <c:idx val="0"/>
            <c:bubble3D val="0"/>
            <c:spPr>
              <a:solidFill>
                <a:srgbClr val="CCFFCC"/>
              </a:solidFill>
              <a:ln w="12700">
                <a:solidFill>
                  <a:srgbClr val="000000"/>
                </a:solidFill>
                <a:prstDash val="solid"/>
              </a:ln>
            </c:spPr>
          </c:dPt>
          <c:dPt>
            <c:idx val="1"/>
            <c:bubble3D val="0"/>
            <c:spPr>
              <a:solidFill>
                <a:srgbClr val="993366"/>
              </a:solidFill>
              <a:ln w="12700">
                <a:solidFill>
                  <a:srgbClr val="000000"/>
                </a:solidFill>
                <a:prstDash val="solid"/>
              </a:ln>
            </c:spPr>
          </c:dPt>
          <c:dPt>
            <c:idx val="2"/>
            <c:bubble3D val="0"/>
            <c:spPr>
              <a:solidFill>
                <a:srgbClr val="FFFFCC"/>
              </a:solidFill>
              <a:ln w="12700">
                <a:solidFill>
                  <a:srgbClr val="000000"/>
                </a:solidFill>
                <a:prstDash val="solid"/>
              </a:ln>
            </c:spPr>
          </c:dPt>
          <c:dPt>
            <c:idx val="3"/>
            <c:bubble3D val="0"/>
            <c:spPr>
              <a:solidFill>
                <a:srgbClr val="CCFFFF"/>
              </a:solidFill>
              <a:ln w="12700">
                <a:solidFill>
                  <a:srgbClr val="000000"/>
                </a:solidFill>
                <a:prstDash val="solid"/>
              </a:ln>
            </c:spPr>
          </c:dPt>
          <c:dPt>
            <c:idx val="4"/>
            <c:bubble3D val="0"/>
            <c:spPr>
              <a:solidFill>
                <a:srgbClr val="660066"/>
              </a:solidFill>
              <a:ln w="12700">
                <a:solidFill>
                  <a:srgbClr val="000000"/>
                </a:solidFill>
                <a:prstDash val="solid"/>
              </a:ln>
            </c:spPr>
          </c:dPt>
          <c:dPt>
            <c:idx val="5"/>
            <c:bubble3D val="0"/>
            <c:spPr>
              <a:solidFill>
                <a:srgbClr val="FF8080"/>
              </a:solidFill>
              <a:ln w="12700">
                <a:solidFill>
                  <a:srgbClr val="000000"/>
                </a:solidFill>
                <a:prstDash val="solid"/>
              </a:ln>
            </c:spPr>
          </c:dPt>
          <c:dPt>
            <c:idx val="6"/>
            <c:bubble3D val="0"/>
            <c:spPr>
              <a:solidFill>
                <a:srgbClr val="FF0000"/>
              </a:solidFill>
              <a:ln w="12700">
                <a:solidFill>
                  <a:srgbClr val="000000"/>
                </a:solidFill>
                <a:prstDash val="solid"/>
              </a:ln>
            </c:spPr>
          </c:dPt>
          <c:dPt>
            <c:idx val="7"/>
            <c:bubble3D val="0"/>
            <c:spPr>
              <a:solidFill>
                <a:srgbClr val="CCCCFF"/>
              </a:solidFill>
              <a:ln w="12700">
                <a:solidFill>
                  <a:srgbClr val="000000"/>
                </a:solidFill>
                <a:prstDash val="solid"/>
              </a:ln>
            </c:spPr>
          </c:dPt>
          <c:dPt>
            <c:idx val="8"/>
            <c:bubble3D val="0"/>
            <c:spPr>
              <a:solidFill>
                <a:srgbClr val="FFFF99"/>
              </a:solidFill>
              <a:ln w="12700">
                <a:solidFill>
                  <a:srgbClr val="000000"/>
                </a:solidFill>
                <a:prstDash val="solid"/>
              </a:ln>
            </c:spPr>
          </c:dPt>
          <c:dPt>
            <c:idx val="9"/>
            <c:bubble3D val="0"/>
            <c:spPr>
              <a:solidFill>
                <a:srgbClr val="FF00FF"/>
              </a:solidFill>
              <a:ln w="12700">
                <a:solidFill>
                  <a:srgbClr val="000000"/>
                </a:solidFill>
                <a:prstDash val="solid"/>
              </a:ln>
            </c:spPr>
          </c:dPt>
          <c:dPt>
            <c:idx val="10"/>
            <c:bubble3D val="0"/>
            <c:spPr>
              <a:solidFill>
                <a:srgbClr val="FFFF00"/>
              </a:solidFill>
              <a:ln w="12700">
                <a:solidFill>
                  <a:srgbClr val="000000"/>
                </a:solidFill>
                <a:prstDash val="solid"/>
              </a:ln>
            </c:spPr>
          </c:dPt>
          <c:dPt>
            <c:idx val="11"/>
            <c:bubble3D val="0"/>
            <c:spPr>
              <a:solidFill>
                <a:srgbClr val="00FFFF"/>
              </a:solidFill>
              <a:ln w="12700">
                <a:solidFill>
                  <a:srgbClr val="000000"/>
                </a:solidFill>
                <a:prstDash val="solid"/>
              </a:ln>
            </c:spPr>
          </c:dPt>
          <c:dLbls>
            <c:numFmt formatCode="0%" sourceLinked="0"/>
            <c:spPr>
              <a:noFill/>
              <a:ln w="25400">
                <a:noFill/>
              </a:ln>
            </c:spPr>
            <c:txPr>
              <a:bodyPr/>
              <a:lstStyle/>
              <a:p>
                <a:pPr>
                  <a:defRPr sz="100" b="0" i="0" u="none" strike="noStrike" baseline="0">
                    <a:solidFill>
                      <a:srgbClr val="000000"/>
                    </a:solidFill>
                    <a:latin typeface="Times New Roman"/>
                    <a:ea typeface="Times New Roman"/>
                    <a:cs typeface="Times New Roman"/>
                  </a:defRPr>
                </a:pPr>
                <a:endParaRPr lang="en-US"/>
              </a:p>
            </c:txPr>
            <c:showLegendKey val="0"/>
            <c:showVal val="0"/>
            <c:showCatName val="0"/>
            <c:showSerName val="0"/>
            <c:showPercent val="1"/>
            <c:showBubbleSize val="0"/>
            <c:showLeaderLines val="1"/>
          </c:dLbls>
          <c:val>
            <c:numLit>
              <c:formatCode>General</c:formatCode>
              <c:ptCount val="12"/>
              <c:pt idx="1">
                <c:v>119.26614807267535</c:v>
              </c:pt>
              <c:pt idx="2">
                <c:v>0.73385192732465099</c:v>
              </c:pt>
              <c:pt idx="3">
                <c:v>120</c:v>
              </c:pt>
              <c:pt idx="5">
                <c:v>22.212300906916489</c:v>
              </c:pt>
              <c:pt idx="6">
                <c:v>0.38769909308351252</c:v>
              </c:pt>
              <c:pt idx="8">
                <c:v>22.6</c:v>
              </c:pt>
              <c:pt idx="10">
                <c:v>66.137125950343844</c:v>
              </c:pt>
              <c:pt idx="11">
                <c:v>67.234999999999999</c:v>
              </c:pt>
            </c:numLit>
          </c:val>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Times New Roman"/>
          <a:ea typeface="Times New Roman"/>
          <a:cs typeface="Times New Roman"/>
        </a:defRPr>
      </a:pPr>
      <a:endParaRPr lang="en-US"/>
    </a:p>
  </c:txPr>
  <c:printSettings>
    <c:headerFooter alignWithMargins="0"/>
    <c:pageMargins b="1" l="0.75" r="0.75"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spPr>
            <a:solidFill>
              <a:srgbClr val="9999FF"/>
            </a:solidFill>
            <a:ln w="12700">
              <a:solidFill>
                <a:srgbClr val="000000"/>
              </a:solidFill>
              <a:prstDash val="solid"/>
            </a:ln>
          </c:spPr>
          <c:dPt>
            <c:idx val="0"/>
            <c:bubble3D val="0"/>
            <c:spPr>
              <a:solidFill>
                <a:srgbClr val="CCFFCC"/>
              </a:solidFill>
              <a:ln w="12700">
                <a:solidFill>
                  <a:srgbClr val="000000"/>
                </a:solidFill>
                <a:prstDash val="solid"/>
              </a:ln>
            </c:spPr>
          </c:dPt>
          <c:dPt>
            <c:idx val="1"/>
            <c:bubble3D val="0"/>
            <c:spPr>
              <a:solidFill>
                <a:srgbClr val="993366"/>
              </a:solidFill>
              <a:ln w="12700">
                <a:solidFill>
                  <a:srgbClr val="000000"/>
                </a:solidFill>
                <a:prstDash val="solid"/>
              </a:ln>
            </c:spPr>
          </c:dPt>
          <c:dPt>
            <c:idx val="2"/>
            <c:bubble3D val="0"/>
            <c:spPr>
              <a:solidFill>
                <a:srgbClr val="FFFFCC"/>
              </a:solidFill>
              <a:ln w="12700">
                <a:solidFill>
                  <a:srgbClr val="000000"/>
                </a:solidFill>
                <a:prstDash val="solid"/>
              </a:ln>
            </c:spPr>
          </c:dPt>
          <c:dPt>
            <c:idx val="3"/>
            <c:bubble3D val="0"/>
            <c:spPr>
              <a:solidFill>
                <a:srgbClr val="CCFFFF"/>
              </a:solidFill>
              <a:ln w="12700">
                <a:solidFill>
                  <a:srgbClr val="000000"/>
                </a:solidFill>
                <a:prstDash val="solid"/>
              </a:ln>
            </c:spPr>
          </c:dPt>
          <c:dPt>
            <c:idx val="4"/>
            <c:bubble3D val="0"/>
            <c:spPr>
              <a:solidFill>
                <a:srgbClr val="660066"/>
              </a:solidFill>
              <a:ln w="12700">
                <a:solidFill>
                  <a:srgbClr val="000000"/>
                </a:solidFill>
                <a:prstDash val="solid"/>
              </a:ln>
            </c:spPr>
          </c:dPt>
          <c:dPt>
            <c:idx val="5"/>
            <c:bubble3D val="0"/>
            <c:spPr>
              <a:solidFill>
                <a:srgbClr val="FF8080"/>
              </a:solidFill>
              <a:ln w="12700">
                <a:solidFill>
                  <a:srgbClr val="000000"/>
                </a:solidFill>
                <a:prstDash val="solid"/>
              </a:ln>
            </c:spPr>
          </c:dPt>
          <c:dPt>
            <c:idx val="6"/>
            <c:bubble3D val="0"/>
            <c:spPr>
              <a:solidFill>
                <a:srgbClr val="FF0000"/>
              </a:solidFill>
              <a:ln w="12700">
                <a:solidFill>
                  <a:srgbClr val="000000"/>
                </a:solidFill>
                <a:prstDash val="solid"/>
              </a:ln>
            </c:spPr>
          </c:dPt>
          <c:dPt>
            <c:idx val="7"/>
            <c:bubble3D val="0"/>
            <c:spPr>
              <a:solidFill>
                <a:srgbClr val="CCCCFF"/>
              </a:solidFill>
              <a:ln w="12700">
                <a:solidFill>
                  <a:srgbClr val="000000"/>
                </a:solidFill>
                <a:prstDash val="solid"/>
              </a:ln>
            </c:spPr>
          </c:dPt>
          <c:dPt>
            <c:idx val="8"/>
            <c:bubble3D val="0"/>
            <c:spPr>
              <a:solidFill>
                <a:srgbClr val="FFFF99"/>
              </a:solidFill>
              <a:ln w="12700">
                <a:solidFill>
                  <a:srgbClr val="000000"/>
                </a:solidFill>
                <a:prstDash val="solid"/>
              </a:ln>
            </c:spPr>
          </c:dPt>
          <c:dPt>
            <c:idx val="9"/>
            <c:bubble3D val="0"/>
            <c:spPr>
              <a:solidFill>
                <a:srgbClr val="FF00FF"/>
              </a:solidFill>
              <a:ln w="12700">
                <a:solidFill>
                  <a:srgbClr val="000000"/>
                </a:solidFill>
                <a:prstDash val="solid"/>
              </a:ln>
            </c:spPr>
          </c:dPt>
          <c:dPt>
            <c:idx val="10"/>
            <c:bubble3D val="0"/>
            <c:spPr>
              <a:solidFill>
                <a:srgbClr val="FFFF00"/>
              </a:solidFill>
              <a:ln w="12700">
                <a:solidFill>
                  <a:srgbClr val="000000"/>
                </a:solidFill>
                <a:prstDash val="solid"/>
              </a:ln>
            </c:spPr>
          </c:dPt>
          <c:dPt>
            <c:idx val="11"/>
            <c:bubble3D val="0"/>
            <c:spPr>
              <a:solidFill>
                <a:srgbClr val="00FFFF"/>
              </a:solidFill>
              <a:ln w="12700">
                <a:solidFill>
                  <a:srgbClr val="000000"/>
                </a:solidFill>
                <a:prstDash val="solid"/>
              </a:ln>
            </c:spPr>
          </c:dPt>
          <c:dLbls>
            <c:numFmt formatCode="0%" sourceLinked="0"/>
            <c:spPr>
              <a:noFill/>
              <a:ln w="25400">
                <a:noFill/>
              </a:ln>
            </c:spPr>
            <c:txPr>
              <a:bodyPr/>
              <a:lstStyle/>
              <a:p>
                <a:pPr>
                  <a:defRPr sz="100" b="0" i="0" u="none" strike="noStrike" baseline="0">
                    <a:solidFill>
                      <a:srgbClr val="000000"/>
                    </a:solidFill>
                    <a:latin typeface="Times New Roman"/>
                    <a:ea typeface="Times New Roman"/>
                    <a:cs typeface="Times New Roman"/>
                  </a:defRPr>
                </a:pPr>
                <a:endParaRPr lang="en-US"/>
              </a:p>
            </c:txPr>
            <c:showLegendKey val="0"/>
            <c:showVal val="0"/>
            <c:showCatName val="0"/>
            <c:showSerName val="0"/>
            <c:showPercent val="1"/>
            <c:showBubbleSize val="0"/>
            <c:showLeaderLines val="1"/>
          </c:dLbls>
          <c:val>
            <c:numLit>
              <c:formatCode>General</c:formatCode>
              <c:ptCount val="12"/>
              <c:pt idx="1">
                <c:v>119.26614807267535</c:v>
              </c:pt>
              <c:pt idx="2">
                <c:v>0.73385192732465099</c:v>
              </c:pt>
              <c:pt idx="3">
                <c:v>120</c:v>
              </c:pt>
              <c:pt idx="5">
                <c:v>22.212300906916489</c:v>
              </c:pt>
              <c:pt idx="6">
                <c:v>0.38769909308351252</c:v>
              </c:pt>
              <c:pt idx="8">
                <c:v>22.6</c:v>
              </c:pt>
              <c:pt idx="10">
                <c:v>66.137125950343844</c:v>
              </c:pt>
              <c:pt idx="11">
                <c:v>67.234999999999999</c:v>
              </c:pt>
            </c:numLit>
          </c:val>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Times New Roman"/>
          <a:ea typeface="Times New Roman"/>
          <a:cs typeface="Times New Roman"/>
        </a:defRPr>
      </a:pPr>
      <a:endParaRPr lang="en-US"/>
    </a:p>
  </c:txPr>
  <c:printSettings>
    <c:headerFooter alignWithMargins="0"/>
    <c:pageMargins b="1" l="0.75" r="0.75"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spPr>
            <a:solidFill>
              <a:srgbClr val="9999FF"/>
            </a:solidFill>
            <a:ln w="12700">
              <a:solidFill>
                <a:srgbClr val="000000"/>
              </a:solidFill>
              <a:prstDash val="solid"/>
            </a:ln>
          </c:spPr>
          <c:dPt>
            <c:idx val="0"/>
            <c:bubble3D val="0"/>
            <c:spPr>
              <a:solidFill>
                <a:srgbClr val="CCFFCC"/>
              </a:solidFill>
              <a:ln w="12700">
                <a:solidFill>
                  <a:srgbClr val="000000"/>
                </a:solidFill>
                <a:prstDash val="solid"/>
              </a:ln>
            </c:spPr>
          </c:dPt>
          <c:dPt>
            <c:idx val="1"/>
            <c:bubble3D val="0"/>
            <c:spPr>
              <a:solidFill>
                <a:srgbClr val="993366"/>
              </a:solidFill>
              <a:ln w="12700">
                <a:solidFill>
                  <a:srgbClr val="000000"/>
                </a:solidFill>
                <a:prstDash val="solid"/>
              </a:ln>
            </c:spPr>
          </c:dPt>
          <c:dPt>
            <c:idx val="2"/>
            <c:bubble3D val="0"/>
            <c:spPr>
              <a:solidFill>
                <a:srgbClr val="FFFFCC"/>
              </a:solidFill>
              <a:ln w="12700">
                <a:solidFill>
                  <a:srgbClr val="000000"/>
                </a:solidFill>
                <a:prstDash val="solid"/>
              </a:ln>
            </c:spPr>
          </c:dPt>
          <c:dPt>
            <c:idx val="3"/>
            <c:bubble3D val="0"/>
            <c:spPr>
              <a:solidFill>
                <a:srgbClr val="CCFFFF"/>
              </a:solidFill>
              <a:ln w="12700">
                <a:solidFill>
                  <a:srgbClr val="000000"/>
                </a:solidFill>
                <a:prstDash val="solid"/>
              </a:ln>
            </c:spPr>
          </c:dPt>
          <c:dPt>
            <c:idx val="4"/>
            <c:bubble3D val="0"/>
            <c:spPr>
              <a:solidFill>
                <a:srgbClr val="660066"/>
              </a:solidFill>
              <a:ln w="12700">
                <a:solidFill>
                  <a:srgbClr val="000000"/>
                </a:solidFill>
                <a:prstDash val="solid"/>
              </a:ln>
            </c:spPr>
          </c:dPt>
          <c:dPt>
            <c:idx val="5"/>
            <c:bubble3D val="0"/>
            <c:spPr>
              <a:solidFill>
                <a:srgbClr val="FF8080"/>
              </a:solidFill>
              <a:ln w="12700">
                <a:solidFill>
                  <a:srgbClr val="000000"/>
                </a:solidFill>
                <a:prstDash val="solid"/>
              </a:ln>
            </c:spPr>
          </c:dPt>
          <c:dPt>
            <c:idx val="6"/>
            <c:bubble3D val="0"/>
            <c:spPr>
              <a:solidFill>
                <a:srgbClr val="FF0000"/>
              </a:solidFill>
              <a:ln w="12700">
                <a:solidFill>
                  <a:srgbClr val="000000"/>
                </a:solidFill>
                <a:prstDash val="solid"/>
              </a:ln>
            </c:spPr>
          </c:dPt>
          <c:dPt>
            <c:idx val="7"/>
            <c:bubble3D val="0"/>
            <c:spPr>
              <a:solidFill>
                <a:srgbClr val="CCCCFF"/>
              </a:solidFill>
              <a:ln w="12700">
                <a:solidFill>
                  <a:srgbClr val="000000"/>
                </a:solidFill>
                <a:prstDash val="solid"/>
              </a:ln>
            </c:spPr>
          </c:dPt>
          <c:dPt>
            <c:idx val="8"/>
            <c:bubble3D val="0"/>
            <c:spPr>
              <a:solidFill>
                <a:srgbClr val="FFFF99"/>
              </a:solidFill>
              <a:ln w="12700">
                <a:solidFill>
                  <a:srgbClr val="000000"/>
                </a:solidFill>
                <a:prstDash val="solid"/>
              </a:ln>
            </c:spPr>
          </c:dPt>
          <c:dPt>
            <c:idx val="9"/>
            <c:bubble3D val="0"/>
            <c:spPr>
              <a:solidFill>
                <a:srgbClr val="FF00FF"/>
              </a:solidFill>
              <a:ln w="12700">
                <a:solidFill>
                  <a:srgbClr val="000000"/>
                </a:solidFill>
                <a:prstDash val="solid"/>
              </a:ln>
            </c:spPr>
          </c:dPt>
          <c:dPt>
            <c:idx val="10"/>
            <c:bubble3D val="0"/>
            <c:spPr>
              <a:solidFill>
                <a:srgbClr val="FFFF00"/>
              </a:solidFill>
              <a:ln w="12700">
                <a:solidFill>
                  <a:srgbClr val="000000"/>
                </a:solidFill>
                <a:prstDash val="solid"/>
              </a:ln>
            </c:spPr>
          </c:dPt>
          <c:dPt>
            <c:idx val="11"/>
            <c:bubble3D val="0"/>
            <c:spPr>
              <a:solidFill>
                <a:srgbClr val="00FFFF"/>
              </a:solidFill>
              <a:ln w="12700">
                <a:solidFill>
                  <a:srgbClr val="000000"/>
                </a:solidFill>
                <a:prstDash val="solid"/>
              </a:ln>
            </c:spPr>
          </c:dPt>
          <c:dLbls>
            <c:numFmt formatCode="0%" sourceLinked="0"/>
            <c:spPr>
              <a:noFill/>
              <a:ln w="25400">
                <a:noFill/>
              </a:ln>
            </c:spPr>
            <c:txPr>
              <a:bodyPr/>
              <a:lstStyle/>
              <a:p>
                <a:pPr>
                  <a:defRPr sz="100" b="0" i="0" u="none" strike="noStrike" baseline="0">
                    <a:solidFill>
                      <a:srgbClr val="000000"/>
                    </a:solidFill>
                    <a:latin typeface="Times New Roman"/>
                    <a:ea typeface="Times New Roman"/>
                    <a:cs typeface="Times New Roman"/>
                  </a:defRPr>
                </a:pPr>
                <a:endParaRPr lang="en-US"/>
              </a:p>
            </c:txPr>
            <c:showLegendKey val="0"/>
            <c:showVal val="0"/>
            <c:showCatName val="0"/>
            <c:showSerName val="0"/>
            <c:showPercent val="1"/>
            <c:showBubbleSize val="0"/>
            <c:showLeaderLines val="1"/>
          </c:dLbls>
          <c:val>
            <c:numLit>
              <c:formatCode>General</c:formatCode>
              <c:ptCount val="12"/>
              <c:pt idx="1">
                <c:v>119.26614807267535</c:v>
              </c:pt>
              <c:pt idx="2">
                <c:v>0.73385192732465099</c:v>
              </c:pt>
              <c:pt idx="3">
                <c:v>120</c:v>
              </c:pt>
              <c:pt idx="5">
                <c:v>22.212300906916489</c:v>
              </c:pt>
              <c:pt idx="6">
                <c:v>0.38769909308351252</c:v>
              </c:pt>
              <c:pt idx="8">
                <c:v>22.6</c:v>
              </c:pt>
              <c:pt idx="10">
                <c:v>66.137125950343844</c:v>
              </c:pt>
              <c:pt idx="11">
                <c:v>67.234999999999999</c:v>
              </c:pt>
            </c:numLit>
          </c:val>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Times New Roman"/>
          <a:ea typeface="Times New Roman"/>
          <a:cs typeface="Times New Roman"/>
        </a:defRPr>
      </a:pPr>
      <a:endParaRPr lang="en-US"/>
    </a:p>
  </c:txPr>
  <c:printSettings>
    <c:headerFooter alignWithMargins="0"/>
    <c:pageMargins b="1" l="0.75" r="0.75" t="1" header="0.5" footer="0.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spPr>
            <a:solidFill>
              <a:srgbClr val="9999FF"/>
            </a:solidFill>
            <a:ln w="12700">
              <a:solidFill>
                <a:srgbClr val="000000"/>
              </a:solidFill>
              <a:prstDash val="solid"/>
            </a:ln>
          </c:spPr>
          <c:dPt>
            <c:idx val="0"/>
            <c:bubble3D val="0"/>
            <c:spPr>
              <a:solidFill>
                <a:srgbClr val="CCFFCC"/>
              </a:solidFill>
              <a:ln w="12700">
                <a:solidFill>
                  <a:srgbClr val="000000"/>
                </a:solidFill>
                <a:prstDash val="solid"/>
              </a:ln>
            </c:spPr>
          </c:dPt>
          <c:dPt>
            <c:idx val="1"/>
            <c:bubble3D val="0"/>
            <c:spPr>
              <a:solidFill>
                <a:srgbClr val="993366"/>
              </a:solidFill>
              <a:ln w="12700">
                <a:solidFill>
                  <a:srgbClr val="000000"/>
                </a:solidFill>
                <a:prstDash val="solid"/>
              </a:ln>
            </c:spPr>
          </c:dPt>
          <c:dPt>
            <c:idx val="2"/>
            <c:bubble3D val="0"/>
            <c:spPr>
              <a:solidFill>
                <a:srgbClr val="FFFFCC"/>
              </a:solidFill>
              <a:ln w="12700">
                <a:solidFill>
                  <a:srgbClr val="000000"/>
                </a:solidFill>
                <a:prstDash val="solid"/>
              </a:ln>
            </c:spPr>
          </c:dPt>
          <c:dPt>
            <c:idx val="3"/>
            <c:bubble3D val="0"/>
            <c:spPr>
              <a:solidFill>
                <a:srgbClr val="CCFFFF"/>
              </a:solidFill>
              <a:ln w="12700">
                <a:solidFill>
                  <a:srgbClr val="000000"/>
                </a:solidFill>
                <a:prstDash val="solid"/>
              </a:ln>
            </c:spPr>
          </c:dPt>
          <c:dPt>
            <c:idx val="4"/>
            <c:bubble3D val="0"/>
            <c:spPr>
              <a:solidFill>
                <a:srgbClr val="660066"/>
              </a:solidFill>
              <a:ln w="12700">
                <a:solidFill>
                  <a:srgbClr val="000000"/>
                </a:solidFill>
                <a:prstDash val="solid"/>
              </a:ln>
            </c:spPr>
          </c:dPt>
          <c:dPt>
            <c:idx val="5"/>
            <c:bubble3D val="0"/>
            <c:spPr>
              <a:solidFill>
                <a:srgbClr val="FF8080"/>
              </a:solidFill>
              <a:ln w="12700">
                <a:solidFill>
                  <a:srgbClr val="000000"/>
                </a:solidFill>
                <a:prstDash val="solid"/>
              </a:ln>
            </c:spPr>
          </c:dPt>
          <c:dPt>
            <c:idx val="6"/>
            <c:bubble3D val="0"/>
            <c:spPr>
              <a:solidFill>
                <a:srgbClr val="FF0000"/>
              </a:solidFill>
              <a:ln w="12700">
                <a:solidFill>
                  <a:srgbClr val="000000"/>
                </a:solidFill>
                <a:prstDash val="solid"/>
              </a:ln>
            </c:spPr>
          </c:dPt>
          <c:dPt>
            <c:idx val="7"/>
            <c:bubble3D val="0"/>
            <c:spPr>
              <a:solidFill>
                <a:srgbClr val="CCCCFF"/>
              </a:solidFill>
              <a:ln w="12700">
                <a:solidFill>
                  <a:srgbClr val="000000"/>
                </a:solidFill>
                <a:prstDash val="solid"/>
              </a:ln>
            </c:spPr>
          </c:dPt>
          <c:dPt>
            <c:idx val="8"/>
            <c:bubble3D val="0"/>
            <c:spPr>
              <a:solidFill>
                <a:srgbClr val="FFFF99"/>
              </a:solidFill>
              <a:ln w="12700">
                <a:solidFill>
                  <a:srgbClr val="000000"/>
                </a:solidFill>
                <a:prstDash val="solid"/>
              </a:ln>
            </c:spPr>
          </c:dPt>
          <c:dPt>
            <c:idx val="9"/>
            <c:bubble3D val="0"/>
            <c:spPr>
              <a:solidFill>
                <a:srgbClr val="FF00FF"/>
              </a:solidFill>
              <a:ln w="12700">
                <a:solidFill>
                  <a:srgbClr val="000000"/>
                </a:solidFill>
                <a:prstDash val="solid"/>
              </a:ln>
            </c:spPr>
          </c:dPt>
          <c:dPt>
            <c:idx val="10"/>
            <c:bubble3D val="0"/>
            <c:spPr>
              <a:solidFill>
                <a:srgbClr val="FFFF00"/>
              </a:solidFill>
              <a:ln w="12700">
                <a:solidFill>
                  <a:srgbClr val="000000"/>
                </a:solidFill>
                <a:prstDash val="solid"/>
              </a:ln>
            </c:spPr>
          </c:dPt>
          <c:dPt>
            <c:idx val="11"/>
            <c:bubble3D val="0"/>
            <c:spPr>
              <a:solidFill>
                <a:srgbClr val="00FFFF"/>
              </a:solidFill>
              <a:ln w="12700">
                <a:solidFill>
                  <a:srgbClr val="000000"/>
                </a:solidFill>
                <a:prstDash val="solid"/>
              </a:ln>
            </c:spPr>
          </c:dPt>
          <c:dLbls>
            <c:numFmt formatCode="0%" sourceLinked="0"/>
            <c:spPr>
              <a:noFill/>
              <a:ln w="25400">
                <a:noFill/>
              </a:ln>
            </c:spPr>
            <c:txPr>
              <a:bodyPr/>
              <a:lstStyle/>
              <a:p>
                <a:pPr>
                  <a:defRPr sz="300" b="0" i="0" u="none" strike="noStrike" baseline="0">
                    <a:solidFill>
                      <a:srgbClr val="000000"/>
                    </a:solidFill>
                    <a:latin typeface="Times New Roman"/>
                    <a:ea typeface="Times New Roman"/>
                    <a:cs typeface="Times New Roman"/>
                  </a:defRPr>
                </a:pPr>
                <a:endParaRPr lang="en-US"/>
              </a:p>
            </c:txPr>
            <c:showLegendKey val="0"/>
            <c:showVal val="0"/>
            <c:showCatName val="0"/>
            <c:showSerName val="0"/>
            <c:showPercent val="1"/>
            <c:showBubbleSize val="0"/>
            <c:showLeaderLines val="1"/>
          </c:dLbls>
          <c:val>
            <c:numLit>
              <c:formatCode>General</c:formatCode>
              <c:ptCount val="12"/>
              <c:pt idx="1">
                <c:v>119.26614807267535</c:v>
              </c:pt>
              <c:pt idx="2">
                <c:v>0.73385192732465099</c:v>
              </c:pt>
              <c:pt idx="3">
                <c:v>120</c:v>
              </c:pt>
              <c:pt idx="5">
                <c:v>22.212300906916489</c:v>
              </c:pt>
              <c:pt idx="6">
                <c:v>0.38769909308351252</c:v>
              </c:pt>
              <c:pt idx="8">
                <c:v>22.6</c:v>
              </c:pt>
              <c:pt idx="10">
                <c:v>66.137125950343844</c:v>
              </c:pt>
              <c:pt idx="11">
                <c:v>67.234999999999999</c:v>
              </c:pt>
            </c:numLit>
          </c:val>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rgbClr val="FFFFFF"/>
    </a:solidFill>
    <a:ln w="3175">
      <a:solidFill>
        <a:srgbClr val="000000"/>
      </a:solidFill>
      <a:prstDash val="solid"/>
    </a:ln>
  </c:spPr>
  <c:txPr>
    <a:bodyPr/>
    <a:lstStyle/>
    <a:p>
      <a:pPr>
        <a:defRPr sz="300" b="0" i="0" u="none" strike="noStrike" baseline="0">
          <a:solidFill>
            <a:srgbClr val="000000"/>
          </a:solidFill>
          <a:latin typeface="Times New Roman"/>
          <a:ea typeface="Times New Roman"/>
          <a:cs typeface="Times New Roman"/>
        </a:defRPr>
      </a:pPr>
      <a:endParaRPr lang="en-US"/>
    </a:p>
  </c:txPr>
  <c:printSettings>
    <c:headerFooter alignWithMargins="0"/>
    <c:pageMargins b="1" l="0.75" r="0.75" t="1" header="0.5" footer="0.5"/>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spPr>
            <a:solidFill>
              <a:srgbClr val="9999FF"/>
            </a:solidFill>
            <a:ln w="12700">
              <a:solidFill>
                <a:srgbClr val="000000"/>
              </a:solidFill>
              <a:prstDash val="solid"/>
            </a:ln>
          </c:spPr>
          <c:dPt>
            <c:idx val="0"/>
            <c:bubble3D val="0"/>
            <c:spPr>
              <a:solidFill>
                <a:srgbClr val="CCFFCC"/>
              </a:solidFill>
              <a:ln w="12700">
                <a:solidFill>
                  <a:srgbClr val="000000"/>
                </a:solidFill>
                <a:prstDash val="solid"/>
              </a:ln>
            </c:spPr>
          </c:dPt>
          <c:dPt>
            <c:idx val="1"/>
            <c:bubble3D val="0"/>
            <c:spPr>
              <a:solidFill>
                <a:srgbClr val="993366"/>
              </a:solidFill>
              <a:ln w="12700">
                <a:solidFill>
                  <a:srgbClr val="000000"/>
                </a:solidFill>
                <a:prstDash val="solid"/>
              </a:ln>
            </c:spPr>
          </c:dPt>
          <c:dPt>
            <c:idx val="2"/>
            <c:bubble3D val="0"/>
            <c:spPr>
              <a:solidFill>
                <a:srgbClr val="FFFFCC"/>
              </a:solidFill>
              <a:ln w="12700">
                <a:solidFill>
                  <a:srgbClr val="000000"/>
                </a:solidFill>
                <a:prstDash val="solid"/>
              </a:ln>
            </c:spPr>
          </c:dPt>
          <c:dPt>
            <c:idx val="3"/>
            <c:bubble3D val="0"/>
            <c:spPr>
              <a:solidFill>
                <a:srgbClr val="CCFFFF"/>
              </a:solidFill>
              <a:ln w="12700">
                <a:solidFill>
                  <a:srgbClr val="000000"/>
                </a:solidFill>
                <a:prstDash val="solid"/>
              </a:ln>
            </c:spPr>
          </c:dPt>
          <c:dPt>
            <c:idx val="4"/>
            <c:bubble3D val="0"/>
            <c:spPr>
              <a:solidFill>
                <a:srgbClr val="660066"/>
              </a:solidFill>
              <a:ln w="12700">
                <a:solidFill>
                  <a:srgbClr val="000000"/>
                </a:solidFill>
                <a:prstDash val="solid"/>
              </a:ln>
            </c:spPr>
          </c:dPt>
          <c:dPt>
            <c:idx val="5"/>
            <c:bubble3D val="0"/>
            <c:spPr>
              <a:solidFill>
                <a:srgbClr val="FF8080"/>
              </a:solidFill>
              <a:ln w="12700">
                <a:solidFill>
                  <a:srgbClr val="000000"/>
                </a:solidFill>
                <a:prstDash val="solid"/>
              </a:ln>
            </c:spPr>
          </c:dPt>
          <c:dPt>
            <c:idx val="6"/>
            <c:bubble3D val="0"/>
            <c:spPr>
              <a:solidFill>
                <a:srgbClr val="FF0000"/>
              </a:solidFill>
              <a:ln w="12700">
                <a:solidFill>
                  <a:srgbClr val="000000"/>
                </a:solidFill>
                <a:prstDash val="solid"/>
              </a:ln>
            </c:spPr>
          </c:dPt>
          <c:dPt>
            <c:idx val="7"/>
            <c:bubble3D val="0"/>
            <c:spPr>
              <a:solidFill>
                <a:srgbClr val="CCCCFF"/>
              </a:solidFill>
              <a:ln w="12700">
                <a:solidFill>
                  <a:srgbClr val="000000"/>
                </a:solidFill>
                <a:prstDash val="solid"/>
              </a:ln>
            </c:spPr>
          </c:dPt>
          <c:dPt>
            <c:idx val="8"/>
            <c:bubble3D val="0"/>
            <c:spPr>
              <a:solidFill>
                <a:srgbClr val="FFFF99"/>
              </a:solidFill>
              <a:ln w="12700">
                <a:solidFill>
                  <a:srgbClr val="000000"/>
                </a:solidFill>
                <a:prstDash val="solid"/>
              </a:ln>
            </c:spPr>
          </c:dPt>
          <c:dPt>
            <c:idx val="9"/>
            <c:bubble3D val="0"/>
            <c:spPr>
              <a:solidFill>
                <a:srgbClr val="FF00FF"/>
              </a:solidFill>
              <a:ln w="12700">
                <a:solidFill>
                  <a:srgbClr val="000000"/>
                </a:solidFill>
                <a:prstDash val="solid"/>
              </a:ln>
            </c:spPr>
          </c:dPt>
          <c:dPt>
            <c:idx val="10"/>
            <c:bubble3D val="0"/>
            <c:spPr>
              <a:solidFill>
                <a:srgbClr val="FFFF00"/>
              </a:solidFill>
              <a:ln w="12700">
                <a:solidFill>
                  <a:srgbClr val="000000"/>
                </a:solidFill>
                <a:prstDash val="solid"/>
              </a:ln>
            </c:spPr>
          </c:dPt>
          <c:dPt>
            <c:idx val="11"/>
            <c:bubble3D val="0"/>
            <c:spPr>
              <a:solidFill>
                <a:srgbClr val="00FFFF"/>
              </a:solidFill>
              <a:ln w="12700">
                <a:solidFill>
                  <a:srgbClr val="000000"/>
                </a:solidFill>
                <a:prstDash val="solid"/>
              </a:ln>
            </c:spPr>
          </c:dPt>
          <c:dLbls>
            <c:numFmt formatCode="0%" sourceLinked="0"/>
            <c:spPr>
              <a:noFill/>
              <a:ln w="25400">
                <a:noFill/>
              </a:ln>
            </c:spPr>
            <c:txPr>
              <a:bodyPr/>
              <a:lstStyle/>
              <a:p>
                <a:pPr>
                  <a:defRPr sz="300" b="0" i="0" u="none" strike="noStrike" baseline="0">
                    <a:solidFill>
                      <a:srgbClr val="000000"/>
                    </a:solidFill>
                    <a:latin typeface="Times New Roman"/>
                    <a:ea typeface="Times New Roman"/>
                    <a:cs typeface="Times New Roman"/>
                  </a:defRPr>
                </a:pPr>
                <a:endParaRPr lang="en-US"/>
              </a:p>
            </c:txPr>
            <c:showLegendKey val="0"/>
            <c:showVal val="0"/>
            <c:showCatName val="0"/>
            <c:showSerName val="0"/>
            <c:showPercent val="1"/>
            <c:showBubbleSize val="0"/>
            <c:showLeaderLines val="1"/>
          </c:dLbls>
          <c:val>
            <c:numLit>
              <c:formatCode>General</c:formatCode>
              <c:ptCount val="12"/>
              <c:pt idx="1">
                <c:v>119.26614807267535</c:v>
              </c:pt>
              <c:pt idx="2">
                <c:v>0.73385192732465099</c:v>
              </c:pt>
              <c:pt idx="3">
                <c:v>120</c:v>
              </c:pt>
              <c:pt idx="5">
                <c:v>22.212300906916489</c:v>
              </c:pt>
              <c:pt idx="6">
                <c:v>0.38769909308351252</c:v>
              </c:pt>
              <c:pt idx="8">
                <c:v>22.6</c:v>
              </c:pt>
              <c:pt idx="10">
                <c:v>66.137125950343844</c:v>
              </c:pt>
              <c:pt idx="11">
                <c:v>67.234999999999999</c:v>
              </c:pt>
            </c:numLit>
          </c:val>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rgbClr val="FFFFFF"/>
    </a:solidFill>
    <a:ln w="3175">
      <a:solidFill>
        <a:srgbClr val="000000"/>
      </a:solidFill>
      <a:prstDash val="solid"/>
    </a:ln>
  </c:spPr>
  <c:txPr>
    <a:bodyPr/>
    <a:lstStyle/>
    <a:p>
      <a:pPr>
        <a:defRPr sz="300" b="0" i="0" u="none" strike="noStrike" baseline="0">
          <a:solidFill>
            <a:srgbClr val="000000"/>
          </a:solidFill>
          <a:latin typeface="Times New Roman"/>
          <a:ea typeface="Times New Roman"/>
          <a:cs typeface="Times New Roman"/>
        </a:defRPr>
      </a:pPr>
      <a:endParaRPr lang="en-US"/>
    </a:p>
  </c:txPr>
  <c:printSettings>
    <c:headerFooter alignWithMargins="0"/>
    <c:pageMargins b="1" l="0.75" r="0.75" t="1"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spPr>
            <a:solidFill>
              <a:srgbClr val="9999FF"/>
            </a:solidFill>
            <a:ln w="12700">
              <a:solidFill>
                <a:srgbClr val="000000"/>
              </a:solidFill>
              <a:prstDash val="solid"/>
            </a:ln>
          </c:spPr>
          <c:dPt>
            <c:idx val="0"/>
            <c:bubble3D val="0"/>
            <c:spPr>
              <a:solidFill>
                <a:srgbClr val="CCFFCC"/>
              </a:solidFill>
              <a:ln w="12700">
                <a:solidFill>
                  <a:srgbClr val="000000"/>
                </a:solidFill>
                <a:prstDash val="solid"/>
              </a:ln>
            </c:spPr>
          </c:dPt>
          <c:dPt>
            <c:idx val="1"/>
            <c:bubble3D val="0"/>
            <c:spPr>
              <a:solidFill>
                <a:srgbClr val="993366"/>
              </a:solidFill>
              <a:ln w="12700">
                <a:solidFill>
                  <a:srgbClr val="000000"/>
                </a:solidFill>
                <a:prstDash val="solid"/>
              </a:ln>
            </c:spPr>
          </c:dPt>
          <c:dPt>
            <c:idx val="2"/>
            <c:bubble3D val="0"/>
            <c:spPr>
              <a:solidFill>
                <a:srgbClr val="FFFFCC"/>
              </a:solidFill>
              <a:ln w="12700">
                <a:solidFill>
                  <a:srgbClr val="000000"/>
                </a:solidFill>
                <a:prstDash val="solid"/>
              </a:ln>
            </c:spPr>
          </c:dPt>
          <c:dPt>
            <c:idx val="3"/>
            <c:bubble3D val="0"/>
            <c:spPr>
              <a:solidFill>
                <a:srgbClr val="CCFFFF"/>
              </a:solidFill>
              <a:ln w="12700">
                <a:solidFill>
                  <a:srgbClr val="000000"/>
                </a:solidFill>
                <a:prstDash val="solid"/>
              </a:ln>
            </c:spPr>
          </c:dPt>
          <c:dPt>
            <c:idx val="4"/>
            <c:bubble3D val="0"/>
            <c:spPr>
              <a:solidFill>
                <a:srgbClr val="660066"/>
              </a:solidFill>
              <a:ln w="12700">
                <a:solidFill>
                  <a:srgbClr val="000000"/>
                </a:solidFill>
                <a:prstDash val="solid"/>
              </a:ln>
            </c:spPr>
          </c:dPt>
          <c:dPt>
            <c:idx val="5"/>
            <c:bubble3D val="0"/>
            <c:spPr>
              <a:solidFill>
                <a:srgbClr val="FF8080"/>
              </a:solidFill>
              <a:ln w="12700">
                <a:solidFill>
                  <a:srgbClr val="000000"/>
                </a:solidFill>
                <a:prstDash val="solid"/>
              </a:ln>
            </c:spPr>
          </c:dPt>
          <c:dPt>
            <c:idx val="6"/>
            <c:bubble3D val="0"/>
            <c:spPr>
              <a:solidFill>
                <a:srgbClr val="FF0000"/>
              </a:solidFill>
              <a:ln w="12700">
                <a:solidFill>
                  <a:srgbClr val="000000"/>
                </a:solidFill>
                <a:prstDash val="solid"/>
              </a:ln>
            </c:spPr>
          </c:dPt>
          <c:dPt>
            <c:idx val="7"/>
            <c:bubble3D val="0"/>
            <c:spPr>
              <a:solidFill>
                <a:srgbClr val="CCCCFF"/>
              </a:solidFill>
              <a:ln w="12700">
                <a:solidFill>
                  <a:srgbClr val="000000"/>
                </a:solidFill>
                <a:prstDash val="solid"/>
              </a:ln>
            </c:spPr>
          </c:dPt>
          <c:dPt>
            <c:idx val="8"/>
            <c:bubble3D val="0"/>
            <c:spPr>
              <a:solidFill>
                <a:srgbClr val="FFFF99"/>
              </a:solidFill>
              <a:ln w="12700">
                <a:solidFill>
                  <a:srgbClr val="000000"/>
                </a:solidFill>
                <a:prstDash val="solid"/>
              </a:ln>
            </c:spPr>
          </c:dPt>
          <c:dPt>
            <c:idx val="9"/>
            <c:bubble3D val="0"/>
            <c:spPr>
              <a:solidFill>
                <a:srgbClr val="FF00FF"/>
              </a:solidFill>
              <a:ln w="12700">
                <a:solidFill>
                  <a:srgbClr val="000000"/>
                </a:solidFill>
                <a:prstDash val="solid"/>
              </a:ln>
            </c:spPr>
          </c:dPt>
          <c:dPt>
            <c:idx val="10"/>
            <c:bubble3D val="0"/>
            <c:spPr>
              <a:solidFill>
                <a:srgbClr val="FFFF00"/>
              </a:solidFill>
              <a:ln w="12700">
                <a:solidFill>
                  <a:srgbClr val="000000"/>
                </a:solidFill>
                <a:prstDash val="solid"/>
              </a:ln>
            </c:spPr>
          </c:dPt>
          <c:dPt>
            <c:idx val="11"/>
            <c:bubble3D val="0"/>
            <c:spPr>
              <a:solidFill>
                <a:srgbClr val="00FFFF"/>
              </a:solidFill>
              <a:ln w="12700">
                <a:solidFill>
                  <a:srgbClr val="000000"/>
                </a:solidFill>
                <a:prstDash val="solid"/>
              </a:ln>
            </c:spPr>
          </c:dPt>
          <c:dLbls>
            <c:numFmt formatCode="0%" sourceLinked="0"/>
            <c:spPr>
              <a:noFill/>
              <a:ln w="25400">
                <a:noFill/>
              </a:ln>
            </c:spPr>
            <c:txPr>
              <a:bodyPr/>
              <a:lstStyle/>
              <a:p>
                <a:pPr>
                  <a:defRPr sz="300" b="0" i="0" u="none" strike="noStrike" baseline="0">
                    <a:solidFill>
                      <a:srgbClr val="000000"/>
                    </a:solidFill>
                    <a:latin typeface="Times New Roman"/>
                    <a:ea typeface="Times New Roman"/>
                    <a:cs typeface="Times New Roman"/>
                  </a:defRPr>
                </a:pPr>
                <a:endParaRPr lang="en-US"/>
              </a:p>
            </c:txPr>
            <c:showLegendKey val="0"/>
            <c:showVal val="0"/>
            <c:showCatName val="0"/>
            <c:showSerName val="0"/>
            <c:showPercent val="1"/>
            <c:showBubbleSize val="0"/>
            <c:showLeaderLines val="1"/>
          </c:dLbls>
          <c:val>
            <c:numLit>
              <c:formatCode>General</c:formatCode>
              <c:ptCount val="12"/>
              <c:pt idx="1">
                <c:v>119.26614807267535</c:v>
              </c:pt>
              <c:pt idx="2">
                <c:v>0.73385192732465099</c:v>
              </c:pt>
              <c:pt idx="3">
                <c:v>120</c:v>
              </c:pt>
              <c:pt idx="5">
                <c:v>22.212300906916489</c:v>
              </c:pt>
              <c:pt idx="6">
                <c:v>0.38769909308351252</c:v>
              </c:pt>
              <c:pt idx="8">
                <c:v>22.6</c:v>
              </c:pt>
              <c:pt idx="10">
                <c:v>66.137125950343844</c:v>
              </c:pt>
              <c:pt idx="11">
                <c:v>67.234999999999999</c:v>
              </c:pt>
            </c:numLit>
          </c:val>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rgbClr val="FFFFFF"/>
    </a:solidFill>
    <a:ln w="3175">
      <a:solidFill>
        <a:srgbClr val="000000"/>
      </a:solidFill>
      <a:prstDash val="solid"/>
    </a:ln>
  </c:spPr>
  <c:txPr>
    <a:bodyPr/>
    <a:lstStyle/>
    <a:p>
      <a:pPr>
        <a:defRPr sz="300" b="0" i="0" u="none" strike="noStrike" baseline="0">
          <a:solidFill>
            <a:srgbClr val="000000"/>
          </a:solidFill>
          <a:latin typeface="Times New Roman"/>
          <a:ea typeface="Times New Roman"/>
          <a:cs typeface="Times New Roman"/>
        </a:defRPr>
      </a:pPr>
      <a:endParaRPr lang="en-US"/>
    </a:p>
  </c:txPr>
  <c:printSettings>
    <c:headerFooter alignWithMargins="0"/>
    <c:pageMargins b="1" l="0.75" r="0.75" t="1"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spPr>
            <a:solidFill>
              <a:srgbClr val="9999FF"/>
            </a:solidFill>
            <a:ln w="12700">
              <a:solidFill>
                <a:srgbClr val="000000"/>
              </a:solidFill>
              <a:prstDash val="solid"/>
            </a:ln>
          </c:spPr>
          <c:dPt>
            <c:idx val="0"/>
            <c:bubble3D val="0"/>
            <c:spPr>
              <a:solidFill>
                <a:srgbClr val="CCFFCC"/>
              </a:solidFill>
              <a:ln w="12700">
                <a:solidFill>
                  <a:srgbClr val="000000"/>
                </a:solidFill>
                <a:prstDash val="solid"/>
              </a:ln>
            </c:spPr>
          </c:dPt>
          <c:dPt>
            <c:idx val="1"/>
            <c:bubble3D val="0"/>
            <c:spPr>
              <a:solidFill>
                <a:srgbClr val="993366"/>
              </a:solidFill>
              <a:ln w="12700">
                <a:solidFill>
                  <a:srgbClr val="000000"/>
                </a:solidFill>
                <a:prstDash val="solid"/>
              </a:ln>
            </c:spPr>
          </c:dPt>
          <c:dPt>
            <c:idx val="2"/>
            <c:bubble3D val="0"/>
            <c:spPr>
              <a:solidFill>
                <a:srgbClr val="FFFFCC"/>
              </a:solidFill>
              <a:ln w="12700">
                <a:solidFill>
                  <a:srgbClr val="000000"/>
                </a:solidFill>
                <a:prstDash val="solid"/>
              </a:ln>
            </c:spPr>
          </c:dPt>
          <c:dPt>
            <c:idx val="3"/>
            <c:bubble3D val="0"/>
            <c:spPr>
              <a:solidFill>
                <a:srgbClr val="CCFFFF"/>
              </a:solidFill>
              <a:ln w="12700">
                <a:solidFill>
                  <a:srgbClr val="000000"/>
                </a:solidFill>
                <a:prstDash val="solid"/>
              </a:ln>
            </c:spPr>
          </c:dPt>
          <c:dPt>
            <c:idx val="4"/>
            <c:bubble3D val="0"/>
            <c:spPr>
              <a:solidFill>
                <a:srgbClr val="660066"/>
              </a:solidFill>
              <a:ln w="12700">
                <a:solidFill>
                  <a:srgbClr val="000000"/>
                </a:solidFill>
                <a:prstDash val="solid"/>
              </a:ln>
            </c:spPr>
          </c:dPt>
          <c:dPt>
            <c:idx val="5"/>
            <c:bubble3D val="0"/>
            <c:spPr>
              <a:solidFill>
                <a:srgbClr val="FF8080"/>
              </a:solidFill>
              <a:ln w="12700">
                <a:solidFill>
                  <a:srgbClr val="000000"/>
                </a:solidFill>
                <a:prstDash val="solid"/>
              </a:ln>
            </c:spPr>
          </c:dPt>
          <c:dPt>
            <c:idx val="6"/>
            <c:bubble3D val="0"/>
            <c:spPr>
              <a:solidFill>
                <a:srgbClr val="FF0000"/>
              </a:solidFill>
              <a:ln w="12700">
                <a:solidFill>
                  <a:srgbClr val="000000"/>
                </a:solidFill>
                <a:prstDash val="solid"/>
              </a:ln>
            </c:spPr>
          </c:dPt>
          <c:dPt>
            <c:idx val="7"/>
            <c:bubble3D val="0"/>
            <c:spPr>
              <a:solidFill>
                <a:srgbClr val="CCCCFF"/>
              </a:solidFill>
              <a:ln w="12700">
                <a:solidFill>
                  <a:srgbClr val="000000"/>
                </a:solidFill>
                <a:prstDash val="solid"/>
              </a:ln>
            </c:spPr>
          </c:dPt>
          <c:dPt>
            <c:idx val="8"/>
            <c:bubble3D val="0"/>
            <c:spPr>
              <a:solidFill>
                <a:srgbClr val="FFFF99"/>
              </a:solidFill>
              <a:ln w="12700">
                <a:solidFill>
                  <a:srgbClr val="000000"/>
                </a:solidFill>
                <a:prstDash val="solid"/>
              </a:ln>
            </c:spPr>
          </c:dPt>
          <c:dPt>
            <c:idx val="9"/>
            <c:bubble3D val="0"/>
            <c:spPr>
              <a:solidFill>
                <a:srgbClr val="FF00FF"/>
              </a:solidFill>
              <a:ln w="12700">
                <a:solidFill>
                  <a:srgbClr val="000000"/>
                </a:solidFill>
                <a:prstDash val="solid"/>
              </a:ln>
            </c:spPr>
          </c:dPt>
          <c:dPt>
            <c:idx val="10"/>
            <c:bubble3D val="0"/>
            <c:spPr>
              <a:solidFill>
                <a:srgbClr val="FFFF00"/>
              </a:solidFill>
              <a:ln w="12700">
                <a:solidFill>
                  <a:srgbClr val="000000"/>
                </a:solidFill>
                <a:prstDash val="solid"/>
              </a:ln>
            </c:spPr>
          </c:dPt>
          <c:dPt>
            <c:idx val="11"/>
            <c:bubble3D val="0"/>
            <c:spPr>
              <a:solidFill>
                <a:srgbClr val="00FFFF"/>
              </a:solidFill>
              <a:ln w="12700">
                <a:solidFill>
                  <a:srgbClr val="000000"/>
                </a:solidFill>
                <a:prstDash val="solid"/>
              </a:ln>
            </c:spPr>
          </c:dPt>
          <c:dLbls>
            <c:numFmt formatCode="0%" sourceLinked="0"/>
            <c:spPr>
              <a:noFill/>
              <a:ln w="25400">
                <a:noFill/>
              </a:ln>
            </c:spPr>
            <c:txPr>
              <a:bodyPr/>
              <a:lstStyle/>
              <a:p>
                <a:pPr>
                  <a:defRPr sz="300" b="0" i="0" u="none" strike="noStrike" baseline="0">
                    <a:solidFill>
                      <a:srgbClr val="000000"/>
                    </a:solidFill>
                    <a:latin typeface="Times New Roman"/>
                    <a:ea typeface="Times New Roman"/>
                    <a:cs typeface="Times New Roman"/>
                  </a:defRPr>
                </a:pPr>
                <a:endParaRPr lang="en-US"/>
              </a:p>
            </c:txPr>
            <c:showLegendKey val="0"/>
            <c:showVal val="0"/>
            <c:showCatName val="0"/>
            <c:showSerName val="0"/>
            <c:showPercent val="1"/>
            <c:showBubbleSize val="0"/>
            <c:showLeaderLines val="1"/>
          </c:dLbls>
          <c:val>
            <c:numLit>
              <c:formatCode>General</c:formatCode>
              <c:ptCount val="12"/>
              <c:pt idx="1">
                <c:v>119.26614807267535</c:v>
              </c:pt>
              <c:pt idx="2">
                <c:v>0.73385192732465099</c:v>
              </c:pt>
              <c:pt idx="3">
                <c:v>120</c:v>
              </c:pt>
              <c:pt idx="5">
                <c:v>22.212300906916489</c:v>
              </c:pt>
              <c:pt idx="6">
                <c:v>0.38769909308351252</c:v>
              </c:pt>
              <c:pt idx="8">
                <c:v>22.6</c:v>
              </c:pt>
              <c:pt idx="10">
                <c:v>66.137125950343844</c:v>
              </c:pt>
              <c:pt idx="11">
                <c:v>67.234999999999999</c:v>
              </c:pt>
            </c:numLit>
          </c:val>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rgbClr val="FFFFFF"/>
    </a:solidFill>
    <a:ln w="3175">
      <a:solidFill>
        <a:srgbClr val="000000"/>
      </a:solidFill>
      <a:prstDash val="solid"/>
    </a:ln>
  </c:spPr>
  <c:txPr>
    <a:bodyPr/>
    <a:lstStyle/>
    <a:p>
      <a:pPr>
        <a:defRPr sz="300" b="0" i="0" u="none" strike="noStrike" baseline="0">
          <a:solidFill>
            <a:srgbClr val="000000"/>
          </a:solidFill>
          <a:latin typeface="Times New Roman"/>
          <a:ea typeface="Times New Roman"/>
          <a:cs typeface="Times New Roman"/>
        </a:defRPr>
      </a:pPr>
      <a:endParaRPr lang="en-US"/>
    </a:p>
  </c:txPr>
  <c:printSettings>
    <c:headerFooter alignWithMargins="0"/>
    <c:pageMargins b="1" l="0.75" r="0.75" t="1"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spPr>
            <a:solidFill>
              <a:srgbClr val="9999FF"/>
            </a:solidFill>
            <a:ln w="12700">
              <a:solidFill>
                <a:srgbClr val="000000"/>
              </a:solidFill>
              <a:prstDash val="solid"/>
            </a:ln>
          </c:spPr>
          <c:dPt>
            <c:idx val="0"/>
            <c:bubble3D val="0"/>
            <c:spPr>
              <a:solidFill>
                <a:srgbClr val="CCFFCC"/>
              </a:solidFill>
              <a:ln w="12700">
                <a:solidFill>
                  <a:srgbClr val="000000"/>
                </a:solidFill>
                <a:prstDash val="solid"/>
              </a:ln>
            </c:spPr>
          </c:dPt>
          <c:dPt>
            <c:idx val="1"/>
            <c:bubble3D val="0"/>
            <c:spPr>
              <a:solidFill>
                <a:srgbClr val="993366"/>
              </a:solidFill>
              <a:ln w="12700">
                <a:solidFill>
                  <a:srgbClr val="000000"/>
                </a:solidFill>
                <a:prstDash val="solid"/>
              </a:ln>
            </c:spPr>
          </c:dPt>
          <c:dPt>
            <c:idx val="2"/>
            <c:bubble3D val="0"/>
            <c:spPr>
              <a:solidFill>
                <a:srgbClr val="FFFFCC"/>
              </a:solidFill>
              <a:ln w="12700">
                <a:solidFill>
                  <a:srgbClr val="000000"/>
                </a:solidFill>
                <a:prstDash val="solid"/>
              </a:ln>
            </c:spPr>
          </c:dPt>
          <c:dPt>
            <c:idx val="3"/>
            <c:bubble3D val="0"/>
            <c:spPr>
              <a:solidFill>
                <a:srgbClr val="CCFFFF"/>
              </a:solidFill>
              <a:ln w="12700">
                <a:solidFill>
                  <a:srgbClr val="000000"/>
                </a:solidFill>
                <a:prstDash val="solid"/>
              </a:ln>
            </c:spPr>
          </c:dPt>
          <c:dPt>
            <c:idx val="4"/>
            <c:bubble3D val="0"/>
            <c:spPr>
              <a:solidFill>
                <a:srgbClr val="660066"/>
              </a:solidFill>
              <a:ln w="12700">
                <a:solidFill>
                  <a:srgbClr val="000000"/>
                </a:solidFill>
                <a:prstDash val="solid"/>
              </a:ln>
            </c:spPr>
          </c:dPt>
          <c:dPt>
            <c:idx val="5"/>
            <c:bubble3D val="0"/>
            <c:spPr>
              <a:solidFill>
                <a:srgbClr val="FF8080"/>
              </a:solidFill>
              <a:ln w="12700">
                <a:solidFill>
                  <a:srgbClr val="000000"/>
                </a:solidFill>
                <a:prstDash val="solid"/>
              </a:ln>
            </c:spPr>
          </c:dPt>
          <c:dPt>
            <c:idx val="6"/>
            <c:bubble3D val="0"/>
            <c:spPr>
              <a:solidFill>
                <a:srgbClr val="FF0000"/>
              </a:solidFill>
              <a:ln w="12700">
                <a:solidFill>
                  <a:srgbClr val="000000"/>
                </a:solidFill>
                <a:prstDash val="solid"/>
              </a:ln>
            </c:spPr>
          </c:dPt>
          <c:dPt>
            <c:idx val="7"/>
            <c:bubble3D val="0"/>
            <c:spPr>
              <a:solidFill>
                <a:srgbClr val="CCCCFF"/>
              </a:solidFill>
              <a:ln w="12700">
                <a:solidFill>
                  <a:srgbClr val="000000"/>
                </a:solidFill>
                <a:prstDash val="solid"/>
              </a:ln>
            </c:spPr>
          </c:dPt>
          <c:dPt>
            <c:idx val="8"/>
            <c:bubble3D val="0"/>
            <c:spPr>
              <a:solidFill>
                <a:srgbClr val="FFFF99"/>
              </a:solidFill>
              <a:ln w="12700">
                <a:solidFill>
                  <a:srgbClr val="000000"/>
                </a:solidFill>
                <a:prstDash val="solid"/>
              </a:ln>
            </c:spPr>
          </c:dPt>
          <c:dPt>
            <c:idx val="9"/>
            <c:bubble3D val="0"/>
            <c:spPr>
              <a:solidFill>
                <a:srgbClr val="FF00FF"/>
              </a:solidFill>
              <a:ln w="12700">
                <a:solidFill>
                  <a:srgbClr val="000000"/>
                </a:solidFill>
                <a:prstDash val="solid"/>
              </a:ln>
            </c:spPr>
          </c:dPt>
          <c:dPt>
            <c:idx val="10"/>
            <c:bubble3D val="0"/>
            <c:spPr>
              <a:solidFill>
                <a:srgbClr val="FFFF00"/>
              </a:solidFill>
              <a:ln w="12700">
                <a:solidFill>
                  <a:srgbClr val="000000"/>
                </a:solidFill>
                <a:prstDash val="solid"/>
              </a:ln>
            </c:spPr>
          </c:dPt>
          <c:dPt>
            <c:idx val="11"/>
            <c:bubble3D val="0"/>
            <c:spPr>
              <a:solidFill>
                <a:srgbClr val="00FFFF"/>
              </a:solidFill>
              <a:ln w="12700">
                <a:solidFill>
                  <a:srgbClr val="000000"/>
                </a:solidFill>
                <a:prstDash val="solid"/>
              </a:ln>
            </c:spPr>
          </c:dPt>
          <c:dLbls>
            <c:numFmt formatCode="0%" sourceLinked="0"/>
            <c:spPr>
              <a:noFill/>
              <a:ln w="25400">
                <a:noFill/>
              </a:ln>
            </c:spPr>
            <c:txPr>
              <a:bodyPr/>
              <a:lstStyle/>
              <a:p>
                <a:pPr>
                  <a:defRPr sz="300" b="0" i="0" u="none" strike="noStrike" baseline="0">
                    <a:solidFill>
                      <a:srgbClr val="000000"/>
                    </a:solidFill>
                    <a:latin typeface="Times New Roman"/>
                    <a:ea typeface="Times New Roman"/>
                    <a:cs typeface="Times New Roman"/>
                  </a:defRPr>
                </a:pPr>
                <a:endParaRPr lang="en-US"/>
              </a:p>
            </c:txPr>
            <c:showLegendKey val="0"/>
            <c:showVal val="0"/>
            <c:showCatName val="0"/>
            <c:showSerName val="0"/>
            <c:showPercent val="1"/>
            <c:showBubbleSize val="0"/>
            <c:showLeaderLines val="1"/>
          </c:dLbls>
          <c:val>
            <c:numLit>
              <c:formatCode>General</c:formatCode>
              <c:ptCount val="12"/>
              <c:pt idx="1">
                <c:v>119.26614807267535</c:v>
              </c:pt>
              <c:pt idx="2">
                <c:v>0.73385192732465099</c:v>
              </c:pt>
              <c:pt idx="3">
                <c:v>120</c:v>
              </c:pt>
              <c:pt idx="5">
                <c:v>22.212300906916489</c:v>
              </c:pt>
              <c:pt idx="6">
                <c:v>0.38769909308351252</c:v>
              </c:pt>
              <c:pt idx="8">
                <c:v>22.6</c:v>
              </c:pt>
              <c:pt idx="10">
                <c:v>66.137125950343844</c:v>
              </c:pt>
              <c:pt idx="11">
                <c:v>67.234999999999999</c:v>
              </c:pt>
            </c:numLit>
          </c:val>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rgbClr val="FFFFFF"/>
    </a:solidFill>
    <a:ln w="3175">
      <a:solidFill>
        <a:srgbClr val="000000"/>
      </a:solidFill>
      <a:prstDash val="solid"/>
    </a:ln>
  </c:spPr>
  <c:txPr>
    <a:bodyPr/>
    <a:lstStyle/>
    <a:p>
      <a:pPr>
        <a:defRPr sz="300" b="0" i="0" u="none" strike="noStrike" baseline="0">
          <a:solidFill>
            <a:srgbClr val="000000"/>
          </a:solidFill>
          <a:latin typeface="Times New Roman"/>
          <a:ea typeface="Times New Roman"/>
          <a:cs typeface="Times New Roman"/>
        </a:defRPr>
      </a:pPr>
      <a:endParaRPr lang="en-US"/>
    </a:p>
  </c:txPr>
  <c:printSettings>
    <c:headerFooter alignWithMargins="0"/>
    <c:pageMargins b="1" l="0.75" r="0.75" t="1"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spPr>
            <a:solidFill>
              <a:srgbClr val="9999FF"/>
            </a:solidFill>
            <a:ln w="12700">
              <a:solidFill>
                <a:srgbClr val="000000"/>
              </a:solidFill>
              <a:prstDash val="solid"/>
            </a:ln>
          </c:spPr>
          <c:dPt>
            <c:idx val="0"/>
            <c:bubble3D val="0"/>
            <c:spPr>
              <a:solidFill>
                <a:srgbClr val="CCFFCC"/>
              </a:solidFill>
              <a:ln w="12700">
                <a:solidFill>
                  <a:srgbClr val="000000"/>
                </a:solidFill>
                <a:prstDash val="solid"/>
              </a:ln>
            </c:spPr>
          </c:dPt>
          <c:dPt>
            <c:idx val="1"/>
            <c:bubble3D val="0"/>
            <c:spPr>
              <a:solidFill>
                <a:srgbClr val="993366"/>
              </a:solidFill>
              <a:ln w="12700">
                <a:solidFill>
                  <a:srgbClr val="000000"/>
                </a:solidFill>
                <a:prstDash val="solid"/>
              </a:ln>
            </c:spPr>
          </c:dPt>
          <c:dPt>
            <c:idx val="2"/>
            <c:bubble3D val="0"/>
            <c:spPr>
              <a:solidFill>
                <a:srgbClr val="FFFFCC"/>
              </a:solidFill>
              <a:ln w="12700">
                <a:solidFill>
                  <a:srgbClr val="000000"/>
                </a:solidFill>
                <a:prstDash val="solid"/>
              </a:ln>
            </c:spPr>
          </c:dPt>
          <c:dPt>
            <c:idx val="3"/>
            <c:bubble3D val="0"/>
            <c:spPr>
              <a:solidFill>
                <a:srgbClr val="CCFFFF"/>
              </a:solidFill>
              <a:ln w="12700">
                <a:solidFill>
                  <a:srgbClr val="000000"/>
                </a:solidFill>
                <a:prstDash val="solid"/>
              </a:ln>
            </c:spPr>
          </c:dPt>
          <c:dPt>
            <c:idx val="4"/>
            <c:bubble3D val="0"/>
            <c:spPr>
              <a:solidFill>
                <a:srgbClr val="660066"/>
              </a:solidFill>
              <a:ln w="12700">
                <a:solidFill>
                  <a:srgbClr val="000000"/>
                </a:solidFill>
                <a:prstDash val="solid"/>
              </a:ln>
            </c:spPr>
          </c:dPt>
          <c:dPt>
            <c:idx val="5"/>
            <c:bubble3D val="0"/>
            <c:spPr>
              <a:solidFill>
                <a:srgbClr val="FF8080"/>
              </a:solidFill>
              <a:ln w="12700">
                <a:solidFill>
                  <a:srgbClr val="000000"/>
                </a:solidFill>
                <a:prstDash val="solid"/>
              </a:ln>
            </c:spPr>
          </c:dPt>
          <c:dPt>
            <c:idx val="6"/>
            <c:bubble3D val="0"/>
            <c:spPr>
              <a:solidFill>
                <a:srgbClr val="FF0000"/>
              </a:solidFill>
              <a:ln w="12700">
                <a:solidFill>
                  <a:srgbClr val="000000"/>
                </a:solidFill>
                <a:prstDash val="solid"/>
              </a:ln>
            </c:spPr>
          </c:dPt>
          <c:dPt>
            <c:idx val="7"/>
            <c:bubble3D val="0"/>
            <c:spPr>
              <a:solidFill>
                <a:srgbClr val="CCCCFF"/>
              </a:solidFill>
              <a:ln w="12700">
                <a:solidFill>
                  <a:srgbClr val="000000"/>
                </a:solidFill>
                <a:prstDash val="solid"/>
              </a:ln>
            </c:spPr>
          </c:dPt>
          <c:dPt>
            <c:idx val="8"/>
            <c:bubble3D val="0"/>
            <c:spPr>
              <a:solidFill>
                <a:srgbClr val="FFFF99"/>
              </a:solidFill>
              <a:ln w="12700">
                <a:solidFill>
                  <a:srgbClr val="000000"/>
                </a:solidFill>
                <a:prstDash val="solid"/>
              </a:ln>
            </c:spPr>
          </c:dPt>
          <c:dPt>
            <c:idx val="9"/>
            <c:bubble3D val="0"/>
            <c:spPr>
              <a:solidFill>
                <a:srgbClr val="FF00FF"/>
              </a:solidFill>
              <a:ln w="12700">
                <a:solidFill>
                  <a:srgbClr val="000000"/>
                </a:solidFill>
                <a:prstDash val="solid"/>
              </a:ln>
            </c:spPr>
          </c:dPt>
          <c:dPt>
            <c:idx val="10"/>
            <c:bubble3D val="0"/>
            <c:spPr>
              <a:solidFill>
                <a:srgbClr val="FFFF00"/>
              </a:solidFill>
              <a:ln w="12700">
                <a:solidFill>
                  <a:srgbClr val="000000"/>
                </a:solidFill>
                <a:prstDash val="solid"/>
              </a:ln>
            </c:spPr>
          </c:dPt>
          <c:dPt>
            <c:idx val="11"/>
            <c:bubble3D val="0"/>
            <c:spPr>
              <a:solidFill>
                <a:srgbClr val="00FFFF"/>
              </a:solidFill>
              <a:ln w="12700">
                <a:solidFill>
                  <a:srgbClr val="000000"/>
                </a:solidFill>
                <a:prstDash val="solid"/>
              </a:ln>
            </c:spPr>
          </c:dPt>
          <c:dLbls>
            <c:numFmt formatCode="0%" sourceLinked="0"/>
            <c:spPr>
              <a:noFill/>
              <a:ln w="25400">
                <a:noFill/>
              </a:ln>
            </c:spPr>
            <c:txPr>
              <a:bodyPr/>
              <a:lstStyle/>
              <a:p>
                <a:pPr>
                  <a:defRPr sz="300" b="0" i="0" u="none" strike="noStrike" baseline="0">
                    <a:solidFill>
                      <a:srgbClr val="000000"/>
                    </a:solidFill>
                    <a:latin typeface="Times New Roman"/>
                    <a:ea typeface="Times New Roman"/>
                    <a:cs typeface="Times New Roman"/>
                  </a:defRPr>
                </a:pPr>
                <a:endParaRPr lang="en-US"/>
              </a:p>
            </c:txPr>
            <c:showLegendKey val="0"/>
            <c:showVal val="0"/>
            <c:showCatName val="0"/>
            <c:showSerName val="0"/>
            <c:showPercent val="1"/>
            <c:showBubbleSize val="0"/>
            <c:showLeaderLines val="1"/>
          </c:dLbls>
          <c:val>
            <c:numLit>
              <c:formatCode>General</c:formatCode>
              <c:ptCount val="12"/>
              <c:pt idx="1">
                <c:v>119.26614807267535</c:v>
              </c:pt>
              <c:pt idx="2">
                <c:v>0.73385192732465099</c:v>
              </c:pt>
              <c:pt idx="3">
                <c:v>120</c:v>
              </c:pt>
              <c:pt idx="5">
                <c:v>22.212300906916489</c:v>
              </c:pt>
              <c:pt idx="6">
                <c:v>0.38769909308351252</c:v>
              </c:pt>
              <c:pt idx="8">
                <c:v>22.6</c:v>
              </c:pt>
              <c:pt idx="10">
                <c:v>66.137125950343844</c:v>
              </c:pt>
              <c:pt idx="11">
                <c:v>67.234999999999999</c:v>
              </c:pt>
            </c:numLit>
          </c:val>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rgbClr val="FFFFFF"/>
    </a:solidFill>
    <a:ln w="3175">
      <a:solidFill>
        <a:srgbClr val="000000"/>
      </a:solidFill>
      <a:prstDash val="solid"/>
    </a:ln>
  </c:spPr>
  <c:txPr>
    <a:bodyPr/>
    <a:lstStyle/>
    <a:p>
      <a:pPr>
        <a:defRPr sz="300" b="0" i="0" u="none" strike="noStrike" baseline="0">
          <a:solidFill>
            <a:srgbClr val="000000"/>
          </a:solidFill>
          <a:latin typeface="Times New Roman"/>
          <a:ea typeface="Times New Roman"/>
          <a:cs typeface="Times New Roman"/>
        </a:defRPr>
      </a:pPr>
      <a:endParaRPr lang="en-US"/>
    </a:p>
  </c:txPr>
  <c:printSettings>
    <c:headerFooter alignWithMargins="0"/>
    <c:pageMargins b="1" l="0.75" r="0.75" t="1"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spPr>
            <a:solidFill>
              <a:srgbClr val="9999FF"/>
            </a:solidFill>
            <a:ln w="12700">
              <a:solidFill>
                <a:srgbClr val="000000"/>
              </a:solidFill>
              <a:prstDash val="solid"/>
            </a:ln>
          </c:spPr>
          <c:dPt>
            <c:idx val="0"/>
            <c:bubble3D val="0"/>
            <c:spPr>
              <a:solidFill>
                <a:srgbClr val="CCFFCC"/>
              </a:solidFill>
              <a:ln w="12700">
                <a:solidFill>
                  <a:srgbClr val="000000"/>
                </a:solidFill>
                <a:prstDash val="solid"/>
              </a:ln>
            </c:spPr>
          </c:dPt>
          <c:dPt>
            <c:idx val="1"/>
            <c:bubble3D val="0"/>
            <c:spPr>
              <a:solidFill>
                <a:srgbClr val="993366"/>
              </a:solidFill>
              <a:ln w="12700">
                <a:solidFill>
                  <a:srgbClr val="000000"/>
                </a:solidFill>
                <a:prstDash val="solid"/>
              </a:ln>
            </c:spPr>
          </c:dPt>
          <c:dPt>
            <c:idx val="2"/>
            <c:bubble3D val="0"/>
            <c:spPr>
              <a:solidFill>
                <a:srgbClr val="FFFFCC"/>
              </a:solidFill>
              <a:ln w="12700">
                <a:solidFill>
                  <a:srgbClr val="000000"/>
                </a:solidFill>
                <a:prstDash val="solid"/>
              </a:ln>
            </c:spPr>
          </c:dPt>
          <c:dPt>
            <c:idx val="3"/>
            <c:bubble3D val="0"/>
            <c:spPr>
              <a:solidFill>
                <a:srgbClr val="CCFFFF"/>
              </a:solidFill>
              <a:ln w="12700">
                <a:solidFill>
                  <a:srgbClr val="000000"/>
                </a:solidFill>
                <a:prstDash val="solid"/>
              </a:ln>
            </c:spPr>
          </c:dPt>
          <c:dPt>
            <c:idx val="4"/>
            <c:bubble3D val="0"/>
            <c:spPr>
              <a:solidFill>
                <a:srgbClr val="660066"/>
              </a:solidFill>
              <a:ln w="12700">
                <a:solidFill>
                  <a:srgbClr val="000000"/>
                </a:solidFill>
                <a:prstDash val="solid"/>
              </a:ln>
            </c:spPr>
          </c:dPt>
          <c:dPt>
            <c:idx val="5"/>
            <c:bubble3D val="0"/>
            <c:spPr>
              <a:solidFill>
                <a:srgbClr val="FF8080"/>
              </a:solidFill>
              <a:ln w="12700">
                <a:solidFill>
                  <a:srgbClr val="000000"/>
                </a:solidFill>
                <a:prstDash val="solid"/>
              </a:ln>
            </c:spPr>
          </c:dPt>
          <c:dPt>
            <c:idx val="6"/>
            <c:bubble3D val="0"/>
            <c:spPr>
              <a:solidFill>
                <a:srgbClr val="FF0000"/>
              </a:solidFill>
              <a:ln w="12700">
                <a:solidFill>
                  <a:srgbClr val="000000"/>
                </a:solidFill>
                <a:prstDash val="solid"/>
              </a:ln>
            </c:spPr>
          </c:dPt>
          <c:dPt>
            <c:idx val="7"/>
            <c:bubble3D val="0"/>
            <c:spPr>
              <a:solidFill>
                <a:srgbClr val="CCCCFF"/>
              </a:solidFill>
              <a:ln w="12700">
                <a:solidFill>
                  <a:srgbClr val="000000"/>
                </a:solidFill>
                <a:prstDash val="solid"/>
              </a:ln>
            </c:spPr>
          </c:dPt>
          <c:dPt>
            <c:idx val="8"/>
            <c:bubble3D val="0"/>
            <c:spPr>
              <a:solidFill>
                <a:srgbClr val="FFFF99"/>
              </a:solidFill>
              <a:ln w="12700">
                <a:solidFill>
                  <a:srgbClr val="000000"/>
                </a:solidFill>
                <a:prstDash val="solid"/>
              </a:ln>
            </c:spPr>
          </c:dPt>
          <c:dPt>
            <c:idx val="9"/>
            <c:bubble3D val="0"/>
            <c:spPr>
              <a:solidFill>
                <a:srgbClr val="FF00FF"/>
              </a:solidFill>
              <a:ln w="12700">
                <a:solidFill>
                  <a:srgbClr val="000000"/>
                </a:solidFill>
                <a:prstDash val="solid"/>
              </a:ln>
            </c:spPr>
          </c:dPt>
          <c:dPt>
            <c:idx val="10"/>
            <c:bubble3D val="0"/>
            <c:spPr>
              <a:solidFill>
                <a:srgbClr val="FFFF00"/>
              </a:solidFill>
              <a:ln w="12700">
                <a:solidFill>
                  <a:srgbClr val="000000"/>
                </a:solidFill>
                <a:prstDash val="solid"/>
              </a:ln>
            </c:spPr>
          </c:dPt>
          <c:dPt>
            <c:idx val="11"/>
            <c:bubble3D val="0"/>
            <c:spPr>
              <a:solidFill>
                <a:srgbClr val="00FFFF"/>
              </a:solidFill>
              <a:ln w="12700">
                <a:solidFill>
                  <a:srgbClr val="000000"/>
                </a:solidFill>
                <a:prstDash val="solid"/>
              </a:ln>
            </c:spPr>
          </c:dPt>
          <c:dLbls>
            <c:numFmt formatCode="0%" sourceLinked="0"/>
            <c:spPr>
              <a:noFill/>
              <a:ln w="25400">
                <a:noFill/>
              </a:ln>
            </c:spPr>
            <c:txPr>
              <a:bodyPr/>
              <a:lstStyle/>
              <a:p>
                <a:pPr>
                  <a:defRPr sz="100" b="0" i="0" u="none" strike="noStrike" baseline="0">
                    <a:solidFill>
                      <a:srgbClr val="000000"/>
                    </a:solidFill>
                    <a:latin typeface="Times New Roman"/>
                    <a:ea typeface="Times New Roman"/>
                    <a:cs typeface="Times New Roman"/>
                  </a:defRPr>
                </a:pPr>
                <a:endParaRPr lang="en-US"/>
              </a:p>
            </c:txPr>
            <c:showLegendKey val="0"/>
            <c:showVal val="0"/>
            <c:showCatName val="0"/>
            <c:showSerName val="0"/>
            <c:showPercent val="1"/>
            <c:showBubbleSize val="0"/>
            <c:showLeaderLines val="1"/>
          </c:dLbls>
          <c:val>
            <c:numLit>
              <c:formatCode>General</c:formatCode>
              <c:ptCount val="12"/>
              <c:pt idx="1">
                <c:v>119.26614807267535</c:v>
              </c:pt>
              <c:pt idx="2">
                <c:v>0.73385192732465099</c:v>
              </c:pt>
              <c:pt idx="3">
                <c:v>120</c:v>
              </c:pt>
              <c:pt idx="5">
                <c:v>22.212300906916489</c:v>
              </c:pt>
              <c:pt idx="6">
                <c:v>0.38769909308351252</c:v>
              </c:pt>
              <c:pt idx="8">
                <c:v>22.6</c:v>
              </c:pt>
              <c:pt idx="10">
                <c:v>66.137125950343844</c:v>
              </c:pt>
              <c:pt idx="11">
                <c:v>67.234999999999999</c:v>
              </c:pt>
            </c:numLit>
          </c:val>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Times New Roman"/>
          <a:ea typeface="Times New Roman"/>
          <a:cs typeface="Times New Roman"/>
        </a:defRPr>
      </a:pPr>
      <a:endParaRPr lang="en-US"/>
    </a:p>
  </c:txPr>
  <c:printSettings>
    <c:headerFooter alignWithMargins="0"/>
    <c:pageMargins b="1" l="0.75" r="0.75" t="1" header="0.5" footer="0.5"/>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spPr>
            <a:solidFill>
              <a:srgbClr val="9999FF"/>
            </a:solidFill>
            <a:ln w="12700">
              <a:solidFill>
                <a:srgbClr val="000000"/>
              </a:solidFill>
              <a:prstDash val="solid"/>
            </a:ln>
          </c:spPr>
          <c:dPt>
            <c:idx val="0"/>
            <c:bubble3D val="0"/>
            <c:spPr>
              <a:solidFill>
                <a:srgbClr val="CCFFCC"/>
              </a:solidFill>
              <a:ln w="12700">
                <a:solidFill>
                  <a:srgbClr val="000000"/>
                </a:solidFill>
                <a:prstDash val="solid"/>
              </a:ln>
            </c:spPr>
          </c:dPt>
          <c:dPt>
            <c:idx val="1"/>
            <c:bubble3D val="0"/>
            <c:spPr>
              <a:solidFill>
                <a:srgbClr val="993366"/>
              </a:solidFill>
              <a:ln w="12700">
                <a:solidFill>
                  <a:srgbClr val="000000"/>
                </a:solidFill>
                <a:prstDash val="solid"/>
              </a:ln>
            </c:spPr>
          </c:dPt>
          <c:dPt>
            <c:idx val="2"/>
            <c:bubble3D val="0"/>
            <c:spPr>
              <a:solidFill>
                <a:srgbClr val="FFFFCC"/>
              </a:solidFill>
              <a:ln w="12700">
                <a:solidFill>
                  <a:srgbClr val="000000"/>
                </a:solidFill>
                <a:prstDash val="solid"/>
              </a:ln>
            </c:spPr>
          </c:dPt>
          <c:dPt>
            <c:idx val="3"/>
            <c:bubble3D val="0"/>
            <c:spPr>
              <a:solidFill>
                <a:srgbClr val="CCFFFF"/>
              </a:solidFill>
              <a:ln w="12700">
                <a:solidFill>
                  <a:srgbClr val="000000"/>
                </a:solidFill>
                <a:prstDash val="solid"/>
              </a:ln>
            </c:spPr>
          </c:dPt>
          <c:dPt>
            <c:idx val="4"/>
            <c:bubble3D val="0"/>
            <c:spPr>
              <a:solidFill>
                <a:srgbClr val="660066"/>
              </a:solidFill>
              <a:ln w="12700">
                <a:solidFill>
                  <a:srgbClr val="000000"/>
                </a:solidFill>
                <a:prstDash val="solid"/>
              </a:ln>
            </c:spPr>
          </c:dPt>
          <c:dPt>
            <c:idx val="5"/>
            <c:bubble3D val="0"/>
            <c:spPr>
              <a:solidFill>
                <a:srgbClr val="FF8080"/>
              </a:solidFill>
              <a:ln w="12700">
                <a:solidFill>
                  <a:srgbClr val="000000"/>
                </a:solidFill>
                <a:prstDash val="solid"/>
              </a:ln>
            </c:spPr>
          </c:dPt>
          <c:dPt>
            <c:idx val="6"/>
            <c:bubble3D val="0"/>
            <c:spPr>
              <a:solidFill>
                <a:srgbClr val="FF0000"/>
              </a:solidFill>
              <a:ln w="12700">
                <a:solidFill>
                  <a:srgbClr val="000000"/>
                </a:solidFill>
                <a:prstDash val="solid"/>
              </a:ln>
            </c:spPr>
          </c:dPt>
          <c:dPt>
            <c:idx val="7"/>
            <c:bubble3D val="0"/>
            <c:spPr>
              <a:solidFill>
                <a:srgbClr val="CCCCFF"/>
              </a:solidFill>
              <a:ln w="12700">
                <a:solidFill>
                  <a:srgbClr val="000000"/>
                </a:solidFill>
                <a:prstDash val="solid"/>
              </a:ln>
            </c:spPr>
          </c:dPt>
          <c:dPt>
            <c:idx val="8"/>
            <c:bubble3D val="0"/>
            <c:spPr>
              <a:solidFill>
                <a:srgbClr val="FFFF99"/>
              </a:solidFill>
              <a:ln w="12700">
                <a:solidFill>
                  <a:srgbClr val="000000"/>
                </a:solidFill>
                <a:prstDash val="solid"/>
              </a:ln>
            </c:spPr>
          </c:dPt>
          <c:dPt>
            <c:idx val="9"/>
            <c:bubble3D val="0"/>
            <c:spPr>
              <a:solidFill>
                <a:srgbClr val="FF00FF"/>
              </a:solidFill>
              <a:ln w="12700">
                <a:solidFill>
                  <a:srgbClr val="000000"/>
                </a:solidFill>
                <a:prstDash val="solid"/>
              </a:ln>
            </c:spPr>
          </c:dPt>
          <c:dPt>
            <c:idx val="10"/>
            <c:bubble3D val="0"/>
            <c:spPr>
              <a:solidFill>
                <a:srgbClr val="FFFF00"/>
              </a:solidFill>
              <a:ln w="12700">
                <a:solidFill>
                  <a:srgbClr val="000000"/>
                </a:solidFill>
                <a:prstDash val="solid"/>
              </a:ln>
            </c:spPr>
          </c:dPt>
          <c:dPt>
            <c:idx val="11"/>
            <c:bubble3D val="0"/>
            <c:spPr>
              <a:solidFill>
                <a:srgbClr val="00FFFF"/>
              </a:solidFill>
              <a:ln w="12700">
                <a:solidFill>
                  <a:srgbClr val="000000"/>
                </a:solidFill>
                <a:prstDash val="solid"/>
              </a:ln>
            </c:spPr>
          </c:dPt>
          <c:dLbls>
            <c:numFmt formatCode="0%" sourceLinked="0"/>
            <c:spPr>
              <a:noFill/>
              <a:ln w="25400">
                <a:noFill/>
              </a:ln>
            </c:spPr>
            <c:txPr>
              <a:bodyPr/>
              <a:lstStyle/>
              <a:p>
                <a:pPr>
                  <a:defRPr sz="100" b="0" i="0" u="none" strike="noStrike" baseline="0">
                    <a:solidFill>
                      <a:srgbClr val="000000"/>
                    </a:solidFill>
                    <a:latin typeface="Times New Roman"/>
                    <a:ea typeface="Times New Roman"/>
                    <a:cs typeface="Times New Roman"/>
                  </a:defRPr>
                </a:pPr>
                <a:endParaRPr lang="en-US"/>
              </a:p>
            </c:txPr>
            <c:showLegendKey val="0"/>
            <c:showVal val="0"/>
            <c:showCatName val="0"/>
            <c:showSerName val="0"/>
            <c:showPercent val="1"/>
            <c:showBubbleSize val="0"/>
            <c:showLeaderLines val="1"/>
          </c:dLbls>
          <c:val>
            <c:numLit>
              <c:formatCode>General</c:formatCode>
              <c:ptCount val="12"/>
              <c:pt idx="1">
                <c:v>119.26614807267535</c:v>
              </c:pt>
              <c:pt idx="2">
                <c:v>0.73385192732465099</c:v>
              </c:pt>
              <c:pt idx="3">
                <c:v>120</c:v>
              </c:pt>
              <c:pt idx="5">
                <c:v>22.212300906916489</c:v>
              </c:pt>
              <c:pt idx="6">
                <c:v>0.38769909308351252</c:v>
              </c:pt>
              <c:pt idx="8">
                <c:v>22.6</c:v>
              </c:pt>
              <c:pt idx="10">
                <c:v>66.137125950343844</c:v>
              </c:pt>
              <c:pt idx="11">
                <c:v>67.234999999999999</c:v>
              </c:pt>
            </c:numLit>
          </c:val>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Times New Roman"/>
          <a:ea typeface="Times New Roman"/>
          <a:cs typeface="Times New Roman"/>
        </a:defRPr>
      </a:pPr>
      <a:endParaRPr lang="en-US"/>
    </a:p>
  </c:txPr>
  <c:printSettings>
    <c:headerFooter alignWithMargins="0"/>
    <c:pageMargins b="1" l="0.75" r="0.75" t="1" header="0.5" footer="0.5"/>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spPr>
            <a:solidFill>
              <a:srgbClr val="9999FF"/>
            </a:solidFill>
            <a:ln w="12700">
              <a:solidFill>
                <a:srgbClr val="000000"/>
              </a:solidFill>
              <a:prstDash val="solid"/>
            </a:ln>
          </c:spPr>
          <c:dPt>
            <c:idx val="0"/>
            <c:bubble3D val="0"/>
            <c:spPr>
              <a:solidFill>
                <a:srgbClr val="CCFFCC"/>
              </a:solidFill>
              <a:ln w="12700">
                <a:solidFill>
                  <a:srgbClr val="000000"/>
                </a:solidFill>
                <a:prstDash val="solid"/>
              </a:ln>
            </c:spPr>
          </c:dPt>
          <c:dPt>
            <c:idx val="1"/>
            <c:bubble3D val="0"/>
            <c:spPr>
              <a:solidFill>
                <a:srgbClr val="993366"/>
              </a:solidFill>
              <a:ln w="12700">
                <a:solidFill>
                  <a:srgbClr val="000000"/>
                </a:solidFill>
                <a:prstDash val="solid"/>
              </a:ln>
            </c:spPr>
          </c:dPt>
          <c:dPt>
            <c:idx val="2"/>
            <c:bubble3D val="0"/>
            <c:spPr>
              <a:solidFill>
                <a:srgbClr val="FFFFCC"/>
              </a:solidFill>
              <a:ln w="12700">
                <a:solidFill>
                  <a:srgbClr val="000000"/>
                </a:solidFill>
                <a:prstDash val="solid"/>
              </a:ln>
            </c:spPr>
          </c:dPt>
          <c:dPt>
            <c:idx val="3"/>
            <c:bubble3D val="0"/>
            <c:spPr>
              <a:solidFill>
                <a:srgbClr val="CCFFFF"/>
              </a:solidFill>
              <a:ln w="12700">
                <a:solidFill>
                  <a:srgbClr val="000000"/>
                </a:solidFill>
                <a:prstDash val="solid"/>
              </a:ln>
            </c:spPr>
          </c:dPt>
          <c:dPt>
            <c:idx val="4"/>
            <c:bubble3D val="0"/>
            <c:spPr>
              <a:solidFill>
                <a:srgbClr val="660066"/>
              </a:solidFill>
              <a:ln w="12700">
                <a:solidFill>
                  <a:srgbClr val="000000"/>
                </a:solidFill>
                <a:prstDash val="solid"/>
              </a:ln>
            </c:spPr>
          </c:dPt>
          <c:dPt>
            <c:idx val="5"/>
            <c:bubble3D val="0"/>
            <c:spPr>
              <a:solidFill>
                <a:srgbClr val="FF8080"/>
              </a:solidFill>
              <a:ln w="12700">
                <a:solidFill>
                  <a:srgbClr val="000000"/>
                </a:solidFill>
                <a:prstDash val="solid"/>
              </a:ln>
            </c:spPr>
          </c:dPt>
          <c:dPt>
            <c:idx val="6"/>
            <c:bubble3D val="0"/>
            <c:spPr>
              <a:solidFill>
                <a:srgbClr val="FF0000"/>
              </a:solidFill>
              <a:ln w="12700">
                <a:solidFill>
                  <a:srgbClr val="000000"/>
                </a:solidFill>
                <a:prstDash val="solid"/>
              </a:ln>
            </c:spPr>
          </c:dPt>
          <c:dPt>
            <c:idx val="7"/>
            <c:bubble3D val="0"/>
            <c:spPr>
              <a:solidFill>
                <a:srgbClr val="CCCCFF"/>
              </a:solidFill>
              <a:ln w="12700">
                <a:solidFill>
                  <a:srgbClr val="000000"/>
                </a:solidFill>
                <a:prstDash val="solid"/>
              </a:ln>
            </c:spPr>
          </c:dPt>
          <c:dPt>
            <c:idx val="8"/>
            <c:bubble3D val="0"/>
            <c:spPr>
              <a:solidFill>
                <a:srgbClr val="FFFF99"/>
              </a:solidFill>
              <a:ln w="12700">
                <a:solidFill>
                  <a:srgbClr val="000000"/>
                </a:solidFill>
                <a:prstDash val="solid"/>
              </a:ln>
            </c:spPr>
          </c:dPt>
          <c:dPt>
            <c:idx val="9"/>
            <c:bubble3D val="0"/>
            <c:spPr>
              <a:solidFill>
                <a:srgbClr val="FF00FF"/>
              </a:solidFill>
              <a:ln w="12700">
                <a:solidFill>
                  <a:srgbClr val="000000"/>
                </a:solidFill>
                <a:prstDash val="solid"/>
              </a:ln>
            </c:spPr>
          </c:dPt>
          <c:dPt>
            <c:idx val="10"/>
            <c:bubble3D val="0"/>
            <c:spPr>
              <a:solidFill>
                <a:srgbClr val="FFFF00"/>
              </a:solidFill>
              <a:ln w="12700">
                <a:solidFill>
                  <a:srgbClr val="000000"/>
                </a:solidFill>
                <a:prstDash val="solid"/>
              </a:ln>
            </c:spPr>
          </c:dPt>
          <c:dPt>
            <c:idx val="11"/>
            <c:bubble3D val="0"/>
            <c:spPr>
              <a:solidFill>
                <a:srgbClr val="00FFFF"/>
              </a:solidFill>
              <a:ln w="12700">
                <a:solidFill>
                  <a:srgbClr val="000000"/>
                </a:solidFill>
                <a:prstDash val="solid"/>
              </a:ln>
            </c:spPr>
          </c:dPt>
          <c:dLbls>
            <c:numFmt formatCode="0%" sourceLinked="0"/>
            <c:spPr>
              <a:noFill/>
              <a:ln w="25400">
                <a:noFill/>
              </a:ln>
            </c:spPr>
            <c:txPr>
              <a:bodyPr/>
              <a:lstStyle/>
              <a:p>
                <a:pPr>
                  <a:defRPr sz="100" b="0" i="0" u="none" strike="noStrike" baseline="0">
                    <a:solidFill>
                      <a:srgbClr val="000000"/>
                    </a:solidFill>
                    <a:latin typeface="Times New Roman"/>
                    <a:ea typeface="Times New Roman"/>
                    <a:cs typeface="Times New Roman"/>
                  </a:defRPr>
                </a:pPr>
                <a:endParaRPr lang="en-US"/>
              </a:p>
            </c:txPr>
            <c:showLegendKey val="0"/>
            <c:showVal val="0"/>
            <c:showCatName val="0"/>
            <c:showSerName val="0"/>
            <c:showPercent val="1"/>
            <c:showBubbleSize val="0"/>
            <c:showLeaderLines val="1"/>
          </c:dLbls>
          <c:val>
            <c:numLit>
              <c:formatCode>General</c:formatCode>
              <c:ptCount val="12"/>
              <c:pt idx="1">
                <c:v>119.26614807267535</c:v>
              </c:pt>
              <c:pt idx="2">
                <c:v>0.73385192732465099</c:v>
              </c:pt>
              <c:pt idx="3">
                <c:v>120</c:v>
              </c:pt>
              <c:pt idx="5">
                <c:v>22.212300906916489</c:v>
              </c:pt>
              <c:pt idx="6">
                <c:v>0.38769909308351252</c:v>
              </c:pt>
              <c:pt idx="8">
                <c:v>22.6</c:v>
              </c:pt>
              <c:pt idx="10">
                <c:v>66.137125950343844</c:v>
              </c:pt>
              <c:pt idx="11">
                <c:v>67.234999999999999</c:v>
              </c:pt>
            </c:numLit>
          </c:val>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rgbClr val="FFFFFF"/>
    </a:solidFill>
    <a:ln w="12700">
      <a:solidFill>
        <a:srgbClr val="000000"/>
      </a:solidFill>
      <a:prstDash val="solid"/>
    </a:ln>
  </c:spPr>
  <c:txPr>
    <a:bodyPr/>
    <a:lstStyle/>
    <a:p>
      <a:pPr>
        <a:defRPr sz="100" b="0" i="0" u="none" strike="noStrike" baseline="0">
          <a:solidFill>
            <a:srgbClr val="000000"/>
          </a:solidFill>
          <a:latin typeface="Times New Roman"/>
          <a:ea typeface="Times New Roman"/>
          <a:cs typeface="Times New Roman"/>
        </a:defRPr>
      </a:pPr>
      <a:endParaRPr lang="en-US"/>
    </a:p>
  </c:txPr>
  <c:printSettings>
    <c:headerFooter alignWithMargins="0"/>
    <c:pageMargins b="1" l="0.75" r="0.75" t="1"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spPr>
            <a:solidFill>
              <a:srgbClr val="9999FF"/>
            </a:solidFill>
            <a:ln w="12700">
              <a:solidFill>
                <a:srgbClr val="000000"/>
              </a:solidFill>
              <a:prstDash val="solid"/>
            </a:ln>
          </c:spPr>
          <c:dPt>
            <c:idx val="0"/>
            <c:bubble3D val="0"/>
            <c:spPr>
              <a:solidFill>
                <a:srgbClr val="CCFFCC"/>
              </a:solidFill>
              <a:ln w="12700">
                <a:solidFill>
                  <a:srgbClr val="000000"/>
                </a:solidFill>
                <a:prstDash val="solid"/>
              </a:ln>
            </c:spPr>
          </c:dPt>
          <c:dPt>
            <c:idx val="1"/>
            <c:bubble3D val="0"/>
            <c:spPr>
              <a:solidFill>
                <a:srgbClr val="993366"/>
              </a:solidFill>
              <a:ln w="12700">
                <a:solidFill>
                  <a:srgbClr val="000000"/>
                </a:solidFill>
                <a:prstDash val="solid"/>
              </a:ln>
            </c:spPr>
          </c:dPt>
          <c:dPt>
            <c:idx val="2"/>
            <c:bubble3D val="0"/>
            <c:spPr>
              <a:solidFill>
                <a:srgbClr val="FFFFCC"/>
              </a:solidFill>
              <a:ln w="12700">
                <a:solidFill>
                  <a:srgbClr val="000000"/>
                </a:solidFill>
                <a:prstDash val="solid"/>
              </a:ln>
            </c:spPr>
          </c:dPt>
          <c:dPt>
            <c:idx val="3"/>
            <c:bubble3D val="0"/>
            <c:spPr>
              <a:solidFill>
                <a:srgbClr val="CCFFFF"/>
              </a:solidFill>
              <a:ln w="12700">
                <a:solidFill>
                  <a:srgbClr val="000000"/>
                </a:solidFill>
                <a:prstDash val="solid"/>
              </a:ln>
            </c:spPr>
          </c:dPt>
          <c:dPt>
            <c:idx val="4"/>
            <c:bubble3D val="0"/>
            <c:spPr>
              <a:solidFill>
                <a:srgbClr val="660066"/>
              </a:solidFill>
              <a:ln w="12700">
                <a:solidFill>
                  <a:srgbClr val="000000"/>
                </a:solidFill>
                <a:prstDash val="solid"/>
              </a:ln>
            </c:spPr>
          </c:dPt>
          <c:dPt>
            <c:idx val="5"/>
            <c:bubble3D val="0"/>
            <c:spPr>
              <a:solidFill>
                <a:srgbClr val="FF8080"/>
              </a:solidFill>
              <a:ln w="12700">
                <a:solidFill>
                  <a:srgbClr val="000000"/>
                </a:solidFill>
                <a:prstDash val="solid"/>
              </a:ln>
            </c:spPr>
          </c:dPt>
          <c:dPt>
            <c:idx val="6"/>
            <c:bubble3D val="0"/>
            <c:spPr>
              <a:solidFill>
                <a:srgbClr val="FF0000"/>
              </a:solidFill>
              <a:ln w="12700">
                <a:solidFill>
                  <a:srgbClr val="000000"/>
                </a:solidFill>
                <a:prstDash val="solid"/>
              </a:ln>
            </c:spPr>
          </c:dPt>
          <c:dPt>
            <c:idx val="7"/>
            <c:bubble3D val="0"/>
            <c:spPr>
              <a:solidFill>
                <a:srgbClr val="CCCCFF"/>
              </a:solidFill>
              <a:ln w="12700">
                <a:solidFill>
                  <a:srgbClr val="000000"/>
                </a:solidFill>
                <a:prstDash val="solid"/>
              </a:ln>
            </c:spPr>
          </c:dPt>
          <c:dPt>
            <c:idx val="8"/>
            <c:bubble3D val="0"/>
            <c:spPr>
              <a:solidFill>
                <a:srgbClr val="FFFF99"/>
              </a:solidFill>
              <a:ln w="12700">
                <a:solidFill>
                  <a:srgbClr val="000000"/>
                </a:solidFill>
                <a:prstDash val="solid"/>
              </a:ln>
            </c:spPr>
          </c:dPt>
          <c:dPt>
            <c:idx val="9"/>
            <c:bubble3D val="0"/>
            <c:spPr>
              <a:solidFill>
                <a:srgbClr val="FF00FF"/>
              </a:solidFill>
              <a:ln w="12700">
                <a:solidFill>
                  <a:srgbClr val="000000"/>
                </a:solidFill>
                <a:prstDash val="solid"/>
              </a:ln>
            </c:spPr>
          </c:dPt>
          <c:dPt>
            <c:idx val="10"/>
            <c:bubble3D val="0"/>
            <c:spPr>
              <a:solidFill>
                <a:srgbClr val="FFFF00"/>
              </a:solidFill>
              <a:ln w="12700">
                <a:solidFill>
                  <a:srgbClr val="000000"/>
                </a:solidFill>
                <a:prstDash val="solid"/>
              </a:ln>
            </c:spPr>
          </c:dPt>
          <c:dPt>
            <c:idx val="11"/>
            <c:bubble3D val="0"/>
            <c:spPr>
              <a:solidFill>
                <a:srgbClr val="00FFFF"/>
              </a:solidFill>
              <a:ln w="12700">
                <a:solidFill>
                  <a:srgbClr val="000000"/>
                </a:solidFill>
                <a:prstDash val="solid"/>
              </a:ln>
            </c:spPr>
          </c:dPt>
          <c:dLbls>
            <c:numFmt formatCode="0%" sourceLinked="0"/>
            <c:spPr>
              <a:noFill/>
              <a:ln w="25400">
                <a:noFill/>
              </a:ln>
            </c:spPr>
            <c:txPr>
              <a:bodyPr/>
              <a:lstStyle/>
              <a:p>
                <a:pPr>
                  <a:defRPr sz="100" b="0" i="0" u="none" strike="noStrike" baseline="0">
                    <a:solidFill>
                      <a:srgbClr val="000000"/>
                    </a:solidFill>
                    <a:latin typeface="Times New Roman"/>
                    <a:ea typeface="Times New Roman"/>
                    <a:cs typeface="Times New Roman"/>
                  </a:defRPr>
                </a:pPr>
                <a:endParaRPr lang="en-US"/>
              </a:p>
            </c:txPr>
            <c:showLegendKey val="0"/>
            <c:showVal val="0"/>
            <c:showCatName val="0"/>
            <c:showSerName val="0"/>
            <c:showPercent val="1"/>
            <c:showBubbleSize val="0"/>
            <c:showLeaderLines val="1"/>
          </c:dLbls>
          <c:val>
            <c:numLit>
              <c:formatCode>General</c:formatCode>
              <c:ptCount val="12"/>
              <c:pt idx="1">
                <c:v>119.26614807267535</c:v>
              </c:pt>
              <c:pt idx="2">
                <c:v>0.73385192732465099</c:v>
              </c:pt>
              <c:pt idx="3">
                <c:v>120</c:v>
              </c:pt>
              <c:pt idx="5">
                <c:v>22.212300906916489</c:v>
              </c:pt>
              <c:pt idx="6">
                <c:v>0.38769909308351252</c:v>
              </c:pt>
              <c:pt idx="8">
                <c:v>22.6</c:v>
              </c:pt>
              <c:pt idx="10">
                <c:v>66.137125950343844</c:v>
              </c:pt>
              <c:pt idx="11">
                <c:v>67.234999999999999</c:v>
              </c:pt>
            </c:numLit>
          </c:val>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rgbClr val="FFFFFF"/>
    </a:solidFill>
    <a:ln w="12700">
      <a:solidFill>
        <a:srgbClr val="000000"/>
      </a:solidFill>
      <a:prstDash val="solid"/>
    </a:ln>
  </c:spPr>
  <c:txPr>
    <a:bodyPr/>
    <a:lstStyle/>
    <a:p>
      <a:pPr>
        <a:defRPr sz="100" b="0" i="0" u="none" strike="noStrike" baseline="0">
          <a:solidFill>
            <a:srgbClr val="000000"/>
          </a:solidFill>
          <a:latin typeface="Times New Roman"/>
          <a:ea typeface="Times New Roman"/>
          <a:cs typeface="Times New Roman"/>
        </a:defRPr>
      </a:pPr>
      <a:endParaRPr lang="en-US"/>
    </a:p>
  </c:txPr>
  <c:printSettings>
    <c:headerFooter alignWithMargins="0"/>
    <c:pageMargins b="1" l="0.75" r="0.75"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
<Relationship Id="rId1" Target="../media/image1.png" Type="http://schemas.openxmlformats.org/officeDocument/2006/relationships/image"/>
<Relationship Id="rId2" Target="../media/image2.jpeg" Type="http://schemas.openxmlformats.org/officeDocument/2006/relationships/image"/>
<Relationship Id="rId3" Target="../media/image3.gif" Type="http://schemas.openxmlformats.org/officeDocument/2006/relationships/image"/>
</Relationships>

</file>

<file path=xl/drawings/_rels/drawing3.xml.rels><?xml version="1.0" encoding="UTF-8" standalone="yes"?>
<Relationships xmlns="http://schemas.openxmlformats.org/package/2006/relationships">
<Relationship Id="rId1" Target="../media/image4.jpeg" Type="http://schemas.openxmlformats.org/officeDocument/2006/relationships/image"/>
</Relationships>

</file>

<file path=xl/drawings/_rels/drawing4.xml.rels><?xml version="1.0" encoding="UTF-8" standalone="yes"?>
<Relationships xmlns="http://schemas.openxmlformats.org/package/2006/relationships">
<Relationship Id="rId1" Target="../media/image4.jpeg" Type="http://schemas.openxmlformats.org/officeDocument/2006/relationships/image"/>
</Relationships>

</file>

<file path=xl/drawings/_rels/drawing5.xml.rels><?xml version="1.0" encoding="UTF-8" standalone="yes"?>
<Relationships xmlns="http://schemas.openxmlformats.org/package/2006/relationships">
<Relationship Id="rId1" Target="../media/image4.jpeg" Type="http://schemas.openxmlformats.org/officeDocument/2006/relationships/image"/>
</Relationships>

</file>

<file path=xl/drawings/_rels/drawing6.xml.rels><?xml version="1.0" encoding="UTF-8" standalone="yes"?>
<Relationships xmlns="http://schemas.openxmlformats.org/package/2006/relationships">
<Relationship Id="rId1" Target="../media/image4.jpeg" Type="http://schemas.openxmlformats.org/officeDocument/2006/relationships/image"/>
</Relationships>

</file>

<file path=xl/drawings/_rels/drawing7.xml.rels><?xml version="1.0" encoding="UTF-8" standalone="yes"?>
<Relationships xmlns="http://schemas.openxmlformats.org/package/2006/relationships">
<Relationship Id="rId1" Target="../media/image4.jpeg" Type="http://schemas.openxmlformats.org/officeDocument/2006/relationships/image"/>
</Relationships>

</file>

<file path=xl/drawings/_rels/drawing8.xml.rels><?xml version="1.0" encoding="UTF-8" standalone="yes"?>
<Relationships xmlns="http://schemas.openxmlformats.org/package/2006/relationships">
<Relationship Id="rId1" Target="../charts/chart1.xml" Type="http://schemas.openxmlformats.org/officeDocument/2006/relationships/chart"/>
<Relationship Id="rId10" Target="../charts/chart10.xml" Type="http://schemas.openxmlformats.org/officeDocument/2006/relationships/chart"/>
<Relationship Id="rId11" Target="../charts/chart11.xml" Type="http://schemas.openxmlformats.org/officeDocument/2006/relationships/chart"/>
<Relationship Id="rId12" Target="../charts/chart12.xml" Type="http://schemas.openxmlformats.org/officeDocument/2006/relationships/chart"/>
<Relationship Id="rId13" Target="../charts/chart13.xml" Type="http://schemas.openxmlformats.org/officeDocument/2006/relationships/chart"/>
<Relationship Id="rId14" Target="../charts/chart14.xml" Type="http://schemas.openxmlformats.org/officeDocument/2006/relationships/chart"/>
<Relationship Id="rId15" Target="../charts/chart15.xml" Type="http://schemas.openxmlformats.org/officeDocument/2006/relationships/chart"/>
<Relationship Id="rId16" Target="../charts/chart16.xml" Type="http://schemas.openxmlformats.org/officeDocument/2006/relationships/chart"/>
<Relationship Id="rId17" Target="../charts/chart17.xml" Type="http://schemas.openxmlformats.org/officeDocument/2006/relationships/chart"/>
<Relationship Id="rId18" Target="../charts/chart18.xml" Type="http://schemas.openxmlformats.org/officeDocument/2006/relationships/chart"/>
<Relationship Id="rId2" Target="../charts/chart2.xml" Type="http://schemas.openxmlformats.org/officeDocument/2006/relationships/chart"/>
<Relationship Id="rId3" Target="../charts/chart3.xml" Type="http://schemas.openxmlformats.org/officeDocument/2006/relationships/chart"/>
<Relationship Id="rId4" Target="../charts/chart4.xml" Type="http://schemas.openxmlformats.org/officeDocument/2006/relationships/chart"/>
<Relationship Id="rId5" Target="../charts/chart5.xml" Type="http://schemas.openxmlformats.org/officeDocument/2006/relationships/chart"/>
<Relationship Id="rId6" Target="../charts/chart6.xml" Type="http://schemas.openxmlformats.org/officeDocument/2006/relationships/chart"/>
<Relationship Id="rId7" Target="../charts/chart7.xml" Type="http://schemas.openxmlformats.org/officeDocument/2006/relationships/chart"/>
<Relationship Id="rId8" Target="../charts/chart8.xml" Type="http://schemas.openxmlformats.org/officeDocument/2006/relationships/chart"/>
<Relationship Id="rId9" Target="../charts/chart9.xml" Type="http://schemas.openxmlformats.org/officeDocument/2006/relationships/chart"/>
</Relationships>

</file>

<file path=xl/drawings/_rels/drawing9.xml.rels><?xml version="1.0" encoding="UTF-8" standalone="yes"?>
<Relationships xmlns="http://schemas.openxmlformats.org/package/2006/relationships">
<Relationship Id="rId1" Target="../media/image4.jpeg" Type="http://schemas.openxmlformats.org/officeDocument/2006/relationships/image"/>
</Relationships>

</file>

<file path=xl/drawings/_rels/drawing10.xml.rels><?xml version="1.0" encoding="UTF-8" standalone="yes"?>
<Relationships xmlns="http://schemas.openxmlformats.org/package/2006/relationships">
<Relationship Id="rId1" Target="../media/image4.jpeg" Type="http://schemas.openxmlformats.org/officeDocument/2006/relationships/image"/>
</Relationships>

</file>

<file path=xl/drawings/_rels/drawing11.xml.rels><?xml version="1.0" encoding="UTF-8" standalone="yes"?>
<Relationships xmlns="http://schemas.openxmlformats.org/package/2006/relationships">
<Relationship Id="rId1" Target="../media/image4.jpeg" Type="http://schemas.openxmlformats.org/officeDocument/2006/relationships/image"/>
</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28575</xdr:rowOff>
    </xdr:from>
    <xdr:to>
      <xdr:col>0</xdr:col>
      <xdr:colOff>1581150</xdr:colOff>
      <xdr:row>0</xdr:row>
      <xdr:rowOff>323850</xdr:rowOff>
    </xdr:to>
    <xdr:pic>
      <xdr:nvPicPr>
        <xdr:cNvPr id="2"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 y="28575"/>
          <a:ext cx="15621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19050</xdr:colOff>
      <xdr:row>0</xdr:row>
      <xdr:rowOff>95250</xdr:rowOff>
    </xdr:from>
    <xdr:to>
      <xdr:col>0</xdr:col>
      <xdr:colOff>2238375</xdr:colOff>
      <xdr:row>0</xdr:row>
      <xdr:rowOff>314325</xdr:rowOff>
    </xdr:to>
    <xdr:pic>
      <xdr:nvPicPr>
        <xdr:cNvPr id="3" name="Picture 6" descr="MSMS_logo_3" hidden="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9050" y="95250"/>
          <a:ext cx="2219325"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182</xdr:row>
      <xdr:rowOff>0</xdr:rowOff>
    </xdr:from>
    <xdr:to>
      <xdr:col>1</xdr:col>
      <xdr:colOff>390525</xdr:colOff>
      <xdr:row>205</xdr:row>
      <xdr:rowOff>104775</xdr:rowOff>
    </xdr:to>
    <xdr:pic>
      <xdr:nvPicPr>
        <xdr:cNvPr id="43495425" name="Picture 1" descr="C:\Users\marrosen\AppData\Local\Temp\MercuryPriceRatingHistoryChart\ESRX.O_2018_04_12_18_36_08.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7774900"/>
          <a:ext cx="6400800" cy="382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11</xdr:row>
          <xdr:rowOff>152400</xdr:rowOff>
        </xdr:from>
        <xdr:to>
          <xdr:col>1</xdr:col>
          <xdr:colOff>2819400</xdr:colOff>
          <xdr:row>14</xdr:row>
          <xdr:rowOff>152400</xdr:rowOff>
        </xdr:to>
        <xdr:sp macro="" textlink="">
          <xdr:nvSpPr>
            <xdr:cNvPr id="43496449" name="Button 1" hidden="1">
              <a:extLst>
                <a:ext uri="{63B3BB69-23CF-44E3-9099-C40C66FF867C}">
                  <a14:compatExt spid="_x0000_s43496449"/>
                </a:ext>
              </a:extLst>
            </xdr:cNvPr>
            <xdr:cNvSpPr/>
          </xdr:nvSpPr>
          <xdr:spPr>
            <a:xfrm>
              <a:off x="0" y="0"/>
              <a:ext cx="0" cy="0"/>
            </a:xfrm>
            <a:prstGeom prst="rect">
              <a:avLst/>
            </a:prstGeom>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Apply Circular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3067050</xdr:colOff>
          <xdr:row>11</xdr:row>
          <xdr:rowOff>152400</xdr:rowOff>
        </xdr:from>
        <xdr:to>
          <xdr:col>2</xdr:col>
          <xdr:colOff>0</xdr:colOff>
          <xdr:row>14</xdr:row>
          <xdr:rowOff>152400</xdr:rowOff>
        </xdr:to>
        <xdr:sp macro="" textlink="">
          <xdr:nvSpPr>
            <xdr:cNvPr id="43496450" name="Button 2" hidden="1">
              <a:extLst>
                <a:ext uri="{63B3BB69-23CF-44E3-9099-C40C66FF867C}">
                  <a14:compatExt spid="_x0000_s43496450"/>
                </a:ext>
              </a:extLst>
            </xdr:cNvPr>
            <xdr:cNvSpPr/>
          </xdr:nvSpPr>
          <xdr:spPr>
            <a:xfrm>
              <a:off x="0" y="0"/>
              <a:ext cx="0" cy="0"/>
            </a:xfrm>
            <a:prstGeom prst="rect">
              <a:avLst/>
            </a:prstGeom>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Just Display Sheets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5</xdr:col>
      <xdr:colOff>457200</xdr:colOff>
      <xdr:row>0</xdr:row>
      <xdr:rowOff>47625</xdr:rowOff>
    </xdr:from>
    <xdr:to>
      <xdr:col>6</xdr:col>
      <xdr:colOff>228600</xdr:colOff>
      <xdr:row>0</xdr:row>
      <xdr:rowOff>647700</xdr:rowOff>
    </xdr:to>
    <xdr:pic>
      <xdr:nvPicPr>
        <xdr:cNvPr id="44138777"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24475" y="47625"/>
          <a:ext cx="1905000" cy="600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69</xdr:col>
      <xdr:colOff>323850</xdr:colOff>
      <xdr:row>3</xdr:row>
      <xdr:rowOff>47625</xdr:rowOff>
    </xdr:from>
    <xdr:to>
      <xdr:col>87</xdr:col>
      <xdr:colOff>228600</xdr:colOff>
      <xdr:row>5</xdr:row>
      <xdr:rowOff>95250</xdr:rowOff>
    </xdr:to>
    <xdr:pic>
      <xdr:nvPicPr>
        <xdr:cNvPr id="38426148" name="Picture 285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715" t="21819" r="13715" b="21819"/>
        <a:stretch>
          <a:fillRect/>
        </a:stretch>
      </xdr:blipFill>
      <xdr:spPr bwMode="auto">
        <a:xfrm>
          <a:off x="40471725" y="304800"/>
          <a:ext cx="13906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69</xdr:col>
      <xdr:colOff>238125</xdr:colOff>
      <xdr:row>3</xdr:row>
      <xdr:rowOff>19050</xdr:rowOff>
    </xdr:from>
    <xdr:to>
      <xdr:col>87</xdr:col>
      <xdr:colOff>304800</xdr:colOff>
      <xdr:row>4</xdr:row>
      <xdr:rowOff>123825</xdr:rowOff>
    </xdr:to>
    <xdr:pic>
      <xdr:nvPicPr>
        <xdr:cNvPr id="33275669" name="Picture 19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715" t="21819" r="13715" b="21819"/>
        <a:stretch>
          <a:fillRect/>
        </a:stretch>
      </xdr:blipFill>
      <xdr:spPr bwMode="auto">
        <a:xfrm>
          <a:off x="10734675" y="19050"/>
          <a:ext cx="13906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69</xdr:col>
      <xdr:colOff>142875</xdr:colOff>
      <xdr:row>3</xdr:row>
      <xdr:rowOff>9525</xdr:rowOff>
    </xdr:from>
    <xdr:to>
      <xdr:col>87</xdr:col>
      <xdr:colOff>342900</xdr:colOff>
      <xdr:row>4</xdr:row>
      <xdr:rowOff>114300</xdr:rowOff>
    </xdr:to>
    <xdr:pic>
      <xdr:nvPicPr>
        <xdr:cNvPr id="43576627" name="Picture 1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715" t="21819" r="13715" b="21819"/>
        <a:stretch>
          <a:fillRect/>
        </a:stretch>
      </xdr:blipFill>
      <xdr:spPr bwMode="auto">
        <a:xfrm>
          <a:off x="7581900" y="9525"/>
          <a:ext cx="13906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69</xdr:col>
      <xdr:colOff>447675</xdr:colOff>
      <xdr:row>0</xdr:row>
      <xdr:rowOff>28575</xdr:rowOff>
    </xdr:from>
    <xdr:to>
      <xdr:col>87</xdr:col>
      <xdr:colOff>171450</xdr:colOff>
      <xdr:row>1</xdr:row>
      <xdr:rowOff>133350</xdr:rowOff>
    </xdr:to>
    <xdr:pic>
      <xdr:nvPicPr>
        <xdr:cNvPr id="43857190" name="Picture 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715" t="21819" r="13715" b="21819"/>
        <a:stretch>
          <a:fillRect/>
        </a:stretch>
      </xdr:blipFill>
      <xdr:spPr bwMode="auto">
        <a:xfrm>
          <a:off x="5715000" y="28575"/>
          <a:ext cx="13906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29</xdr:col>
      <xdr:colOff>9525</xdr:colOff>
      <xdr:row>9</xdr:row>
      <xdr:rowOff>0</xdr:rowOff>
    </xdr:from>
    <xdr:to>
      <xdr:col>33</xdr:col>
      <xdr:colOff>95250</xdr:colOff>
      <xdr:row>9</xdr:row>
      <xdr:rowOff>0</xdr:rowOff>
    </xdr:to>
    <xdr:graphicFrame macro="">
      <xdr:nvGraphicFramePr>
        <xdr:cNvPr id="49399447"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29</xdr:col>
      <xdr:colOff>9525</xdr:colOff>
      <xdr:row>14</xdr:row>
      <xdr:rowOff>0</xdr:rowOff>
    </xdr:from>
    <xdr:to>
      <xdr:col>33</xdr:col>
      <xdr:colOff>95250</xdr:colOff>
      <xdr:row>14</xdr:row>
      <xdr:rowOff>0</xdr:rowOff>
    </xdr:to>
    <xdr:graphicFrame macro="">
      <xdr:nvGraphicFramePr>
        <xdr:cNvPr id="49399448"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9525</xdr:colOff>
      <xdr:row>9</xdr:row>
      <xdr:rowOff>0</xdr:rowOff>
    </xdr:from>
    <xdr:to>
      <xdr:col>38</xdr:col>
      <xdr:colOff>95250</xdr:colOff>
      <xdr:row>9</xdr:row>
      <xdr:rowOff>0</xdr:rowOff>
    </xdr:to>
    <xdr:graphicFrame macro="">
      <xdr:nvGraphicFramePr>
        <xdr:cNvPr id="49399449"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34</xdr:col>
      <xdr:colOff>9525</xdr:colOff>
      <xdr:row>14</xdr:row>
      <xdr:rowOff>0</xdr:rowOff>
    </xdr:from>
    <xdr:to>
      <xdr:col>38</xdr:col>
      <xdr:colOff>95250</xdr:colOff>
      <xdr:row>14</xdr:row>
      <xdr:rowOff>0</xdr:rowOff>
    </xdr:to>
    <xdr:graphicFrame macro="">
      <xdr:nvGraphicFramePr>
        <xdr:cNvPr id="49399450"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39</xdr:col>
      <xdr:colOff>9525</xdr:colOff>
      <xdr:row>9</xdr:row>
      <xdr:rowOff>0</xdr:rowOff>
    </xdr:from>
    <xdr:to>
      <xdr:col>43</xdr:col>
      <xdr:colOff>95250</xdr:colOff>
      <xdr:row>9</xdr:row>
      <xdr:rowOff>0</xdr:rowOff>
    </xdr:to>
    <xdr:graphicFrame macro="">
      <xdr:nvGraphicFramePr>
        <xdr:cNvPr id="49399451"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39</xdr:col>
      <xdr:colOff>9525</xdr:colOff>
      <xdr:row>14</xdr:row>
      <xdr:rowOff>0</xdr:rowOff>
    </xdr:from>
    <xdr:to>
      <xdr:col>43</xdr:col>
      <xdr:colOff>95250</xdr:colOff>
      <xdr:row>14</xdr:row>
      <xdr:rowOff>0</xdr:rowOff>
    </xdr:to>
    <xdr:graphicFrame macro="">
      <xdr:nvGraphicFramePr>
        <xdr:cNvPr id="49399452"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44</xdr:col>
      <xdr:colOff>9525</xdr:colOff>
      <xdr:row>9</xdr:row>
      <xdr:rowOff>0</xdr:rowOff>
    </xdr:from>
    <xdr:to>
      <xdr:col>48</xdr:col>
      <xdr:colOff>95250</xdr:colOff>
      <xdr:row>9</xdr:row>
      <xdr:rowOff>0</xdr:rowOff>
    </xdr:to>
    <xdr:graphicFrame macro="">
      <xdr:nvGraphicFramePr>
        <xdr:cNvPr id="49399453"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44</xdr:col>
      <xdr:colOff>9525</xdr:colOff>
      <xdr:row>14</xdr:row>
      <xdr:rowOff>0</xdr:rowOff>
    </xdr:from>
    <xdr:to>
      <xdr:col>48</xdr:col>
      <xdr:colOff>95250</xdr:colOff>
      <xdr:row>14</xdr:row>
      <xdr:rowOff>0</xdr:rowOff>
    </xdr:to>
    <xdr:graphicFrame macro="">
      <xdr:nvGraphicFramePr>
        <xdr:cNvPr id="49399454"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49</xdr:col>
      <xdr:colOff>9525</xdr:colOff>
      <xdr:row>9</xdr:row>
      <xdr:rowOff>0</xdr:rowOff>
    </xdr:from>
    <xdr:to>
      <xdr:col>53</xdr:col>
      <xdr:colOff>95250</xdr:colOff>
      <xdr:row>9</xdr:row>
      <xdr:rowOff>0</xdr:rowOff>
    </xdr:to>
    <xdr:graphicFrame macro="">
      <xdr:nvGraphicFramePr>
        <xdr:cNvPr id="49399455"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49</xdr:col>
      <xdr:colOff>9525</xdr:colOff>
      <xdr:row>14</xdr:row>
      <xdr:rowOff>0</xdr:rowOff>
    </xdr:from>
    <xdr:to>
      <xdr:col>53</xdr:col>
      <xdr:colOff>95250</xdr:colOff>
      <xdr:row>14</xdr:row>
      <xdr:rowOff>0</xdr:rowOff>
    </xdr:to>
    <xdr:graphicFrame macro="">
      <xdr:nvGraphicFramePr>
        <xdr:cNvPr id="49399456"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54</xdr:col>
      <xdr:colOff>9525</xdr:colOff>
      <xdr:row>9</xdr:row>
      <xdr:rowOff>0</xdr:rowOff>
    </xdr:from>
    <xdr:to>
      <xdr:col>58</xdr:col>
      <xdr:colOff>95250</xdr:colOff>
      <xdr:row>9</xdr:row>
      <xdr:rowOff>0</xdr:rowOff>
    </xdr:to>
    <xdr:graphicFrame macro="">
      <xdr:nvGraphicFramePr>
        <xdr:cNvPr id="49399457" name="Chart 3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54</xdr:col>
      <xdr:colOff>9525</xdr:colOff>
      <xdr:row>14</xdr:row>
      <xdr:rowOff>0</xdr:rowOff>
    </xdr:from>
    <xdr:to>
      <xdr:col>58</xdr:col>
      <xdr:colOff>95250</xdr:colOff>
      <xdr:row>14</xdr:row>
      <xdr:rowOff>0</xdr:rowOff>
    </xdr:to>
    <xdr:graphicFrame macro="">
      <xdr:nvGraphicFramePr>
        <xdr:cNvPr id="49399458" name="Chart 3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59</xdr:col>
      <xdr:colOff>9525</xdr:colOff>
      <xdr:row>9</xdr:row>
      <xdr:rowOff>0</xdr:rowOff>
    </xdr:from>
    <xdr:to>
      <xdr:col>63</xdr:col>
      <xdr:colOff>95250</xdr:colOff>
      <xdr:row>9</xdr:row>
      <xdr:rowOff>0</xdr:rowOff>
    </xdr:to>
    <xdr:graphicFrame macro="">
      <xdr:nvGraphicFramePr>
        <xdr:cNvPr id="49399459" name="Chart 4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59</xdr:col>
      <xdr:colOff>9525</xdr:colOff>
      <xdr:row>14</xdr:row>
      <xdr:rowOff>0</xdr:rowOff>
    </xdr:from>
    <xdr:to>
      <xdr:col>63</xdr:col>
      <xdr:colOff>95250</xdr:colOff>
      <xdr:row>14</xdr:row>
      <xdr:rowOff>0</xdr:rowOff>
    </xdr:to>
    <xdr:graphicFrame macro="">
      <xdr:nvGraphicFramePr>
        <xdr:cNvPr id="49399460" name="Chart 4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64</xdr:col>
      <xdr:colOff>9525</xdr:colOff>
      <xdr:row>9</xdr:row>
      <xdr:rowOff>0</xdr:rowOff>
    </xdr:from>
    <xdr:to>
      <xdr:col>68</xdr:col>
      <xdr:colOff>95250</xdr:colOff>
      <xdr:row>9</xdr:row>
      <xdr:rowOff>0</xdr:rowOff>
    </xdr:to>
    <xdr:graphicFrame macro="">
      <xdr:nvGraphicFramePr>
        <xdr:cNvPr id="49399461" name="Chart 5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64</xdr:col>
      <xdr:colOff>9525</xdr:colOff>
      <xdr:row>14</xdr:row>
      <xdr:rowOff>0</xdr:rowOff>
    </xdr:from>
    <xdr:to>
      <xdr:col>68</xdr:col>
      <xdr:colOff>95250</xdr:colOff>
      <xdr:row>14</xdr:row>
      <xdr:rowOff>0</xdr:rowOff>
    </xdr:to>
    <xdr:graphicFrame macro="">
      <xdr:nvGraphicFramePr>
        <xdr:cNvPr id="49399462" name="Chart 5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69</xdr:col>
      <xdr:colOff>9525</xdr:colOff>
      <xdr:row>9</xdr:row>
      <xdr:rowOff>0</xdr:rowOff>
    </xdr:from>
    <xdr:to>
      <xdr:col>83</xdr:col>
      <xdr:colOff>95250</xdr:colOff>
      <xdr:row>9</xdr:row>
      <xdr:rowOff>0</xdr:rowOff>
    </xdr:to>
    <xdr:graphicFrame macro="">
      <xdr:nvGraphicFramePr>
        <xdr:cNvPr id="49399463" name="Chart 5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69</xdr:col>
      <xdr:colOff>9525</xdr:colOff>
      <xdr:row>14</xdr:row>
      <xdr:rowOff>0</xdr:rowOff>
    </xdr:from>
    <xdr:to>
      <xdr:col>83</xdr:col>
      <xdr:colOff>95250</xdr:colOff>
      <xdr:row>14</xdr:row>
      <xdr:rowOff>0</xdr:rowOff>
    </xdr:to>
    <xdr:graphicFrame macro="">
      <xdr:nvGraphicFramePr>
        <xdr:cNvPr id="49399464" name="Chart 5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74</xdr:col>
      <xdr:colOff>76200</xdr:colOff>
      <xdr:row>0</xdr:row>
      <xdr:rowOff>28575</xdr:rowOff>
    </xdr:from>
    <xdr:to>
      <xdr:col>85</xdr:col>
      <xdr:colOff>647700</xdr:colOff>
      <xdr:row>1</xdr:row>
      <xdr:rowOff>133350</xdr:rowOff>
    </xdr:to>
    <xdr:pic>
      <xdr:nvPicPr>
        <xdr:cNvPr id="48897386" name="Picture 33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715" t="21819" r="13715" b="21819"/>
        <a:stretch>
          <a:fillRect/>
        </a:stretch>
      </xdr:blipFill>
      <xdr:spPr bwMode="auto">
        <a:xfrm>
          <a:off x="4219575" y="28575"/>
          <a:ext cx="13906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79</xdr:col>
      <xdr:colOff>76200</xdr:colOff>
      <xdr:row>0</xdr:row>
      <xdr:rowOff>28575</xdr:rowOff>
    </xdr:from>
    <xdr:to>
      <xdr:col>85</xdr:col>
      <xdr:colOff>647700</xdr:colOff>
      <xdr:row>1</xdr:row>
      <xdr:rowOff>133350</xdr:rowOff>
    </xdr:to>
    <xdr:pic>
      <xdr:nvPicPr>
        <xdr:cNvPr id="48897387" name="Picture 33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715" t="21819" r="13715" b="21819"/>
        <a:stretch>
          <a:fillRect/>
        </a:stretch>
      </xdr:blipFill>
      <xdr:spPr bwMode="auto">
        <a:xfrm>
          <a:off x="7943850" y="28575"/>
          <a:ext cx="13906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84</xdr:col>
      <xdr:colOff>76200</xdr:colOff>
      <xdr:row>0</xdr:row>
      <xdr:rowOff>28575</xdr:rowOff>
    </xdr:from>
    <xdr:to>
      <xdr:col>86</xdr:col>
      <xdr:colOff>9525</xdr:colOff>
      <xdr:row>1</xdr:row>
      <xdr:rowOff>133350</xdr:rowOff>
    </xdr:to>
    <xdr:pic>
      <xdr:nvPicPr>
        <xdr:cNvPr id="48897388" name="Picture 33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715" t="21819" r="13715" b="21819"/>
        <a:stretch>
          <a:fillRect/>
        </a:stretch>
      </xdr:blipFill>
      <xdr:spPr bwMode="auto">
        <a:xfrm>
          <a:off x="11668125" y="28575"/>
          <a:ext cx="13906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89</xdr:col>
      <xdr:colOff>76200</xdr:colOff>
      <xdr:row>0</xdr:row>
      <xdr:rowOff>28575</xdr:rowOff>
    </xdr:from>
    <xdr:to>
      <xdr:col>91</xdr:col>
      <xdr:colOff>9525</xdr:colOff>
      <xdr:row>1</xdr:row>
      <xdr:rowOff>133350</xdr:rowOff>
    </xdr:to>
    <xdr:pic>
      <xdr:nvPicPr>
        <xdr:cNvPr id="48897389" name="Picture 33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715" t="21819" r="13715" b="21819"/>
        <a:stretch>
          <a:fillRect/>
        </a:stretch>
      </xdr:blipFill>
      <xdr:spPr bwMode="auto">
        <a:xfrm>
          <a:off x="15392400" y="28575"/>
          <a:ext cx="13906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94</xdr:col>
      <xdr:colOff>76200</xdr:colOff>
      <xdr:row>0</xdr:row>
      <xdr:rowOff>28575</xdr:rowOff>
    </xdr:from>
    <xdr:to>
      <xdr:col>99</xdr:col>
      <xdr:colOff>723900</xdr:colOff>
      <xdr:row>1</xdr:row>
      <xdr:rowOff>133350</xdr:rowOff>
    </xdr:to>
    <xdr:pic>
      <xdr:nvPicPr>
        <xdr:cNvPr id="48897390" name="Picture 33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715" t="21819" r="13715" b="21819"/>
        <a:stretch>
          <a:fillRect/>
        </a:stretch>
      </xdr:blipFill>
      <xdr:spPr bwMode="auto">
        <a:xfrm>
          <a:off x="19116675" y="28575"/>
          <a:ext cx="13906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89</xdr:col>
      <xdr:colOff>76200</xdr:colOff>
      <xdr:row>0</xdr:row>
      <xdr:rowOff>28575</xdr:rowOff>
    </xdr:from>
    <xdr:to>
      <xdr:col>91</xdr:col>
      <xdr:colOff>9525</xdr:colOff>
      <xdr:row>1</xdr:row>
      <xdr:rowOff>133350</xdr:rowOff>
    </xdr:to>
    <xdr:pic>
      <xdr:nvPicPr>
        <xdr:cNvPr id="48897391" name="Picture 33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715" t="21819" r="13715" b="21819"/>
        <a:stretch>
          <a:fillRect/>
        </a:stretch>
      </xdr:blipFill>
      <xdr:spPr bwMode="auto">
        <a:xfrm>
          <a:off x="15392400" y="28575"/>
          <a:ext cx="13906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99</xdr:col>
      <xdr:colOff>76200</xdr:colOff>
      <xdr:row>0</xdr:row>
      <xdr:rowOff>28575</xdr:rowOff>
    </xdr:from>
    <xdr:ext cx="1390650" cy="342900"/>
    <xdr:pic>
      <xdr:nvPicPr>
        <xdr:cNvPr id="8" name="Picture 33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715" t="21819" r="13715" b="21819"/>
        <a:stretch>
          <a:fillRect/>
        </a:stretch>
      </xdr:blipFill>
      <xdr:spPr bwMode="auto">
        <a:xfrm>
          <a:off x="64046100" y="28575"/>
          <a:ext cx="13906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104</xdr:col>
      <xdr:colOff>76200</xdr:colOff>
      <xdr:row>0</xdr:row>
      <xdr:rowOff>28575</xdr:rowOff>
    </xdr:from>
    <xdr:ext cx="1390650" cy="342900"/>
    <xdr:pic>
      <xdr:nvPicPr>
        <xdr:cNvPr id="9" name="Picture 33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715" t="21819" r="13715" b="21819"/>
        <a:stretch>
          <a:fillRect/>
        </a:stretch>
      </xdr:blipFill>
      <xdr:spPr bwMode="auto">
        <a:xfrm>
          <a:off x="64046100" y="28575"/>
          <a:ext cx="13906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0.xml><?xml version="1.0" encoding="utf-8"?>
<xdr:wsDr xmlns:xdr="http://schemas.openxmlformats.org/drawingml/2006/spreadsheetDrawing" xmlns:a="http://schemas.openxmlformats.org/drawingml/2006/main">
  <xdr:twoCellAnchor editAs="oneCell">
    <xdr:from>
      <xdr:col>64</xdr:col>
      <xdr:colOff>352425</xdr:colOff>
      <xdr:row>0</xdr:row>
      <xdr:rowOff>0</xdr:rowOff>
    </xdr:from>
    <xdr:to>
      <xdr:col>83</xdr:col>
      <xdr:colOff>76200</xdr:colOff>
      <xdr:row>1</xdr:row>
      <xdr:rowOff>104775</xdr:rowOff>
    </xdr:to>
    <xdr:pic>
      <xdr:nvPicPr>
        <xdr:cNvPr id="43271490" name="Picture 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715" t="21819" r="13715" b="21819"/>
        <a:stretch>
          <a:fillRect/>
        </a:stretch>
      </xdr:blipFill>
      <xdr:spPr bwMode="auto">
        <a:xfrm>
          <a:off x="3914775" y="0"/>
          <a:ext cx="13906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28</xdr:col>
      <xdr:colOff>209550</xdr:colOff>
      <xdr:row>3</xdr:row>
      <xdr:rowOff>9525</xdr:rowOff>
    </xdr:from>
    <xdr:to>
      <xdr:col>47</xdr:col>
      <xdr:colOff>47625</xdr:colOff>
      <xdr:row>5</xdr:row>
      <xdr:rowOff>0</xdr:rowOff>
    </xdr:to>
    <xdr:pic>
      <xdr:nvPicPr>
        <xdr:cNvPr id="38101591" name="Picture 12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715" t="21819" r="13715" b="21819"/>
        <a:stretch>
          <a:fillRect/>
        </a:stretch>
      </xdr:blipFill>
      <xdr:spPr bwMode="auto">
        <a:xfrm>
          <a:off x="5095875" y="495300"/>
          <a:ext cx="13906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
<Relationship Id="rId1" Target="/NA/NY/LIB/ER/HEALTH/Goldwasser/Companies/PBMs/Comps.xls" TargetMode="External" Type="http://schemas.openxmlformats.org/officeDocument/2006/relationships/externalLinkPath"/>
</Relationships>

</file>

<file path=xl/externalLinks/_rels/externalLink2.xml.rels><?xml version="1.0" encoding="UTF-8" standalone="yes"?>
<Relationships xmlns="http://schemas.openxmlformats.org/package/2006/relationships">
<Relationship Id="rId1" Target="HEALTH/Goldwasser/Models/Clients/Rlink/MHS.xls" TargetMode="External" Type="http://schemas.microsoft.com/office/2006/relationships/xlExternalLinkPath/xlStartup"/>
</Relationships>

</file>

<file path=xl/externalLinks/_rels/externalLink3.xml.rels><?xml version="1.0" encoding="UTF-8" standalone="yes"?>
<Relationships xmlns="http://schemas.openxmlformats.org/package/2006/relationships">
<Relationship Id="rId1" Target="Documents%20and%20Settings/rickgold/Local%20Settings/Temporary%20Internet%20Files/OLKF6/PHCC%20Model%207.14.05.xls" TargetMode="External" Type="http://schemas.microsoft.com/office/2006/relationships/xlExternalLinkPath/xlStartup"/>
</Relationships>

</file>

<file path=xl/externalLinks/_rels/externalLink4.xml.rels><?xml version="1.0" encoding="UTF-8" standalone="yes"?>
<Relationships xmlns="http://schemas.openxmlformats.org/package/2006/relationships">
<Relationship Id="rId1" Target="HEALTH/Pharma/Risinger/models/AGN/AGNwk.xls" TargetMode="External" Type="http://schemas.microsoft.com/office/2006/relationships/xlExternalLinkPath/xlStartup"/>
</Relationships>

</file>

<file path=xl/externalLinks/_rels/externalLink5.xml.rels><?xml version="1.0" encoding="UTF-8" standalone="yes"?>
<Relationships xmlns="http://schemas.openxmlformats.org/package/2006/relationships">
<Relationship Id="rId1" Target="HEALTH/Goldwasser/Models/Clients/Rlink/WAG%20Pharmacy%20Buildup%20v13.xls" TargetMode="External" Type="http://schemas.microsoft.com/office/2006/relationships/xlExternalLinkPath/xlStartup"/>
</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rket Share"/>
      <sheetName val="Sheet1"/>
      <sheetName val="Pricing Exhibits"/>
      <sheetName val="New Bear Case"/>
      <sheetName val="Generic EPS Table"/>
      <sheetName val="__FDSCACHE__"/>
      <sheetName val="Growth"/>
      <sheetName val="MW-Cache"/>
      <sheetName val="Scenario Analysis"/>
      <sheetName val="ESRX Charts"/>
      <sheetName val="MHS Charts"/>
      <sheetName val="ESRX Ownership"/>
      <sheetName val="MHS Ownership"/>
      <sheetName val="marketing deck (2)"/>
      <sheetName val="marketing deck"/>
      <sheetName val="Quarterly Updates"/>
      <sheetName val="Retentio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row r="3">
          <cell r="B3" t="str">
            <v xml:space="preserve">                                                                                    </v>
          </cell>
          <cell r="D3">
            <v>1999</v>
          </cell>
          <cell r="E3">
            <v>2000</v>
          </cell>
          <cell r="F3" t="str">
            <v>1Q01</v>
          </cell>
          <cell r="G3" t="str">
            <v>2Q01</v>
          </cell>
          <cell r="H3" t="str">
            <v>3Q01</v>
          </cell>
          <cell r="I3" t="str">
            <v>4Q01</v>
          </cell>
          <cell r="J3">
            <v>2001</v>
          </cell>
          <cell r="K3" t="str">
            <v>1Q02</v>
          </cell>
          <cell r="L3" t="str">
            <v>2Q02</v>
          </cell>
          <cell r="M3" t="str">
            <v>3Q02</v>
          </cell>
          <cell r="N3" t="str">
            <v>4Q02</v>
          </cell>
          <cell r="O3" t="str">
            <v>1Q03</v>
          </cell>
          <cell r="P3" t="str">
            <v>2Q03</v>
          </cell>
          <cell r="Q3" t="str">
            <v>3Q03</v>
          </cell>
          <cell r="R3" t="str">
            <v>4Q03</v>
          </cell>
          <cell r="S3" t="str">
            <v>1Q04</v>
          </cell>
          <cell r="T3" t="str">
            <v>2Q04</v>
          </cell>
          <cell r="U3" t="str">
            <v>3Q04</v>
          </cell>
          <cell r="V3" t="str">
            <v>4Q04</v>
          </cell>
          <cell r="W3" t="str">
            <v>1Q05</v>
          </cell>
          <cell r="X3" t="str">
            <v>2Q05</v>
          </cell>
          <cell r="Y3" t="str">
            <v>3Q05</v>
          </cell>
          <cell r="Z3" t="str">
            <v>4Q05</v>
          </cell>
          <cell r="AA3" t="str">
            <v>1Q06</v>
          </cell>
          <cell r="AB3" t="str">
            <v>2Q06</v>
          </cell>
          <cell r="AC3" t="str">
            <v>3Q06</v>
          </cell>
          <cell r="AD3" t="str">
            <v>4Q06</v>
          </cell>
          <cell r="AE3" t="str">
            <v>1Q07</v>
          </cell>
          <cell r="AF3" t="str">
            <v>2Q07</v>
          </cell>
          <cell r="AG3" t="str">
            <v>3Q07</v>
          </cell>
          <cell r="AH3" t="str">
            <v>4Q07</v>
          </cell>
          <cell r="AI3" t="str">
            <v>1Q08</v>
          </cell>
          <cell r="AJ3" t="str">
            <v>2Q08</v>
          </cell>
          <cell r="AK3" t="str">
            <v>3Q08</v>
          </cell>
          <cell r="AL3" t="str">
            <v>4Q08</v>
          </cell>
          <cell r="AM3" t="str">
            <v>1Q09</v>
          </cell>
          <cell r="AN3" t="str">
            <v>2Q09</v>
          </cell>
          <cell r="AO3" t="str">
            <v>3Q09</v>
          </cell>
          <cell r="AP3" t="str">
            <v>4Q09</v>
          </cell>
          <cell r="AQ3" t="str">
            <v>1Q10</v>
          </cell>
          <cell r="AR3" t="str">
            <v>2Q10</v>
          </cell>
          <cell r="AS3" t="str">
            <v>3Q10</v>
          </cell>
          <cell r="AT3" t="str">
            <v>4Q10</v>
          </cell>
          <cell r="AU3" t="str">
            <v>1Q11</v>
          </cell>
          <cell r="AV3" t="str">
            <v>2Q11</v>
          </cell>
          <cell r="AW3" t="str">
            <v>3Q11</v>
          </cell>
          <cell r="AX3" t="str">
            <v>4Q11</v>
          </cell>
          <cell r="AY3" t="str">
            <v>1Q12</v>
          </cell>
          <cell r="AZ3" t="str">
            <v>2Q12</v>
          </cell>
          <cell r="BA3" t="str">
            <v>3Q12</v>
          </cell>
          <cell r="BB3" t="str">
            <v>4Q12</v>
          </cell>
          <cell r="BC3" t="str">
            <v>1Q13</v>
          </cell>
          <cell r="BD3" t="str">
            <v>2Q13</v>
          </cell>
          <cell r="BE3" t="str">
            <v>3Q13</v>
          </cell>
          <cell r="BF3" t="str">
            <v>4Q13</v>
          </cell>
          <cell r="BG3" t="str">
            <v>1Q14</v>
          </cell>
          <cell r="BH3" t="str">
            <v>2Q14</v>
          </cell>
          <cell r="BI3" t="str">
            <v>3Q14</v>
          </cell>
          <cell r="BJ3" t="str">
            <v>4Q14</v>
          </cell>
        </row>
        <row r="4">
          <cell r="B4" t="str">
            <v>Generic Dispensing Rate</v>
          </cell>
        </row>
        <row r="5">
          <cell r="B5" t="str">
            <v>Generic dispensing rate</v>
          </cell>
          <cell r="K5">
            <v>0.43113041055820595</v>
          </cell>
          <cell r="L5">
            <v>0.43107377988780349</v>
          </cell>
          <cell r="M5">
            <v>0.45</v>
          </cell>
          <cell r="N5">
            <v>0.46</v>
          </cell>
          <cell r="O5">
            <v>0.47129045706930001</v>
          </cell>
          <cell r="P5">
            <v>0.46788578122149566</v>
          </cell>
          <cell r="Q5">
            <v>0.47089944513759974</v>
          </cell>
          <cell r="R5">
            <v>0.48091619426995558</v>
          </cell>
          <cell r="S5">
            <v>0.49404206813908402</v>
          </cell>
          <cell r="T5">
            <v>0.49534500289838546</v>
          </cell>
          <cell r="U5">
            <v>0.51571180026186936</v>
          </cell>
          <cell r="V5">
            <v>0.52</v>
          </cell>
          <cell r="W5">
            <v>0.53687623762376246</v>
          </cell>
          <cell r="X5">
            <v>0.53928846153846166</v>
          </cell>
          <cell r="Y5">
            <v>0.54544636678200686</v>
          </cell>
          <cell r="Z5">
            <v>0.55327635914332784</v>
          </cell>
          <cell r="AA5">
            <v>0.56465661047027504</v>
          </cell>
          <cell r="AB5">
            <v>0.56472134203168689</v>
          </cell>
          <cell r="AC5">
            <v>0.58455856727976763</v>
          </cell>
          <cell r="AD5">
            <v>0.5987562442183163</v>
          </cell>
          <cell r="AE5">
            <v>0.60386891385767805</v>
          </cell>
          <cell r="AF5">
            <v>0.611787356321839</v>
          </cell>
          <cell r="AG5">
            <v>0.62353665689149562</v>
          </cell>
          <cell r="AH5">
            <v>0.63818190298507471</v>
          </cell>
          <cell r="AI5">
            <v>0.65049728426479336</v>
          </cell>
          <cell r="AJ5">
            <v>0.65820654246888122</v>
          </cell>
          <cell r="AK5">
            <v>0.66070129026461411</v>
          </cell>
          <cell r="AL5">
            <v>0.67505595131304441</v>
          </cell>
          <cell r="AM5">
            <v>0.67672610868859173</v>
          </cell>
          <cell r="AN5">
            <v>0.67856295596545424</v>
          </cell>
          <cell r="AO5">
            <v>0.68309549986024853</v>
          </cell>
          <cell r="AP5">
            <v>0.69000274307829257</v>
          </cell>
          <cell r="AQ5">
            <v>0.69704092293290731</v>
          </cell>
          <cell r="AR5">
            <v>0.70298539103430902</v>
          </cell>
          <cell r="AS5">
            <v>0.70724234734148661</v>
          </cell>
          <cell r="AT5">
            <v>0.71000246584143079</v>
          </cell>
          <cell r="AU5">
            <v>0.7140981100553343</v>
          </cell>
          <cell r="AV5">
            <v>0.71701722168280368</v>
          </cell>
          <cell r="AW5">
            <v>0.72112484968756163</v>
          </cell>
          <cell r="AX5">
            <v>0.72898296786982353</v>
          </cell>
          <cell r="AY5">
            <v>0.73935482931833041</v>
          </cell>
          <cell r="AZ5">
            <v>0.75540247800480331</v>
          </cell>
          <cell r="BA5">
            <v>0.76967849196679772</v>
          </cell>
          <cell r="BB5">
            <v>0.78310939840191729</v>
          </cell>
          <cell r="BC5">
            <v>0.78546950291276096</v>
          </cell>
          <cell r="BD5">
            <v>0.78910644169047062</v>
          </cell>
          <cell r="BE5">
            <v>0.79293675145579434</v>
          </cell>
          <cell r="BF5">
            <v>0.79862816883548593</v>
          </cell>
          <cell r="BG5">
            <v>0.80322368003788502</v>
          </cell>
          <cell r="BH5">
            <v>0.81037645040186623</v>
          </cell>
          <cell r="BI5">
            <v>0.8179936159689557</v>
          </cell>
          <cell r="BJ5">
            <v>0.82019092901788082</v>
          </cell>
        </row>
        <row r="6">
          <cell r="B6" t="str">
            <v>y/y bp change</v>
          </cell>
          <cell r="O6">
            <v>401.6004651109406</v>
          </cell>
          <cell r="P6">
            <v>368.12001333692166</v>
          </cell>
          <cell r="Q6">
            <v>208.99445137599724</v>
          </cell>
          <cell r="R6">
            <v>209.1619426995556</v>
          </cell>
          <cell r="S6">
            <v>227.51611069784019</v>
          </cell>
          <cell r="T6">
            <v>274.59221676889803</v>
          </cell>
          <cell r="U6">
            <v>448.12355124269618</v>
          </cell>
          <cell r="V6">
            <v>390.8380573004444</v>
          </cell>
          <cell r="W6">
            <v>428.34169484678438</v>
          </cell>
          <cell r="X6">
            <v>439.43458640076204</v>
          </cell>
          <cell r="Y6">
            <v>297.34566520137508</v>
          </cell>
          <cell r="Z6">
            <v>332.76359143327829</v>
          </cell>
          <cell r="AA6">
            <v>277.8037284651258</v>
          </cell>
          <cell r="AB6">
            <v>254.3288049322523</v>
          </cell>
          <cell r="AC6">
            <v>391.12200497760762</v>
          </cell>
          <cell r="AD6">
            <v>454.79885074988459</v>
          </cell>
          <cell r="AE6">
            <v>392.12303387403</v>
          </cell>
          <cell r="AF6">
            <v>470.66014290152117</v>
          </cell>
          <cell r="AG6">
            <v>389.78089611727995</v>
          </cell>
          <cell r="AH6">
            <v>394.25658766758409</v>
          </cell>
          <cell r="AI6">
            <v>466.28370407115318</v>
          </cell>
          <cell r="AJ6">
            <v>464.19186147042211</v>
          </cell>
          <cell r="AK6">
            <v>371.64633373118482</v>
          </cell>
          <cell r="AL6">
            <v>368.740483279697</v>
          </cell>
          <cell r="AM6">
            <v>262.28824423798369</v>
          </cell>
          <cell r="AN6">
            <v>203.56413496573023</v>
          </cell>
          <cell r="AO6">
            <v>223.9420959563443</v>
          </cell>
          <cell r="AP6">
            <v>149.46791765248156</v>
          </cell>
          <cell r="AQ6">
            <v>203.14814244315582</v>
          </cell>
          <cell r="AR6">
            <v>244.22435068854776</v>
          </cell>
          <cell r="AS6">
            <v>241.46847481238075</v>
          </cell>
          <cell r="AT6">
            <v>199.99722763138217</v>
          </cell>
          <cell r="AU6">
            <v>170.57187122426987</v>
          </cell>
          <cell r="AV6">
            <v>140.3183064849467</v>
          </cell>
          <cell r="AW6">
            <v>138.8250234607502</v>
          </cell>
          <cell r="AX6">
            <v>189.80502028392743</v>
          </cell>
          <cell r="AY6">
            <v>252.56719262996108</v>
          </cell>
          <cell r="AZ6">
            <v>383.85256321999628</v>
          </cell>
          <cell r="BA6">
            <v>485.5364227923609</v>
          </cell>
          <cell r="BB6">
            <v>541.26430532093752</v>
          </cell>
          <cell r="BC6">
            <v>461.14673594430559</v>
          </cell>
          <cell r="BD6">
            <v>337.03963685667304</v>
          </cell>
          <cell r="BE6">
            <v>232.58259488996623</v>
          </cell>
          <cell r="BF6">
            <v>155.18770433568642</v>
          </cell>
          <cell r="BG6">
            <v>177.54177125124059</v>
          </cell>
          <cell r="BH6">
            <v>212.70008711395616</v>
          </cell>
          <cell r="BI6">
            <v>250.56864513161358</v>
          </cell>
          <cell r="BJ6">
            <v>215.62760182394891</v>
          </cell>
        </row>
        <row r="7">
          <cell r="B7" t="str">
            <v>Sequential bp change</v>
          </cell>
          <cell r="L7">
            <v>-0.56630670402457728</v>
          </cell>
          <cell r="M7">
            <v>189.26220112196523</v>
          </cell>
          <cell r="N7">
            <v>100.00000000000009</v>
          </cell>
          <cell r="O7">
            <v>112.90457069299987</v>
          </cell>
          <cell r="P7">
            <v>-34.0467584780435</v>
          </cell>
          <cell r="Q7">
            <v>30.136639161040812</v>
          </cell>
          <cell r="R7">
            <v>100.16749132355839</v>
          </cell>
          <cell r="S7">
            <v>131.25873869128446</v>
          </cell>
          <cell r="T7">
            <v>13.029347593014329</v>
          </cell>
          <cell r="U7">
            <v>203.66797363483903</v>
          </cell>
          <cell r="V7">
            <v>42.881997381306604</v>
          </cell>
          <cell r="W7">
            <v>168.76237623762447</v>
          </cell>
          <cell r="X7">
            <v>24.122239146991966</v>
          </cell>
          <cell r="Y7">
            <v>61.579052435452027</v>
          </cell>
          <cell r="Z7">
            <v>78.299923613209813</v>
          </cell>
          <cell r="AA7">
            <v>113.802513269472</v>
          </cell>
          <cell r="AB7">
            <v>0.64731561411845995</v>
          </cell>
          <cell r="AC7">
            <v>198.37225248080736</v>
          </cell>
          <cell r="AD7">
            <v>141.97676938548676</v>
          </cell>
          <cell r="AE7">
            <v>313.54357945557297</v>
          </cell>
          <cell r="AF7">
            <v>79.184424641609581</v>
          </cell>
          <cell r="AG7">
            <v>117.49300569656617</v>
          </cell>
          <cell r="AH7">
            <v>146.4524609357909</v>
          </cell>
          <cell r="AI7">
            <v>123.15381279718652</v>
          </cell>
          <cell r="AJ7">
            <v>77.09258204087854</v>
          </cell>
          <cell r="AK7">
            <v>24.947477957328879</v>
          </cell>
          <cell r="AL7">
            <v>143.54661048430307</v>
          </cell>
          <cell r="AM7">
            <v>16.701573755473209</v>
          </cell>
          <cell r="AN7">
            <v>18.368472768625075</v>
          </cell>
          <cell r="AO7">
            <v>45.325438947942942</v>
          </cell>
          <cell r="AP7">
            <v>69.072432180440344</v>
          </cell>
          <cell r="AQ7">
            <v>70.381798546147451</v>
          </cell>
          <cell r="AR7">
            <v>59.444681014017007</v>
          </cell>
          <cell r="AS7">
            <v>42.569563071775953</v>
          </cell>
          <cell r="AT7">
            <v>27.601184999441752</v>
          </cell>
          <cell r="AU7">
            <v>40.956442139035154</v>
          </cell>
          <cell r="AV7">
            <v>29.19111627469384</v>
          </cell>
          <cell r="AW7">
            <v>41.076280047579459</v>
          </cell>
          <cell r="AX7">
            <v>78.581181822618973</v>
          </cell>
          <cell r="AY7">
            <v>103.7186144850688</v>
          </cell>
          <cell r="AZ7">
            <v>160.47648686472905</v>
          </cell>
          <cell r="BA7">
            <v>142.76013961994406</v>
          </cell>
          <cell r="BB7">
            <v>134.30906435119573</v>
          </cell>
          <cell r="BC7">
            <v>23.601045108436747</v>
          </cell>
          <cell r="BD7">
            <v>36.369387777096527</v>
          </cell>
          <cell r="BE7">
            <v>38.303097653237252</v>
          </cell>
          <cell r="BF7">
            <v>56.914173796915875</v>
          </cell>
          <cell r="BG7">
            <v>45.955112023990942</v>
          </cell>
          <cell r="BH7">
            <v>71.527703639812088</v>
          </cell>
          <cell r="BI7">
            <v>76.17165567089468</v>
          </cell>
          <cell r="BJ7">
            <v>21.973130489251204</v>
          </cell>
        </row>
        <row r="8">
          <cell r="B8" t="str">
            <v>Generic dispensing rate - Retail / Network</v>
          </cell>
          <cell r="K8">
            <v>0.438</v>
          </cell>
          <cell r="L8">
            <v>0.438</v>
          </cell>
          <cell r="M8">
            <v>0.46100000000000002</v>
          </cell>
          <cell r="N8">
            <v>0.46800000000000003</v>
          </cell>
          <cell r="O8">
            <v>0.47899999999999998</v>
          </cell>
          <cell r="P8">
            <v>0.47599999999999998</v>
          </cell>
          <cell r="Q8">
            <v>0.48</v>
          </cell>
          <cell r="R8">
            <v>0.49</v>
          </cell>
          <cell r="S8">
            <v>0.504</v>
          </cell>
          <cell r="T8">
            <v>0.50600000000000001</v>
          </cell>
          <cell r="U8">
            <v>0.52600000000000002</v>
          </cell>
          <cell r="V8">
            <v>0.53</v>
          </cell>
          <cell r="W8">
            <v>0.54600000000000004</v>
          </cell>
          <cell r="X8">
            <v>0.54900000000000004</v>
          </cell>
          <cell r="Y8">
            <v>0.55600000000000005</v>
          </cell>
          <cell r="Z8">
            <v>0.5635</v>
          </cell>
          <cell r="AA8">
            <v>0.57799999999999996</v>
          </cell>
          <cell r="AB8">
            <v>0.57799999999999996</v>
          </cell>
          <cell r="AC8">
            <v>0.59699999999999998</v>
          </cell>
          <cell r="AD8">
            <v>0.61099999999999999</v>
          </cell>
          <cell r="AE8">
            <v>0.61650000000000005</v>
          </cell>
          <cell r="AF8">
            <v>0.624</v>
          </cell>
          <cell r="AG8">
            <v>0.63600000000000001</v>
          </cell>
          <cell r="AH8">
            <v>0.65</v>
          </cell>
          <cell r="AI8">
            <v>0.66400000000000003</v>
          </cell>
          <cell r="AJ8">
            <v>0.67</v>
          </cell>
          <cell r="AK8">
            <v>0.67300000000000004</v>
          </cell>
          <cell r="AL8">
            <v>0.68700000000000006</v>
          </cell>
          <cell r="AM8">
            <v>0.69</v>
          </cell>
          <cell r="AN8">
            <v>0.69199999999999995</v>
          </cell>
          <cell r="AO8">
            <v>0.69599999999999995</v>
          </cell>
          <cell r="AP8">
            <v>0.70134388989407426</v>
          </cell>
          <cell r="AQ8">
            <v>0.70705814076053786</v>
          </cell>
          <cell r="AR8">
            <v>0.71272462289339378</v>
          </cell>
          <cell r="AS8">
            <v>0.71689711864591976</v>
          </cell>
          <cell r="AT8">
            <v>0.71945389803482707</v>
          </cell>
          <cell r="AU8">
            <v>0.7232719849998831</v>
          </cell>
          <cell r="AV8">
            <v>0.72627519525779793</v>
          </cell>
          <cell r="AW8">
            <v>0.73064870623673939</v>
          </cell>
          <cell r="AX8">
            <v>0.7376791982179679</v>
          </cell>
          <cell r="AY8">
            <v>0.74717159768530017</v>
          </cell>
          <cell r="AZ8">
            <v>0.7628228890088653</v>
          </cell>
          <cell r="BA8">
            <v>0.77646057431859572</v>
          </cell>
          <cell r="BB8">
            <v>0.78909788099427203</v>
          </cell>
          <cell r="BC8">
            <v>0.79138199605138559</v>
          </cell>
          <cell r="BD8">
            <v>0.79496265661686849</v>
          </cell>
          <cell r="BE8">
            <v>0.79881033150511704</v>
          </cell>
          <cell r="BF8">
            <v>0.80425432924235807</v>
          </cell>
          <cell r="BG8">
            <v>0.80869447869690914</v>
          </cell>
          <cell r="BH8">
            <v>0.81528800733039508</v>
          </cell>
          <cell r="BI8">
            <v>0.82236639392646571</v>
          </cell>
          <cell r="BJ8">
            <v>0.82447722281286706</v>
          </cell>
        </row>
        <row r="9">
          <cell r="B9" t="str">
            <v>y/y bp change</v>
          </cell>
          <cell r="O9">
            <v>410</v>
          </cell>
          <cell r="P9">
            <v>380</v>
          </cell>
          <cell r="Q9">
            <v>190</v>
          </cell>
          <cell r="R9">
            <v>220</v>
          </cell>
          <cell r="S9">
            <v>250</v>
          </cell>
          <cell r="T9">
            <v>300</v>
          </cell>
          <cell r="U9">
            <v>460</v>
          </cell>
          <cell r="V9">
            <v>400</v>
          </cell>
          <cell r="W9">
            <v>420</v>
          </cell>
          <cell r="X9">
            <v>430</v>
          </cell>
          <cell r="Y9">
            <v>300</v>
          </cell>
          <cell r="Z9">
            <v>335</v>
          </cell>
          <cell r="AA9">
            <v>319.99999999999915</v>
          </cell>
          <cell r="AB9">
            <v>289.99999999999915</v>
          </cell>
          <cell r="AC9">
            <v>409.99999999999926</v>
          </cell>
          <cell r="AD9">
            <v>475</v>
          </cell>
          <cell r="AE9">
            <v>385.00000000000091</v>
          </cell>
          <cell r="AF9">
            <v>460</v>
          </cell>
          <cell r="AG9">
            <v>390</v>
          </cell>
          <cell r="AH9">
            <v>390</v>
          </cell>
          <cell r="AI9">
            <v>474.99999999999983</v>
          </cell>
          <cell r="AJ9">
            <v>460.0000000000004</v>
          </cell>
          <cell r="AK9">
            <v>370.00000000000034</v>
          </cell>
          <cell r="AL9">
            <v>370.00000000000034</v>
          </cell>
          <cell r="AM9">
            <v>259.99999999999915</v>
          </cell>
          <cell r="AN9">
            <v>219.99999999999909</v>
          </cell>
          <cell r="AO9">
            <v>229.99999999999909</v>
          </cell>
          <cell r="AP9">
            <v>143.43889894074204</v>
          </cell>
          <cell r="AQ9">
            <v>170.5814076053791</v>
          </cell>
          <cell r="AR9">
            <v>207.24622893393828</v>
          </cell>
          <cell r="AS9">
            <v>208.97118645919809</v>
          </cell>
          <cell r="AT9">
            <v>181.10008140752808</v>
          </cell>
          <cell r="AU9">
            <v>162.13844239345244</v>
          </cell>
          <cell r="AV9">
            <v>135.50572364404155</v>
          </cell>
          <cell r="AW9">
            <v>137.51587590819625</v>
          </cell>
          <cell r="AX9">
            <v>182.25300183140837</v>
          </cell>
          <cell r="AY9">
            <v>238.99612685417071</v>
          </cell>
          <cell r="AZ9">
            <v>365.47693751067368</v>
          </cell>
          <cell r="BA9">
            <v>458.11868081856329</v>
          </cell>
          <cell r="BB9">
            <v>514.18682776304126</v>
          </cell>
          <cell r="BC9">
            <v>442.10398366085428</v>
          </cell>
          <cell r="BD9">
            <v>321.39767608003189</v>
          </cell>
          <cell r="BE9">
            <v>223.49757186521325</v>
          </cell>
          <cell r="BF9">
            <v>151.56448248086042</v>
          </cell>
          <cell r="BG9">
            <v>173.12482645523542</v>
          </cell>
          <cell r="BH9">
            <v>203.25350713526592</v>
          </cell>
          <cell r="BI9">
            <v>235.56062421348668</v>
          </cell>
          <cell r="BJ9">
            <v>202.22893570508992</v>
          </cell>
        </row>
        <row r="10">
          <cell r="B10" t="str">
            <v>Sequential bp change</v>
          </cell>
          <cell r="L10">
            <v>0</v>
          </cell>
          <cell r="M10">
            <v>230.0000000000002</v>
          </cell>
          <cell r="N10">
            <v>70.000000000000057</v>
          </cell>
          <cell r="O10">
            <v>110</v>
          </cell>
          <cell r="P10">
            <v>-30</v>
          </cell>
          <cell r="Q10">
            <v>40</v>
          </cell>
          <cell r="R10">
            <v>100</v>
          </cell>
          <cell r="S10">
            <v>140</v>
          </cell>
          <cell r="T10">
            <v>20</v>
          </cell>
          <cell r="U10">
            <v>200</v>
          </cell>
          <cell r="V10">
            <v>40</v>
          </cell>
          <cell r="W10">
            <v>160</v>
          </cell>
          <cell r="X10">
            <v>30</v>
          </cell>
          <cell r="Y10">
            <v>70.000000000000057</v>
          </cell>
          <cell r="Z10">
            <v>74.999999999999517</v>
          </cell>
          <cell r="AA10">
            <v>145</v>
          </cell>
          <cell r="AB10">
            <v>0</v>
          </cell>
          <cell r="AC10">
            <v>190</v>
          </cell>
          <cell r="AD10">
            <v>140</v>
          </cell>
          <cell r="AE10">
            <v>55.000000000000604</v>
          </cell>
          <cell r="AF10">
            <v>332.11439339355996</v>
          </cell>
          <cell r="AG10">
            <v>195</v>
          </cell>
          <cell r="AH10">
            <v>260</v>
          </cell>
          <cell r="AI10">
            <v>140.00000000000011</v>
          </cell>
          <cell r="AJ10">
            <v>60.000000000000057</v>
          </cell>
          <cell r="AK10">
            <v>30.000000000000028</v>
          </cell>
          <cell r="AL10">
            <v>170.00000000000014</v>
          </cell>
          <cell r="AM10">
            <v>29.999999999998916</v>
          </cell>
          <cell r="AN10">
            <v>20.000000000000018</v>
          </cell>
          <cell r="AO10">
            <v>40.000000000000036</v>
          </cell>
          <cell r="AP10">
            <v>53.438898940743051</v>
          </cell>
          <cell r="AQ10">
            <v>57.142508664635713</v>
          </cell>
          <cell r="AR10">
            <v>56.664821328559341</v>
          </cell>
          <cell r="AS10">
            <v>41.724957525259704</v>
          </cell>
          <cell r="AT10">
            <v>25.567793889073599</v>
          </cell>
          <cell r="AU10">
            <v>38.180869650560474</v>
          </cell>
          <cell r="AV10">
            <v>30.032102579148624</v>
          </cell>
          <cell r="AW10">
            <v>43.735109789414665</v>
          </cell>
          <cell r="AX10">
            <v>70.304919812285149</v>
          </cell>
          <cell r="AY10">
            <v>94.923994673322966</v>
          </cell>
          <cell r="AZ10">
            <v>156.51291323565118</v>
          </cell>
          <cell r="BA10">
            <v>136.37685309730455</v>
          </cell>
          <cell r="BB10">
            <v>126.37306675676328</v>
          </cell>
          <cell r="BC10">
            <v>22.841150571135671</v>
          </cell>
          <cell r="BD10">
            <v>35.806605654829028</v>
          </cell>
          <cell r="BE10">
            <v>38.476748882486021</v>
          </cell>
          <cell r="BF10">
            <v>54.43997737241024</v>
          </cell>
          <cell r="BG10">
            <v>44.401494545510985</v>
          </cell>
          <cell r="BH10">
            <v>65.935286334859839</v>
          </cell>
          <cell r="BI10">
            <v>70.783865960705924</v>
          </cell>
          <cell r="BJ10">
            <v>21.108288864013936</v>
          </cell>
        </row>
        <row r="11">
          <cell r="B11" t="str">
            <v>Generic dispensing rate - Mail</v>
          </cell>
          <cell r="K11">
            <v>0.34</v>
          </cell>
          <cell r="L11">
            <v>0.34</v>
          </cell>
          <cell r="M11">
            <v>0.36299999999999999</v>
          </cell>
          <cell r="N11">
            <v>0.36499999999999999</v>
          </cell>
          <cell r="O11">
            <v>0.371</v>
          </cell>
          <cell r="P11">
            <v>0.372</v>
          </cell>
          <cell r="Q11">
            <v>0.37</v>
          </cell>
          <cell r="R11">
            <v>0.38</v>
          </cell>
          <cell r="S11">
            <v>0.39200000000000002</v>
          </cell>
          <cell r="T11">
            <v>0.38800000000000001</v>
          </cell>
          <cell r="U11">
            <v>0.40799999999999997</v>
          </cell>
          <cell r="V11">
            <v>0.42199999999999999</v>
          </cell>
          <cell r="W11">
            <v>0.432</v>
          </cell>
          <cell r="X11">
            <v>0.434</v>
          </cell>
          <cell r="Y11">
            <v>0.434</v>
          </cell>
          <cell r="Z11">
            <v>0.443</v>
          </cell>
          <cell r="AA11">
            <v>0.432</v>
          </cell>
          <cell r="AB11">
            <v>0.441</v>
          </cell>
          <cell r="AC11">
            <v>0.47099999999999997</v>
          </cell>
          <cell r="AD11">
            <v>0.48249999999999998</v>
          </cell>
          <cell r="AE11">
            <v>0.48159999999999997</v>
          </cell>
          <cell r="AF11">
            <v>0.499</v>
          </cell>
          <cell r="AG11">
            <v>0.51100000000000001</v>
          </cell>
          <cell r="AH11">
            <v>0.52700000000000002</v>
          </cell>
          <cell r="AI11">
            <v>0.53900000000000003</v>
          </cell>
          <cell r="AJ11">
            <v>0.56799999999999995</v>
          </cell>
          <cell r="AK11">
            <v>0.57199999999999995</v>
          </cell>
          <cell r="AL11">
            <v>0.58499999999999996</v>
          </cell>
          <cell r="AM11">
            <v>0.56899999999999995</v>
          </cell>
          <cell r="AN11">
            <v>0.57199999999999995</v>
          </cell>
          <cell r="AO11">
            <v>0.58299999999999996</v>
          </cell>
          <cell r="AP11">
            <v>0.5917232124853502</v>
          </cell>
          <cell r="AQ11">
            <v>0.59988175295014912</v>
          </cell>
          <cell r="AR11">
            <v>0.61301565715176065</v>
          </cell>
          <cell r="AS11">
            <v>0.6206667096219739</v>
          </cell>
          <cell r="AT11">
            <v>0.62449995032003347</v>
          </cell>
          <cell r="AU11">
            <v>0.63189205819736194</v>
          </cell>
          <cell r="AV11">
            <v>0.6368576768716957</v>
          </cell>
          <cell r="AW11">
            <v>0.64006088037719211</v>
          </cell>
          <cell r="AX11">
            <v>0.65715359718849498</v>
          </cell>
          <cell r="AY11">
            <v>0.67877221092616991</v>
          </cell>
          <cell r="AZ11">
            <v>0.70258248959488934</v>
          </cell>
          <cell r="BA11">
            <v>0.72712983925655317</v>
          </cell>
          <cell r="BB11">
            <v>0.75058249065103211</v>
          </cell>
          <cell r="BC11">
            <v>0.75426777531624978</v>
          </cell>
          <cell r="BD11">
            <v>0.75992166508104964</v>
          </cell>
          <cell r="BE11">
            <v>0.76553393027843686</v>
          </cell>
          <cell r="BF11">
            <v>0.77456251390828634</v>
          </cell>
          <cell r="BG11">
            <v>0.78167449822945068</v>
          </cell>
          <cell r="BH11">
            <v>0.7966068650733199</v>
          </cell>
          <cell r="BI11">
            <v>0.81262291593530811</v>
          </cell>
          <cell r="BJ11">
            <v>0.81663233791710821</v>
          </cell>
        </row>
        <row r="12">
          <cell r="B12" t="str">
            <v>y/y bp change</v>
          </cell>
          <cell r="O12">
            <v>310</v>
          </cell>
          <cell r="P12">
            <v>320</v>
          </cell>
          <cell r="Q12">
            <v>70.000000000000057</v>
          </cell>
          <cell r="R12">
            <v>150</v>
          </cell>
          <cell r="S12">
            <v>210</v>
          </cell>
          <cell r="T12">
            <v>160</v>
          </cell>
          <cell r="U12">
            <v>380</v>
          </cell>
          <cell r="V12">
            <v>420</v>
          </cell>
          <cell r="W12">
            <v>400</v>
          </cell>
          <cell r="X12">
            <v>460</v>
          </cell>
          <cell r="Y12">
            <v>260</v>
          </cell>
          <cell r="Z12">
            <v>210</v>
          </cell>
          <cell r="AA12">
            <v>0</v>
          </cell>
          <cell r="AB12">
            <v>70.000000000000057</v>
          </cell>
          <cell r="AC12">
            <v>370</v>
          </cell>
          <cell r="AD12">
            <v>395</v>
          </cell>
          <cell r="AE12">
            <v>496</v>
          </cell>
          <cell r="AF12">
            <v>580</v>
          </cell>
          <cell r="AG12">
            <v>400</v>
          </cell>
          <cell r="AH12">
            <v>445</v>
          </cell>
          <cell r="AI12">
            <v>574.00000000000068</v>
          </cell>
          <cell r="AJ12">
            <v>689.99999999999955</v>
          </cell>
          <cell r="AK12">
            <v>609.99999999999943</v>
          </cell>
          <cell r="AL12">
            <v>579.99999999999932</v>
          </cell>
          <cell r="AM12">
            <v>299.99999999999915</v>
          </cell>
          <cell r="AN12">
            <v>40.000000000000036</v>
          </cell>
          <cell r="AO12">
            <v>110.0000000000001</v>
          </cell>
          <cell r="AP12">
            <v>67.232124853502384</v>
          </cell>
          <cell r="AQ12">
            <v>308.81752950149166</v>
          </cell>
          <cell r="AR12">
            <v>410.15657151760701</v>
          </cell>
          <cell r="AS12">
            <v>376.66709621973939</v>
          </cell>
          <cell r="AT12">
            <v>327.76737834683269</v>
          </cell>
          <cell r="AU12">
            <v>320.10305247212824</v>
          </cell>
          <cell r="AV12">
            <v>238.42019719935047</v>
          </cell>
          <cell r="AW12">
            <v>193.94170755218209</v>
          </cell>
          <cell r="AX12">
            <v>326.53646868461504</v>
          </cell>
          <cell r="AY12">
            <v>468.80152728807968</v>
          </cell>
          <cell r="AZ12">
            <v>657.24812723193634</v>
          </cell>
          <cell r="BA12">
            <v>870.6895887936106</v>
          </cell>
          <cell r="BB12">
            <v>934.28893462537133</v>
          </cell>
          <cell r="BC12">
            <v>754.95564390079869</v>
          </cell>
          <cell r="BD12">
            <v>573.39175486160298</v>
          </cell>
          <cell r="BE12">
            <v>384.04091021883693</v>
          </cell>
          <cell r="BF12">
            <v>239.80023257254234</v>
          </cell>
          <cell r="BG12">
            <v>274.067229132009</v>
          </cell>
          <cell r="BH12">
            <v>366.8519999227027</v>
          </cell>
          <cell r="BI12">
            <v>470.8898565687125</v>
          </cell>
          <cell r="BJ12">
            <v>420.6982400882186</v>
          </cell>
        </row>
        <row r="13">
          <cell r="B13" t="str">
            <v>Sequential bp change</v>
          </cell>
          <cell r="L13">
            <v>0</v>
          </cell>
          <cell r="M13">
            <v>229.99999999999966</v>
          </cell>
          <cell r="N13">
            <v>20.000000000000018</v>
          </cell>
          <cell r="O13">
            <v>60.000000000000057</v>
          </cell>
          <cell r="P13">
            <v>10</v>
          </cell>
          <cell r="Q13">
            <v>-20</v>
          </cell>
          <cell r="R13">
            <v>100</v>
          </cell>
          <cell r="S13">
            <v>120</v>
          </cell>
          <cell r="T13">
            <v>-40</v>
          </cell>
          <cell r="U13">
            <v>200</v>
          </cell>
          <cell r="V13">
            <v>140</v>
          </cell>
          <cell r="W13">
            <v>100</v>
          </cell>
          <cell r="X13">
            <v>20</v>
          </cell>
          <cell r="Y13">
            <v>0</v>
          </cell>
          <cell r="Z13">
            <v>90.000000000000085</v>
          </cell>
          <cell r="AA13">
            <v>-110</v>
          </cell>
          <cell r="AB13">
            <v>90.000000000000085</v>
          </cell>
          <cell r="AC13">
            <v>300</v>
          </cell>
          <cell r="AD13">
            <v>115</v>
          </cell>
          <cell r="AE13">
            <v>-9.000000000000119</v>
          </cell>
          <cell r="AF13">
            <v>174</v>
          </cell>
          <cell r="AG13">
            <v>120</v>
          </cell>
          <cell r="AH13">
            <v>160</v>
          </cell>
          <cell r="AI13">
            <v>120.00000000000011</v>
          </cell>
          <cell r="AJ13">
            <v>289.99999999999915</v>
          </cell>
          <cell r="AK13">
            <v>40.000000000000036</v>
          </cell>
          <cell r="AL13">
            <v>130.00000000000011</v>
          </cell>
          <cell r="AM13">
            <v>-160.00000000000014</v>
          </cell>
          <cell r="AN13">
            <v>30.000000000000028</v>
          </cell>
          <cell r="AO13">
            <v>110.0000000000001</v>
          </cell>
          <cell r="AP13">
            <v>87.232124853502953</v>
          </cell>
          <cell r="AQ13">
            <v>81.585404647988852</v>
          </cell>
          <cell r="AR13">
            <v>131.33904201611591</v>
          </cell>
          <cell r="AS13">
            <v>76.510524702132216</v>
          </cell>
          <cell r="AT13">
            <v>38.332406980595977</v>
          </cell>
          <cell r="AU13">
            <v>73.921078773284407</v>
          </cell>
          <cell r="AV13">
            <v>49.656186743337884</v>
          </cell>
          <cell r="AW13">
            <v>32.032035054963551</v>
          </cell>
          <cell r="AX13">
            <v>170.92716811302921</v>
          </cell>
          <cell r="AY13">
            <v>216.18613737674957</v>
          </cell>
          <cell r="AZ13">
            <v>238.10278668719457</v>
          </cell>
          <cell r="BA13">
            <v>245.47349661663844</v>
          </cell>
          <cell r="BB13">
            <v>234.5265139447894</v>
          </cell>
          <cell r="BC13">
            <v>36.852846652176837</v>
          </cell>
          <cell r="BD13">
            <v>56.53889764799802</v>
          </cell>
          <cell r="BE13">
            <v>56.122651973872365</v>
          </cell>
          <cell r="BF13">
            <v>90.285836298495269</v>
          </cell>
          <cell r="BG13">
            <v>71.119843211643257</v>
          </cell>
          <cell r="BH13">
            <v>149.32366843869264</v>
          </cell>
          <cell r="BI13">
            <v>160.16050861988245</v>
          </cell>
          <cell r="BJ13">
            <v>40.094219818001129</v>
          </cell>
        </row>
        <row r="14">
          <cell r="B14" t="str">
            <v>Generic dispensing rate - as stated</v>
          </cell>
          <cell r="K14">
            <v>0.43</v>
          </cell>
          <cell r="L14">
            <v>0.43</v>
          </cell>
          <cell r="M14">
            <v>0.45</v>
          </cell>
          <cell r="N14">
            <v>0.46</v>
          </cell>
          <cell r="O14">
            <v>0.47</v>
          </cell>
          <cell r="P14">
            <v>0.47</v>
          </cell>
          <cell r="Q14">
            <v>0.47</v>
          </cell>
          <cell r="R14">
            <v>0.48</v>
          </cell>
          <cell r="S14">
            <v>0.49</v>
          </cell>
          <cell r="T14">
            <v>0.5</v>
          </cell>
          <cell r="U14">
            <v>0.51</v>
          </cell>
          <cell r="V14">
            <v>0.52</v>
          </cell>
          <cell r="W14">
            <v>0.53700000000000003</v>
          </cell>
          <cell r="X14">
            <v>0.53900000000000003</v>
          </cell>
          <cell r="Y14">
            <v>0.54900000000000004</v>
          </cell>
          <cell r="Z14">
            <v>0.55400000000000005</v>
          </cell>
          <cell r="AA14">
            <v>0.56299999999999994</v>
          </cell>
          <cell r="AB14">
            <v>0.56299999999999994</v>
          </cell>
          <cell r="AC14">
            <v>0.58299999999999996</v>
          </cell>
          <cell r="AD14">
            <v>0.59699999999999998</v>
          </cell>
          <cell r="AE14">
            <v>0.60299999999999998</v>
          </cell>
          <cell r="AF14">
            <v>0.61099999999999999</v>
          </cell>
          <cell r="AG14">
            <v>0.622</v>
          </cell>
          <cell r="AH14">
            <v>0.63700000000000001</v>
          </cell>
          <cell r="AI14">
            <v>0.65100000000000002</v>
          </cell>
          <cell r="AJ14">
            <v>0.65900000000000003</v>
          </cell>
          <cell r="AK14">
            <v>0.66200000000000003</v>
          </cell>
          <cell r="AL14">
            <v>0.67300000000000004</v>
          </cell>
          <cell r="AM14">
            <v>0.67700000000000005</v>
          </cell>
          <cell r="AN14">
            <v>0.67800000000000005</v>
          </cell>
          <cell r="AO14">
            <v>0.68300000000000005</v>
          </cell>
          <cell r="AP14">
            <v>0</v>
          </cell>
          <cell r="AQ14">
            <v>0</v>
          </cell>
          <cell r="AR14">
            <v>0</v>
          </cell>
          <cell r="AS14">
            <v>0</v>
          </cell>
          <cell r="AT14">
            <v>0</v>
          </cell>
          <cell r="AU14">
            <v>0</v>
          </cell>
          <cell r="AV14">
            <v>0</v>
          </cell>
          <cell r="AW14">
            <v>0</v>
          </cell>
          <cell r="AX14">
            <v>0</v>
          </cell>
          <cell r="AY14">
            <v>0</v>
          </cell>
          <cell r="AZ14">
            <v>0</v>
          </cell>
          <cell r="BA14">
            <v>0</v>
          </cell>
          <cell r="BB14">
            <v>0</v>
          </cell>
          <cell r="BC14">
            <v>0</v>
          </cell>
          <cell r="BD14">
            <v>0</v>
          </cell>
          <cell r="BE14">
            <v>0</v>
          </cell>
          <cell r="BF14">
            <v>0</v>
          </cell>
          <cell r="BG14">
            <v>0</v>
          </cell>
          <cell r="BH14">
            <v>0</v>
          </cell>
          <cell r="BI14">
            <v>0</v>
          </cell>
          <cell r="BJ14">
            <v>0</v>
          </cell>
        </row>
        <row r="15">
          <cell r="B15" t="str">
            <v>Branded utilization rate</v>
          </cell>
          <cell r="K15">
            <v>0.56886958944179411</v>
          </cell>
          <cell r="L15">
            <v>0.56892622011219651</v>
          </cell>
          <cell r="M15">
            <v>0.55000000000000004</v>
          </cell>
          <cell r="N15">
            <v>0.54</v>
          </cell>
          <cell r="O15">
            <v>0.52870954293070005</v>
          </cell>
          <cell r="P15">
            <v>0.5321142187785044</v>
          </cell>
          <cell r="Q15">
            <v>0.52910055486240026</v>
          </cell>
          <cell r="R15">
            <v>0.51908380573004442</v>
          </cell>
          <cell r="S15">
            <v>0.50595793186091598</v>
          </cell>
          <cell r="T15">
            <v>0.50465499710161454</v>
          </cell>
          <cell r="U15">
            <v>0.48428819973813064</v>
          </cell>
          <cell r="V15">
            <v>0.48</v>
          </cell>
          <cell r="W15">
            <v>0.46312376237623754</v>
          </cell>
          <cell r="X15">
            <v>0.46071153846153834</v>
          </cell>
          <cell r="Y15">
            <v>0.45455363321799314</v>
          </cell>
          <cell r="Z15">
            <v>0.44672364085667216</v>
          </cell>
          <cell r="AA15">
            <v>0.43534338952972496</v>
          </cell>
          <cell r="AB15">
            <v>0.43527865796831311</v>
          </cell>
          <cell r="AC15">
            <v>0.41544143272023237</v>
          </cell>
          <cell r="AD15">
            <v>0.4012437557816837</v>
          </cell>
          <cell r="AE15">
            <v>0.39613108614232195</v>
          </cell>
          <cell r="AF15">
            <v>0.388212643678161</v>
          </cell>
          <cell r="AG15">
            <v>0.37646334310850438</v>
          </cell>
          <cell r="AH15">
            <v>0.36181809701492529</v>
          </cell>
          <cell r="AI15">
            <v>0.34950271573520664</v>
          </cell>
          <cell r="AJ15">
            <v>0.34179345753111878</v>
          </cell>
          <cell r="AK15">
            <v>0.33929870973538589</v>
          </cell>
          <cell r="AL15">
            <v>0.32494404868695559</v>
          </cell>
          <cell r="AM15">
            <v>0.32327389131140827</v>
          </cell>
          <cell r="AN15">
            <v>0.32143704403454576</v>
          </cell>
          <cell r="AO15">
            <v>0.31690450013975147</v>
          </cell>
          <cell r="AP15">
            <v>0.30999725692170743</v>
          </cell>
          <cell r="AQ15">
            <v>0.30295907706709269</v>
          </cell>
          <cell r="AR15">
            <v>0.29701460896569098</v>
          </cell>
          <cell r="AS15">
            <v>0.29275765265851339</v>
          </cell>
          <cell r="AT15">
            <v>0.28999753415856921</v>
          </cell>
          <cell r="AU15">
            <v>0.2859018899446657</v>
          </cell>
          <cell r="AV15">
            <v>0.28298277831719632</v>
          </cell>
          <cell r="AW15">
            <v>0.27887515031243837</v>
          </cell>
          <cell r="AX15">
            <v>0.27101703213017647</v>
          </cell>
          <cell r="AY15">
            <v>0.26064517068166959</v>
          </cell>
          <cell r="AZ15">
            <v>0.24459752199519669</v>
          </cell>
          <cell r="BA15">
            <v>0.23032150803320228</v>
          </cell>
          <cell r="BB15">
            <v>0.21689060159808271</v>
          </cell>
          <cell r="BC15">
            <v>0.21453049708723904</v>
          </cell>
          <cell r="BD15">
            <v>0.21089355830952938</v>
          </cell>
          <cell r="BE15">
            <v>0.20706324854420566</v>
          </cell>
          <cell r="BF15">
            <v>0.20137183116451407</v>
          </cell>
          <cell r="BG15">
            <v>0.19677631996211498</v>
          </cell>
          <cell r="BH15">
            <v>0.18962354959813377</v>
          </cell>
          <cell r="BI15">
            <v>0.1820063840310443</v>
          </cell>
          <cell r="BJ15">
            <v>0.17980907098211918</v>
          </cell>
        </row>
        <row r="19">
          <cell r="B19" t="str">
            <v>Generic Dispensing Rate</v>
          </cell>
          <cell r="C19">
            <v>2002</v>
          </cell>
          <cell r="D19">
            <v>2003</v>
          </cell>
          <cell r="E19">
            <v>2004</v>
          </cell>
          <cell r="F19">
            <v>2005</v>
          </cell>
          <cell r="G19">
            <v>2006</v>
          </cell>
          <cell r="H19">
            <v>2007</v>
          </cell>
          <cell r="I19">
            <v>2008</v>
          </cell>
          <cell r="J19">
            <v>2009</v>
          </cell>
          <cell r="K19">
            <v>2010</v>
          </cell>
          <cell r="L19">
            <v>2011</v>
          </cell>
          <cell r="M19">
            <v>2012</v>
          </cell>
          <cell r="N19">
            <v>2013</v>
          </cell>
          <cell r="O19">
            <v>2014</v>
          </cell>
        </row>
        <row r="20">
          <cell r="B20" t="str">
            <v>Generic dispensing rate</v>
          </cell>
          <cell r="C20">
            <v>0.45100000000000001</v>
          </cell>
          <cell r="D20">
            <v>0.47242951242997205</v>
          </cell>
          <cell r="E20">
            <v>0.50900434404865336</v>
          </cell>
          <cell r="F20">
            <v>0.54057569146093121</v>
          </cell>
          <cell r="G20">
            <v>0.57251455591212075</v>
          </cell>
          <cell r="H20">
            <v>0.61294276105532475</v>
          </cell>
          <cell r="I20">
            <v>0.66098592982275484</v>
          </cell>
          <cell r="J20">
            <v>0.68250750997223075</v>
          </cell>
          <cell r="K20">
            <v>0.7043227702636472</v>
          </cell>
          <cell r="L20">
            <v>0.72031488831937995</v>
          </cell>
          <cell r="M20">
            <v>0.76190623860711848</v>
          </cell>
          <cell r="N20">
            <v>0.79154250665139236</v>
          </cell>
          <cell r="O20">
            <v>0.81295132782922075</v>
          </cell>
          <cell r="R20">
            <v>0</v>
          </cell>
        </row>
        <row r="21">
          <cell r="B21" t="str">
            <v>y/y bp change</v>
          </cell>
          <cell r="D21">
            <v>214.29512429972041</v>
          </cell>
          <cell r="E21">
            <v>365.74831618681304</v>
          </cell>
          <cell r="F21">
            <v>315.71347412277851</v>
          </cell>
          <cell r="G21">
            <v>319.38864451189539</v>
          </cell>
          <cell r="H21">
            <v>404.28205143204002</v>
          </cell>
          <cell r="I21">
            <v>480.43168767430086</v>
          </cell>
          <cell r="J21">
            <v>215.21580149475915</v>
          </cell>
          <cell r="K21">
            <v>218.1526029141645</v>
          </cell>
          <cell r="L21">
            <v>159.92118055732752</v>
          </cell>
          <cell r="M21">
            <v>415.91350287738527</v>
          </cell>
          <cell r="N21">
            <v>296.36268044273885</v>
          </cell>
          <cell r="O21">
            <v>214.08821177828386</v>
          </cell>
          <cell r="R21">
            <v>0</v>
          </cell>
        </row>
        <row r="22">
          <cell r="B22" t="str">
            <v>Sequential bp change</v>
          </cell>
          <cell r="D22" t="str">
            <v>NA</v>
          </cell>
          <cell r="E22" t="str">
            <v>NA</v>
          </cell>
          <cell r="F22" t="str">
            <v>NA</v>
          </cell>
          <cell r="G22" t="str">
            <v>NA</v>
          </cell>
          <cell r="H22" t="str">
            <v>NA</v>
          </cell>
          <cell r="I22" t="str">
            <v>NA</v>
          </cell>
          <cell r="J22" t="str">
            <v>NA</v>
          </cell>
          <cell r="K22" t="str">
            <v>NA</v>
          </cell>
          <cell r="L22" t="str">
            <v>NA</v>
          </cell>
          <cell r="M22" t="str">
            <v>NA</v>
          </cell>
          <cell r="N22" t="str">
            <v>NA</v>
          </cell>
          <cell r="O22" t="str">
            <v>NA</v>
          </cell>
          <cell r="R22">
            <v>0</v>
          </cell>
        </row>
        <row r="23">
          <cell r="B23" t="str">
            <v>Generic dispensing rate - Retail / Network</v>
          </cell>
          <cell r="C23">
            <v>0.45100000000000001</v>
          </cell>
          <cell r="D23">
            <v>0.48099999999999998</v>
          </cell>
          <cell r="E23">
            <v>0.51900000000000002</v>
          </cell>
          <cell r="F23">
            <v>0.55400000000000005</v>
          </cell>
          <cell r="G23">
            <v>0.590788560660644</v>
          </cell>
          <cell r="H23">
            <v>0.63162826681542761</v>
          </cell>
          <cell r="I23">
            <v>0.67337170706006322</v>
          </cell>
          <cell r="J23">
            <v>0.69519458014204594</v>
          </cell>
          <cell r="K23">
            <v>0.7140339334236312</v>
          </cell>
          <cell r="L23">
            <v>0.7294742787385402</v>
          </cell>
          <cell r="M23">
            <v>0.76889474491554621</v>
          </cell>
          <cell r="N23">
            <v>0.79735627705219525</v>
          </cell>
          <cell r="O23">
            <v>0.8177052673985149</v>
          </cell>
          <cell r="R23">
            <v>0</v>
          </cell>
        </row>
        <row r="24">
          <cell r="B24" t="str">
            <v>y/y bp change</v>
          </cell>
          <cell r="D24">
            <v>300</v>
          </cell>
          <cell r="E24">
            <v>380</v>
          </cell>
          <cell r="F24">
            <v>350</v>
          </cell>
          <cell r="G24">
            <v>367.88560660643952</v>
          </cell>
          <cell r="H24">
            <v>408.39706154783607</v>
          </cell>
          <cell r="I24">
            <v>417.43440244635616</v>
          </cell>
          <cell r="J24">
            <v>218.22873081982718</v>
          </cell>
          <cell r="K24">
            <v>188.39353281585258</v>
          </cell>
          <cell r="L24">
            <v>154.4034531490901</v>
          </cell>
          <cell r="M24">
            <v>394.20466177006006</v>
          </cell>
          <cell r="N24">
            <v>284.61532136649038</v>
          </cell>
          <cell r="O24">
            <v>203.4899034631965</v>
          </cell>
          <cell r="R24">
            <v>0</v>
          </cell>
        </row>
        <row r="25">
          <cell r="B25" t="str">
            <v>Sequential bp change</v>
          </cell>
          <cell r="D25" t="str">
            <v>NA</v>
          </cell>
          <cell r="E25" t="str">
            <v>NA</v>
          </cell>
          <cell r="F25" t="str">
            <v>NA</v>
          </cell>
          <cell r="G25" t="str">
            <v>NA</v>
          </cell>
          <cell r="H25" t="str">
            <v>NA</v>
          </cell>
          <cell r="I25" t="str">
            <v>NA</v>
          </cell>
          <cell r="J25" t="str">
            <v>NA</v>
          </cell>
          <cell r="K25" t="str">
            <v>NA</v>
          </cell>
          <cell r="L25" t="str">
            <v>NA</v>
          </cell>
          <cell r="M25" t="str">
            <v>NA</v>
          </cell>
          <cell r="N25" t="str">
            <v>NA</v>
          </cell>
          <cell r="O25" t="str">
            <v>NA</v>
          </cell>
          <cell r="R25">
            <v>0</v>
          </cell>
        </row>
        <row r="26">
          <cell r="B26" t="str">
            <v>Generic dispensing rate - Mail</v>
          </cell>
          <cell r="C26">
            <v>0.36</v>
          </cell>
          <cell r="D26">
            <v>0.372</v>
          </cell>
          <cell r="E26">
            <v>0.40500000000000003</v>
          </cell>
          <cell r="F26">
            <v>0.436</v>
          </cell>
          <cell r="G26">
            <v>0.45655218446601942</v>
          </cell>
          <cell r="H26">
            <v>0.50481818181818172</v>
          </cell>
          <cell r="I26">
            <v>0.56598052241432362</v>
          </cell>
          <cell r="J26">
            <v>0.57921701361491995</v>
          </cell>
          <cell r="K26">
            <v>0.614630661619326</v>
          </cell>
          <cell r="L26">
            <v>0.6415368019149964</v>
          </cell>
          <cell r="M26">
            <v>0.71501698930505242</v>
          </cell>
          <cell r="N26">
            <v>0.76363032304271039</v>
          </cell>
          <cell r="O26">
            <v>0.80204265124491003</v>
          </cell>
          <cell r="R26">
            <v>0</v>
          </cell>
        </row>
        <row r="27">
          <cell r="B27" t="str">
            <v>y/y bp change</v>
          </cell>
          <cell r="D27">
            <v>120</v>
          </cell>
          <cell r="E27">
            <v>330</v>
          </cell>
          <cell r="F27">
            <v>310</v>
          </cell>
          <cell r="G27">
            <v>205.5218446601942</v>
          </cell>
          <cell r="H27">
            <v>482.6599735216231</v>
          </cell>
          <cell r="I27">
            <v>611.62340596141894</v>
          </cell>
          <cell r="J27">
            <v>132.36491200596333</v>
          </cell>
          <cell r="K27">
            <v>354.13648004406053</v>
          </cell>
          <cell r="L27">
            <v>269.061402956704</v>
          </cell>
          <cell r="M27">
            <v>734.80187390056017</v>
          </cell>
          <cell r="N27">
            <v>486.13333737657973</v>
          </cell>
          <cell r="O27">
            <v>384.12328202199643</v>
          </cell>
          <cell r="R27">
            <v>0</v>
          </cell>
        </row>
        <row r="28">
          <cell r="B28" t="str">
            <v>Sequential bp change</v>
          </cell>
          <cell r="D28" t="str">
            <v>NA</v>
          </cell>
          <cell r="E28" t="str">
            <v>NA</v>
          </cell>
          <cell r="F28" t="str">
            <v>NA</v>
          </cell>
          <cell r="G28" t="str">
            <v>NA</v>
          </cell>
          <cell r="H28" t="str">
            <v>NA</v>
          </cell>
          <cell r="I28" t="str">
            <v>NA</v>
          </cell>
          <cell r="J28" t="str">
            <v>NA</v>
          </cell>
          <cell r="K28" t="str">
            <v>NA</v>
          </cell>
          <cell r="L28" t="str">
            <v>NA</v>
          </cell>
          <cell r="M28" t="str">
            <v>NA</v>
          </cell>
          <cell r="N28" t="str">
            <v>NA</v>
          </cell>
          <cell r="O28" t="str">
            <v>NA</v>
          </cell>
          <cell r="R28">
            <v>0</v>
          </cell>
        </row>
        <row r="29">
          <cell r="B29" t="str">
            <v>Generic dispensing rate - as stated</v>
          </cell>
          <cell r="C29">
            <v>0</v>
          </cell>
          <cell r="D29">
            <v>0</v>
          </cell>
          <cell r="E29">
            <v>0.504</v>
          </cell>
          <cell r="F29">
            <v>0.54400000000000004</v>
          </cell>
          <cell r="G29">
            <v>0.57599999999999996</v>
          </cell>
          <cell r="H29">
            <v>0.61799999999999999</v>
          </cell>
          <cell r="I29">
            <v>0.66100000000000003</v>
          </cell>
          <cell r="J29">
            <v>0</v>
          </cell>
          <cell r="K29">
            <v>0</v>
          </cell>
          <cell r="L29">
            <v>0</v>
          </cell>
          <cell r="M29">
            <v>0</v>
          </cell>
          <cell r="N29">
            <v>0</v>
          </cell>
          <cell r="O29">
            <v>0</v>
          </cell>
          <cell r="R29">
            <v>0</v>
          </cell>
        </row>
        <row r="30">
          <cell r="B30" t="str">
            <v>Branded utilization rate</v>
          </cell>
          <cell r="C30">
            <v>0.54899999999999993</v>
          </cell>
          <cell r="D30">
            <v>0.527570487570028</v>
          </cell>
          <cell r="E30">
            <v>0.49099565595134664</v>
          </cell>
          <cell r="F30">
            <v>0.45942430853906879</v>
          </cell>
          <cell r="G30">
            <v>0.42748544408787925</v>
          </cell>
          <cell r="H30">
            <v>0.38705723894467525</v>
          </cell>
          <cell r="I30">
            <v>0.33901407017724516</v>
          </cell>
          <cell r="J30">
            <v>0.31749249002776925</v>
          </cell>
          <cell r="K30">
            <v>0.2956772297363528</v>
          </cell>
          <cell r="L30">
            <v>0.27968511168062005</v>
          </cell>
          <cell r="M30">
            <v>0.23809376139288152</v>
          </cell>
          <cell r="N30">
            <v>0.20845749334860764</v>
          </cell>
          <cell r="O30">
            <v>0.18704867217077925</v>
          </cell>
          <cell r="R30">
            <v>0</v>
          </cell>
        </row>
        <row r="31">
          <cell r="R31">
            <v>0</v>
          </cell>
        </row>
        <row r="32">
          <cell r="R32">
            <v>0</v>
          </cell>
        </row>
        <row r="33">
          <cell r="R33">
            <v>0</v>
          </cell>
        </row>
        <row r="34">
          <cell r="R34">
            <v>0</v>
          </cell>
        </row>
        <row r="35">
          <cell r="R35">
            <v>0</v>
          </cell>
        </row>
        <row r="36">
          <cell r="R36">
            <v>0</v>
          </cell>
        </row>
        <row r="37">
          <cell r="R37">
            <v>0</v>
          </cell>
        </row>
        <row r="38">
          <cell r="R38">
            <v>0</v>
          </cell>
        </row>
        <row r="39">
          <cell r="R39">
            <v>0</v>
          </cell>
        </row>
        <row r="40">
          <cell r="R40">
            <v>0</v>
          </cell>
        </row>
        <row r="41">
          <cell r="R41">
            <v>0</v>
          </cell>
        </row>
        <row r="42">
          <cell r="R42">
            <v>0</v>
          </cell>
        </row>
        <row r="43">
          <cell r="R43">
            <v>0</v>
          </cell>
        </row>
        <row r="44">
          <cell r="R44">
            <v>0</v>
          </cell>
        </row>
        <row r="45">
          <cell r="R45">
            <v>0</v>
          </cell>
        </row>
        <row r="46">
          <cell r="R46">
            <v>0</v>
          </cell>
        </row>
        <row r="47">
          <cell r="R47">
            <v>0</v>
          </cell>
        </row>
        <row r="48">
          <cell r="R48">
            <v>0</v>
          </cell>
        </row>
        <row r="49">
          <cell r="R49">
            <v>0</v>
          </cell>
        </row>
        <row r="50">
          <cell r="R50">
            <v>0</v>
          </cell>
        </row>
        <row r="51">
          <cell r="R51">
            <v>0</v>
          </cell>
        </row>
        <row r="52">
          <cell r="R52">
            <v>0</v>
          </cell>
        </row>
        <row r="53">
          <cell r="R53">
            <v>0</v>
          </cell>
        </row>
        <row r="54">
          <cell r="R54">
            <v>0</v>
          </cell>
        </row>
        <row r="55">
          <cell r="R55">
            <v>0</v>
          </cell>
        </row>
        <row r="56">
          <cell r="R56">
            <v>0</v>
          </cell>
        </row>
        <row r="57">
          <cell r="R57">
            <v>0</v>
          </cell>
        </row>
        <row r="58">
          <cell r="R58">
            <v>0</v>
          </cell>
        </row>
        <row r="59">
          <cell r="C59">
            <v>0</v>
          </cell>
          <cell r="D59">
            <v>5</v>
          </cell>
          <cell r="E59">
            <v>10</v>
          </cell>
          <cell r="F59">
            <v>15</v>
          </cell>
          <cell r="G59">
            <v>20</v>
          </cell>
          <cell r="H59">
            <v>25</v>
          </cell>
          <cell r="I59">
            <v>30</v>
          </cell>
          <cell r="J59">
            <v>35</v>
          </cell>
          <cell r="K59">
            <v>40</v>
          </cell>
          <cell r="L59">
            <v>45</v>
          </cell>
          <cell r="M59">
            <v>50</v>
          </cell>
          <cell r="N59">
            <v>55</v>
          </cell>
          <cell r="O59">
            <v>60</v>
          </cell>
          <cell r="R59">
            <v>0</v>
          </cell>
        </row>
        <row r="60">
          <cell r="R60">
            <v>0</v>
          </cell>
        </row>
        <row r="61">
          <cell r="R61">
            <v>0</v>
          </cell>
        </row>
        <row r="62">
          <cell r="R62">
            <v>0</v>
          </cell>
        </row>
        <row r="63">
          <cell r="R63">
            <v>0</v>
          </cell>
        </row>
        <row r="64">
          <cell r="R64">
            <v>0</v>
          </cell>
        </row>
        <row r="65">
          <cell r="R65">
            <v>0</v>
          </cell>
        </row>
        <row r="66">
          <cell r="R66">
            <v>0</v>
          </cell>
        </row>
        <row r="67">
          <cell r="B67" t="str">
            <v>ESRX</v>
          </cell>
          <cell r="C67">
            <v>2002</v>
          </cell>
          <cell r="D67">
            <v>2003</v>
          </cell>
          <cell r="E67">
            <v>2004</v>
          </cell>
          <cell r="F67">
            <v>2005</v>
          </cell>
          <cell r="G67">
            <v>2006</v>
          </cell>
          <cell r="H67">
            <v>2007</v>
          </cell>
          <cell r="I67">
            <v>2008</v>
          </cell>
          <cell r="J67">
            <v>2009</v>
          </cell>
          <cell r="K67">
            <v>2010</v>
          </cell>
          <cell r="L67">
            <v>2011</v>
          </cell>
          <cell r="M67">
            <v>2012</v>
          </cell>
          <cell r="N67">
            <v>2013</v>
          </cell>
          <cell r="O67">
            <v>2014</v>
          </cell>
          <cell r="R67">
            <v>0</v>
          </cell>
        </row>
        <row r="68">
          <cell r="B68" t="str">
            <v>EPS, diluted  (continuing) Non GAAP</v>
          </cell>
          <cell r="C68">
            <v>0.63648060049958433</v>
          </cell>
          <cell r="D68">
            <v>0.79385009122237893</v>
          </cell>
          <cell r="E68">
            <v>0.967741935483871</v>
          </cell>
          <cell r="F68">
            <v>1.2996655518394675</v>
          </cell>
          <cell r="G68">
            <v>1.6482394366197208</v>
          </cell>
          <cell r="H68">
            <v>2.3852272727272785</v>
          </cell>
          <cell r="I68">
            <v>3.0957666017602135</v>
          </cell>
          <cell r="J68">
            <v>3.4833913065036373</v>
          </cell>
          <cell r="K68">
            <v>4.9357784346690101</v>
          </cell>
          <cell r="L68">
            <v>6.1823319253262889</v>
          </cell>
          <cell r="M68">
            <v>7.4870173324706633</v>
          </cell>
          <cell r="N68">
            <v>8.2781086015129919</v>
          </cell>
          <cell r="O68">
            <v>9.4747736108052791</v>
          </cell>
        </row>
        <row r="69">
          <cell r="B69" t="str">
            <v>EPS, diluted  (continuing) Non GAAP - Growth</v>
          </cell>
          <cell r="D69">
            <v>0.24724946934639114</v>
          </cell>
          <cell r="E69">
            <v>0.21904871736391884</v>
          </cell>
          <cell r="F69">
            <v>0.34298773690078299</v>
          </cell>
          <cell r="G69">
            <v>0.26820275746087363</v>
          </cell>
          <cell r="H69">
            <v>0.44713639276766948</v>
          </cell>
          <cell r="I69">
            <v>0.2978916672458225</v>
          </cell>
          <cell r="J69">
            <v>0.12521121731949214</v>
          </cell>
          <cell r="K69">
            <v>0.41694630329176774</v>
          </cell>
          <cell r="L69">
            <v>0.25255458833027467</v>
          </cell>
          <cell r="M69">
            <v>0.21103451301274423</v>
          </cell>
          <cell r="N69">
            <v>0.10566173870219608</v>
          </cell>
          <cell r="O69">
            <v>0.14455778087685056</v>
          </cell>
        </row>
        <row r="75">
          <cell r="J75">
            <v>2.8631165401861107</v>
          </cell>
          <cell r="K75">
            <v>3.3865256877003382</v>
          </cell>
          <cell r="L75">
            <v>4.0653657401724335</v>
          </cell>
          <cell r="M75">
            <v>5.0905340617048367</v>
          </cell>
        </row>
        <row r="76">
          <cell r="M76">
            <v>0.25217124043774719</v>
          </cell>
        </row>
        <row r="77">
          <cell r="J77">
            <v>6.3465078466897484</v>
          </cell>
          <cell r="K77">
            <v>8.3223041223693492</v>
          </cell>
          <cell r="L77">
            <v>10.247697665498723</v>
          </cell>
          <cell r="M77">
            <v>12.577551394175501</v>
          </cell>
        </row>
        <row r="78">
          <cell r="M78">
            <v>0.22935202010692235</v>
          </cell>
          <cell r="O78">
            <v>0.22735387056946221</v>
          </cell>
        </row>
        <row r="79">
          <cell r="J79">
            <v>6.3465078466897484</v>
          </cell>
          <cell r="K79">
            <v>7.8020922419524759</v>
          </cell>
          <cell r="L79">
            <v>9.5915178587048224</v>
          </cell>
          <cell r="M79">
            <v>11.791351855490396</v>
          </cell>
          <cell r="O79">
            <v>0.23160287672524571</v>
          </cell>
        </row>
        <row r="82">
          <cell r="B82" t="str">
            <v>ESRX</v>
          </cell>
          <cell r="C82">
            <v>2002</v>
          </cell>
          <cell r="D82">
            <v>2003</v>
          </cell>
          <cell r="E82">
            <v>2004</v>
          </cell>
          <cell r="F82">
            <v>2005</v>
          </cell>
          <cell r="G82">
            <v>2006</v>
          </cell>
          <cell r="H82">
            <v>2007</v>
          </cell>
          <cell r="I82">
            <v>2008</v>
          </cell>
          <cell r="J82">
            <v>2009</v>
          </cell>
          <cell r="K82">
            <v>2010</v>
          </cell>
          <cell r="L82">
            <v>2011</v>
          </cell>
          <cell r="M82">
            <v>2012</v>
          </cell>
          <cell r="N82">
            <v>2013</v>
          </cell>
          <cell r="O82">
            <v>2014</v>
          </cell>
        </row>
        <row r="83">
          <cell r="B83" t="str">
            <v>Revenue per adj claim</v>
          </cell>
          <cell r="C83">
            <v>27.328874194487931</v>
          </cell>
          <cell r="D83">
            <v>27.160993268661318</v>
          </cell>
          <cell r="E83">
            <v>27.351530337247965</v>
          </cell>
          <cell r="F83">
            <v>25.176574977817214</v>
          </cell>
          <cell r="G83">
            <v>27.062560153994227</v>
          </cell>
          <cell r="H83">
            <v>35.586506214243443</v>
          </cell>
          <cell r="I83">
            <v>40.05435202716054</v>
          </cell>
          <cell r="J83">
            <v>44.242004266524482</v>
          </cell>
          <cell r="K83">
            <v>60.887813069400238</v>
          </cell>
          <cell r="L83">
            <v>62.198559856496097</v>
          </cell>
          <cell r="M83">
            <v>59.956322630987707</v>
          </cell>
          <cell r="N83">
            <v>57.392744566488325</v>
          </cell>
          <cell r="O83">
            <v>56.686359775652818</v>
          </cell>
        </row>
        <row r="84">
          <cell r="B84" t="str">
            <v>EBITDA per adj claim</v>
          </cell>
          <cell r="C84">
            <v>1.873652928969312</v>
          </cell>
          <cell r="D84">
            <v>1.8065720219873709</v>
          </cell>
          <cell r="E84">
            <v>1.8055753394597136</v>
          </cell>
          <cell r="F84">
            <v>2.1285055023074206</v>
          </cell>
          <cell r="G84">
            <v>2.8415784408084712</v>
          </cell>
          <cell r="H84">
            <v>3.4580785164726802</v>
          </cell>
          <cell r="I84">
            <v>4.0310092830337769</v>
          </cell>
          <cell r="J84">
            <v>4.6600034183291905</v>
          </cell>
          <cell r="K84">
            <v>4.5804821009656589</v>
          </cell>
          <cell r="L84">
            <v>4.8855465581511694</v>
          </cell>
          <cell r="M84">
            <v>5.223469632509798</v>
          </cell>
          <cell r="N84">
            <v>5.268730332918218</v>
          </cell>
          <cell r="O84">
            <v>5.4727301591221362</v>
          </cell>
        </row>
        <row r="91">
          <cell r="B91" t="str">
            <v>Contibution to Gross Margin</v>
          </cell>
          <cell r="C91">
            <v>2002</v>
          </cell>
          <cell r="D91">
            <v>2003</v>
          </cell>
          <cell r="E91">
            <v>2004</v>
          </cell>
          <cell r="F91">
            <v>2005</v>
          </cell>
          <cell r="G91">
            <v>2006</v>
          </cell>
          <cell r="H91">
            <v>2007</v>
          </cell>
          <cell r="I91">
            <v>2008</v>
          </cell>
          <cell r="J91">
            <v>2009</v>
          </cell>
          <cell r="K91">
            <v>2010</v>
          </cell>
          <cell r="L91">
            <v>2011</v>
          </cell>
          <cell r="M91">
            <v>2012</v>
          </cell>
          <cell r="N91">
            <v>2013</v>
          </cell>
          <cell r="O91">
            <v>2014</v>
          </cell>
        </row>
        <row r="92">
          <cell r="B92" t="str">
            <v>Total Retail / Network</v>
          </cell>
          <cell r="C92">
            <v>0</v>
          </cell>
          <cell r="D92">
            <v>0</v>
          </cell>
          <cell r="E92">
            <v>0.20525233880139812</v>
          </cell>
          <cell r="F92">
            <v>0.25391122841934877</v>
          </cell>
          <cell r="G92">
            <v>0.25447132703493858</v>
          </cell>
          <cell r="H92">
            <v>0.27214088733863134</v>
          </cell>
          <cell r="I92">
            <v>0.31659516601089238</v>
          </cell>
          <cell r="J92">
            <v>0.35374017115571493</v>
          </cell>
          <cell r="K92">
            <v>0.42157995760694073</v>
          </cell>
          <cell r="L92">
            <v>0.41162217918311877</v>
          </cell>
          <cell r="M92">
            <v>0.39766505235529659</v>
          </cell>
          <cell r="N92">
            <v>0.38570269918602945</v>
          </cell>
          <cell r="O92">
            <v>0.37865395717569622</v>
          </cell>
        </row>
        <row r="93">
          <cell r="B93" t="str">
            <v>Mail / Home Delivery - core</v>
          </cell>
          <cell r="C93">
            <v>0</v>
          </cell>
          <cell r="D93">
            <v>0</v>
          </cell>
          <cell r="E93">
            <v>0.73826520635914317</v>
          </cell>
          <cell r="F93">
            <v>0.61522210737594862</v>
          </cell>
          <cell r="G93">
            <v>0.74272195751090853</v>
          </cell>
          <cell r="H93">
            <v>0.72571702403122029</v>
          </cell>
          <cell r="I93">
            <v>0.45449755569281552</v>
          </cell>
          <cell r="J93">
            <v>0.4241988728515913</v>
          </cell>
          <cell r="K93">
            <v>0.36161923704943794</v>
          </cell>
          <cell r="L93">
            <v>0.36292105376463729</v>
          </cell>
          <cell r="M93">
            <v>0.36739922855434654</v>
          </cell>
          <cell r="N93">
            <v>0.36085627456112845</v>
          </cell>
          <cell r="O93">
            <v>0.35548864678432063</v>
          </cell>
        </row>
        <row r="94">
          <cell r="B94" t="str">
            <v>Total Specialty</v>
          </cell>
          <cell r="C94">
            <v>0</v>
          </cell>
          <cell r="D94">
            <v>0</v>
          </cell>
          <cell r="E94">
            <v>0</v>
          </cell>
          <cell r="F94">
            <v>0</v>
          </cell>
          <cell r="G94">
            <v>0</v>
          </cell>
          <cell r="H94">
            <v>0</v>
          </cell>
          <cell r="I94">
            <v>0.11301751200831807</v>
          </cell>
          <cell r="J94">
            <v>0.11409903744364086</v>
          </cell>
          <cell r="K94">
            <v>0.13768296398744237</v>
          </cell>
          <cell r="L94">
            <v>0.15046151035712882</v>
          </cell>
          <cell r="M94">
            <v>0.1640226411671615</v>
          </cell>
          <cell r="N94">
            <v>0.1819570189524142</v>
          </cell>
          <cell r="O94">
            <v>0.19591680364537409</v>
          </cell>
        </row>
        <row r="95">
          <cell r="B95" t="str">
            <v>Services &amp; Other</v>
          </cell>
          <cell r="C95">
            <v>0</v>
          </cell>
          <cell r="D95">
            <v>0</v>
          </cell>
          <cell r="E95">
            <v>0</v>
          </cell>
          <cell r="F95">
            <v>0</v>
          </cell>
          <cell r="G95">
            <v>2.806715454154111E-3</v>
          </cell>
          <cell r="H95">
            <v>2.142088630148393E-3</v>
          </cell>
          <cell r="I95">
            <v>0.11588976628797415</v>
          </cell>
          <cell r="J95">
            <v>0.10796191854905282</v>
          </cell>
          <cell r="K95">
            <v>7.9117841356178942E-2</v>
          </cell>
          <cell r="L95">
            <v>7.4995256695115059E-2</v>
          </cell>
          <cell r="M95">
            <v>7.0913077923195414E-2</v>
          </cell>
          <cell r="N95">
            <v>7.1484007300427796E-2</v>
          </cell>
          <cell r="O95">
            <v>6.9940592394608994E-2</v>
          </cell>
        </row>
        <row r="100">
          <cell r="B100" t="str">
            <v>Contibution to Gross Margin</v>
          </cell>
          <cell r="C100">
            <v>2002</v>
          </cell>
          <cell r="D100">
            <v>2003</v>
          </cell>
          <cell r="E100">
            <v>2004</v>
          </cell>
          <cell r="F100">
            <v>2005</v>
          </cell>
          <cell r="G100">
            <v>2006</v>
          </cell>
          <cell r="H100">
            <v>2007</v>
          </cell>
          <cell r="I100">
            <v>2008</v>
          </cell>
          <cell r="J100">
            <v>2009</v>
          </cell>
          <cell r="K100">
            <v>2010</v>
          </cell>
          <cell r="L100">
            <v>2011</v>
          </cell>
          <cell r="M100">
            <v>2012</v>
          </cell>
          <cell r="N100">
            <v>2013</v>
          </cell>
          <cell r="O100">
            <v>2014</v>
          </cell>
        </row>
        <row r="101">
          <cell r="B101" t="str">
            <v>Generics</v>
          </cell>
          <cell r="C101">
            <v>0</v>
          </cell>
          <cell r="D101">
            <v>0</v>
          </cell>
          <cell r="E101">
            <v>0.87014837031857883</v>
          </cell>
          <cell r="F101">
            <v>0.59962389097577495</v>
          </cell>
          <cell r="G101">
            <v>0.70390222379582568</v>
          </cell>
          <cell r="H101">
            <v>0.60901042489603152</v>
          </cell>
          <cell r="I101">
            <v>0.60609922880788902</v>
          </cell>
          <cell r="J101">
            <v>0.60567651652901189</v>
          </cell>
          <cell r="K101">
            <v>0.60642188876446701</v>
          </cell>
          <cell r="L101">
            <v>0.59936913046480855</v>
          </cell>
          <cell r="M101">
            <v>0.62287522204068835</v>
          </cell>
          <cell r="N101">
            <v>0.62106759921796506</v>
          </cell>
          <cell r="O101">
            <v>0.62451356144640924</v>
          </cell>
        </row>
        <row r="102">
          <cell r="B102" t="str">
            <v>Brand</v>
          </cell>
          <cell r="C102">
            <v>0</v>
          </cell>
          <cell r="D102">
            <v>0</v>
          </cell>
          <cell r="E102">
            <v>7.3369174841962481E-2</v>
          </cell>
          <cell r="F102">
            <v>0.26950944481952244</v>
          </cell>
          <cell r="G102">
            <v>0.29329106075002148</v>
          </cell>
          <cell r="H102">
            <v>0.38884748647382017</v>
          </cell>
          <cell r="I102">
            <v>0.16499349289581894</v>
          </cell>
          <cell r="J102">
            <v>0.17226252747829435</v>
          </cell>
          <cell r="K102">
            <v>0.17677730589191165</v>
          </cell>
          <cell r="L102">
            <v>0.17517410248294757</v>
          </cell>
          <cell r="M102">
            <v>0.14218905886895483</v>
          </cell>
          <cell r="N102">
            <v>0.12549137452919282</v>
          </cell>
          <cell r="O102">
            <v>0.10962904251360769</v>
          </cell>
        </row>
        <row r="103">
          <cell r="B103" t="str">
            <v>Specialty</v>
          </cell>
          <cell r="C103">
            <v>0</v>
          </cell>
          <cell r="D103">
            <v>0</v>
          </cell>
          <cell r="E103">
            <v>0</v>
          </cell>
          <cell r="F103">
            <v>0</v>
          </cell>
          <cell r="G103">
            <v>0</v>
          </cell>
          <cell r="H103">
            <v>0</v>
          </cell>
          <cell r="I103">
            <v>0.11301751200831807</v>
          </cell>
          <cell r="J103">
            <v>0.11409903744364086</v>
          </cell>
          <cell r="K103">
            <v>0.13768296398744237</v>
          </cell>
          <cell r="L103">
            <v>0.15046151035712882</v>
          </cell>
          <cell r="M103">
            <v>0.1640226411671615</v>
          </cell>
          <cell r="N103">
            <v>0.1819570189524142</v>
          </cell>
          <cell r="O103">
            <v>0.19591680364537409</v>
          </cell>
        </row>
        <row r="104">
          <cell r="B104" t="str">
            <v>Services &amp; Other</v>
          </cell>
          <cell r="C104">
            <v>0</v>
          </cell>
          <cell r="D104">
            <v>0</v>
          </cell>
          <cell r="E104">
            <v>0</v>
          </cell>
          <cell r="F104">
            <v>0</v>
          </cell>
          <cell r="G104">
            <v>2.806715454154111E-3</v>
          </cell>
          <cell r="H104">
            <v>2.142088630148393E-3</v>
          </cell>
          <cell r="I104">
            <v>0.11588976628797415</v>
          </cell>
          <cell r="J104">
            <v>0.10796191854905282</v>
          </cell>
          <cell r="K104">
            <v>7.9117841356178942E-2</v>
          </cell>
          <cell r="L104">
            <v>7.4995256695115059E-2</v>
          </cell>
          <cell r="M104">
            <v>7.0913077923195414E-2</v>
          </cell>
          <cell r="N104">
            <v>7.1484007300427796E-2</v>
          </cell>
          <cell r="O104">
            <v>6.9940592394608994E-2</v>
          </cell>
        </row>
        <row r="107">
          <cell r="B107" t="str">
            <v>Retail / Network - generics</v>
          </cell>
          <cell r="C107">
            <v>0</v>
          </cell>
          <cell r="D107">
            <v>0</v>
          </cell>
          <cell r="E107">
            <v>0.18207820433577135</v>
          </cell>
          <cell r="F107">
            <v>0.12385860260024335</v>
          </cell>
          <cell r="G107">
            <v>0.1271937649064584</v>
          </cell>
          <cell r="H107">
            <v>0.12026126632227407</v>
          </cell>
          <cell r="I107">
            <v>0.21687442251770958</v>
          </cell>
          <cell r="J107">
            <v>0.25029683068883996</v>
          </cell>
          <cell r="K107">
            <v>0.30153274803256308</v>
          </cell>
          <cell r="L107">
            <v>0.29422386927896765</v>
          </cell>
          <cell r="M107">
            <v>0.30059963800396594</v>
          </cell>
          <cell r="N107">
            <v>0.29891881712974061</v>
          </cell>
          <cell r="O107">
            <v>0.3015172279806585</v>
          </cell>
        </row>
        <row r="108">
          <cell r="B108" t="str">
            <v>Retail / Network - brand</v>
          </cell>
          <cell r="C108">
            <v>0</v>
          </cell>
          <cell r="D108">
            <v>0</v>
          </cell>
          <cell r="E108">
            <v>2.3174134465626779E-2</v>
          </cell>
          <cell r="F108">
            <v>0.1300526258191054</v>
          </cell>
          <cell r="G108">
            <v>0.12727756212848018</v>
          </cell>
          <cell r="H108">
            <v>0.1518796210163573</v>
          </cell>
          <cell r="I108">
            <v>9.9720743493182815E-2</v>
          </cell>
          <cell r="J108">
            <v>0.10344334046687505</v>
          </cell>
          <cell r="K108">
            <v>0.12004720957437767</v>
          </cell>
          <cell r="L108">
            <v>0.11739830990415115</v>
          </cell>
          <cell r="M108">
            <v>9.7065414351330662E-2</v>
          </cell>
          <cell r="N108">
            <v>8.6783882056288855E-2</v>
          </cell>
          <cell r="O108">
            <v>7.7136729195037765E-2</v>
          </cell>
        </row>
        <row r="109">
          <cell r="B109" t="str">
            <v>Mail / Home Delivery - generics - core</v>
          </cell>
          <cell r="C109">
            <v>0</v>
          </cell>
          <cell r="D109">
            <v>0</v>
          </cell>
          <cell r="E109">
            <v>0.68807016598280746</v>
          </cell>
          <cell r="F109">
            <v>0.47576528837553156</v>
          </cell>
          <cell r="G109">
            <v>0.57670845888936728</v>
          </cell>
          <cell r="H109">
            <v>0.48874915857375739</v>
          </cell>
          <cell r="I109">
            <v>0.38922480629017941</v>
          </cell>
          <cell r="J109">
            <v>0.35537968584017199</v>
          </cell>
          <cell r="K109">
            <v>0.30488914073190398</v>
          </cell>
          <cell r="L109">
            <v>0.3051452611858409</v>
          </cell>
          <cell r="M109">
            <v>0.32227558403672235</v>
          </cell>
          <cell r="N109">
            <v>0.32214878208822451</v>
          </cell>
          <cell r="O109">
            <v>0.32299633346575068</v>
          </cell>
        </row>
        <row r="110">
          <cell r="B110" t="str">
            <v>Mail / Home Delivery - brand - core</v>
          </cell>
          <cell r="C110">
            <v>0</v>
          </cell>
          <cell r="D110">
            <v>0</v>
          </cell>
          <cell r="E110">
            <v>5.0195040376335695E-2</v>
          </cell>
          <cell r="F110">
            <v>0.13945681900041704</v>
          </cell>
          <cell r="G110">
            <v>0.1660134986215413</v>
          </cell>
          <cell r="H110">
            <v>0.23696786545746287</v>
          </cell>
          <cell r="I110">
            <v>6.527274940263611E-2</v>
          </cell>
          <cell r="J110">
            <v>6.88191870114193E-2</v>
          </cell>
          <cell r="K110">
            <v>5.6730096317533965E-2</v>
          </cell>
          <cell r="L110">
            <v>5.7775792578796413E-2</v>
          </cell>
          <cell r="M110">
            <v>4.5123644517624163E-2</v>
          </cell>
          <cell r="N110">
            <v>3.8707492472903962E-2</v>
          </cell>
          <cell r="O110">
            <v>3.2492313318569922E-2</v>
          </cell>
        </row>
        <row r="111">
          <cell r="B111" t="str">
            <v>Mail / Home Delivery - specialty</v>
          </cell>
          <cell r="C111">
            <v>0</v>
          </cell>
          <cell r="D111">
            <v>0</v>
          </cell>
          <cell r="E111">
            <v>0</v>
          </cell>
          <cell r="F111">
            <v>0</v>
          </cell>
          <cell r="G111">
            <v>0</v>
          </cell>
          <cell r="H111">
            <v>0</v>
          </cell>
          <cell r="I111">
            <v>0.11301751200831807</v>
          </cell>
          <cell r="J111">
            <v>0.11409903744364086</v>
          </cell>
          <cell r="K111">
            <v>0.13768296398744237</v>
          </cell>
          <cell r="L111">
            <v>0.15046151035712882</v>
          </cell>
          <cell r="M111">
            <v>0.1640226411671615</v>
          </cell>
          <cell r="N111">
            <v>0.1819570189524142</v>
          </cell>
          <cell r="O111">
            <v>0.19591680364537409</v>
          </cell>
        </row>
        <row r="118">
          <cell r="B118" t="str">
            <v>Sales by Product &amp; Channel</v>
          </cell>
          <cell r="C118">
            <v>2002</v>
          </cell>
          <cell r="D118">
            <v>2003</v>
          </cell>
          <cell r="E118">
            <v>2004</v>
          </cell>
          <cell r="F118">
            <v>2005</v>
          </cell>
          <cell r="G118">
            <v>2006</v>
          </cell>
          <cell r="H118">
            <v>2007</v>
          </cell>
          <cell r="I118">
            <v>2008</v>
          </cell>
          <cell r="J118">
            <v>2009</v>
          </cell>
          <cell r="K118">
            <v>2010</v>
          </cell>
          <cell r="L118">
            <v>2011</v>
          </cell>
          <cell r="M118">
            <v>2012</v>
          </cell>
          <cell r="N118">
            <v>2013</v>
          </cell>
          <cell r="O118">
            <v>2014</v>
          </cell>
        </row>
        <row r="119">
          <cell r="B119" t="str">
            <v>Retail Generic</v>
          </cell>
          <cell r="C119">
            <v>0</v>
          </cell>
          <cell r="D119">
            <v>1445.7586411742684</v>
          </cell>
          <cell r="E119">
            <v>1501.8864821146765</v>
          </cell>
          <cell r="F119">
            <v>1467.3496401638847</v>
          </cell>
          <cell r="G119">
            <v>1477.3555793885143</v>
          </cell>
          <cell r="H119">
            <v>2343.2008577315969</v>
          </cell>
          <cell r="I119">
            <v>3293.8930439420883</v>
          </cell>
          <cell r="J119">
            <v>4188.4156934860439</v>
          </cell>
          <cell r="K119">
            <v>9280.4859662180534</v>
          </cell>
          <cell r="L119">
            <v>9935.3810676736666</v>
          </cell>
          <cell r="M119">
            <v>11163.106217568449</v>
          </cell>
          <cell r="N119">
            <v>11453.990586830012</v>
          </cell>
          <cell r="O119">
            <v>12280.710469953687</v>
          </cell>
        </row>
        <row r="120">
          <cell r="B120" t="str">
            <v>Retail Brand</v>
          </cell>
          <cell r="C120">
            <v>0</v>
          </cell>
          <cell r="D120">
            <v>7591.2413588257323</v>
          </cell>
          <cell r="E120">
            <v>7885.1135178853237</v>
          </cell>
          <cell r="F120">
            <v>7703.650359836116</v>
          </cell>
          <cell r="G120">
            <v>7391.6444206114847</v>
          </cell>
          <cell r="H120">
            <v>10680.099142268404</v>
          </cell>
          <cell r="I120">
            <v>9746.0069560579122</v>
          </cell>
          <cell r="J120">
            <v>11035.789326885135</v>
          </cell>
          <cell r="K120">
            <v>23753.399679663322</v>
          </cell>
          <cell r="L120">
            <v>24183.485108803041</v>
          </cell>
          <cell r="M120">
            <v>22001.299924142775</v>
          </cell>
          <cell r="N120">
            <v>20286.273717595639</v>
          </cell>
          <cell r="O120">
            <v>19167.812111909461</v>
          </cell>
        </row>
        <row r="121">
          <cell r="B121" t="str">
            <v>Mail Generic</v>
          </cell>
          <cell r="C121">
            <v>0</v>
          </cell>
          <cell r="D121">
            <v>493.50832930692604</v>
          </cell>
          <cell r="E121">
            <v>630.62235922554817</v>
          </cell>
          <cell r="F121">
            <v>663.10340989819974</v>
          </cell>
          <cell r="G121">
            <v>738.7985000000001</v>
          </cell>
          <cell r="H121">
            <v>825.09925523423624</v>
          </cell>
          <cell r="I121">
            <v>837.3833734355419</v>
          </cell>
          <cell r="J121">
            <v>929.05220468016728</v>
          </cell>
          <cell r="K121">
            <v>1566.8514628539592</v>
          </cell>
          <cell r="L121">
            <v>1743.3803363665425</v>
          </cell>
          <cell r="M121">
            <v>2081.4180316936408</v>
          </cell>
          <cell r="N121">
            <v>2208.6942460100381</v>
          </cell>
          <cell r="O121">
            <v>2425.0025697780475</v>
          </cell>
        </row>
        <row r="122">
          <cell r="B122" t="str">
            <v>Mail Brand</v>
          </cell>
          <cell r="C122">
            <v>0</v>
          </cell>
          <cell r="D122">
            <v>3494.4916706930744</v>
          </cell>
          <cell r="E122">
            <v>4140.3776407744517</v>
          </cell>
          <cell r="F122">
            <v>4352.8965901018</v>
          </cell>
          <cell r="G122">
            <v>4451.2015000000001</v>
          </cell>
          <cell r="H122">
            <v>4190.4007447657641</v>
          </cell>
          <cell r="I122">
            <v>4155.3166265644586</v>
          </cell>
          <cell r="J122">
            <v>4340.891237351816</v>
          </cell>
          <cell r="K122">
            <v>6532.8793097001608</v>
          </cell>
          <cell r="L122">
            <v>6636.0658266771616</v>
          </cell>
          <cell r="M122">
            <v>5702.7484317220624</v>
          </cell>
          <cell r="N122">
            <v>5045.1044942204026</v>
          </cell>
          <cell r="O122">
            <v>4502.6506024930486</v>
          </cell>
        </row>
        <row r="123">
          <cell r="B123" t="str">
            <v>Specialty</v>
          </cell>
          <cell r="C123">
            <v>0</v>
          </cell>
          <cell r="D123">
            <v>0</v>
          </cell>
          <cell r="E123">
            <v>0</v>
          </cell>
          <cell r="F123">
            <v>0</v>
          </cell>
          <cell r="G123">
            <v>0</v>
          </cell>
          <cell r="H123">
            <v>0</v>
          </cell>
          <cell r="I123">
            <v>2233</v>
          </cell>
          <cell r="J123">
            <v>2726.4116950696502</v>
          </cell>
          <cell r="K123">
            <v>4668.9493813858862</v>
          </cell>
          <cell r="L123">
            <v>5598.0703082816781</v>
          </cell>
          <cell r="M123">
            <v>6712.0862996297337</v>
          </cell>
          <cell r="N123">
            <v>7681.9827699262323</v>
          </cell>
          <cell r="O123">
            <v>8792.0292801805736</v>
          </cell>
        </row>
        <row r="124">
          <cell r="B124" t="str">
            <v>Services &amp; Other</v>
          </cell>
          <cell r="C124">
            <v>0</v>
          </cell>
          <cell r="D124">
            <v>73</v>
          </cell>
          <cell r="E124">
            <v>101</v>
          </cell>
          <cell r="F124">
            <v>152</v>
          </cell>
          <cell r="G124">
            <v>163</v>
          </cell>
          <cell r="H124">
            <v>168.7</v>
          </cell>
          <cell r="I124">
            <v>305.3</v>
          </cell>
          <cell r="J124">
            <v>343.96858956814947</v>
          </cell>
          <cell r="K124">
            <v>357.72733315087544</v>
          </cell>
          <cell r="L124">
            <v>372.03642647691049</v>
          </cell>
          <cell r="M124">
            <v>386.9178835359869</v>
          </cell>
          <cell r="N124">
            <v>402.39459887742646</v>
          </cell>
          <cell r="O124">
            <v>418.49038283252349</v>
          </cell>
        </row>
        <row r="125">
          <cell r="B125" t="str">
            <v>EM</v>
          </cell>
          <cell r="C125">
            <v>0</v>
          </cell>
          <cell r="D125">
            <v>0</v>
          </cell>
          <cell r="E125">
            <v>0</v>
          </cell>
          <cell r="F125">
            <v>0</v>
          </cell>
          <cell r="G125">
            <v>0</v>
          </cell>
          <cell r="H125">
            <v>0</v>
          </cell>
          <cell r="I125">
            <v>1407.1</v>
          </cell>
          <cell r="J125">
            <v>1294.4989999999998</v>
          </cell>
          <cell r="K125">
            <v>1320.01298</v>
          </cell>
          <cell r="L125">
            <v>1385.254109</v>
          </cell>
          <cell r="M125">
            <v>1453.7345088500001</v>
          </cell>
          <cell r="N125">
            <v>1525.6154595245002</v>
          </cell>
          <cell r="O125">
            <v>1601.0662844896851</v>
          </cell>
        </row>
      </sheetData>
      <sheetData sheetId="10" refreshError="1">
        <row r="2">
          <cell r="B2" t="str">
            <v>GDR</v>
          </cell>
        </row>
        <row r="3">
          <cell r="D3">
            <v>1999</v>
          </cell>
          <cell r="E3">
            <v>2000</v>
          </cell>
          <cell r="F3" t="str">
            <v>1Q01</v>
          </cell>
          <cell r="G3" t="str">
            <v>2Q01</v>
          </cell>
          <cell r="H3" t="str">
            <v>3Q01</v>
          </cell>
          <cell r="I3" t="str">
            <v>4Q01</v>
          </cell>
          <cell r="J3" t="str">
            <v>1Q02</v>
          </cell>
          <cell r="K3" t="str">
            <v>2Q02</v>
          </cell>
          <cell r="L3" t="str">
            <v>3Q02</v>
          </cell>
          <cell r="M3" t="str">
            <v>4Q02</v>
          </cell>
          <cell r="N3" t="str">
            <v>1Q03</v>
          </cell>
          <cell r="O3" t="str">
            <v>2Q03</v>
          </cell>
          <cell r="P3" t="str">
            <v>3Q03</v>
          </cell>
          <cell r="Q3" t="str">
            <v>4Q03</v>
          </cell>
          <cell r="R3" t="str">
            <v>1Q04</v>
          </cell>
          <cell r="S3" t="str">
            <v>2Q04</v>
          </cell>
          <cell r="T3" t="str">
            <v>3Q04</v>
          </cell>
          <cell r="U3" t="str">
            <v>4Q04</v>
          </cell>
          <cell r="V3" t="str">
            <v>1Q05</v>
          </cell>
          <cell r="W3" t="str">
            <v>2Q05</v>
          </cell>
          <cell r="X3" t="str">
            <v>3Q05</v>
          </cell>
          <cell r="Y3" t="str">
            <v>4Q05</v>
          </cell>
          <cell r="Z3" t="str">
            <v>1Q06</v>
          </cell>
          <cell r="AA3" t="str">
            <v>2Q06</v>
          </cell>
          <cell r="AB3" t="str">
            <v>3Q06</v>
          </cell>
          <cell r="AC3" t="str">
            <v>4Q06</v>
          </cell>
          <cell r="AD3" t="str">
            <v>1Q07</v>
          </cell>
          <cell r="AE3" t="str">
            <v>2Q07</v>
          </cell>
          <cell r="AF3" t="str">
            <v>3Q07</v>
          </cell>
          <cell r="AG3" t="str">
            <v>4Q07</v>
          </cell>
          <cell r="AH3" t="str">
            <v>1Q08</v>
          </cell>
          <cell r="AI3" t="str">
            <v>2Q08</v>
          </cell>
          <cell r="AJ3" t="str">
            <v>3Q08</v>
          </cell>
          <cell r="AK3" t="str">
            <v>4Q08</v>
          </cell>
          <cell r="AL3" t="str">
            <v>1Q09</v>
          </cell>
          <cell r="AM3" t="str">
            <v>2Q09</v>
          </cell>
          <cell r="AN3" t="str">
            <v>3Q09</v>
          </cell>
          <cell r="AO3" t="str">
            <v>4Q09</v>
          </cell>
          <cell r="AP3" t="str">
            <v>1Q10</v>
          </cell>
          <cell r="AQ3" t="str">
            <v>2Q10</v>
          </cell>
          <cell r="AR3" t="str">
            <v>3Q10</v>
          </cell>
          <cell r="AS3" t="str">
            <v>4Q10</v>
          </cell>
          <cell r="AT3" t="str">
            <v>1Q11</v>
          </cell>
          <cell r="AU3" t="str">
            <v>2Q11</v>
          </cell>
          <cell r="AV3" t="str">
            <v>3Q11</v>
          </cell>
          <cell r="AW3" t="str">
            <v>4Q11</v>
          </cell>
          <cell r="AX3" t="str">
            <v>1Q12</v>
          </cell>
          <cell r="AY3" t="str">
            <v>2Q12</v>
          </cell>
          <cell r="AZ3" t="str">
            <v>3Q12</v>
          </cell>
          <cell r="BA3" t="str">
            <v>4Q12</v>
          </cell>
          <cell r="BB3" t="str">
            <v>1Q13</v>
          </cell>
          <cell r="BC3" t="str">
            <v>2Q13</v>
          </cell>
          <cell r="BD3" t="str">
            <v>3Q13</v>
          </cell>
          <cell r="BE3" t="str">
            <v>4Q13</v>
          </cell>
          <cell r="BF3" t="str">
            <v>1Q14</v>
          </cell>
          <cell r="BG3" t="str">
            <v>2Q14</v>
          </cell>
          <cell r="BH3" t="str">
            <v>3Q14</v>
          </cell>
          <cell r="BI3" t="str">
            <v>4Q14</v>
          </cell>
        </row>
        <row r="4">
          <cell r="B4" t="str">
            <v>Generic Dispensing Rate</v>
          </cell>
        </row>
        <row r="5">
          <cell r="B5" t="str">
            <v>Generic dispensing rate</v>
          </cell>
          <cell r="L5">
            <v>0.41</v>
          </cell>
          <cell r="M5">
            <v>0.42</v>
          </cell>
          <cell r="N5">
            <v>0.436</v>
          </cell>
          <cell r="O5">
            <v>0.434</v>
          </cell>
          <cell r="P5">
            <v>0.44</v>
          </cell>
          <cell r="Q5">
            <v>0.45</v>
          </cell>
          <cell r="R5">
            <v>0.45100000000000001</v>
          </cell>
          <cell r="S5">
            <v>0.45500000000000002</v>
          </cell>
          <cell r="T5">
            <v>0.46800000000000003</v>
          </cell>
          <cell r="U5">
            <v>0.48099999999999998</v>
          </cell>
          <cell r="V5">
            <v>0.50700000000000001</v>
          </cell>
          <cell r="W5">
            <v>0.51</v>
          </cell>
          <cell r="X5">
            <v>0.51500000000000001</v>
          </cell>
          <cell r="Y5">
            <v>0.52500000000000002</v>
          </cell>
          <cell r="Z5">
            <v>0.53678571428571431</v>
          </cell>
          <cell r="AA5">
            <v>0.53897084912952264</v>
          </cell>
          <cell r="AB5">
            <v>0.55983851851851851</v>
          </cell>
          <cell r="AC5">
            <v>0.57329873772791018</v>
          </cell>
          <cell r="AD5">
            <v>0.58267739678096564</v>
          </cell>
          <cell r="AE5">
            <v>0.58962482065997135</v>
          </cell>
          <cell r="AF5">
            <v>0.60250147167034573</v>
          </cell>
          <cell r="AG5">
            <v>0.6141003533568905</v>
          </cell>
          <cell r="AH5">
            <v>0.63276462938881661</v>
          </cell>
          <cell r="AI5">
            <v>0.63671213159698414</v>
          </cell>
          <cell r="AJ5">
            <v>0.64440651558073658</v>
          </cell>
          <cell r="AK5">
            <v>0.64956068965517255</v>
          </cell>
          <cell r="AL5">
            <v>0.66841462021701892</v>
          </cell>
          <cell r="AM5">
            <v>0.67313141210374638</v>
          </cell>
          <cell r="AN5">
            <v>0.67703003533568895</v>
          </cell>
          <cell r="AO5">
            <v>0.68272572402044296</v>
          </cell>
          <cell r="AP5">
            <v>0.69623853211009179</v>
          </cell>
          <cell r="AQ5">
            <v>0.70642833876221489</v>
          </cell>
          <cell r="AR5">
            <v>0.71341566016634239</v>
          </cell>
          <cell r="AS5">
            <v>0.71650038271330196</v>
          </cell>
          <cell r="AT5">
            <v>0.71903877158760188</v>
          </cell>
          <cell r="AU5">
            <v>0.72121302028310152</v>
          </cell>
          <cell r="AV5">
            <v>0.72345575351775571</v>
          </cell>
          <cell r="AW5">
            <v>0.73134984256126623</v>
          </cell>
          <cell r="AX5">
            <v>0.74272243847435104</v>
          </cell>
          <cell r="AY5">
            <v>0.75888887877713718</v>
          </cell>
          <cell r="AZ5">
            <v>0.77494503291440087</v>
          </cell>
          <cell r="BA5">
            <v>0.79026301344316829</v>
          </cell>
          <cell r="BB5">
            <v>0.79296428566508015</v>
          </cell>
          <cell r="BC5">
            <v>0.79692448934176663</v>
          </cell>
          <cell r="BD5">
            <v>0.80098040442880103</v>
          </cell>
          <cell r="BE5">
            <v>0.80660753551293651</v>
          </cell>
          <cell r="BF5">
            <v>0.81147252598053554</v>
          </cell>
          <cell r="BG5">
            <v>0.81908857458127748</v>
          </cell>
          <cell r="BH5">
            <v>0.82733987909522166</v>
          </cell>
          <cell r="BI5">
            <v>0.82971709107695635</v>
          </cell>
        </row>
        <row r="6">
          <cell r="B6" t="str">
            <v>y/y change</v>
          </cell>
          <cell r="N6">
            <v>4360</v>
          </cell>
          <cell r="O6">
            <v>4340</v>
          </cell>
          <cell r="P6">
            <v>300.00000000000028</v>
          </cell>
          <cell r="Q6">
            <v>300.00000000000028</v>
          </cell>
          <cell r="R6">
            <v>150.00000000000014</v>
          </cell>
          <cell r="S6">
            <v>210.0000000000002</v>
          </cell>
          <cell r="T6">
            <v>280.00000000000023</v>
          </cell>
          <cell r="U6">
            <v>309.99999999999972</v>
          </cell>
          <cell r="V6">
            <v>560</v>
          </cell>
          <cell r="W6">
            <v>549.99999999999989</v>
          </cell>
          <cell r="X6">
            <v>469.99999999999983</v>
          </cell>
          <cell r="Y6">
            <v>440.0000000000004</v>
          </cell>
          <cell r="Z6">
            <v>297.85714285714306</v>
          </cell>
          <cell r="AA6">
            <v>289.70849129522634</v>
          </cell>
          <cell r="AB6">
            <v>448.38518518518498</v>
          </cell>
          <cell r="AC6">
            <v>482.98737727910162</v>
          </cell>
          <cell r="AD6">
            <v>458.91682495251331</v>
          </cell>
          <cell r="AE6">
            <v>506.539715304487</v>
          </cell>
          <cell r="AF6">
            <v>426.62953151827219</v>
          </cell>
          <cell r="AG6">
            <v>408.01615628980323</v>
          </cell>
          <cell r="AH6">
            <v>500.87232607850973</v>
          </cell>
          <cell r="AI6">
            <v>470.87310937012796</v>
          </cell>
          <cell r="AJ6">
            <v>419.05043910390845</v>
          </cell>
          <cell r="AK6">
            <v>354.60336298282044</v>
          </cell>
          <cell r="AL6">
            <v>356.49990828202306</v>
          </cell>
          <cell r="AM6">
            <v>364.19280506762243</v>
          </cell>
          <cell r="AN6">
            <v>326.23519754952366</v>
          </cell>
          <cell r="AO6">
            <v>331.65034365270407</v>
          </cell>
          <cell r="AP6">
            <v>278.23911893072875</v>
          </cell>
          <cell r="AQ6">
            <v>332.96926658468504</v>
          </cell>
          <cell r="AR6">
            <v>363.85624830653438</v>
          </cell>
          <cell r="AS6">
            <v>337.74658692859003</v>
          </cell>
          <cell r="AT6">
            <v>228.00239477510087</v>
          </cell>
          <cell r="AU6">
            <v>147.84681520886633</v>
          </cell>
          <cell r="AV6">
            <v>100.40093351413316</v>
          </cell>
          <cell r="AW6">
            <v>148.49459847964263</v>
          </cell>
          <cell r="AX6">
            <v>236.83666886749165</v>
          </cell>
          <cell r="AY6">
            <v>376.75858494035651</v>
          </cell>
          <cell r="AZ6">
            <v>514.89279396645156</v>
          </cell>
          <cell r="BA6">
            <v>589.13170881902056</v>
          </cell>
          <cell r="BB6">
            <v>502.41847190729106</v>
          </cell>
          <cell r="BC6">
            <v>380.35610564629451</v>
          </cell>
          <cell r="BD6">
            <v>260.35371514400163</v>
          </cell>
          <cell r="BE6">
            <v>163.4452206976822</v>
          </cell>
          <cell r="BF6">
            <v>185.08240315455393</v>
          </cell>
          <cell r="BG6">
            <v>221.64085239510857</v>
          </cell>
          <cell r="BH6">
            <v>263.59474666420635</v>
          </cell>
          <cell r="BI6">
            <v>231.09555564019834</v>
          </cell>
        </row>
        <row r="7">
          <cell r="B7" t="str">
            <v>sequential change</v>
          </cell>
          <cell r="N7">
            <v>160.00000000000014</v>
          </cell>
          <cell r="O7">
            <v>-20.000000000000018</v>
          </cell>
          <cell r="P7">
            <v>60.000000000000057</v>
          </cell>
          <cell r="Q7">
            <v>100.00000000000009</v>
          </cell>
          <cell r="R7">
            <v>10.000000000000009</v>
          </cell>
          <cell r="S7">
            <v>40.000000000000036</v>
          </cell>
          <cell r="T7">
            <v>130.00000000000011</v>
          </cell>
          <cell r="U7">
            <v>129.99999999999957</v>
          </cell>
          <cell r="V7">
            <v>260.00000000000023</v>
          </cell>
          <cell r="W7">
            <v>30.000000000000028</v>
          </cell>
          <cell r="X7">
            <v>50.000000000000043</v>
          </cell>
          <cell r="Y7">
            <v>100.00000000000009</v>
          </cell>
          <cell r="Z7">
            <v>117.85714285714289</v>
          </cell>
          <cell r="AA7">
            <v>21.851348438083342</v>
          </cell>
          <cell r="AB7">
            <v>208.6766938899587</v>
          </cell>
          <cell r="AC7">
            <v>134.60219209391667</v>
          </cell>
          <cell r="AD7">
            <v>93.786590530554605</v>
          </cell>
          <cell r="AE7">
            <v>69.4742387900571</v>
          </cell>
          <cell r="AF7">
            <v>128.76651010374385</v>
          </cell>
          <cell r="AG7">
            <v>115.9888168654477</v>
          </cell>
          <cell r="AH7">
            <v>186.64276031926107</v>
          </cell>
          <cell r="AI7">
            <v>39.475022081675306</v>
          </cell>
          <cell r="AJ7">
            <v>76.943839837524393</v>
          </cell>
          <cell r="AK7">
            <v>51.541740744359686</v>
          </cell>
          <cell r="AL7">
            <v>188.53930561846366</v>
          </cell>
          <cell r="AM7">
            <v>47.167918867274672</v>
          </cell>
          <cell r="AN7">
            <v>38.98623231942566</v>
          </cell>
          <cell r="AO7">
            <v>56.956886847540076</v>
          </cell>
          <cell r="AP7">
            <v>135.12808089648831</v>
          </cell>
          <cell r="AQ7">
            <v>101.89806652123102</v>
          </cell>
          <cell r="AR7">
            <v>69.873214041275006</v>
          </cell>
          <cell r="AS7">
            <v>30.847225469595728</v>
          </cell>
          <cell r="AT7">
            <v>25.383888742999126</v>
          </cell>
          <cell r="AU7">
            <v>21.742486954996476</v>
          </cell>
          <cell r="AV7">
            <v>22.427332346541817</v>
          </cell>
          <cell r="AW7">
            <v>78.940890435105217</v>
          </cell>
          <cell r="AX7">
            <v>113.72595913084815</v>
          </cell>
          <cell r="AY7">
            <v>161.66440302786134</v>
          </cell>
          <cell r="AZ7">
            <v>160.5615413726369</v>
          </cell>
          <cell r="BA7">
            <v>153.17980528767427</v>
          </cell>
          <cell r="BB7">
            <v>27.012722219118544</v>
          </cell>
          <cell r="BC7">
            <v>39.602036766864799</v>
          </cell>
          <cell r="BD7">
            <v>40.559150870344006</v>
          </cell>
          <cell r="BE7">
            <v>56.27131084135484</v>
          </cell>
          <cell r="BF7">
            <v>48.649904675990285</v>
          </cell>
          <cell r="BG7">
            <v>76.160486007419422</v>
          </cell>
          <cell r="BH7">
            <v>82.5130451394418</v>
          </cell>
          <cell r="BI7">
            <v>23.772119817346837</v>
          </cell>
        </row>
        <row r="8">
          <cell r="B8" t="str">
            <v>Generic dispensing rate - retail</v>
          </cell>
          <cell r="L8">
            <v>0.43</v>
          </cell>
          <cell r="M8">
            <v>0.438</v>
          </cell>
          <cell r="N8">
            <v>0.45</v>
          </cell>
          <cell r="O8">
            <v>0.44700000000000001</v>
          </cell>
          <cell r="P8">
            <v>0.45</v>
          </cell>
          <cell r="Q8">
            <v>0.45900000000000002</v>
          </cell>
          <cell r="R8">
            <v>0.46700000000000003</v>
          </cell>
          <cell r="S8">
            <v>0.47199999999999998</v>
          </cell>
          <cell r="T8">
            <v>0.48599999999999999</v>
          </cell>
          <cell r="U8">
            <v>0.5</v>
          </cell>
          <cell r="V8">
            <v>0.52500000000000002</v>
          </cell>
          <cell r="W8">
            <v>0.52700000000000002</v>
          </cell>
          <cell r="X8">
            <v>0.53500000000000003</v>
          </cell>
          <cell r="Y8">
            <v>0.54600000000000004</v>
          </cell>
          <cell r="Z8">
            <v>0.55800000000000005</v>
          </cell>
          <cell r="AA8">
            <v>0.56000000000000005</v>
          </cell>
          <cell r="AB8">
            <v>0.57899999999999996</v>
          </cell>
          <cell r="AC8">
            <v>0.59199999999999997</v>
          </cell>
          <cell r="AD8">
            <v>0.60199999999999998</v>
          </cell>
          <cell r="AE8">
            <v>0.60799999999999998</v>
          </cell>
          <cell r="AF8">
            <v>0.622</v>
          </cell>
          <cell r="AG8">
            <v>0.63600000000000001</v>
          </cell>
          <cell r="AH8">
            <v>0.65300000000000002</v>
          </cell>
          <cell r="AI8">
            <v>0.65600000000000003</v>
          </cell>
          <cell r="AJ8">
            <v>0.66400000000000003</v>
          </cell>
          <cell r="AK8">
            <v>0.67</v>
          </cell>
          <cell r="AL8">
            <v>0.68500000000000005</v>
          </cell>
          <cell r="AM8">
            <v>0.69</v>
          </cell>
          <cell r="AN8">
            <v>0.69399999999999995</v>
          </cell>
          <cell r="AO8">
            <v>0.7</v>
          </cell>
          <cell r="AP8">
            <v>0.71399999999999997</v>
          </cell>
          <cell r="AQ8">
            <v>0.72299999999999998</v>
          </cell>
          <cell r="AR8">
            <v>0.7293929471294599</v>
          </cell>
          <cell r="AS8">
            <v>0.73217184490984066</v>
          </cell>
          <cell r="AT8">
            <v>0.73422336409007283</v>
          </cell>
          <cell r="AU8">
            <v>0.73650460703036258</v>
          </cell>
          <cell r="AV8">
            <v>0.73887584388376448</v>
          </cell>
          <cell r="AW8">
            <v>0.74510507274432425</v>
          </cell>
          <cell r="AX8">
            <v>0.75436661236108682</v>
          </cell>
          <cell r="AY8">
            <v>0.76918852223016665</v>
          </cell>
          <cell r="AZ8">
            <v>0.78290339687194044</v>
          </cell>
          <cell r="BA8">
            <v>0.79584879013744581</v>
          </cell>
          <cell r="BB8">
            <v>0.79820351126679456</v>
          </cell>
          <cell r="BC8">
            <v>0.80186665145787872</v>
          </cell>
          <cell r="BD8">
            <v>0.8055618177345637</v>
          </cell>
          <cell r="BE8">
            <v>0.81043296429008593</v>
          </cell>
          <cell r="BF8">
            <v>0.81484325219926168</v>
          </cell>
          <cell r="BG8">
            <v>0.82114509430339622</v>
          </cell>
          <cell r="BH8">
            <v>0.82792892563831744</v>
          </cell>
          <cell r="BI8">
            <v>0.83000880576492009</v>
          </cell>
        </row>
        <row r="9">
          <cell r="B9" t="str">
            <v>y/y change</v>
          </cell>
          <cell r="N9">
            <v>4500</v>
          </cell>
          <cell r="O9">
            <v>4470</v>
          </cell>
          <cell r="P9">
            <v>200.00000000000017</v>
          </cell>
          <cell r="Q9">
            <v>210.0000000000002</v>
          </cell>
          <cell r="R9">
            <v>170.00000000000014</v>
          </cell>
          <cell r="S9">
            <v>249.99999999999966</v>
          </cell>
          <cell r="T9">
            <v>359.99999999999977</v>
          </cell>
          <cell r="U9">
            <v>409.99999999999977</v>
          </cell>
          <cell r="V9">
            <v>580</v>
          </cell>
          <cell r="W9">
            <v>550.00000000000057</v>
          </cell>
          <cell r="X9">
            <v>490.0000000000004</v>
          </cell>
          <cell r="Y9">
            <v>460.0000000000004</v>
          </cell>
          <cell r="Z9">
            <v>330.00000000000028</v>
          </cell>
          <cell r="AA9">
            <v>330.00000000000028</v>
          </cell>
          <cell r="AB9">
            <v>439.99999999999932</v>
          </cell>
          <cell r="AC9">
            <v>459.99999999999926</v>
          </cell>
          <cell r="AD9">
            <v>439.99999999999932</v>
          </cell>
          <cell r="AE9">
            <v>479.99999999999937</v>
          </cell>
          <cell r="AF9">
            <v>430.00000000000045</v>
          </cell>
          <cell r="AG9">
            <v>440.0000000000004</v>
          </cell>
          <cell r="AH9">
            <v>510.00000000000051</v>
          </cell>
          <cell r="AI9">
            <v>480.00000000000045</v>
          </cell>
          <cell r="AJ9">
            <v>420.0000000000004</v>
          </cell>
          <cell r="AK9">
            <v>340.00000000000028</v>
          </cell>
          <cell r="AL9">
            <v>320.00000000000028</v>
          </cell>
          <cell r="AM9">
            <v>339.9999999999992</v>
          </cell>
          <cell r="AN9">
            <v>299.99999999999915</v>
          </cell>
          <cell r="AO9">
            <v>299.99999999999915</v>
          </cell>
          <cell r="AP9">
            <v>289.99999999999915</v>
          </cell>
          <cell r="AQ9">
            <v>330.00000000000028</v>
          </cell>
          <cell r="AR9">
            <v>353.92947129459952</v>
          </cell>
          <cell r="AS9">
            <v>321.71844909840706</v>
          </cell>
          <cell r="AT9">
            <v>202.2336409007286</v>
          </cell>
          <cell r="AU9">
            <v>135.04607030362604</v>
          </cell>
          <cell r="AV9">
            <v>94.82896754304582</v>
          </cell>
          <cell r="AW9">
            <v>129.33227834483586</v>
          </cell>
          <cell r="AX9">
            <v>201.43248271013991</v>
          </cell>
          <cell r="AY9">
            <v>326.83915199804068</v>
          </cell>
          <cell r="AZ9">
            <v>440.27552988175955</v>
          </cell>
          <cell r="BA9">
            <v>507.43717393121557</v>
          </cell>
          <cell r="BB9">
            <v>438.3689890570775</v>
          </cell>
          <cell r="BC9">
            <v>326.78129227712071</v>
          </cell>
          <cell r="BD9">
            <v>226.58420862623262</v>
          </cell>
          <cell r="BE9">
            <v>145.84174152640128</v>
          </cell>
          <cell r="BF9">
            <v>166.39740932467117</v>
          </cell>
          <cell r="BG9">
            <v>192.78442845517498</v>
          </cell>
          <cell r="BH9">
            <v>223.67107903753737</v>
          </cell>
          <cell r="BI9">
            <v>195.75841474834155</v>
          </cell>
        </row>
        <row r="10">
          <cell r="B10" t="str">
            <v>sequential change</v>
          </cell>
          <cell r="N10">
            <v>120.00000000000011</v>
          </cell>
          <cell r="O10">
            <v>-30.000000000000028</v>
          </cell>
          <cell r="P10">
            <v>30.000000000000028</v>
          </cell>
          <cell r="Q10">
            <v>90.000000000000085</v>
          </cell>
          <cell r="R10">
            <v>80.000000000000071</v>
          </cell>
          <cell r="S10">
            <v>49.999999999999488</v>
          </cell>
          <cell r="T10">
            <v>140.00000000000011</v>
          </cell>
          <cell r="U10">
            <v>140.00000000000011</v>
          </cell>
          <cell r="V10">
            <v>250.00000000000023</v>
          </cell>
          <cell r="W10">
            <v>20.000000000000018</v>
          </cell>
          <cell r="X10">
            <v>80.000000000000071</v>
          </cell>
          <cell r="Y10">
            <v>110.0000000000001</v>
          </cell>
          <cell r="Z10">
            <v>120.00000000000011</v>
          </cell>
          <cell r="AA10">
            <v>20.000000000000018</v>
          </cell>
          <cell r="AB10">
            <v>189.99999999999906</v>
          </cell>
          <cell r="AC10">
            <v>130.00000000000011</v>
          </cell>
          <cell r="AD10">
            <v>100.00000000000009</v>
          </cell>
          <cell r="AE10">
            <v>60.000000000000057</v>
          </cell>
          <cell r="AF10">
            <v>140.00000000000011</v>
          </cell>
          <cell r="AG10">
            <v>140.00000000000011</v>
          </cell>
          <cell r="AH10">
            <v>170.00000000000014</v>
          </cell>
          <cell r="AI10">
            <v>30.000000000000028</v>
          </cell>
          <cell r="AJ10">
            <v>80.000000000000071</v>
          </cell>
          <cell r="AK10">
            <v>60.000000000000057</v>
          </cell>
          <cell r="AL10">
            <v>150.00000000000014</v>
          </cell>
          <cell r="AM10">
            <v>49.999999999998934</v>
          </cell>
          <cell r="AN10">
            <v>40.000000000000036</v>
          </cell>
          <cell r="AO10">
            <v>60.000000000000057</v>
          </cell>
          <cell r="AP10">
            <v>140.00000000000011</v>
          </cell>
          <cell r="AQ10">
            <v>279.49975170511567</v>
          </cell>
          <cell r="AR10">
            <v>63.929471294599118</v>
          </cell>
          <cell r="AS10">
            <v>27.788977803807207</v>
          </cell>
          <cell r="AT10">
            <v>20.515191802321088</v>
          </cell>
          <cell r="AU10">
            <v>22.812429402897376</v>
          </cell>
          <cell r="AV10">
            <v>23.712368534018758</v>
          </cell>
          <cell r="AW10">
            <v>62.292288605597378</v>
          </cell>
          <cell r="AX10">
            <v>92.615396167625576</v>
          </cell>
          <cell r="AY10">
            <v>148.21909869079843</v>
          </cell>
          <cell r="AZ10">
            <v>137.14874641773815</v>
          </cell>
          <cell r="BA10">
            <v>129.45393265505348</v>
          </cell>
          <cell r="BB10">
            <v>23.547211293487301</v>
          </cell>
          <cell r="BC10">
            <v>36.631401910841788</v>
          </cell>
          <cell r="BD10">
            <v>36.951662766849459</v>
          </cell>
          <cell r="BE10">
            <v>48.711465555222496</v>
          </cell>
          <cell r="BF10">
            <v>44.102879091756918</v>
          </cell>
          <cell r="BG10">
            <v>63.018421041344872</v>
          </cell>
          <cell r="BH10">
            <v>67.838313349212456</v>
          </cell>
          <cell r="BI10">
            <v>20.798801266026441</v>
          </cell>
        </row>
        <row r="11">
          <cell r="B11" t="str">
            <v>Generic dispensing rate - mail</v>
          </cell>
          <cell r="L11">
            <v>0.3</v>
          </cell>
          <cell r="M11">
            <v>0.32</v>
          </cell>
          <cell r="N11">
            <v>0.35899999999999999</v>
          </cell>
          <cell r="O11">
            <v>0.36</v>
          </cell>
          <cell r="P11">
            <v>0.36099999999999999</v>
          </cell>
          <cell r="Q11">
            <v>0.36</v>
          </cell>
          <cell r="R11">
            <v>0.36899999999999999</v>
          </cell>
          <cell r="S11">
            <v>0.372</v>
          </cell>
          <cell r="T11">
            <v>0.38600000000000001</v>
          </cell>
          <cell r="U11">
            <v>0.39100000000000001</v>
          </cell>
          <cell r="V11">
            <v>0.41099999999999998</v>
          </cell>
          <cell r="W11">
            <v>0.41799999999999998</v>
          </cell>
          <cell r="X11">
            <v>0.41599999999999998</v>
          </cell>
          <cell r="Y11">
            <v>0.42099999999999999</v>
          </cell>
          <cell r="Z11">
            <v>0.42299999999999999</v>
          </cell>
          <cell r="AA11">
            <v>0.43099999999999999</v>
          </cell>
          <cell r="AB11">
            <v>0.46300000000000002</v>
          </cell>
          <cell r="AC11">
            <v>0.47399999999999998</v>
          </cell>
          <cell r="AD11">
            <v>0.48399999999999999</v>
          </cell>
          <cell r="AE11">
            <v>0.499</v>
          </cell>
          <cell r="AF11">
            <v>0.50900000000000001</v>
          </cell>
          <cell r="AG11">
            <v>0.50900000000000001</v>
          </cell>
          <cell r="AH11">
            <v>0.53600000000000003</v>
          </cell>
          <cell r="AI11">
            <v>0.54900000000000004</v>
          </cell>
          <cell r="AJ11">
            <v>0.55800000000000005</v>
          </cell>
          <cell r="AK11">
            <v>0.55900000000000005</v>
          </cell>
          <cell r="AL11">
            <v>0.57199999999999995</v>
          </cell>
          <cell r="AM11">
            <v>0.57699999999999996</v>
          </cell>
          <cell r="AN11">
            <v>0.58099999999999996</v>
          </cell>
          <cell r="AO11">
            <v>0.58299999999999996</v>
          </cell>
          <cell r="AP11">
            <v>0.59299999999999997</v>
          </cell>
          <cell r="AQ11">
            <v>0.61199999999999999</v>
          </cell>
          <cell r="AR11">
            <v>0.62222320893773853</v>
          </cell>
          <cell r="AS11">
            <v>0.62651598454164081</v>
          </cell>
          <cell r="AT11">
            <v>0.62994068805645054</v>
          </cell>
          <cell r="AU11">
            <v>0.63325279764013631</v>
          </cell>
          <cell r="AV11">
            <v>0.63460986387153373</v>
          </cell>
          <cell r="AW11">
            <v>0.65162039570604369</v>
          </cell>
          <cell r="AX11">
            <v>0.67414380677661623</v>
          </cell>
          <cell r="AY11">
            <v>0.69942540236998674</v>
          </cell>
          <cell r="AZ11">
            <v>0.7289238481733552</v>
          </cell>
          <cell r="BA11">
            <v>0.75776823288240269</v>
          </cell>
          <cell r="BB11">
            <v>0.76214438753629121</v>
          </cell>
          <cell r="BC11">
            <v>0.76842689778586815</v>
          </cell>
          <cell r="BD11">
            <v>0.77452066037724787</v>
          </cell>
          <cell r="BE11">
            <v>0.78438171199706641</v>
          </cell>
          <cell r="BF11">
            <v>0.79166684818953326</v>
          </cell>
          <cell r="BG11">
            <v>0.80724437714482833</v>
          </cell>
          <cell r="BH11">
            <v>0.82394200806517948</v>
          </cell>
          <cell r="BI11">
            <v>0.82802430153360818</v>
          </cell>
        </row>
        <row r="12">
          <cell r="B12" t="str">
            <v>y/y change</v>
          </cell>
          <cell r="N12">
            <v>3590</v>
          </cell>
          <cell r="O12">
            <v>3600</v>
          </cell>
          <cell r="P12">
            <v>610</v>
          </cell>
          <cell r="Q12">
            <v>399.99999999999983</v>
          </cell>
          <cell r="R12">
            <v>100.00000000000009</v>
          </cell>
          <cell r="S12">
            <v>120.00000000000011</v>
          </cell>
          <cell r="T12">
            <v>250.00000000000023</v>
          </cell>
          <cell r="U12">
            <v>310.00000000000028</v>
          </cell>
          <cell r="V12">
            <v>419.99999999999983</v>
          </cell>
          <cell r="W12">
            <v>459.99999999999989</v>
          </cell>
          <cell r="X12">
            <v>299.99999999999972</v>
          </cell>
          <cell r="Y12">
            <v>299.99999999999972</v>
          </cell>
          <cell r="Z12">
            <v>120.00000000000011</v>
          </cell>
          <cell r="AA12">
            <v>130.00000000000011</v>
          </cell>
          <cell r="AB12">
            <v>470.00000000000045</v>
          </cell>
          <cell r="AC12">
            <v>529.99999999999989</v>
          </cell>
          <cell r="AD12">
            <v>610</v>
          </cell>
          <cell r="AE12">
            <v>680.00000000000011</v>
          </cell>
          <cell r="AF12">
            <v>459.99999999999989</v>
          </cell>
          <cell r="AG12">
            <v>350.00000000000028</v>
          </cell>
          <cell r="AH12">
            <v>520.00000000000045</v>
          </cell>
          <cell r="AI12">
            <v>500.00000000000045</v>
          </cell>
          <cell r="AJ12">
            <v>490.0000000000004</v>
          </cell>
          <cell r="AK12">
            <v>500.00000000000045</v>
          </cell>
          <cell r="AL12">
            <v>359.9999999999992</v>
          </cell>
          <cell r="AM12">
            <v>279.99999999999915</v>
          </cell>
          <cell r="AN12">
            <v>229.99999999999909</v>
          </cell>
          <cell r="AO12">
            <v>239.99999999999909</v>
          </cell>
          <cell r="AP12">
            <v>210.0000000000002</v>
          </cell>
          <cell r="AQ12">
            <v>350.00000000000028</v>
          </cell>
          <cell r="AR12">
            <v>412.23208937738571</v>
          </cell>
          <cell r="AS12">
            <v>435.15984541640853</v>
          </cell>
          <cell r="AT12">
            <v>369.40688056450568</v>
          </cell>
          <cell r="AU12">
            <v>212.52797640136322</v>
          </cell>
          <cell r="AV12">
            <v>123.86654933795205</v>
          </cell>
          <cell r="AW12">
            <v>251.04411164402873</v>
          </cell>
          <cell r="AX12">
            <v>442.03118720165691</v>
          </cell>
          <cell r="AY12">
            <v>661.72604729850434</v>
          </cell>
          <cell r="AZ12">
            <v>943.13984301821472</v>
          </cell>
          <cell r="BA12">
            <v>1061.4783717635901</v>
          </cell>
          <cell r="BB12">
            <v>880.00580759674995</v>
          </cell>
          <cell r="BC12">
            <v>690.01495415881402</v>
          </cell>
          <cell r="BD12">
            <v>455.96812203892671</v>
          </cell>
          <cell r="BE12">
            <v>266.13479114663721</v>
          </cell>
          <cell r="BF12">
            <v>295.22460653242047</v>
          </cell>
          <cell r="BG12">
            <v>388.17479358960185</v>
          </cell>
          <cell r="BH12">
            <v>494.21347687931598</v>
          </cell>
          <cell r="BI12">
            <v>436.42589536541766</v>
          </cell>
        </row>
        <row r="13">
          <cell r="B13" t="str">
            <v>sequential change</v>
          </cell>
          <cell r="N13">
            <v>389.99999999999977</v>
          </cell>
          <cell r="O13">
            <v>10.000000000000009</v>
          </cell>
          <cell r="P13">
            <v>10.000000000000009</v>
          </cell>
          <cell r="Q13">
            <v>-10.000000000000009</v>
          </cell>
          <cell r="R13">
            <v>90.000000000000085</v>
          </cell>
          <cell r="S13">
            <v>30.000000000000028</v>
          </cell>
          <cell r="T13">
            <v>140.00000000000011</v>
          </cell>
          <cell r="U13">
            <v>50.000000000000043</v>
          </cell>
          <cell r="V13">
            <v>199.99999999999963</v>
          </cell>
          <cell r="W13">
            <v>70.000000000000057</v>
          </cell>
          <cell r="X13">
            <v>-20.000000000000018</v>
          </cell>
          <cell r="Y13">
            <v>50.000000000000043</v>
          </cell>
          <cell r="Z13">
            <v>20.000000000000018</v>
          </cell>
          <cell r="AA13">
            <v>80.000000000000071</v>
          </cell>
          <cell r="AB13">
            <v>320.00000000000028</v>
          </cell>
          <cell r="AC13">
            <v>109.99999999999955</v>
          </cell>
          <cell r="AD13">
            <v>100.00000000000009</v>
          </cell>
          <cell r="AE13">
            <v>150.00000000000014</v>
          </cell>
          <cell r="AF13">
            <v>100.00000000000009</v>
          </cell>
          <cell r="AG13">
            <v>0</v>
          </cell>
          <cell r="AH13">
            <v>270.00000000000023</v>
          </cell>
          <cell r="AI13">
            <v>130.00000000000011</v>
          </cell>
          <cell r="AJ13">
            <v>90.000000000000085</v>
          </cell>
          <cell r="AK13">
            <v>10.000000000000009</v>
          </cell>
          <cell r="AL13">
            <v>129.99999999999901</v>
          </cell>
          <cell r="AM13">
            <v>50.000000000000043</v>
          </cell>
          <cell r="AN13">
            <v>40.000000000000036</v>
          </cell>
          <cell r="AO13">
            <v>20.000000000000018</v>
          </cell>
          <cell r="AP13">
            <v>100.00000000000009</v>
          </cell>
          <cell r="AQ13">
            <v>261.12854704974819</v>
          </cell>
          <cell r="AR13">
            <v>102.23208937738563</v>
          </cell>
          <cell r="AS13">
            <v>42.927756039023159</v>
          </cell>
          <cell r="AT13">
            <v>34.247035148096685</v>
          </cell>
          <cell r="AU13">
            <v>33.121095836858295</v>
          </cell>
          <cell r="AV13">
            <v>13.570662313974468</v>
          </cell>
          <cell r="AW13">
            <v>170.10531834509982</v>
          </cell>
          <cell r="AX13">
            <v>225.23411070572487</v>
          </cell>
          <cell r="AY13">
            <v>252.81595593370483</v>
          </cell>
          <cell r="AZ13">
            <v>294.98445803368509</v>
          </cell>
          <cell r="BA13">
            <v>288.44384709047529</v>
          </cell>
          <cell r="BB13">
            <v>43.761546538885057</v>
          </cell>
          <cell r="BC13">
            <v>62.825102495769755</v>
          </cell>
          <cell r="BD13">
            <v>60.93762591379739</v>
          </cell>
          <cell r="BE13">
            <v>98.610516198185323</v>
          </cell>
          <cell r="BF13">
            <v>72.851361924668666</v>
          </cell>
          <cell r="BG13">
            <v>155.77528955295045</v>
          </cell>
          <cell r="BH13">
            <v>166.9763092035119</v>
          </cell>
          <cell r="BI13">
            <v>40.822934684286437</v>
          </cell>
        </row>
        <row r="14">
          <cell r="B14" t="str">
            <v>generic util rate - calc</v>
          </cell>
          <cell r="L14">
            <v>0.40984650805832701</v>
          </cell>
          <cell r="M14">
            <v>0.42017574437182276</v>
          </cell>
          <cell r="N14">
            <v>0.43642503748125938</v>
          </cell>
          <cell r="O14">
            <v>0.43435388127853874</v>
          </cell>
          <cell r="P14">
            <v>0.43666718146718148</v>
          </cell>
          <cell r="Q14">
            <v>0.44483660130718955</v>
          </cell>
          <cell r="R14">
            <v>0.45095541890853197</v>
          </cell>
          <cell r="S14">
            <v>0.45445614035087717</v>
          </cell>
          <cell r="T14">
            <v>0.46772839506172842</v>
          </cell>
          <cell r="U14">
            <v>0.48069340746624312</v>
          </cell>
          <cell r="V14">
            <v>0.50679831932773112</v>
          </cell>
          <cell r="W14">
            <v>0.50970235383447238</v>
          </cell>
          <cell r="X14">
            <v>0.51550076569678405</v>
          </cell>
          <cell r="Y14">
            <v>0.52549285228046294</v>
          </cell>
          <cell r="Z14">
            <v>0.53678571428571431</v>
          </cell>
          <cell r="AA14">
            <v>0.53897084912952264</v>
          </cell>
          <cell r="AB14">
            <v>0.55983851851851851</v>
          </cell>
          <cell r="AC14">
            <v>0.57329873772791018</v>
          </cell>
          <cell r="AD14">
            <v>0.58267739678096564</v>
          </cell>
          <cell r="AE14">
            <v>0.58962482065997135</v>
          </cell>
          <cell r="AF14">
            <v>0.60250147167034573</v>
          </cell>
          <cell r="AG14">
            <v>0.6141003533568905</v>
          </cell>
          <cell r="AH14">
            <v>0.63276462938881661</v>
          </cell>
          <cell r="AI14">
            <v>0.63671213159698414</v>
          </cell>
          <cell r="AJ14">
            <v>0.64440651558073658</v>
          </cell>
          <cell r="AK14">
            <v>0.64956068965517255</v>
          </cell>
          <cell r="AL14">
            <v>0.66841462021701892</v>
          </cell>
          <cell r="AM14">
            <v>0.67313141210374638</v>
          </cell>
          <cell r="AN14">
            <v>0.67703003533568895</v>
          </cell>
          <cell r="AO14">
            <v>0.68272572402044296</v>
          </cell>
          <cell r="AP14">
            <v>0.69623853211009179</v>
          </cell>
          <cell r="AQ14">
            <v>0.70642833876221489</v>
          </cell>
          <cell r="AR14">
            <v>0.71341566016634239</v>
          </cell>
          <cell r="AS14">
            <v>0.71650038271330196</v>
          </cell>
          <cell r="AT14">
            <v>0.71903877158760188</v>
          </cell>
          <cell r="AU14">
            <v>0.72121302028310152</v>
          </cell>
          <cell r="AV14">
            <v>0.72345575351775571</v>
          </cell>
          <cell r="AW14">
            <v>0.73134984256126623</v>
          </cell>
          <cell r="AX14">
            <v>0.74272243847435104</v>
          </cell>
          <cell r="AY14">
            <v>0.75888887877713718</v>
          </cell>
          <cell r="AZ14">
            <v>0.77494503291440087</v>
          </cell>
          <cell r="BA14">
            <v>0.79026301344316829</v>
          </cell>
          <cell r="BB14">
            <v>0.79296428566508015</v>
          </cell>
          <cell r="BC14">
            <v>0.79692448934176663</v>
          </cell>
          <cell r="BD14">
            <v>0.80098040442880103</v>
          </cell>
          <cell r="BE14">
            <v>0.80660753551293651</v>
          </cell>
          <cell r="BF14">
            <v>0.81147252598053554</v>
          </cell>
          <cell r="BG14">
            <v>0.81908857458127748</v>
          </cell>
          <cell r="BH14">
            <v>0.82733987909522166</v>
          </cell>
          <cell r="BI14">
            <v>0.82971709107695635</v>
          </cell>
        </row>
        <row r="15">
          <cell r="B15" t="str">
            <v>Branded utilization rate</v>
          </cell>
          <cell r="L15">
            <v>0.59000000000000008</v>
          </cell>
          <cell r="M15">
            <v>0.58000000000000007</v>
          </cell>
          <cell r="N15">
            <v>0.56400000000000006</v>
          </cell>
          <cell r="O15">
            <v>0.56600000000000006</v>
          </cell>
          <cell r="P15">
            <v>0.56000000000000005</v>
          </cell>
          <cell r="Q15">
            <v>0.55000000000000004</v>
          </cell>
          <cell r="R15">
            <v>0.54899999999999993</v>
          </cell>
          <cell r="S15">
            <v>0.54499999999999993</v>
          </cell>
          <cell r="T15">
            <v>0.53200000000000003</v>
          </cell>
          <cell r="U15">
            <v>0.51900000000000002</v>
          </cell>
          <cell r="V15">
            <v>0.49299999999999999</v>
          </cell>
          <cell r="W15">
            <v>0.49</v>
          </cell>
          <cell r="X15">
            <v>0.48499999999999999</v>
          </cell>
          <cell r="Y15">
            <v>0.47499999999999998</v>
          </cell>
          <cell r="Z15">
            <v>0.46321428571428569</v>
          </cell>
          <cell r="AA15">
            <v>0.46102915087047736</v>
          </cell>
          <cell r="AB15">
            <v>0.44016148148148149</v>
          </cell>
          <cell r="AC15">
            <v>0.42670126227208982</v>
          </cell>
          <cell r="AD15">
            <v>0.41732260321903436</v>
          </cell>
          <cell r="AE15">
            <v>0.41037517934002865</v>
          </cell>
          <cell r="AF15">
            <v>0.39749852832965427</v>
          </cell>
          <cell r="AG15">
            <v>0.3858996466431095</v>
          </cell>
          <cell r="AH15">
            <v>0.36723537061118339</v>
          </cell>
          <cell r="AI15">
            <v>0.36328786840301586</v>
          </cell>
          <cell r="AJ15">
            <v>0.35559348441926342</v>
          </cell>
          <cell r="AK15">
            <v>0.35043931034482745</v>
          </cell>
          <cell r="AL15">
            <v>0.33158537978298108</v>
          </cell>
          <cell r="AM15">
            <v>0.32686858789625362</v>
          </cell>
          <cell r="AN15">
            <v>0.32296996466431105</v>
          </cell>
          <cell r="AO15">
            <v>0.31727427597955704</v>
          </cell>
          <cell r="AP15">
            <v>0.30376146788990821</v>
          </cell>
          <cell r="AQ15">
            <v>0.29357166123778511</v>
          </cell>
          <cell r="AR15">
            <v>0.28658433983365761</v>
          </cell>
          <cell r="AS15">
            <v>0.28349961728669804</v>
          </cell>
          <cell r="AT15">
            <v>0.28096122841239812</v>
          </cell>
          <cell r="AU15">
            <v>0.27878697971689848</v>
          </cell>
          <cell r="AV15">
            <v>0.27654424648224429</v>
          </cell>
          <cell r="AW15">
            <v>0.26865015743873377</v>
          </cell>
          <cell r="AX15">
            <v>0.25727756152564896</v>
          </cell>
          <cell r="AY15">
            <v>0.24111112122286282</v>
          </cell>
          <cell r="AZ15">
            <v>0.22505496708559913</v>
          </cell>
          <cell r="BA15">
            <v>0.20973698655683171</v>
          </cell>
          <cell r="BB15">
            <v>0.20703571433491985</v>
          </cell>
          <cell r="BC15">
            <v>0.20307551065823337</v>
          </cell>
          <cell r="BD15">
            <v>0.19901959557119897</v>
          </cell>
          <cell r="BE15">
            <v>0.19339246448706349</v>
          </cell>
          <cell r="BF15">
            <v>0.18852747401946446</v>
          </cell>
          <cell r="BG15">
            <v>0.18091142541872252</v>
          </cell>
          <cell r="BH15">
            <v>0.17266012090477834</v>
          </cell>
          <cell r="BI15">
            <v>0.17028290892304365</v>
          </cell>
        </row>
        <row r="19">
          <cell r="B19" t="str">
            <v>Generic Dispensing Rate</v>
          </cell>
          <cell r="C19">
            <v>2001</v>
          </cell>
          <cell r="D19">
            <v>2002</v>
          </cell>
          <cell r="E19">
            <v>2003</v>
          </cell>
          <cell r="F19">
            <v>2004</v>
          </cell>
          <cell r="G19">
            <v>2005</v>
          </cell>
          <cell r="H19">
            <v>2006</v>
          </cell>
          <cell r="I19">
            <v>2007</v>
          </cell>
          <cell r="J19">
            <v>2008</v>
          </cell>
          <cell r="K19">
            <v>2009</v>
          </cell>
          <cell r="L19">
            <v>2010</v>
          </cell>
          <cell r="M19">
            <v>2011</v>
          </cell>
          <cell r="N19">
            <v>2012</v>
          </cell>
          <cell r="O19">
            <v>2013</v>
          </cell>
          <cell r="P19">
            <v>2014</v>
          </cell>
        </row>
        <row r="20">
          <cell r="B20" t="str">
            <v>Generic dispensing rate</v>
          </cell>
          <cell r="C20">
            <v>0.38500000000000001</v>
          </cell>
          <cell r="D20">
            <v>0.40500000000000003</v>
          </cell>
          <cell r="E20">
            <v>0.438</v>
          </cell>
          <cell r="F20">
            <v>0.46300000000000002</v>
          </cell>
          <cell r="G20">
            <v>0.51469542677281988</v>
          </cell>
          <cell r="H20">
            <v>0.55235316065733731</v>
          </cell>
          <cell r="I20">
            <v>0.59716535644095048</v>
          </cell>
          <cell r="J20">
            <v>0.64071001877453504</v>
          </cell>
          <cell r="K20">
            <v>0.67532814974802013</v>
          </cell>
          <cell r="L20">
            <v>0.70814950450158365</v>
          </cell>
          <cell r="M20">
            <v>0.72378434355121124</v>
          </cell>
          <cell r="N20">
            <v>0.76673954151746859</v>
          </cell>
          <cell r="O20">
            <v>0.79938265800110553</v>
          </cell>
          <cell r="P20">
            <v>0.8219084038243345</v>
          </cell>
        </row>
        <row r="21">
          <cell r="B21" t="str">
            <v>y/y change</v>
          </cell>
          <cell r="E21">
            <v>329.99999999999972</v>
          </cell>
          <cell r="F21">
            <v>250.00000000000023</v>
          </cell>
          <cell r="G21">
            <v>516.95426772819849</v>
          </cell>
          <cell r="H21">
            <v>376.57733884517432</v>
          </cell>
          <cell r="I21">
            <v>448.12195783613174</v>
          </cell>
          <cell r="J21">
            <v>435.44662333584563</v>
          </cell>
          <cell r="K21">
            <v>346.18130973485097</v>
          </cell>
          <cell r="L21">
            <v>328.21354753563514</v>
          </cell>
          <cell r="M21">
            <v>156.34839049627593</v>
          </cell>
          <cell r="N21">
            <v>429.5519796625735</v>
          </cell>
          <cell r="O21">
            <v>326.43116483636936</v>
          </cell>
          <cell r="P21">
            <v>225.25745823228971</v>
          </cell>
        </row>
        <row r="22">
          <cell r="B22" t="str">
            <v>sequential change</v>
          </cell>
          <cell r="E22" t="str">
            <v>NA</v>
          </cell>
          <cell r="F22" t="str">
            <v>NA</v>
          </cell>
          <cell r="G22" t="str">
            <v>NA</v>
          </cell>
          <cell r="H22" t="str">
            <v>NA</v>
          </cell>
          <cell r="I22" t="str">
            <v>NA</v>
          </cell>
          <cell r="J22" t="str">
            <v>NA</v>
          </cell>
          <cell r="K22" t="str">
            <v>NA</v>
          </cell>
          <cell r="L22" t="str">
            <v>NA</v>
          </cell>
          <cell r="M22" t="str">
            <v>NA</v>
          </cell>
          <cell r="N22" t="str">
            <v>NA</v>
          </cell>
          <cell r="O22" t="str">
            <v>NA</v>
          </cell>
          <cell r="P22" t="str">
            <v>NA</v>
          </cell>
        </row>
        <row r="23">
          <cell r="B23" t="str">
            <v>Generic dispensing rate - retail</v>
          </cell>
          <cell r="D23">
            <v>0.42199999999999999</v>
          </cell>
          <cell r="E23">
            <v>0.45261500781844982</v>
          </cell>
          <cell r="F23">
            <v>0.48369014084507039</v>
          </cell>
          <cell r="G23">
            <v>0.53644708063460023</v>
          </cell>
          <cell r="H23">
            <v>0.5751528779024534</v>
          </cell>
          <cell r="I23">
            <v>0.61970561354315712</v>
          </cell>
          <cell r="J23">
            <v>0.66362963485343496</v>
          </cell>
          <cell r="K23">
            <v>0.69505002482948841</v>
          </cell>
          <cell r="L23">
            <v>0.72744411654186658</v>
          </cell>
          <cell r="M23">
            <v>0.74160606655342121</v>
          </cell>
          <cell r="N23">
            <v>0.7786487791566068</v>
          </cell>
          <cell r="O23">
            <v>0.80717658136327686</v>
          </cell>
          <cell r="P23">
            <v>0.82665657067350706</v>
          </cell>
        </row>
        <row r="24">
          <cell r="B24" t="str">
            <v>y/y change</v>
          </cell>
          <cell r="E24">
            <v>306.15007818449834</v>
          </cell>
          <cell r="F24">
            <v>310.75133026620574</v>
          </cell>
          <cell r="G24">
            <v>527.56939789529827</v>
          </cell>
          <cell r="H24">
            <v>387.05797267853171</v>
          </cell>
          <cell r="I24">
            <v>445.52735640703725</v>
          </cell>
          <cell r="J24">
            <v>439.2402131027784</v>
          </cell>
          <cell r="K24">
            <v>314.20389976053451</v>
          </cell>
          <cell r="L24">
            <v>323.94091712378167</v>
          </cell>
          <cell r="M24">
            <v>141.61950011554626</v>
          </cell>
          <cell r="N24">
            <v>370.42712603185589</v>
          </cell>
          <cell r="O24">
            <v>285.2780220667006</v>
          </cell>
          <cell r="P24">
            <v>194.79989310230206</v>
          </cell>
        </row>
        <row r="25">
          <cell r="B25" t="str">
            <v>sequential change</v>
          </cell>
          <cell r="E25" t="str">
            <v>NA</v>
          </cell>
          <cell r="F25" t="str">
            <v>NA</v>
          </cell>
          <cell r="G25" t="str">
            <v>NA</v>
          </cell>
          <cell r="H25" t="str">
            <v>NA</v>
          </cell>
          <cell r="I25" t="str">
            <v>NA</v>
          </cell>
          <cell r="J25" t="str">
            <v>NA</v>
          </cell>
          <cell r="K25" t="str">
            <v>NA</v>
          </cell>
          <cell r="L25" t="str">
            <v>NA</v>
          </cell>
          <cell r="M25" t="str">
            <v>NA</v>
          </cell>
          <cell r="N25" t="str">
            <v>NA</v>
          </cell>
          <cell r="O25" t="str">
            <v>NA</v>
          </cell>
          <cell r="P25" t="str">
            <v>NA</v>
          </cell>
        </row>
        <row r="26">
          <cell r="B26" t="str">
            <v>Generic dispensing rate - mail</v>
          </cell>
          <cell r="D26">
            <v>0.31</v>
          </cell>
          <cell r="E26">
            <v>0.35999359795134445</v>
          </cell>
          <cell r="F26">
            <v>0.37963781321184503</v>
          </cell>
          <cell r="G26">
            <v>0.41783838438612392</v>
          </cell>
          <cell r="H26">
            <v>0.45207930191314877</v>
          </cell>
          <cell r="I26">
            <v>0.50533090504140765</v>
          </cell>
          <cell r="J26">
            <v>0.55705146699904928</v>
          </cell>
          <cell r="K26">
            <v>0.58588714529502517</v>
          </cell>
          <cell r="L26">
            <v>0.62191017320934638</v>
          </cell>
          <cell r="M26">
            <v>0.64640397831609608</v>
          </cell>
          <cell r="N26">
            <v>0.72620726196316565</v>
          </cell>
          <cell r="O26">
            <v>0.78522675094025507</v>
          </cell>
          <cell r="P26">
            <v>0.82720494923424559</v>
          </cell>
        </row>
        <row r="27">
          <cell r="B27" t="str">
            <v>y/y change</v>
          </cell>
          <cell r="E27">
            <v>499.93597951344447</v>
          </cell>
          <cell r="F27">
            <v>196.44215260500587</v>
          </cell>
          <cell r="G27">
            <v>382.00571174278883</v>
          </cell>
          <cell r="H27">
            <v>342.40917527024851</v>
          </cell>
          <cell r="I27">
            <v>532.51603128258887</v>
          </cell>
          <cell r="J27">
            <v>517.20561957641632</v>
          </cell>
          <cell r="K27">
            <v>288.35678295975885</v>
          </cell>
          <cell r="L27">
            <v>360.23027914321216</v>
          </cell>
          <cell r="M27">
            <v>244.93805106749699</v>
          </cell>
          <cell r="N27">
            <v>798.03283647069566</v>
          </cell>
          <cell r="O27">
            <v>590.19488977089418</v>
          </cell>
          <cell r="P27">
            <v>419.78198293990516</v>
          </cell>
        </row>
        <row r="28">
          <cell r="B28" t="str">
            <v>sequential change</v>
          </cell>
          <cell r="E28" t="str">
            <v>NA</v>
          </cell>
          <cell r="F28" t="str">
            <v>NA</v>
          </cell>
          <cell r="G28" t="str">
            <v>NA</v>
          </cell>
          <cell r="H28" t="str">
            <v>NA</v>
          </cell>
          <cell r="I28" t="str">
            <v>NA</v>
          </cell>
          <cell r="J28" t="str">
            <v>NA</v>
          </cell>
          <cell r="K28" t="str">
            <v>NA</v>
          </cell>
          <cell r="L28" t="str">
            <v>NA</v>
          </cell>
          <cell r="M28" t="str">
            <v>NA</v>
          </cell>
          <cell r="N28" t="str">
            <v>NA</v>
          </cell>
          <cell r="O28" t="str">
            <v>NA</v>
          </cell>
          <cell r="P28" t="str">
            <v>NA</v>
          </cell>
        </row>
        <row r="29">
          <cell r="B29" t="str">
            <v>generic util rate - calc</v>
          </cell>
          <cell r="D29">
            <v>0.40530828164903315</v>
          </cell>
          <cell r="E29">
            <v>0.43901776700901196</v>
          </cell>
          <cell r="F29">
            <v>0.46552391621552736</v>
          </cell>
          <cell r="G29">
            <v>0.51727555835633332</v>
          </cell>
          <cell r="H29">
            <v>0.55535129585912901</v>
          </cell>
          <cell r="I29">
            <v>0.6003434487574848</v>
          </cell>
          <cell r="J29">
            <v>0.64440227123812766</v>
          </cell>
          <cell r="K29">
            <v>0.67884456351918865</v>
          </cell>
          <cell r="L29">
            <v>0.71178608689871392</v>
          </cell>
          <cell r="M29">
            <v>0.72759407118871344</v>
          </cell>
          <cell r="N29">
            <v>0.77095446498712383</v>
          </cell>
          <cell r="O29">
            <v>0.80395265471755517</v>
          </cell>
          <cell r="P29">
            <v>0.82673719715585825</v>
          </cell>
        </row>
        <row r="30">
          <cell r="B30" t="str">
            <v>Branded utilization rate</v>
          </cell>
          <cell r="D30">
            <v>0.59499999999999997</v>
          </cell>
          <cell r="E30">
            <v>0.56200000000000006</v>
          </cell>
          <cell r="F30">
            <v>0.53699999999999992</v>
          </cell>
          <cell r="G30">
            <v>0.48530457322718012</v>
          </cell>
          <cell r="H30">
            <v>0.44764683934266269</v>
          </cell>
          <cell r="I30">
            <v>0.40283464355904952</v>
          </cell>
          <cell r="J30">
            <v>0.35928998122546496</v>
          </cell>
          <cell r="K30">
            <v>0.32467185025197987</v>
          </cell>
          <cell r="L30">
            <v>0.29185049549841635</v>
          </cell>
          <cell r="M30">
            <v>0.27621565644878876</v>
          </cell>
          <cell r="N30">
            <v>0.23326045848253141</v>
          </cell>
          <cell r="O30">
            <v>0.20061734199889447</v>
          </cell>
          <cell r="P30">
            <v>0.1780915961756655</v>
          </cell>
        </row>
        <row r="64">
          <cell r="D64">
            <v>5</v>
          </cell>
          <cell r="E64">
            <v>10</v>
          </cell>
          <cell r="F64">
            <v>15</v>
          </cell>
          <cell r="G64">
            <v>20</v>
          </cell>
          <cell r="H64">
            <v>25</v>
          </cell>
          <cell r="I64">
            <v>30</v>
          </cell>
          <cell r="J64">
            <v>35</v>
          </cell>
          <cell r="K64">
            <v>40</v>
          </cell>
          <cell r="L64">
            <v>45</v>
          </cell>
          <cell r="M64">
            <v>50</v>
          </cell>
          <cell r="N64">
            <v>55</v>
          </cell>
          <cell r="O64">
            <v>60</v>
          </cell>
        </row>
        <row r="67">
          <cell r="B67" t="str">
            <v>MHS</v>
          </cell>
          <cell r="C67">
            <v>2002</v>
          </cell>
          <cell r="D67">
            <v>2003</v>
          </cell>
          <cell r="E67">
            <v>2004</v>
          </cell>
          <cell r="F67">
            <v>2005</v>
          </cell>
          <cell r="G67">
            <v>2006</v>
          </cell>
          <cell r="H67">
            <v>2007</v>
          </cell>
          <cell r="I67">
            <v>2008</v>
          </cell>
          <cell r="J67">
            <v>2009</v>
          </cell>
          <cell r="K67">
            <v>2010</v>
          </cell>
          <cell r="L67">
            <v>2011</v>
          </cell>
          <cell r="M67">
            <v>2012</v>
          </cell>
          <cell r="N67">
            <v>2013</v>
          </cell>
          <cell r="O67">
            <v>2014</v>
          </cell>
        </row>
        <row r="68">
          <cell r="B68" t="str">
            <v>EPS (Non-GAAP continuing)  - (Pro forma)</v>
          </cell>
          <cell r="C68">
            <v>0.76113466747972991</v>
          </cell>
          <cell r="D68">
            <v>0.88804850310430283</v>
          </cell>
          <cell r="E68">
            <v>1.0717811656617033</v>
          </cell>
          <cell r="F68">
            <v>1.2557759367648349</v>
          </cell>
          <cell r="G68">
            <v>1.3746436636418089</v>
          </cell>
          <cell r="H68">
            <v>1.8199056931207969</v>
          </cell>
          <cell r="I68">
            <v>2.3383324526604454</v>
          </cell>
          <cell r="J68">
            <v>2.8326000000000002</v>
          </cell>
          <cell r="K68">
            <v>3.3560623284705104</v>
          </cell>
          <cell r="L68">
            <v>3.923899275475315</v>
          </cell>
          <cell r="M68">
            <v>4.8665468575439892</v>
          </cell>
          <cell r="N68">
            <v>5.4141916864538082</v>
          </cell>
          <cell r="O68">
            <v>6.2896401303674656</v>
          </cell>
        </row>
        <row r="69">
          <cell r="B69" t="str">
            <v>EPS (Non-GAAP continuing)  - Growth</v>
          </cell>
          <cell r="D69">
            <v>0.16674294451047689</v>
          </cell>
          <cell r="E69">
            <v>0.20689485080503633</v>
          </cell>
          <cell r="F69">
            <v>0.17167195785674738</v>
          </cell>
          <cell r="G69">
            <v>9.4656796166364243E-2</v>
          </cell>
          <cell r="H69">
            <v>0.32391087323631673</v>
          </cell>
          <cell r="I69">
            <v>0.28486462869987728</v>
          </cell>
          <cell r="J69">
            <v>0.21137607989710805</v>
          </cell>
          <cell r="K69">
            <v>0.18479924044005869</v>
          </cell>
          <cell r="L69">
            <v>0.16919737818563996</v>
          </cell>
          <cell r="M69">
            <v>0.24023235967352607</v>
          </cell>
          <cell r="N69">
            <v>0.1125325297260571</v>
          </cell>
          <cell r="O69">
            <v>0.16169513283100234</v>
          </cell>
        </row>
        <row r="82">
          <cell r="B82" t="str">
            <v>ESRX</v>
          </cell>
          <cell r="C82">
            <v>2002</v>
          </cell>
          <cell r="D82">
            <v>2003</v>
          </cell>
          <cell r="E82">
            <v>2004</v>
          </cell>
          <cell r="F82">
            <v>2005</v>
          </cell>
          <cell r="G82">
            <v>2006</v>
          </cell>
          <cell r="H82">
            <v>2007</v>
          </cell>
          <cell r="I82">
            <v>2008</v>
          </cell>
          <cell r="J82">
            <v>2009</v>
          </cell>
          <cell r="K82">
            <v>2010</v>
          </cell>
          <cell r="L82">
            <v>2011</v>
          </cell>
          <cell r="M82">
            <v>2012</v>
          </cell>
          <cell r="N82">
            <v>2013</v>
          </cell>
          <cell r="O82">
            <v>2014</v>
          </cell>
        </row>
        <row r="83">
          <cell r="B83" t="str">
            <v>Revenue per adj claim</v>
          </cell>
          <cell r="C83">
            <v>45.774311410905</v>
          </cell>
          <cell r="D83">
            <v>49.277971519907005</v>
          </cell>
          <cell r="E83">
            <v>51.620338983050836</v>
          </cell>
          <cell r="F83">
            <v>52.424491701303396</v>
          </cell>
          <cell r="G83">
            <v>57.50820201317088</v>
          </cell>
          <cell r="H83">
            <v>58.751758738864091</v>
          </cell>
          <cell r="I83">
            <v>63.533751974462334</v>
          </cell>
          <cell r="J83">
            <v>65.559717499976898</v>
          </cell>
          <cell r="K83">
            <v>67.169891559234415</v>
          </cell>
          <cell r="L83">
            <v>69.002371770158916</v>
          </cell>
          <cell r="M83">
            <v>66.986040722608848</v>
          </cell>
          <cell r="N83">
            <v>64.082562626473944</v>
          </cell>
          <cell r="O83">
            <v>63.228906731521668</v>
          </cell>
        </row>
        <row r="84">
          <cell r="B84" t="str">
            <v>EBITDA per adj claim</v>
          </cell>
          <cell r="C84">
            <v>1.2445193929173681</v>
          </cell>
          <cell r="D84">
            <v>1.4889566986341161</v>
          </cell>
          <cell r="E84">
            <v>1.8332596196373177</v>
          </cell>
          <cell r="F84">
            <v>1.8899741060387329</v>
          </cell>
          <cell r="G84">
            <v>2.2346396113345639</v>
          </cell>
          <cell r="H84">
            <v>2.6729825747659235</v>
          </cell>
          <cell r="I84">
            <v>3.0918816307817498</v>
          </cell>
          <cell r="J84">
            <v>3.0607611840640998</v>
          </cell>
          <cell r="K84">
            <v>3.1040611395270155</v>
          </cell>
          <cell r="L84">
            <v>3.2033141627175978</v>
          </cell>
          <cell r="M84">
            <v>3.5154314083669793</v>
          </cell>
          <cell r="N84">
            <v>3.5643998386981433</v>
          </cell>
          <cell r="O84">
            <v>3.7212566716605595</v>
          </cell>
        </row>
        <row r="91">
          <cell r="B91" t="str">
            <v>Contibution to Gross Margin</v>
          </cell>
          <cell r="C91">
            <v>2002</v>
          </cell>
          <cell r="D91">
            <v>2003</v>
          </cell>
          <cell r="E91">
            <v>2004</v>
          </cell>
          <cell r="F91">
            <v>2005</v>
          </cell>
          <cell r="G91">
            <v>2006</v>
          </cell>
          <cell r="H91">
            <v>2007</v>
          </cell>
          <cell r="I91">
            <v>2008</v>
          </cell>
          <cell r="J91">
            <v>2009</v>
          </cell>
          <cell r="K91">
            <v>2010</v>
          </cell>
          <cell r="L91">
            <v>2011</v>
          </cell>
          <cell r="M91">
            <v>2012</v>
          </cell>
          <cell r="N91">
            <v>2013</v>
          </cell>
          <cell r="O91">
            <v>2014</v>
          </cell>
        </row>
        <row r="92">
          <cell r="B92" t="str">
            <v>Total Retail - core</v>
          </cell>
          <cell r="C92">
            <v>0</v>
          </cell>
          <cell r="D92">
            <v>0.32114662121967463</v>
          </cell>
          <cell r="E92">
            <v>0.21234195688403612</v>
          </cell>
          <cell r="F92">
            <v>0.14717137146124704</v>
          </cell>
          <cell r="G92">
            <v>0.1346477212434693</v>
          </cell>
          <cell r="H92">
            <v>0.2026876853108627</v>
          </cell>
          <cell r="I92">
            <v>0.23074648279118182</v>
          </cell>
          <cell r="J92">
            <v>0.21919140873167661</v>
          </cell>
          <cell r="K92">
            <v>0.20006633237091967</v>
          </cell>
          <cell r="L92">
            <v>0.18861688496722637</v>
          </cell>
          <cell r="M92">
            <v>0.1621475271359579</v>
          </cell>
          <cell r="N92">
            <v>0.14649890935077745</v>
          </cell>
          <cell r="O92">
            <v>0.13449318959630915</v>
          </cell>
        </row>
        <row r="93">
          <cell r="B93" t="str">
            <v>Total Mail - core</v>
          </cell>
          <cell r="C93">
            <v>0</v>
          </cell>
          <cell r="D93">
            <v>0.56440623338908891</v>
          </cell>
          <cell r="E93">
            <v>0.65024149739753556</v>
          </cell>
          <cell r="F93">
            <v>0.59817949987876085</v>
          </cell>
          <cell r="G93">
            <v>0.52474364734387313</v>
          </cell>
          <cell r="H93">
            <v>0.49673172799168919</v>
          </cell>
          <cell r="I93">
            <v>0.47656993624009175</v>
          </cell>
          <cell r="J93">
            <v>0.46034670947045803</v>
          </cell>
          <cell r="K93">
            <v>0.45451499055537015</v>
          </cell>
          <cell r="L93">
            <v>0.45094513681961723</v>
          </cell>
          <cell r="M93">
            <v>0.46735116027152357</v>
          </cell>
          <cell r="N93">
            <v>0.45863367823749912</v>
          </cell>
          <cell r="O93">
            <v>0.4559068265354157</v>
          </cell>
        </row>
        <row r="94">
          <cell r="B94" t="str">
            <v xml:space="preserve">Specialty </v>
          </cell>
          <cell r="C94">
            <v>0</v>
          </cell>
          <cell r="D94">
            <v>8.2123382169371345E-3</v>
          </cell>
          <cell r="E94">
            <v>2.4383164005805619E-2</v>
          </cell>
          <cell r="F94">
            <v>9.2151702265096253E-2</v>
          </cell>
          <cell r="G94">
            <v>0.17622848673817235</v>
          </cell>
          <cell r="H94">
            <v>0.16273384782534905</v>
          </cell>
          <cell r="I94">
            <v>0.16920559995708886</v>
          </cell>
          <cell r="J94">
            <v>0.17429848522473276</v>
          </cell>
          <cell r="K94">
            <v>0.18442343754092594</v>
          </cell>
          <cell r="L94">
            <v>0.2001082002724475</v>
          </cell>
          <cell r="M94">
            <v>0.21773985011504451</v>
          </cell>
          <cell r="N94">
            <v>0.23739108445358356</v>
          </cell>
          <cell r="O94">
            <v>0.25009300555380221</v>
          </cell>
        </row>
        <row r="95">
          <cell r="B95" t="str">
            <v>Service</v>
          </cell>
          <cell r="C95">
            <v>0</v>
          </cell>
          <cell r="D95">
            <v>0.10623480717429876</v>
          </cell>
          <cell r="E95">
            <v>0.11303338171262747</v>
          </cell>
          <cell r="F95">
            <v>0.1625488984970144</v>
          </cell>
          <cell r="G95">
            <v>0.16433857154735171</v>
          </cell>
          <cell r="H95">
            <v>0.1310223067259704</v>
          </cell>
          <cell r="I95">
            <v>0.12347798101164005</v>
          </cell>
          <cell r="J95">
            <v>0.14616339706977874</v>
          </cell>
          <cell r="K95">
            <v>0.16099523976511446</v>
          </cell>
          <cell r="L95">
            <v>0.16032977794070713</v>
          </cell>
          <cell r="M95">
            <v>0.15276146247747693</v>
          </cell>
          <cell r="N95">
            <v>0.15747632795814256</v>
          </cell>
          <cell r="O95">
            <v>0.15950697831447366</v>
          </cell>
        </row>
        <row r="100">
          <cell r="B100" t="str">
            <v>Contibution to Gross Margin</v>
          </cell>
          <cell r="C100">
            <v>2002</v>
          </cell>
          <cell r="D100">
            <v>2003</v>
          </cell>
          <cell r="E100">
            <v>2004</v>
          </cell>
          <cell r="F100">
            <v>2005</v>
          </cell>
          <cell r="G100">
            <v>2006</v>
          </cell>
          <cell r="H100">
            <v>2007</v>
          </cell>
          <cell r="I100">
            <v>2008</v>
          </cell>
          <cell r="J100">
            <v>2009</v>
          </cell>
          <cell r="K100">
            <v>2010</v>
          </cell>
          <cell r="L100">
            <v>2011</v>
          </cell>
          <cell r="M100">
            <v>2012</v>
          </cell>
          <cell r="N100">
            <v>2013</v>
          </cell>
          <cell r="O100">
            <v>2014</v>
          </cell>
        </row>
        <row r="101">
          <cell r="B101" t="str">
            <v>Generics</v>
          </cell>
          <cell r="C101">
            <v>0</v>
          </cell>
          <cell r="D101">
            <v>0.53201903702465148</v>
          </cell>
          <cell r="E101">
            <v>0.61650501890241893</v>
          </cell>
          <cell r="F101">
            <v>0.56823358936807755</v>
          </cell>
          <cell r="G101">
            <v>0.5026371104381544</v>
          </cell>
          <cell r="H101">
            <v>0.50340058248170938</v>
          </cell>
          <cell r="I101">
            <v>0.48364143707643359</v>
          </cell>
          <cell r="J101">
            <v>0.47491391435128616</v>
          </cell>
          <cell r="K101">
            <v>0.4715494801420288</v>
          </cell>
          <cell r="L101">
            <v>0.47031540521276094</v>
          </cell>
          <cell r="M101">
            <v>0.48856295970169056</v>
          </cell>
          <cell r="N101">
            <v>0.48045527769479379</v>
          </cell>
          <cell r="O101">
            <v>0.47875903222860366</v>
          </cell>
        </row>
        <row r="102">
          <cell r="B102" t="str">
            <v>Brand</v>
          </cell>
          <cell r="C102">
            <v>0</v>
          </cell>
          <cell r="D102">
            <v>0.35353381758411201</v>
          </cell>
          <cell r="E102">
            <v>0.2460784353791528</v>
          </cell>
          <cell r="F102">
            <v>0.17711728197193033</v>
          </cell>
          <cell r="G102">
            <v>0.15675425814918803</v>
          </cell>
          <cell r="H102">
            <v>0.19601883082084245</v>
          </cell>
          <cell r="I102">
            <v>0.22367498195484001</v>
          </cell>
          <cell r="J102">
            <v>0.20462420385084854</v>
          </cell>
          <cell r="K102">
            <v>0.18303184278426102</v>
          </cell>
          <cell r="L102">
            <v>0.1692466165740826</v>
          </cell>
          <cell r="M102">
            <v>0.14093572770579094</v>
          </cell>
          <cell r="N102">
            <v>0.1246773098934828</v>
          </cell>
          <cell r="O102">
            <v>0.11164098390312112</v>
          </cell>
        </row>
        <row r="103">
          <cell r="B103" t="str">
            <v>Specialty</v>
          </cell>
          <cell r="C103">
            <v>0</v>
          </cell>
          <cell r="D103">
            <v>8.2123382169371345E-3</v>
          </cell>
          <cell r="E103">
            <v>2.4383164005805619E-2</v>
          </cell>
          <cell r="F103">
            <v>9.2151702265096253E-2</v>
          </cell>
          <cell r="G103">
            <v>0.17622848673817235</v>
          </cell>
          <cell r="H103">
            <v>0.16273384782534905</v>
          </cell>
          <cell r="I103">
            <v>0.16920559995708886</v>
          </cell>
          <cell r="J103">
            <v>0.17429848522473276</v>
          </cell>
          <cell r="K103">
            <v>0.18442343754092594</v>
          </cell>
          <cell r="L103">
            <v>0.2001082002724475</v>
          </cell>
          <cell r="M103">
            <v>0.21773985011504451</v>
          </cell>
          <cell r="N103">
            <v>0.23739108445358356</v>
          </cell>
          <cell r="O103">
            <v>0.25009300555380221</v>
          </cell>
        </row>
        <row r="104">
          <cell r="B104" t="str">
            <v>Service</v>
          </cell>
          <cell r="C104">
            <v>0</v>
          </cell>
          <cell r="D104">
            <v>0.10623480717429876</v>
          </cell>
          <cell r="E104">
            <v>0.11303338171262747</v>
          </cell>
          <cell r="F104">
            <v>0.1625488984970144</v>
          </cell>
          <cell r="G104">
            <v>0.16433857154735171</v>
          </cell>
          <cell r="H104">
            <v>0.1310223067259704</v>
          </cell>
          <cell r="I104">
            <v>0.12347798101164005</v>
          </cell>
          <cell r="J104">
            <v>0.14616339706977874</v>
          </cell>
          <cell r="K104">
            <v>0.16099523976511446</v>
          </cell>
          <cell r="L104">
            <v>0.16032977794070713</v>
          </cell>
          <cell r="M104">
            <v>0.15276146247747693</v>
          </cell>
          <cell r="N104">
            <v>0.15747632795814256</v>
          </cell>
          <cell r="O104">
            <v>0.15950697831447366</v>
          </cell>
        </row>
        <row r="107">
          <cell r="B107" t="str">
            <v>Retail - generics - core</v>
          </cell>
          <cell r="C107">
            <v>0</v>
          </cell>
          <cell r="D107">
            <v>0</v>
          </cell>
          <cell r="E107">
            <v>0</v>
          </cell>
          <cell r="F107">
            <v>0</v>
          </cell>
          <cell r="G107">
            <v>0</v>
          </cell>
          <cell r="H107">
            <v>1.7312198398628933E-2</v>
          </cell>
          <cell r="I107">
            <v>1.7101318786121287E-2</v>
          </cell>
          <cell r="J107">
            <v>2.5376429789033733E-2</v>
          </cell>
          <cell r="K107">
            <v>2.6982588115536121E-2</v>
          </cell>
          <cell r="L107">
            <v>2.8930012346254204E-2</v>
          </cell>
          <cell r="M107">
            <v>2.940220708839264E-2</v>
          </cell>
          <cell r="N107">
            <v>2.9405123591413465E-2</v>
          </cell>
          <cell r="O107">
            <v>3.0010961290526789E-2</v>
          </cell>
        </row>
        <row r="108">
          <cell r="B108" t="str">
            <v>Retail - brand - core</v>
          </cell>
          <cell r="C108">
            <v>0</v>
          </cell>
          <cell r="D108">
            <v>0.359318782827453</v>
          </cell>
          <cell r="E108">
            <v>0.23940242226256822</v>
          </cell>
          <cell r="F108">
            <v>0.17572647069934941</v>
          </cell>
          <cell r="G108">
            <v>0.16113513864628917</v>
          </cell>
          <cell r="H108">
            <v>0.21778252831585235</v>
          </cell>
          <cell r="I108">
            <v>0.24615103288611337</v>
          </cell>
          <cell r="J108">
            <v>0.23133710062117535</v>
          </cell>
          <cell r="K108">
            <v>0.21147414282709845</v>
          </cell>
          <cell r="L108">
            <v>0.19570208727095417</v>
          </cell>
          <cell r="M108">
            <v>0.16198135250523221</v>
          </cell>
          <cell r="N108">
            <v>0.14447593662347241</v>
          </cell>
          <cell r="O108">
            <v>0.13000605982238675</v>
          </cell>
        </row>
        <row r="109">
          <cell r="B109" t="str">
            <v>Mail - generics - core</v>
          </cell>
          <cell r="C109">
            <v>0</v>
          </cell>
          <cell r="D109">
            <v>0.59525593667687626</v>
          </cell>
          <cell r="E109">
            <v>0.69507127572942473</v>
          </cell>
          <cell r="F109">
            <v>0.67848578294161621</v>
          </cell>
          <cell r="G109">
            <v>0.60151408231240655</v>
          </cell>
          <cell r="H109">
            <v>0.56657538305428135</v>
          </cell>
          <cell r="I109">
            <v>0.53467196996095157</v>
          </cell>
          <cell r="J109">
            <v>0.53083527713646417</v>
          </cell>
          <cell r="K109">
            <v>0.53505174409732903</v>
          </cell>
          <cell r="L109">
            <v>0.53118917832757007</v>
          </cell>
          <cell r="M109">
            <v>0.54725116508980687</v>
          </cell>
          <cell r="N109">
            <v>0.54085218031366045</v>
          </cell>
          <cell r="O109">
            <v>0.53960594197477363</v>
          </cell>
        </row>
        <row r="110">
          <cell r="B110" t="str">
            <v>Mail - brand - core</v>
          </cell>
          <cell r="C110">
            <v>0</v>
          </cell>
          <cell r="D110">
            <v>3.6236806517428839E-2</v>
          </cell>
          <cell r="E110">
            <v>3.8035792779053799E-2</v>
          </cell>
          <cell r="F110">
            <v>3.5756201180109179E-2</v>
          </cell>
          <cell r="G110">
            <v>2.645525565821685E-2</v>
          </cell>
          <cell r="H110">
            <v>9.5770835522316581E-3</v>
          </cell>
          <cell r="I110">
            <v>9.033636876083986E-3</v>
          </cell>
          <cell r="J110">
            <v>8.3155485491853177E-3</v>
          </cell>
          <cell r="K110">
            <v>6.6793784151647721E-3</v>
          </cell>
          <cell r="L110">
            <v>5.8611123373457762E-3</v>
          </cell>
          <cell r="M110">
            <v>4.3658112084389231E-3</v>
          </cell>
          <cell r="N110">
            <v>3.5048430634967835E-3</v>
          </cell>
          <cell r="O110">
            <v>2.8219125969871236E-3</v>
          </cell>
        </row>
        <row r="111">
          <cell r="B111" t="str">
            <v xml:space="preserve">Specialty </v>
          </cell>
          <cell r="C111">
            <v>0</v>
          </cell>
          <cell r="D111">
            <v>9.1884739782417089E-3</v>
          </cell>
          <cell r="E111">
            <v>2.7490509228956749E-2</v>
          </cell>
          <cell r="F111">
            <v>0.11003154517892536</v>
          </cell>
          <cell r="G111">
            <v>0.21089552338308459</v>
          </cell>
          <cell r="H111">
            <v>0.18875280667900576</v>
          </cell>
          <cell r="I111">
            <v>0.19304204149072862</v>
          </cell>
          <cell r="J111">
            <v>0.20413564448580729</v>
          </cell>
          <cell r="K111">
            <v>0.21981214682178357</v>
          </cell>
          <cell r="L111">
            <v>0.23831760971787466</v>
          </cell>
          <cell r="M111">
            <v>0.25699946410812952</v>
          </cell>
          <cell r="N111">
            <v>0.281761916407957</v>
          </cell>
          <cell r="O111">
            <v>0.29755512431532821</v>
          </cell>
        </row>
        <row r="112">
          <cell r="B112" t="str">
            <v>Service</v>
          </cell>
        </row>
        <row r="118">
          <cell r="B118" t="str">
            <v>Sales by Product &amp; Channel</v>
          </cell>
          <cell r="C118">
            <v>2002</v>
          </cell>
          <cell r="D118">
            <v>2003</v>
          </cell>
          <cell r="E118">
            <v>2004</v>
          </cell>
          <cell r="F118">
            <v>2005</v>
          </cell>
          <cell r="G118">
            <v>2006</v>
          </cell>
          <cell r="H118">
            <v>2007</v>
          </cell>
          <cell r="I118">
            <v>2008</v>
          </cell>
          <cell r="J118">
            <v>2009</v>
          </cell>
          <cell r="K118">
            <v>2010</v>
          </cell>
          <cell r="L118">
            <v>2011</v>
          </cell>
          <cell r="M118">
            <v>2012</v>
          </cell>
          <cell r="N118">
            <v>2013</v>
          </cell>
          <cell r="O118">
            <v>2014</v>
          </cell>
        </row>
        <row r="119">
          <cell r="B119" t="str">
            <v>Retail Generic</v>
          </cell>
          <cell r="C119">
            <v>0</v>
          </cell>
          <cell r="D119">
            <v>3425.6817002315083</v>
          </cell>
          <cell r="E119">
            <v>3158.0467977181447</v>
          </cell>
          <cell r="F119">
            <v>3596.9073386433361</v>
          </cell>
          <cell r="G119">
            <v>4535.2075423550141</v>
          </cell>
          <cell r="H119">
            <v>5422.5817542473969</v>
          </cell>
          <cell r="I119">
            <v>6276.3147041647553</v>
          </cell>
          <cell r="J119">
            <v>8635.1504132566588</v>
          </cell>
          <cell r="K119">
            <v>10263.431679471112</v>
          </cell>
          <cell r="L119">
            <v>10992.371121614722</v>
          </cell>
          <cell r="M119">
            <v>12304.199628669247</v>
          </cell>
          <cell r="N119">
            <v>12582.7987091835</v>
          </cell>
          <cell r="O119">
            <v>13406.87633583163</v>
          </cell>
        </row>
        <row r="120">
          <cell r="B120" t="str">
            <v>Retail Brand</v>
          </cell>
          <cell r="C120">
            <v>0</v>
          </cell>
          <cell r="D120">
            <v>17985.418299768491</v>
          </cell>
          <cell r="E120">
            <v>15674.253202281854</v>
          </cell>
          <cell r="F120">
            <v>16891.808269954094</v>
          </cell>
          <cell r="G120">
            <v>18191.522457644987</v>
          </cell>
          <cell r="H120">
            <v>17798.940245752601</v>
          </cell>
          <cell r="I120">
            <v>18589.358295835245</v>
          </cell>
          <cell r="J120">
            <v>23483.377586743343</v>
          </cell>
          <cell r="K120">
            <v>24584.684031301877</v>
          </cell>
          <cell r="L120">
            <v>25209.638088511816</v>
          </cell>
          <cell r="M120">
            <v>23011.559414990657</v>
          </cell>
          <cell r="N120">
            <v>20964.037647985868</v>
          </cell>
          <cell r="O120">
            <v>19700.695908961134</v>
          </cell>
        </row>
        <row r="121">
          <cell r="B121" t="str">
            <v>Mail Generic</v>
          </cell>
          <cell r="C121">
            <v>0</v>
          </cell>
          <cell r="D121">
            <v>1392.6896827379774</v>
          </cell>
          <cell r="E121">
            <v>1769.8831584323536</v>
          </cell>
          <cell r="F121">
            <v>1780.5874474585526</v>
          </cell>
          <cell r="G121">
            <v>2042.5891393298079</v>
          </cell>
          <cell r="H121">
            <v>2538.2338679090603</v>
          </cell>
          <cell r="I121">
            <v>2974.5609807911383</v>
          </cell>
          <cell r="J121">
            <v>3019.3809342405934</v>
          </cell>
          <cell r="K121">
            <v>3376.2362197281109</v>
          </cell>
          <cell r="L121">
            <v>3650.5270798353949</v>
          </cell>
          <cell r="M121">
            <v>4310.5789252474988</v>
          </cell>
          <cell r="N121">
            <v>4563.2034238154702</v>
          </cell>
          <cell r="O121">
            <v>4929.4713885673373</v>
          </cell>
        </row>
        <row r="122">
          <cell r="B122" t="str">
            <v>Mail Brand</v>
          </cell>
          <cell r="C122">
            <v>0</v>
          </cell>
          <cell r="D122">
            <v>9859.3103172620231</v>
          </cell>
          <cell r="E122">
            <v>11622.216841567646</v>
          </cell>
          <cell r="F122">
            <v>11635.782988031118</v>
          </cell>
          <cell r="G122">
            <v>11816.680860670192</v>
          </cell>
          <cell r="H122">
            <v>12159.544132090941</v>
          </cell>
          <cell r="I122">
            <v>14761.866019208861</v>
          </cell>
          <cell r="J122">
            <v>14296.091065759405</v>
          </cell>
          <cell r="K122">
            <v>14819.037513222853</v>
          </cell>
          <cell r="L122">
            <v>14846.755271876315</v>
          </cell>
          <cell r="M122">
            <v>12179.995533038487</v>
          </cell>
          <cell r="N122">
            <v>9998.4241721593135</v>
          </cell>
          <cell r="O122">
            <v>8404.269993682643</v>
          </cell>
        </row>
        <row r="123">
          <cell r="B123" t="str">
            <v>Specialty</v>
          </cell>
          <cell r="C123">
            <v>0</v>
          </cell>
          <cell r="D123">
            <v>1250</v>
          </cell>
          <cell r="E123">
            <v>2800</v>
          </cell>
          <cell r="F123">
            <v>3549.8139559128977</v>
          </cell>
          <cell r="G123">
            <v>5436.5</v>
          </cell>
          <cell r="H123">
            <v>6042.6</v>
          </cell>
          <cell r="I123">
            <v>7974.1</v>
          </cell>
          <cell r="J123">
            <v>9527.6</v>
          </cell>
          <cell r="K123">
            <v>11259.977670000004</v>
          </cell>
          <cell r="L123">
            <v>13123.503974385003</v>
          </cell>
          <cell r="M123">
            <v>15586.785670377074</v>
          </cell>
          <cell r="N123">
            <v>17348.092451129683</v>
          </cell>
          <cell r="O123">
            <v>19126.271927370479</v>
          </cell>
        </row>
        <row r="129">
          <cell r="B129" t="str">
            <v>Retail - generics - core</v>
          </cell>
          <cell r="C129">
            <v>0</v>
          </cell>
          <cell r="D129">
            <v>0</v>
          </cell>
          <cell r="E129">
            <v>0</v>
          </cell>
          <cell r="F129">
            <v>0</v>
          </cell>
          <cell r="G129">
            <v>0</v>
          </cell>
          <cell r="H129">
            <v>43.9608653936385</v>
          </cell>
          <cell r="I129">
            <v>55.890530056801666</v>
          </cell>
          <cell r="J129">
            <v>87.254316186613622</v>
          </cell>
          <cell r="K129">
            <v>97.441142680660704</v>
          </cell>
          <cell r="L129">
            <v>109.92371121614721</v>
          </cell>
          <cell r="M129">
            <v>123.04199628669247</v>
          </cell>
          <cell r="N129">
            <v>125.82798709183501</v>
          </cell>
          <cell r="O129">
            <v>134.06876335831632</v>
          </cell>
        </row>
        <row r="130">
          <cell r="B130" t="str">
            <v>Retail - brand - core</v>
          </cell>
          <cell r="C130">
            <v>0</v>
          </cell>
          <cell r="D130">
            <v>488.81727215846627</v>
          </cell>
          <cell r="E130">
            <v>365.75902073275068</v>
          </cell>
          <cell r="F130">
            <v>285.92454047491117</v>
          </cell>
          <cell r="G130">
            <v>323.88162867904123</v>
          </cell>
          <cell r="H130">
            <v>553.0151741524445</v>
          </cell>
          <cell r="I130">
            <v>804.4708056783968</v>
          </cell>
          <cell r="J130">
            <v>795.42948677584968</v>
          </cell>
          <cell r="K130">
            <v>763.68812495866428</v>
          </cell>
          <cell r="L130">
            <v>743.59801399652599</v>
          </cell>
          <cell r="M130">
            <v>677.85758101575789</v>
          </cell>
          <cell r="N130">
            <v>618.22954873916979</v>
          </cell>
          <cell r="O130">
            <v>580.77951921441888</v>
          </cell>
        </row>
        <row r="131">
          <cell r="B131" t="str">
            <v>Total Retail - core</v>
          </cell>
          <cell r="C131">
            <v>0</v>
          </cell>
          <cell r="D131">
            <v>488.81727215846627</v>
          </cell>
          <cell r="E131">
            <v>365.75902073275068</v>
          </cell>
          <cell r="F131">
            <v>285.92454047491117</v>
          </cell>
          <cell r="G131">
            <v>323.88162867904123</v>
          </cell>
          <cell r="H131">
            <v>596.97603954608303</v>
          </cell>
          <cell r="I131">
            <v>860.36133573519851</v>
          </cell>
          <cell r="J131">
            <v>882.68380296246335</v>
          </cell>
          <cell r="K131">
            <v>861.12926763932501</v>
          </cell>
          <cell r="L131">
            <v>853.52172521267323</v>
          </cell>
          <cell r="M131">
            <v>800.89957730245033</v>
          </cell>
          <cell r="N131">
            <v>744.05753583100477</v>
          </cell>
          <cell r="O131">
            <v>714.84828257273523</v>
          </cell>
        </row>
        <row r="132">
          <cell r="B132" t="str">
            <v>Mail - generics - core</v>
          </cell>
          <cell r="C132">
            <v>0</v>
          </cell>
          <cell r="D132">
            <v>809.78617625522122</v>
          </cell>
          <cell r="E132">
            <v>1061.929895059412</v>
          </cell>
          <cell r="F132">
            <v>1103.9642174243027</v>
          </cell>
          <cell r="G132">
            <v>1209.0433054479372</v>
          </cell>
          <cell r="H132">
            <v>1438.7048701897381</v>
          </cell>
          <cell r="I132">
            <v>1747.4149322263843</v>
          </cell>
          <cell r="J132">
            <v>1825.2240169060192</v>
          </cell>
          <cell r="K132">
            <v>1932.2109915803492</v>
          </cell>
          <cell r="L132">
            <v>2018.3291019985543</v>
          </cell>
          <cell r="M132">
            <v>2290.1299763122374</v>
          </cell>
          <cell r="N132">
            <v>2314.3701794530293</v>
          </cell>
          <cell r="O132">
            <v>2410.5959366317725</v>
          </cell>
        </row>
        <row r="133">
          <cell r="B133" t="str">
            <v>Mail - brand - core</v>
          </cell>
          <cell r="C133">
            <v>0</v>
          </cell>
          <cell r="D133">
            <v>49.296551586310116</v>
          </cell>
          <cell r="E133">
            <v>58.111084207838232</v>
          </cell>
          <cell r="F133">
            <v>58.178914940155593</v>
          </cell>
          <cell r="G133">
            <v>53.175063873015866</v>
          </cell>
          <cell r="H133">
            <v>24.319088264181879</v>
          </cell>
          <cell r="I133">
            <v>29.523732038417723</v>
          </cell>
          <cell r="J133">
            <v>28.592182131518811</v>
          </cell>
          <cell r="K133">
            <v>24.12097247244602</v>
          </cell>
          <cell r="L133">
            <v>22.270132907814471</v>
          </cell>
          <cell r="M133">
            <v>18.269993299557729</v>
          </cell>
          <cell r="N133">
            <v>14.997636258238972</v>
          </cell>
          <cell r="O133">
            <v>12.606404990523966</v>
          </cell>
        </row>
        <row r="134">
          <cell r="B134" t="str">
            <v>Total Mail - core</v>
          </cell>
          <cell r="C134">
            <v>0</v>
          </cell>
          <cell r="D134">
            <v>859.08272784153132</v>
          </cell>
          <cell r="E134">
            <v>1120.0409792672503</v>
          </cell>
          <cell r="F134">
            <v>1162.1431323644583</v>
          </cell>
          <cell r="G134">
            <v>1262.2183693209531</v>
          </cell>
          <cell r="H134">
            <v>1463.0239584539199</v>
          </cell>
          <cell r="I134">
            <v>1776.9386642648019</v>
          </cell>
          <cell r="J134">
            <v>1853.8161990375379</v>
          </cell>
          <cell r="K134">
            <v>1956.3319640527952</v>
          </cell>
          <cell r="L134">
            <v>2040.5992349063688</v>
          </cell>
          <cell r="M134">
            <v>2308.3999696117953</v>
          </cell>
          <cell r="N134">
            <v>2329.3678157112681</v>
          </cell>
          <cell r="O134">
            <v>2423.2023416222964</v>
          </cell>
        </row>
        <row r="135">
          <cell r="B135" t="str">
            <v xml:space="preserve">Specialty </v>
          </cell>
          <cell r="C135">
            <v>0</v>
          </cell>
          <cell r="D135">
            <v>12.5</v>
          </cell>
          <cell r="E135">
            <v>42</v>
          </cell>
          <cell r="F135">
            <v>179.03232716062928</v>
          </cell>
          <cell r="G135">
            <v>423.90000200000003</v>
          </cell>
          <cell r="H135">
            <v>479.30000199999989</v>
          </cell>
          <cell r="I135">
            <v>630.90000000000009</v>
          </cell>
          <cell r="J135">
            <v>701.90000000000009</v>
          </cell>
          <cell r="K135">
            <v>793.79882573500049</v>
          </cell>
          <cell r="L135">
            <v>905.52177423256546</v>
          </cell>
          <cell r="M135">
            <v>1075.4882112560183</v>
          </cell>
          <cell r="N135">
            <v>1205.6924253535133</v>
          </cell>
          <cell r="O135">
            <v>1329.2758989522486</v>
          </cell>
        </row>
        <row r="136">
          <cell r="B136" t="str">
            <v>Service - gross profit</v>
          </cell>
          <cell r="C136">
            <v>0</v>
          </cell>
          <cell r="D136">
            <v>161.69999999999999</v>
          </cell>
          <cell r="E136">
            <v>194.7</v>
          </cell>
          <cell r="F136">
            <v>315.80000000000007</v>
          </cell>
          <cell r="G136">
            <v>395.3</v>
          </cell>
          <cell r="H136">
            <v>385.90000000000003</v>
          </cell>
          <cell r="I136">
            <v>460.40000000000003</v>
          </cell>
          <cell r="J136">
            <v>588.6</v>
          </cell>
          <cell r="K136">
            <v>692.95873658201788</v>
          </cell>
          <cell r="L136">
            <v>725.51801867947836</v>
          </cell>
          <cell r="M136">
            <v>754.53873942665746</v>
          </cell>
          <cell r="N136">
            <v>799.81106379225696</v>
          </cell>
          <cell r="O136">
            <v>847.79972761979252</v>
          </cell>
        </row>
        <row r="137">
          <cell r="B137" t="str">
            <v>Total</v>
          </cell>
          <cell r="C137">
            <v>1300.7999999999993</v>
          </cell>
          <cell r="D137">
            <v>1522.0999999999985</v>
          </cell>
          <cell r="E137">
            <v>1722.4999999999927</v>
          </cell>
          <cell r="F137">
            <v>1942.8000000000029</v>
          </cell>
          <cell r="G137">
            <v>2405.4000000000015</v>
          </cell>
          <cell r="H137">
            <v>2945.2999999999956</v>
          </cell>
          <cell r="I137">
            <v>3728.5999999999913</v>
          </cell>
          <cell r="J137">
            <v>4027.0000000000073</v>
          </cell>
          <cell r="K137">
            <v>4304.2187930091386</v>
          </cell>
          <cell r="L137">
            <v>4525.1607530310939</v>
          </cell>
          <cell r="M137">
            <v>4939.3264975969068</v>
          </cell>
          <cell r="N137">
            <v>5078.9288406880296</v>
          </cell>
          <cell r="O137">
            <v>5315.126250767069</v>
          </cell>
        </row>
        <row r="139">
          <cell r="B139" t="str">
            <v>revenue</v>
          </cell>
          <cell r="C139">
            <v>32958.5</v>
          </cell>
          <cell r="D139">
            <v>34264.5</v>
          </cell>
          <cell r="E139">
            <v>35351.899999999994</v>
          </cell>
          <cell r="F139">
            <v>37870.799999999996</v>
          </cell>
          <cell r="G139">
            <v>42543.6</v>
          </cell>
          <cell r="H139">
            <v>44506.099999999991</v>
          </cell>
          <cell r="I139">
            <v>51257.9</v>
          </cell>
          <cell r="J139">
            <v>59804.3</v>
          </cell>
          <cell r="K139">
            <v>65270.709113723948</v>
          </cell>
          <cell r="L139">
            <v>68835.407796223255</v>
          </cell>
          <cell r="M139">
            <v>68446.235922722975</v>
          </cell>
          <cell r="N139">
            <v>66572.860159697841</v>
          </cell>
          <cell r="O139">
            <v>66750.867535162659</v>
          </cell>
        </row>
      </sheetData>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__FDSCACHE__"/>
      <sheetName val="Model"/>
      <sheetName val="Revenue"/>
      <sheetName val="gross margins"/>
      <sheetName val="Per claim analysis"/>
      <sheetName val="Guidance"/>
      <sheetName val="Debt"/>
      <sheetName val="Rebates &amp; Copays"/>
      <sheetName val="Scenarios"/>
      <sheetName val="Specialty"/>
      <sheetName val="Valuation"/>
      <sheetName val="MW-Cache"/>
      <sheetName val="mwareSettings"/>
      <sheetName val="Variance"/>
      <sheetName val="mwareDates"/>
      <sheetName val="MWA RR"/>
    </sheetNames>
    <sheetDataSet>
      <sheetData sheetId="0" refreshError="1"/>
      <sheetData sheetId="1" refreshError="1"/>
      <sheetData sheetId="2" refreshError="1">
        <row r="1">
          <cell r="B1" t="str">
            <v>Cover Page</v>
          </cell>
          <cell r="I1" t="str">
            <v xml:space="preserve"> </v>
          </cell>
          <cell r="N1" t="str">
            <v xml:space="preserve"> </v>
          </cell>
          <cell r="T1" t="str">
            <v xml:space="preserve"> </v>
          </cell>
          <cell r="CI1" t="str">
            <v>ElementName</v>
          </cell>
          <cell r="CJ1" t="str">
            <v>ScaleOverride</v>
          </cell>
          <cell r="CK1" t="str">
            <v>UnitOverride</v>
          </cell>
          <cell r="CL1" t="str">
            <v>ReverseSign</v>
          </cell>
          <cell r="CM1" t="str">
            <v>IsDrivingAssumption</v>
          </cell>
          <cell r="CN1" t="str">
            <v>SegmentID</v>
          </cell>
        </row>
        <row r="3">
          <cell r="B3" t="str">
            <v>MHS</v>
          </cell>
        </row>
        <row r="4">
          <cell r="B4" t="str">
            <v>Quarterly Income Statement</v>
          </cell>
        </row>
        <row r="5">
          <cell r="B5" t="str">
            <v>(In millions, except per share)</v>
          </cell>
          <cell r="D5">
            <v>36525</v>
          </cell>
          <cell r="E5">
            <v>36891</v>
          </cell>
          <cell r="F5">
            <v>36981</v>
          </cell>
          <cell r="G5">
            <v>37072</v>
          </cell>
          <cell r="H5">
            <v>37164</v>
          </cell>
          <cell r="I5">
            <v>37256</v>
          </cell>
          <cell r="J5">
            <v>37256</v>
          </cell>
          <cell r="K5">
            <v>37346</v>
          </cell>
          <cell r="L5">
            <v>37437</v>
          </cell>
          <cell r="M5">
            <v>37529</v>
          </cell>
          <cell r="N5">
            <v>37621</v>
          </cell>
          <cell r="O5">
            <v>37621</v>
          </cell>
          <cell r="P5">
            <v>37711</v>
          </cell>
          <cell r="Q5">
            <v>37802</v>
          </cell>
          <cell r="R5">
            <v>37894</v>
          </cell>
          <cell r="S5">
            <v>37986</v>
          </cell>
          <cell r="T5">
            <v>37986</v>
          </cell>
          <cell r="U5">
            <v>38077</v>
          </cell>
          <cell r="V5">
            <v>38168</v>
          </cell>
          <cell r="W5">
            <v>38260</v>
          </cell>
          <cell r="X5">
            <v>38352</v>
          </cell>
          <cell r="Y5">
            <v>38352</v>
          </cell>
          <cell r="Z5">
            <v>38442</v>
          </cell>
          <cell r="AA5">
            <v>38533</v>
          </cell>
          <cell r="AB5">
            <v>38625</v>
          </cell>
          <cell r="AC5">
            <v>38717</v>
          </cell>
          <cell r="AD5">
            <v>38717</v>
          </cell>
          <cell r="AE5">
            <v>38807</v>
          </cell>
          <cell r="AF5">
            <v>38898</v>
          </cell>
          <cell r="AG5">
            <v>38990</v>
          </cell>
          <cell r="AH5">
            <v>39082</v>
          </cell>
          <cell r="AI5">
            <v>39082</v>
          </cell>
          <cell r="AJ5">
            <v>39172</v>
          </cell>
          <cell r="AK5">
            <v>39263</v>
          </cell>
          <cell r="AL5">
            <v>39355</v>
          </cell>
          <cell r="AM5">
            <v>39447</v>
          </cell>
          <cell r="AN5">
            <v>39447</v>
          </cell>
          <cell r="AO5">
            <v>39538</v>
          </cell>
          <cell r="AP5">
            <v>39629</v>
          </cell>
          <cell r="AQ5">
            <v>39721</v>
          </cell>
          <cell r="AR5">
            <v>39813</v>
          </cell>
          <cell r="AS5">
            <v>39813</v>
          </cell>
          <cell r="AT5">
            <v>39903</v>
          </cell>
          <cell r="AU5">
            <v>39994</v>
          </cell>
          <cell r="AV5">
            <v>40086</v>
          </cell>
          <cell r="AW5">
            <v>40178</v>
          </cell>
          <cell r="AX5">
            <v>40178</v>
          </cell>
          <cell r="AY5">
            <v>40268</v>
          </cell>
          <cell r="AZ5">
            <v>40359</v>
          </cell>
          <cell r="BA5">
            <v>40451</v>
          </cell>
          <cell r="BB5">
            <v>40543</v>
          </cell>
          <cell r="BC5">
            <v>40543</v>
          </cell>
          <cell r="BD5">
            <v>40633</v>
          </cell>
          <cell r="BE5">
            <v>40724</v>
          </cell>
          <cell r="BF5">
            <v>40816</v>
          </cell>
          <cell r="BG5">
            <v>40908</v>
          </cell>
          <cell r="BH5">
            <v>40908</v>
          </cell>
          <cell r="BI5">
            <v>40999</v>
          </cell>
          <cell r="BJ5">
            <v>41090</v>
          </cell>
          <cell r="BK5">
            <v>41182</v>
          </cell>
          <cell r="BL5">
            <v>41274</v>
          </cell>
          <cell r="BM5">
            <v>41274</v>
          </cell>
          <cell r="BN5">
            <v>41364</v>
          </cell>
          <cell r="BO5">
            <v>41455</v>
          </cell>
          <cell r="BP5">
            <v>41547</v>
          </cell>
          <cell r="BQ5">
            <v>41639</v>
          </cell>
          <cell r="BR5">
            <v>41639</v>
          </cell>
          <cell r="BS5">
            <v>41729</v>
          </cell>
          <cell r="BT5">
            <v>41820</v>
          </cell>
          <cell r="BU5">
            <v>41912</v>
          </cell>
          <cell r="BV5">
            <v>42004</v>
          </cell>
          <cell r="BW5">
            <v>42004</v>
          </cell>
          <cell r="BX5">
            <v>42094</v>
          </cell>
          <cell r="BY5">
            <v>42185</v>
          </cell>
          <cell r="BZ5">
            <v>42277</v>
          </cell>
          <cell r="CA5">
            <v>42369</v>
          </cell>
          <cell r="CB5">
            <v>42369</v>
          </cell>
        </row>
        <row r="6">
          <cell r="B6" t="str">
            <v>INCOME STATEMENT</v>
          </cell>
          <cell r="F6" t="str">
            <v xml:space="preserve">Fiscal Year End, December 31 2001 </v>
          </cell>
          <cell r="K6" t="str">
            <v>Fiscal Year End, December 31 2002</v>
          </cell>
          <cell r="P6" t="str">
            <v>Fiscal Year End, Dec 31 2003</v>
          </cell>
          <cell r="U6" t="str">
            <v>Fiscal Year End, Dec 31 2004</v>
          </cell>
          <cell r="Z6" t="str">
            <v xml:space="preserve">Fiscal Year End, Dec 31 2005 </v>
          </cell>
          <cell r="AE6" t="str">
            <v xml:space="preserve">Fiscal Year End, Dec 31 2006 </v>
          </cell>
          <cell r="AJ6" t="str">
            <v xml:space="preserve">Fiscal Year End, Dec 31 2007 </v>
          </cell>
          <cell r="AO6" t="str">
            <v>Fiscal Year End, Dec 31 2008</v>
          </cell>
          <cell r="AT6" t="str">
            <v>Fiscal Year End, Dec 31 2009</v>
          </cell>
          <cell r="AY6" t="str">
            <v>Fiscal Year End, Dec 31 2010</v>
          </cell>
          <cell r="BD6" t="str">
            <v>Fiscal Year End, Dec 31 2011</v>
          </cell>
          <cell r="BI6" t="str">
            <v>Fiscal Year End, Dec 31 2012</v>
          </cell>
          <cell r="BN6" t="str">
            <v>Fiscal Year End, Dec 31 2013</v>
          </cell>
          <cell r="BS6" t="str">
            <v>Fiscal Year End, Dec 31 2014</v>
          </cell>
          <cell r="BX6" t="str">
            <v>Fiscal Year End, Dec 31 2015</v>
          </cell>
        </row>
        <row r="7">
          <cell r="B7" t="str">
            <v>(In millions, except per share)</v>
          </cell>
          <cell r="D7" t="str">
            <v>1999A</v>
          </cell>
          <cell r="E7" t="str">
            <v>2000A</v>
          </cell>
          <cell r="F7" t="str">
            <v>1QA</v>
          </cell>
          <cell r="G7" t="str">
            <v>2QA</v>
          </cell>
          <cell r="H7" t="str">
            <v>3QA</v>
          </cell>
          <cell r="I7" t="str">
            <v>4QA</v>
          </cell>
          <cell r="J7" t="str">
            <v>2001A</v>
          </cell>
          <cell r="K7" t="str">
            <v>1QA</v>
          </cell>
          <cell r="L7" t="str">
            <v>2QA</v>
          </cell>
          <cell r="M7" t="str">
            <v>3QA</v>
          </cell>
          <cell r="N7" t="str">
            <v>4QA</v>
          </cell>
          <cell r="O7" t="str">
            <v>2002A</v>
          </cell>
          <cell r="P7" t="str">
            <v>1QA</v>
          </cell>
          <cell r="Q7" t="str">
            <v>2QA</v>
          </cell>
          <cell r="R7" t="str">
            <v>3QA</v>
          </cell>
          <cell r="S7" t="str">
            <v>4QA</v>
          </cell>
          <cell r="T7" t="str">
            <v>2003A</v>
          </cell>
          <cell r="U7" t="str">
            <v>1QA</v>
          </cell>
          <cell r="V7" t="str">
            <v>2QA</v>
          </cell>
          <cell r="W7" t="str">
            <v>3QA</v>
          </cell>
          <cell r="X7" t="str">
            <v>4QA</v>
          </cell>
          <cell r="Y7" t="str">
            <v>2004A</v>
          </cell>
          <cell r="Z7" t="str">
            <v>1QA</v>
          </cell>
          <cell r="AA7" t="str">
            <v>2QA</v>
          </cell>
          <cell r="AB7" t="str">
            <v>3QA</v>
          </cell>
          <cell r="AC7" t="str">
            <v>4QA</v>
          </cell>
          <cell r="AD7" t="str">
            <v>2005A</v>
          </cell>
          <cell r="AE7" t="str">
            <v>1QA</v>
          </cell>
          <cell r="AF7" t="str">
            <v>2QA</v>
          </cell>
          <cell r="AG7" t="str">
            <v>3QA</v>
          </cell>
          <cell r="AH7" t="str">
            <v>4QA</v>
          </cell>
          <cell r="AI7" t="str">
            <v>2006A</v>
          </cell>
          <cell r="AJ7" t="str">
            <v>1QA</v>
          </cell>
          <cell r="AK7" t="str">
            <v>2QA</v>
          </cell>
          <cell r="AL7" t="str">
            <v>3QA</v>
          </cell>
          <cell r="AM7" t="str">
            <v>4QA</v>
          </cell>
          <cell r="AN7" t="str">
            <v>2007A</v>
          </cell>
          <cell r="AO7" t="str">
            <v>1QA</v>
          </cell>
          <cell r="AP7" t="str">
            <v>2QA</v>
          </cell>
          <cell r="AQ7" t="str">
            <v>3QA</v>
          </cell>
          <cell r="AR7" t="str">
            <v>4QA</v>
          </cell>
          <cell r="AS7" t="str">
            <v>2008A</v>
          </cell>
          <cell r="AT7" t="str">
            <v>1QA</v>
          </cell>
          <cell r="AU7" t="str">
            <v>2QA</v>
          </cell>
          <cell r="AV7" t="str">
            <v>3QA</v>
          </cell>
          <cell r="AW7" t="str">
            <v>4QA</v>
          </cell>
          <cell r="AX7" t="str">
            <v>2009A</v>
          </cell>
          <cell r="AY7" t="str">
            <v>1QA</v>
          </cell>
          <cell r="AZ7" t="str">
            <v>2QA</v>
          </cell>
          <cell r="BA7" t="str">
            <v>3QA</v>
          </cell>
          <cell r="BB7" t="str">
            <v>4QA</v>
          </cell>
          <cell r="BC7" t="str">
            <v>2010A</v>
          </cell>
          <cell r="BD7" t="str">
            <v>1QA</v>
          </cell>
          <cell r="BE7" t="str">
            <v>2QA</v>
          </cell>
          <cell r="BF7" t="str">
            <v>3QA</v>
          </cell>
          <cell r="BG7" t="str">
            <v>4QA</v>
          </cell>
          <cell r="BH7" t="str">
            <v>2011A</v>
          </cell>
          <cell r="BI7" t="str">
            <v>1QE</v>
          </cell>
          <cell r="BJ7" t="str">
            <v>2QE</v>
          </cell>
          <cell r="BK7" t="str">
            <v>3QE</v>
          </cell>
          <cell r="BL7" t="str">
            <v>4QE</v>
          </cell>
          <cell r="BM7" t="str">
            <v>2012E</v>
          </cell>
          <cell r="BN7" t="str">
            <v>1QE</v>
          </cell>
          <cell r="BO7" t="str">
            <v>2QE</v>
          </cell>
          <cell r="BP7" t="str">
            <v>3QE</v>
          </cell>
          <cell r="BQ7" t="str">
            <v>4QE</v>
          </cell>
          <cell r="BR7" t="str">
            <v>2013E</v>
          </cell>
          <cell r="BS7" t="str">
            <v>1QE</v>
          </cell>
          <cell r="BT7" t="str">
            <v>2QE</v>
          </cell>
          <cell r="BU7" t="str">
            <v>3QE</v>
          </cell>
          <cell r="BV7" t="str">
            <v>4QE</v>
          </cell>
          <cell r="BW7" t="str">
            <v>2014E</v>
          </cell>
          <cell r="BX7" t="str">
            <v>1QE</v>
          </cell>
          <cell r="BY7" t="str">
            <v>2QE</v>
          </cell>
          <cell r="BZ7" t="str">
            <v>3QE</v>
          </cell>
          <cell r="CA7" t="str">
            <v>4QE</v>
          </cell>
          <cell r="CB7" t="str">
            <v>2015E</v>
          </cell>
        </row>
        <row r="8">
          <cell r="B8" t="str">
            <v>Net Revenues</v>
          </cell>
          <cell r="D8">
            <v>16896.600000000002</v>
          </cell>
          <cell r="E8">
            <v>22266.3</v>
          </cell>
          <cell r="J8">
            <v>29070.600000000002</v>
          </cell>
          <cell r="K8">
            <v>8016.1</v>
          </cell>
          <cell r="L8">
            <v>8363.4</v>
          </cell>
          <cell r="M8">
            <v>8039.3</v>
          </cell>
          <cell r="N8">
            <v>8539.6</v>
          </cell>
          <cell r="O8">
            <v>32958.5</v>
          </cell>
          <cell r="P8">
            <v>8334.1</v>
          </cell>
          <cell r="Q8">
            <v>8404.5</v>
          </cell>
          <cell r="R8">
            <v>8524</v>
          </cell>
          <cell r="S8">
            <v>9001.9</v>
          </cell>
          <cell r="T8">
            <v>34264.5</v>
          </cell>
          <cell r="U8">
            <v>8905.9</v>
          </cell>
          <cell r="V8">
            <v>8836.2000000000007</v>
          </cell>
          <cell r="W8">
            <v>8696.5999999999985</v>
          </cell>
          <cell r="X8">
            <v>8913.1999999999989</v>
          </cell>
          <cell r="Y8">
            <v>35351.899999999994</v>
          </cell>
          <cell r="Z8">
            <v>8743.2999999999993</v>
          </cell>
          <cell r="AA8">
            <v>8998.7000000000007</v>
          </cell>
          <cell r="AB8">
            <v>9325.4000000000015</v>
          </cell>
          <cell r="AC8">
            <v>10803.4</v>
          </cell>
          <cell r="AD8">
            <v>37870.800000000003</v>
          </cell>
          <cell r="AE8">
            <v>10563.5</v>
          </cell>
          <cell r="AF8">
            <v>10588.8</v>
          </cell>
          <cell r="AG8">
            <v>10461.099999999999</v>
          </cell>
          <cell r="AH8">
            <v>10930.2</v>
          </cell>
          <cell r="AI8">
            <v>42543.6</v>
          </cell>
          <cell r="AJ8">
            <v>11159.599999999999</v>
          </cell>
          <cell r="AK8">
            <v>11049.6</v>
          </cell>
          <cell r="AL8">
            <v>10918.6</v>
          </cell>
          <cell r="AM8">
            <v>11378.4</v>
          </cell>
          <cell r="AN8">
            <v>44506.2</v>
          </cell>
          <cell r="AO8">
            <v>12962.9</v>
          </cell>
          <cell r="AP8">
            <v>12774.6</v>
          </cell>
          <cell r="AQ8">
            <v>12559.099999999999</v>
          </cell>
          <cell r="AR8">
            <v>12961.3</v>
          </cell>
          <cell r="AS8">
            <v>51257.899999999994</v>
          </cell>
          <cell r="AT8">
            <v>14833.9</v>
          </cell>
          <cell r="AU8">
            <v>14930.4</v>
          </cell>
          <cell r="AV8">
            <v>14794.8</v>
          </cell>
          <cell r="AW8">
            <v>15245.2</v>
          </cell>
          <cell r="AX8">
            <v>59804.3</v>
          </cell>
          <cell r="AY8">
            <v>16310.9</v>
          </cell>
          <cell r="AZ8">
            <v>16407.5</v>
          </cell>
          <cell r="BA8">
            <v>16319.8</v>
          </cell>
          <cell r="BB8">
            <v>16930.2</v>
          </cell>
          <cell r="BC8">
            <v>65968.399999999994</v>
          </cell>
          <cell r="BD8">
            <v>17019.599999999999</v>
          </cell>
          <cell r="BE8">
            <v>17074</v>
          </cell>
          <cell r="BF8">
            <v>16981.5</v>
          </cell>
          <cell r="BG8">
            <v>18988.2</v>
          </cell>
          <cell r="BH8">
            <v>70063.3</v>
          </cell>
          <cell r="BI8">
            <v>14501.110011712597</v>
          </cell>
          <cell r="BJ8">
            <v>14535.275340309972</v>
          </cell>
          <cell r="BK8">
            <v>14283.467360912427</v>
          </cell>
          <cell r="BL8">
            <v>15208.271528683999</v>
          </cell>
          <cell r="BM8">
            <v>58528.124241618993</v>
          </cell>
          <cell r="BN8">
            <v>11694.91346168115</v>
          </cell>
          <cell r="BO8">
            <v>11953.126239847765</v>
          </cell>
          <cell r="BP8">
            <v>12104.953161358084</v>
          </cell>
          <cell r="BQ8">
            <v>12030.242730219956</v>
          </cell>
          <cell r="BR8">
            <v>47783.235593106954</v>
          </cell>
          <cell r="BS8">
            <v>12067.691288666923</v>
          </cell>
          <cell r="BT8">
            <v>12143.681058124144</v>
          </cell>
          <cell r="BU8">
            <v>12053.392311080906</v>
          </cell>
          <cell r="BV8">
            <v>11968.328899274531</v>
          </cell>
          <cell r="BW8">
            <v>48233.093557146502</v>
          </cell>
          <cell r="BX8">
            <v>11976.880391444924</v>
          </cell>
          <cell r="BY8">
            <v>12211.237207114973</v>
          </cell>
          <cell r="BZ8">
            <v>12359.61903443317</v>
          </cell>
          <cell r="CA8">
            <v>12248.30121981171</v>
          </cell>
          <cell r="CB8">
            <v>48796.037852804773</v>
          </cell>
          <cell r="CI8" t="str">
            <v>mstag:revenueNet</v>
          </cell>
          <cell r="CJ8">
            <v>6</v>
          </cell>
          <cell r="CK8" t="str">
            <v>ISO4217:USD</v>
          </cell>
          <cell r="CL8" t="b">
            <v>0</v>
          </cell>
        </row>
        <row r="9">
          <cell r="B9" t="str">
            <v>Cost of Revenues</v>
          </cell>
          <cell r="D9">
            <v>15971.5</v>
          </cell>
          <cell r="E9">
            <v>21154.2</v>
          </cell>
          <cell r="J9">
            <v>27786.699999999997</v>
          </cell>
          <cell r="K9">
            <v>7757.8</v>
          </cell>
          <cell r="L9">
            <v>8024.7000000000007</v>
          </cell>
          <cell r="M9">
            <v>7696.2</v>
          </cell>
          <cell r="N9">
            <v>8179</v>
          </cell>
          <cell r="O9">
            <v>31657.7</v>
          </cell>
          <cell r="P9">
            <v>7984.6</v>
          </cell>
          <cell r="Q9">
            <v>8033.6</v>
          </cell>
          <cell r="R9">
            <v>8135.2</v>
          </cell>
          <cell r="S9">
            <v>8588.9999999999982</v>
          </cell>
          <cell r="T9">
            <v>32742.400000000001</v>
          </cell>
          <cell r="U9">
            <v>8485.2000000000007</v>
          </cell>
          <cell r="V9">
            <v>8408.5</v>
          </cell>
          <cell r="W9">
            <v>8270.9000000000015</v>
          </cell>
          <cell r="X9">
            <v>8464.7999999999993</v>
          </cell>
          <cell r="Y9">
            <v>33629.4</v>
          </cell>
          <cell r="Z9">
            <v>8295.7999999999993</v>
          </cell>
          <cell r="AA9">
            <v>8543.4</v>
          </cell>
          <cell r="AB9">
            <v>8862.2999999999993</v>
          </cell>
          <cell r="AC9">
            <v>10226.5</v>
          </cell>
          <cell r="AD9">
            <v>35928</v>
          </cell>
          <cell r="AE9">
            <v>10025.299999999999</v>
          </cell>
          <cell r="AF9">
            <v>10005.299999999999</v>
          </cell>
          <cell r="AG9">
            <v>9867.6</v>
          </cell>
          <cell r="AH9">
            <v>10240</v>
          </cell>
          <cell r="AI9">
            <v>40138.199999999997</v>
          </cell>
          <cell r="AJ9">
            <v>10385.9</v>
          </cell>
          <cell r="AK9">
            <v>10345</v>
          </cell>
          <cell r="AL9">
            <v>10217.799999999999</v>
          </cell>
          <cell r="AM9">
            <v>10612.2</v>
          </cell>
          <cell r="AN9">
            <v>41560.9</v>
          </cell>
          <cell r="AO9">
            <v>12062.699999999999</v>
          </cell>
          <cell r="AP9">
            <v>11841.1</v>
          </cell>
          <cell r="AQ9">
            <v>11634.300000000001</v>
          </cell>
          <cell r="AR9">
            <v>11991.2</v>
          </cell>
          <cell r="AS9">
            <v>47529.3</v>
          </cell>
          <cell r="AT9">
            <v>13889.8</v>
          </cell>
          <cell r="AU9">
            <v>13914.6</v>
          </cell>
          <cell r="AV9">
            <v>13754.8</v>
          </cell>
          <cell r="AW9">
            <v>14218.1</v>
          </cell>
          <cell r="AX9">
            <v>55777.299999999996</v>
          </cell>
          <cell r="AY9">
            <v>15318.2</v>
          </cell>
          <cell r="AZ9">
            <v>15345.8</v>
          </cell>
          <cell r="BA9">
            <v>15200.3</v>
          </cell>
          <cell r="BB9">
            <v>15769</v>
          </cell>
          <cell r="BC9">
            <v>61633.3</v>
          </cell>
          <cell r="BD9">
            <v>15949.3</v>
          </cell>
          <cell r="BE9">
            <v>15968.6</v>
          </cell>
          <cell r="BF9">
            <v>15813.4</v>
          </cell>
          <cell r="BG9">
            <v>17707.5</v>
          </cell>
          <cell r="BH9">
            <v>65438.8</v>
          </cell>
          <cell r="BI9">
            <v>13445.617306582999</v>
          </cell>
          <cell r="BJ9">
            <v>13436.864300696878</v>
          </cell>
          <cell r="BK9">
            <v>13121.638917168</v>
          </cell>
          <cell r="BL9">
            <v>13944.94764325908</v>
          </cell>
          <cell r="BM9">
            <v>53949.068167706959</v>
          </cell>
          <cell r="BN9">
            <v>10644.29195932129</v>
          </cell>
          <cell r="BO9">
            <v>10859.709820182436</v>
          </cell>
          <cell r="BP9">
            <v>10960.012596585702</v>
          </cell>
          <cell r="BQ9">
            <v>10879.578824448701</v>
          </cell>
          <cell r="BR9">
            <v>43343.593200538133</v>
          </cell>
          <cell r="BS9">
            <v>10965.371870368439</v>
          </cell>
          <cell r="BT9">
            <v>10992.566120775688</v>
          </cell>
          <cell r="BU9">
            <v>10841.371045817854</v>
          </cell>
          <cell r="BV9">
            <v>10750.406725064699</v>
          </cell>
          <cell r="BW9">
            <v>43549.715762026681</v>
          </cell>
          <cell r="BX9">
            <v>10823.200102180997</v>
          </cell>
          <cell r="BY9">
            <v>11012.120840934293</v>
          </cell>
          <cell r="BZ9">
            <v>11101.861724047385</v>
          </cell>
          <cell r="CA9">
            <v>10987.183941554076</v>
          </cell>
          <cell r="CB9">
            <v>43924.366608716751</v>
          </cell>
          <cell r="CI9" t="str">
            <v>mstag:costOfSalesWithDepreciation</v>
          </cell>
          <cell r="CJ9">
            <v>6</v>
          </cell>
          <cell r="CK9" t="str">
            <v>ISO4217:USD</v>
          </cell>
          <cell r="CL9" t="b">
            <v>0</v>
          </cell>
        </row>
        <row r="10">
          <cell r="B10" t="str">
            <v>Gross Profit</v>
          </cell>
          <cell r="D10">
            <v>925.10000000000218</v>
          </cell>
          <cell r="E10">
            <v>1112.0999999999985</v>
          </cell>
          <cell r="F10">
            <v>0</v>
          </cell>
          <cell r="G10">
            <v>0</v>
          </cell>
          <cell r="H10">
            <v>0</v>
          </cell>
          <cell r="I10">
            <v>0</v>
          </cell>
          <cell r="J10">
            <v>1283.9000000000051</v>
          </cell>
          <cell r="K10">
            <v>258.30000000000018</v>
          </cell>
          <cell r="L10">
            <v>338.69999999999891</v>
          </cell>
          <cell r="M10">
            <v>343.10000000000036</v>
          </cell>
          <cell r="N10">
            <v>360.60000000000036</v>
          </cell>
          <cell r="O10">
            <v>1300.7999999999993</v>
          </cell>
          <cell r="P10">
            <v>349.5</v>
          </cell>
          <cell r="Q10">
            <v>370.89999999999964</v>
          </cell>
          <cell r="R10">
            <v>388.80000000000018</v>
          </cell>
          <cell r="S10">
            <v>412.90000000000146</v>
          </cell>
          <cell r="T10">
            <v>1522.0999999999985</v>
          </cell>
          <cell r="U10">
            <v>420.69999999999891</v>
          </cell>
          <cell r="V10">
            <v>427.70000000000073</v>
          </cell>
          <cell r="W10">
            <v>425.69999999999709</v>
          </cell>
          <cell r="X10">
            <v>448.39999999999964</v>
          </cell>
          <cell r="Y10">
            <v>1722.4999999999927</v>
          </cell>
          <cell r="Z10">
            <v>447.5</v>
          </cell>
          <cell r="AA10">
            <v>455.30000000000109</v>
          </cell>
          <cell r="AB10">
            <v>463.10000000000218</v>
          </cell>
          <cell r="AC10">
            <v>576.89999999999964</v>
          </cell>
          <cell r="AD10">
            <v>1942.8000000000029</v>
          </cell>
          <cell r="AE10">
            <v>538.20000000000073</v>
          </cell>
          <cell r="AF10">
            <v>583.5</v>
          </cell>
          <cell r="AG10">
            <v>593.49999999999818</v>
          </cell>
          <cell r="AH10">
            <v>690.20000000000073</v>
          </cell>
          <cell r="AI10">
            <v>2405.4000000000015</v>
          </cell>
          <cell r="AJ10">
            <v>773.69999999999891</v>
          </cell>
          <cell r="AK10">
            <v>704.60000000000036</v>
          </cell>
          <cell r="AL10">
            <v>700.80000000000109</v>
          </cell>
          <cell r="AM10">
            <v>766.19999999999891</v>
          </cell>
          <cell r="AN10">
            <v>2945.2999999999956</v>
          </cell>
          <cell r="AO10">
            <v>900.20000000000073</v>
          </cell>
          <cell r="AP10">
            <v>933.5</v>
          </cell>
          <cell r="AQ10">
            <v>924.79999999999745</v>
          </cell>
          <cell r="AR10">
            <v>970.09999999999854</v>
          </cell>
          <cell r="AS10">
            <v>3728.5999999999913</v>
          </cell>
          <cell r="AT10">
            <v>944.10000000000036</v>
          </cell>
          <cell r="AU10">
            <v>1015.7999999999993</v>
          </cell>
          <cell r="AV10">
            <v>1040</v>
          </cell>
          <cell r="AW10">
            <v>1027.1000000000004</v>
          </cell>
          <cell r="AX10">
            <v>4027.0000000000073</v>
          </cell>
          <cell r="AY10">
            <v>992.69999999999891</v>
          </cell>
          <cell r="AZ10">
            <v>1061.7000000000007</v>
          </cell>
          <cell r="BA10">
            <v>1119.5</v>
          </cell>
          <cell r="BB10">
            <v>1161.2000000000007</v>
          </cell>
          <cell r="BC10">
            <v>4335.0999999999913</v>
          </cell>
          <cell r="BD10">
            <v>1070.2999999999993</v>
          </cell>
          <cell r="BE10">
            <v>1105.3999999999996</v>
          </cell>
          <cell r="BF10">
            <v>1168.1000000000004</v>
          </cell>
          <cell r="BG10">
            <v>1280.7000000000007</v>
          </cell>
          <cell r="BH10">
            <v>4624.5</v>
          </cell>
          <cell r="BI10">
            <v>1055.4927051295981</v>
          </cell>
          <cell r="BJ10">
            <v>1098.4110396130945</v>
          </cell>
          <cell r="BK10">
            <v>1161.8284437444272</v>
          </cell>
          <cell r="BL10">
            <v>1263.3238854249194</v>
          </cell>
          <cell r="BM10">
            <v>4579.0560739120338</v>
          </cell>
          <cell r="BN10">
            <v>1050.6215023598597</v>
          </cell>
          <cell r="BO10">
            <v>1093.4164196653292</v>
          </cell>
          <cell r="BP10">
            <v>1144.9405647723815</v>
          </cell>
          <cell r="BQ10">
            <v>1150.6639057712546</v>
          </cell>
          <cell r="BR10">
            <v>4439.6423925688214</v>
          </cell>
          <cell r="BS10">
            <v>1102.3194182984844</v>
          </cell>
          <cell r="BT10">
            <v>1151.1149373484568</v>
          </cell>
          <cell r="BU10">
            <v>1212.0212652630526</v>
          </cell>
          <cell r="BV10">
            <v>1217.9221742098325</v>
          </cell>
          <cell r="BW10">
            <v>4683.3777951198208</v>
          </cell>
          <cell r="BX10">
            <v>1153.6802892639262</v>
          </cell>
          <cell r="BY10">
            <v>1199.1163661806804</v>
          </cell>
          <cell r="BZ10">
            <v>1257.7573103857849</v>
          </cell>
          <cell r="CA10">
            <v>1261.1172782576341</v>
          </cell>
          <cell r="CB10">
            <v>4871.6712440880219</v>
          </cell>
        </row>
        <row r="11">
          <cell r="B11" t="str">
            <v>Operating Expenses</v>
          </cell>
        </row>
        <row r="12">
          <cell r="B12" t="str">
            <v>Total SG&amp;A</v>
          </cell>
          <cell r="D12">
            <v>415.1</v>
          </cell>
          <cell r="E12">
            <v>483.1</v>
          </cell>
          <cell r="J12">
            <v>578.4</v>
          </cell>
          <cell r="K12">
            <v>135.19999999999999</v>
          </cell>
          <cell r="L12">
            <v>128.6</v>
          </cell>
          <cell r="M12">
            <v>166.9</v>
          </cell>
          <cell r="N12">
            <v>156.9</v>
          </cell>
          <cell r="O12">
            <v>587.70000000000005</v>
          </cell>
          <cell r="P12">
            <v>163</v>
          </cell>
          <cell r="Q12">
            <v>167.7</v>
          </cell>
          <cell r="R12">
            <v>184.8</v>
          </cell>
          <cell r="S12">
            <v>170.89999999999998</v>
          </cell>
          <cell r="T12">
            <v>686.4</v>
          </cell>
          <cell r="U12">
            <v>178.9</v>
          </cell>
          <cell r="V12">
            <v>156.80000000000001</v>
          </cell>
          <cell r="W12">
            <v>170.8</v>
          </cell>
          <cell r="X12">
            <v>169.8</v>
          </cell>
          <cell r="Y12">
            <v>676.30000000000007</v>
          </cell>
          <cell r="Z12">
            <v>174.9</v>
          </cell>
          <cell r="AA12">
            <v>175.4</v>
          </cell>
          <cell r="AB12">
            <v>186.4</v>
          </cell>
          <cell r="AC12">
            <v>220.8</v>
          </cell>
          <cell r="AD12">
            <v>757.5</v>
          </cell>
          <cell r="AE12">
            <v>395.9</v>
          </cell>
          <cell r="AF12">
            <v>239.1</v>
          </cell>
          <cell r="AG12">
            <v>222.9</v>
          </cell>
          <cell r="AH12">
            <v>251.3</v>
          </cell>
          <cell r="AI12">
            <v>1109.2</v>
          </cell>
          <cell r="AJ12">
            <v>248.4</v>
          </cell>
          <cell r="AK12">
            <v>274</v>
          </cell>
          <cell r="AL12">
            <v>263.2</v>
          </cell>
          <cell r="AM12">
            <v>328.6</v>
          </cell>
          <cell r="AN12">
            <v>1114.1999999999998</v>
          </cell>
          <cell r="AO12">
            <v>328.4</v>
          </cell>
          <cell r="AP12">
            <v>368.4</v>
          </cell>
          <cell r="AQ12">
            <v>347.2</v>
          </cell>
          <cell r="AR12">
            <v>381</v>
          </cell>
          <cell r="AS12">
            <v>1425</v>
          </cell>
          <cell r="AT12">
            <v>340.3</v>
          </cell>
          <cell r="AU12">
            <v>370.7</v>
          </cell>
          <cell r="AV12">
            <v>369</v>
          </cell>
          <cell r="AW12">
            <v>375.5</v>
          </cell>
          <cell r="AX12">
            <v>1455.5</v>
          </cell>
          <cell r="AY12">
            <v>350.6</v>
          </cell>
          <cell r="AZ12">
            <v>376.4</v>
          </cell>
          <cell r="BA12">
            <v>395</v>
          </cell>
          <cell r="BB12">
            <v>428.5</v>
          </cell>
          <cell r="BC12">
            <v>1550.5</v>
          </cell>
          <cell r="BD12">
            <v>387.1</v>
          </cell>
          <cell r="BE12">
            <v>420.3</v>
          </cell>
          <cell r="BF12">
            <v>420</v>
          </cell>
          <cell r="BG12">
            <v>439.4</v>
          </cell>
          <cell r="BH12">
            <v>1666.8000000000002</v>
          </cell>
          <cell r="BI12">
            <v>403.13085832561018</v>
          </cell>
          <cell r="BJ12">
            <v>397.71255445906081</v>
          </cell>
          <cell r="BK12">
            <v>397.35967921628929</v>
          </cell>
          <cell r="BL12">
            <v>452.9964524124108</v>
          </cell>
          <cell r="BM12">
            <v>1651.1995444133713</v>
          </cell>
          <cell r="BN12">
            <v>344.7007537865008</v>
          </cell>
          <cell r="BO12">
            <v>377.92196472223861</v>
          </cell>
          <cell r="BP12">
            <v>377.57685112892204</v>
          </cell>
          <cell r="BQ12">
            <v>391.74911525482452</v>
          </cell>
          <cell r="BR12">
            <v>1491.948684892486</v>
          </cell>
          <cell r="BS12">
            <v>350.95895476055665</v>
          </cell>
          <cell r="BT12">
            <v>384.1831804133767</v>
          </cell>
          <cell r="BU12">
            <v>383.83783494871477</v>
          </cell>
          <cell r="BV12">
            <v>397.53291784344606</v>
          </cell>
          <cell r="BW12">
            <v>1516.5128879660942</v>
          </cell>
          <cell r="BX12">
            <v>357.21851765932365</v>
          </cell>
          <cell r="BY12">
            <v>390.44235066652203</v>
          </cell>
          <cell r="BZ12">
            <v>390.09339671540482</v>
          </cell>
          <cell r="CA12">
            <v>403.04543433821266</v>
          </cell>
          <cell r="CB12">
            <v>1540.7996993794632</v>
          </cell>
          <cell r="CI12" t="str">
            <v>mstag:sellingGeneralAndAdministrativeExpenses</v>
          </cell>
          <cell r="CJ12">
            <v>6</v>
          </cell>
          <cell r="CK12" t="str">
            <v>ISO4217:USD</v>
          </cell>
          <cell r="CL12" t="b">
            <v>0</v>
          </cell>
        </row>
        <row r="13">
          <cell r="B13" t="str">
            <v>Amortization of intangibles</v>
          </cell>
          <cell r="D13">
            <v>182</v>
          </cell>
          <cell r="E13">
            <v>187.3</v>
          </cell>
          <cell r="J13">
            <v>191.8</v>
          </cell>
          <cell r="K13">
            <v>21.2</v>
          </cell>
          <cell r="L13">
            <v>21.2</v>
          </cell>
          <cell r="M13">
            <v>21.2</v>
          </cell>
          <cell r="N13">
            <v>21.2</v>
          </cell>
          <cell r="O13">
            <v>84.9</v>
          </cell>
          <cell r="P13">
            <v>23.6</v>
          </cell>
          <cell r="Q13">
            <v>23.6</v>
          </cell>
          <cell r="R13">
            <v>23.6</v>
          </cell>
          <cell r="S13">
            <v>23.499999999999986</v>
          </cell>
          <cell r="T13">
            <v>94.3</v>
          </cell>
          <cell r="U13">
            <v>45</v>
          </cell>
          <cell r="V13">
            <v>45</v>
          </cell>
          <cell r="W13">
            <v>45</v>
          </cell>
          <cell r="X13">
            <v>45</v>
          </cell>
          <cell r="Y13">
            <v>180</v>
          </cell>
          <cell r="Z13">
            <v>45</v>
          </cell>
          <cell r="AA13">
            <v>45</v>
          </cell>
          <cell r="AB13">
            <v>48.1</v>
          </cell>
          <cell r="AC13">
            <v>54.5</v>
          </cell>
          <cell r="AD13">
            <v>192.6</v>
          </cell>
          <cell r="AE13">
            <v>54.6</v>
          </cell>
          <cell r="AF13">
            <v>54.6</v>
          </cell>
          <cell r="AG13">
            <v>54.6</v>
          </cell>
          <cell r="AH13">
            <v>54.6</v>
          </cell>
          <cell r="AI13">
            <v>218.4</v>
          </cell>
          <cell r="AJ13">
            <v>54.6</v>
          </cell>
          <cell r="AK13">
            <v>54.6</v>
          </cell>
          <cell r="AL13">
            <v>54.6</v>
          </cell>
          <cell r="AM13">
            <v>64.2</v>
          </cell>
          <cell r="AN13">
            <v>228</v>
          </cell>
          <cell r="AO13">
            <v>69.5</v>
          </cell>
          <cell r="AP13">
            <v>70.599999999999994</v>
          </cell>
          <cell r="AQ13">
            <v>71.099999999999994</v>
          </cell>
          <cell r="AR13">
            <v>73.900000000000006</v>
          </cell>
          <cell r="AS13">
            <v>285.10000000000002</v>
          </cell>
          <cell r="AT13">
            <v>75.900000000000006</v>
          </cell>
          <cell r="AU13">
            <v>75.900000000000006</v>
          </cell>
          <cell r="AV13">
            <v>78.400000000000006</v>
          </cell>
          <cell r="AW13">
            <v>75.5</v>
          </cell>
          <cell r="AX13">
            <v>305.70000000000005</v>
          </cell>
          <cell r="AY13">
            <v>70.5</v>
          </cell>
          <cell r="AZ13">
            <v>70.7</v>
          </cell>
          <cell r="BA13">
            <v>71.2</v>
          </cell>
          <cell r="BB13">
            <v>75</v>
          </cell>
          <cell r="BC13">
            <v>287.39999999999998</v>
          </cell>
          <cell r="BD13">
            <v>73.2</v>
          </cell>
          <cell r="BE13">
            <v>73.3</v>
          </cell>
          <cell r="BF13">
            <v>73.2</v>
          </cell>
          <cell r="BG13">
            <v>72.3</v>
          </cell>
          <cell r="BH13">
            <v>292</v>
          </cell>
          <cell r="BI13">
            <v>72.3</v>
          </cell>
          <cell r="BJ13">
            <v>72.3</v>
          </cell>
          <cell r="BK13">
            <v>72.3</v>
          </cell>
          <cell r="BL13">
            <v>72.3</v>
          </cell>
          <cell r="BM13">
            <v>289.2</v>
          </cell>
          <cell r="BN13">
            <v>72.3</v>
          </cell>
          <cell r="BO13">
            <v>72.3</v>
          </cell>
          <cell r="BP13">
            <v>72.3</v>
          </cell>
          <cell r="BQ13">
            <v>72.3</v>
          </cell>
          <cell r="BR13">
            <v>289.2</v>
          </cell>
          <cell r="BS13">
            <v>72.3</v>
          </cell>
          <cell r="BT13">
            <v>72.3</v>
          </cell>
          <cell r="BU13">
            <v>72.3</v>
          </cell>
          <cell r="BV13">
            <v>72.3</v>
          </cell>
          <cell r="BW13">
            <v>289.2</v>
          </cell>
          <cell r="BX13">
            <v>72.3</v>
          </cell>
          <cell r="BY13">
            <v>72.3</v>
          </cell>
          <cell r="BZ13">
            <v>72.3</v>
          </cell>
          <cell r="CA13">
            <v>72.3</v>
          </cell>
          <cell r="CB13">
            <v>289.2</v>
          </cell>
          <cell r="CI13" t="str">
            <v>mstag:amortizationOfOtherIntangiblesInIncomeStatement</v>
          </cell>
          <cell r="CJ13">
            <v>6</v>
          </cell>
          <cell r="CK13" t="str">
            <v>ISO4217:USD</v>
          </cell>
          <cell r="CL13" t="b">
            <v>0</v>
          </cell>
        </row>
        <row r="14">
          <cell r="B14" t="str">
            <v xml:space="preserve">EBIT </v>
          </cell>
          <cell r="D14">
            <v>328.00000000000216</v>
          </cell>
          <cell r="E14">
            <v>441.69999999999851</v>
          </cell>
          <cell r="F14">
            <v>0</v>
          </cell>
          <cell r="G14">
            <v>0</v>
          </cell>
          <cell r="H14">
            <v>0</v>
          </cell>
          <cell r="I14">
            <v>0</v>
          </cell>
          <cell r="J14">
            <v>513.70000000000505</v>
          </cell>
          <cell r="K14">
            <v>101.90000000000019</v>
          </cell>
          <cell r="L14">
            <v>188.89999999999893</v>
          </cell>
          <cell r="M14">
            <v>155.00000000000037</v>
          </cell>
          <cell r="N14">
            <v>182.50000000000037</v>
          </cell>
          <cell r="O14">
            <v>628.19999999999925</v>
          </cell>
          <cell r="P14">
            <v>162.9</v>
          </cell>
          <cell r="Q14">
            <v>179.59999999999965</v>
          </cell>
          <cell r="R14">
            <v>180.40000000000018</v>
          </cell>
          <cell r="S14">
            <v>218.50000000000148</v>
          </cell>
          <cell r="T14">
            <v>741.39999999999861</v>
          </cell>
          <cell r="U14">
            <v>196.7999999999989</v>
          </cell>
          <cell r="V14">
            <v>225.90000000000072</v>
          </cell>
          <cell r="W14">
            <v>209.89999999999708</v>
          </cell>
          <cell r="X14">
            <v>233.59999999999962</v>
          </cell>
          <cell r="Y14">
            <v>866.19999999999254</v>
          </cell>
          <cell r="Z14">
            <v>227.60000000000002</v>
          </cell>
          <cell r="AA14">
            <v>234.90000000000111</v>
          </cell>
          <cell r="AB14">
            <v>228.60000000000221</v>
          </cell>
          <cell r="AC14">
            <v>301.59999999999962</v>
          </cell>
          <cell r="AD14">
            <v>992.70000000000289</v>
          </cell>
          <cell r="AE14">
            <v>87.700000000000756</v>
          </cell>
          <cell r="AF14">
            <v>289.79999999999995</v>
          </cell>
          <cell r="AG14">
            <v>315.99999999999818</v>
          </cell>
          <cell r="AH14">
            <v>384.30000000000069</v>
          </cell>
          <cell r="AI14">
            <v>1077.8000000000013</v>
          </cell>
          <cell r="AJ14">
            <v>470.69999999999891</v>
          </cell>
          <cell r="AK14">
            <v>376.00000000000034</v>
          </cell>
          <cell r="AL14">
            <v>383.00000000000108</v>
          </cell>
          <cell r="AM14">
            <v>373.3999999999989</v>
          </cell>
          <cell r="AN14">
            <v>1603.0999999999992</v>
          </cell>
          <cell r="AO14">
            <v>502.30000000000075</v>
          </cell>
          <cell r="AP14">
            <v>494.5</v>
          </cell>
          <cell r="AQ14">
            <v>506.49999999999739</v>
          </cell>
          <cell r="AR14">
            <v>515.19999999999857</v>
          </cell>
          <cell r="AS14">
            <v>2018.4999999999968</v>
          </cell>
          <cell r="AT14">
            <v>527.90000000000043</v>
          </cell>
          <cell r="AU14">
            <v>569.19999999999925</v>
          </cell>
          <cell r="AV14">
            <v>592.6</v>
          </cell>
          <cell r="AW14">
            <v>576.10000000000036</v>
          </cell>
          <cell r="AX14">
            <v>2265.8000000000002</v>
          </cell>
          <cell r="AY14">
            <v>571.59999999999889</v>
          </cell>
          <cell r="AZ14">
            <v>614.6000000000007</v>
          </cell>
          <cell r="BA14">
            <v>653.29999999999995</v>
          </cell>
          <cell r="BB14">
            <v>657.70000000000073</v>
          </cell>
          <cell r="BC14">
            <v>2497.2000000000003</v>
          </cell>
          <cell r="BD14">
            <v>609.9999999999992</v>
          </cell>
          <cell r="BE14">
            <v>611.79999999999973</v>
          </cell>
          <cell r="BF14">
            <v>674.90000000000032</v>
          </cell>
          <cell r="BG14">
            <v>769.0000000000008</v>
          </cell>
          <cell r="BH14">
            <v>2665.7</v>
          </cell>
          <cell r="BI14">
            <v>580.06184680398792</v>
          </cell>
          <cell r="BJ14">
            <v>628.39848515403378</v>
          </cell>
          <cell r="BK14">
            <v>692.1687645281379</v>
          </cell>
          <cell r="BL14">
            <v>738.0274330125086</v>
          </cell>
          <cell r="BM14">
            <v>2638.6565294986681</v>
          </cell>
          <cell r="BN14">
            <v>633.62074857335892</v>
          </cell>
          <cell r="BO14">
            <v>643.19445494309059</v>
          </cell>
          <cell r="BP14">
            <v>695.06371364345955</v>
          </cell>
          <cell r="BQ14">
            <v>686.61479051643005</v>
          </cell>
          <cell r="BR14">
            <v>2658.493707676339</v>
          </cell>
          <cell r="BS14">
            <v>679.06046353792772</v>
          </cell>
          <cell r="BT14">
            <v>694.63175693508015</v>
          </cell>
          <cell r="BU14">
            <v>755.88343031433783</v>
          </cell>
          <cell r="BV14">
            <v>748.08925636638651</v>
          </cell>
          <cell r="BW14">
            <v>2877.6649071537322</v>
          </cell>
          <cell r="BX14">
            <v>724.16177160460256</v>
          </cell>
          <cell r="BY14">
            <v>736.37401551415837</v>
          </cell>
          <cell r="BZ14">
            <v>795.36391367038004</v>
          </cell>
          <cell r="CA14">
            <v>785.77184391942149</v>
          </cell>
          <cell r="CB14">
            <v>3041.6715447085626</v>
          </cell>
        </row>
        <row r="15">
          <cell r="B15" t="str">
            <v>Interest and other (income) expense, net</v>
          </cell>
          <cell r="D15">
            <v>-3.7</v>
          </cell>
          <cell r="E15">
            <v>-5.8</v>
          </cell>
          <cell r="J15">
            <v>-4.5999999999999996</v>
          </cell>
          <cell r="K15">
            <v>-0.8</v>
          </cell>
          <cell r="L15">
            <v>9.4</v>
          </cell>
          <cell r="M15">
            <v>0</v>
          </cell>
          <cell r="N15">
            <v>-0.5</v>
          </cell>
          <cell r="O15">
            <v>7.9</v>
          </cell>
          <cell r="P15">
            <v>-11.7</v>
          </cell>
          <cell r="Q15">
            <v>-0.4</v>
          </cell>
          <cell r="R15">
            <v>8.6999999999999993</v>
          </cell>
          <cell r="S15">
            <v>16.100000000000001</v>
          </cell>
          <cell r="T15">
            <v>12.7</v>
          </cell>
          <cell r="U15">
            <v>22</v>
          </cell>
          <cell r="V15">
            <v>13.3</v>
          </cell>
          <cell r="W15">
            <v>12.6</v>
          </cell>
          <cell r="X15">
            <v>12</v>
          </cell>
          <cell r="Y15">
            <v>59.9</v>
          </cell>
          <cell r="Z15">
            <v>10.1</v>
          </cell>
          <cell r="AA15">
            <v>6.4</v>
          </cell>
          <cell r="AB15">
            <v>10.6</v>
          </cell>
          <cell r="AC15">
            <v>12.7</v>
          </cell>
          <cell r="AD15">
            <v>39.799999999999997</v>
          </cell>
          <cell r="AE15">
            <v>13.5</v>
          </cell>
          <cell r="AF15">
            <v>15.3</v>
          </cell>
          <cell r="AG15">
            <v>20.9</v>
          </cell>
          <cell r="AH15">
            <v>16.2</v>
          </cell>
          <cell r="AI15">
            <v>65.900000000000006</v>
          </cell>
          <cell r="AJ15">
            <v>14.9</v>
          </cell>
          <cell r="AK15">
            <v>21.9</v>
          </cell>
          <cell r="AL15">
            <v>25.5</v>
          </cell>
          <cell r="AM15">
            <v>37.4</v>
          </cell>
          <cell r="AN15">
            <v>99.699999999999989</v>
          </cell>
          <cell r="AO15">
            <v>54.3</v>
          </cell>
          <cell r="AP15">
            <v>57.5</v>
          </cell>
          <cell r="AQ15">
            <v>58.2</v>
          </cell>
          <cell r="AR15">
            <v>57.6</v>
          </cell>
          <cell r="AS15">
            <v>227.6</v>
          </cell>
          <cell r="AT15">
            <v>41.6</v>
          </cell>
          <cell r="AU15">
            <v>41.2</v>
          </cell>
          <cell r="AV15">
            <v>39.9</v>
          </cell>
          <cell r="AW15">
            <v>39.900000000000006</v>
          </cell>
          <cell r="AX15">
            <v>162.60000000000002</v>
          </cell>
          <cell r="AY15">
            <v>39.300000000000004</v>
          </cell>
          <cell r="AZ15">
            <v>32.5</v>
          </cell>
          <cell r="BA15">
            <v>40.799999999999997</v>
          </cell>
          <cell r="BB15">
            <v>50.4</v>
          </cell>
          <cell r="BC15">
            <v>163</v>
          </cell>
          <cell r="BD15">
            <v>54.199999999999996</v>
          </cell>
          <cell r="BE15">
            <v>54.199999999999996</v>
          </cell>
          <cell r="BF15">
            <v>49.6</v>
          </cell>
          <cell r="BG15">
            <v>51.7</v>
          </cell>
          <cell r="BH15">
            <v>209.7</v>
          </cell>
          <cell r="BI15">
            <v>51.610905945010003</v>
          </cell>
          <cell r="BJ15">
            <v>49.800580900062954</v>
          </cell>
          <cell r="BK15">
            <v>51.084812610613255</v>
          </cell>
          <cell r="BL15">
            <v>52.888867821091878</v>
          </cell>
          <cell r="BM15">
            <v>205.38516727677808</v>
          </cell>
          <cell r="BN15">
            <v>53.929622685217772</v>
          </cell>
          <cell r="BO15">
            <v>53.965162648294807</v>
          </cell>
          <cell r="BP15">
            <v>54.784453538704938</v>
          </cell>
          <cell r="BQ15">
            <v>54.350044370954123</v>
          </cell>
          <cell r="BR15">
            <v>217.02928324317165</v>
          </cell>
          <cell r="BS15">
            <v>55.904950109329988</v>
          </cell>
          <cell r="BT15">
            <v>58.424882916234992</v>
          </cell>
          <cell r="BU15">
            <v>58.879051637042593</v>
          </cell>
          <cell r="BV15">
            <v>58.262255798564709</v>
          </cell>
          <cell r="BW15">
            <v>231.4711404611723</v>
          </cell>
          <cell r="BX15">
            <v>59.546451005945173</v>
          </cell>
          <cell r="BY15">
            <v>61.917945570229882</v>
          </cell>
          <cell r="BZ15">
            <v>61.450762672742485</v>
          </cell>
          <cell r="CA15">
            <v>60.884741335091029</v>
          </cell>
          <cell r="CB15">
            <v>243.79990058400858</v>
          </cell>
          <cell r="CI15" t="str">
            <v>mstag:interestExpense</v>
          </cell>
          <cell r="CJ15">
            <v>6</v>
          </cell>
          <cell r="CK15" t="str">
            <v>ISO4217:USD</v>
          </cell>
          <cell r="CL15" t="b">
            <v>0</v>
          </cell>
        </row>
        <row r="16">
          <cell r="B16" t="str">
            <v>Pre-tax income</v>
          </cell>
          <cell r="D16">
            <v>331.70000000000215</v>
          </cell>
          <cell r="E16">
            <v>447.49999999999852</v>
          </cell>
          <cell r="F16">
            <v>0</v>
          </cell>
          <cell r="G16">
            <v>0</v>
          </cell>
          <cell r="H16">
            <v>0</v>
          </cell>
          <cell r="I16">
            <v>0</v>
          </cell>
          <cell r="J16">
            <v>518.30000000000507</v>
          </cell>
          <cell r="K16">
            <v>102.70000000000019</v>
          </cell>
          <cell r="L16">
            <v>179.49999999999892</v>
          </cell>
          <cell r="M16">
            <v>155.00000000000037</v>
          </cell>
          <cell r="N16">
            <v>183.00000000000037</v>
          </cell>
          <cell r="O16">
            <v>620.29999999999927</v>
          </cell>
          <cell r="P16">
            <v>174.6</v>
          </cell>
          <cell r="Q16">
            <v>179.99999999999966</v>
          </cell>
          <cell r="R16">
            <v>171.70000000000019</v>
          </cell>
          <cell r="S16">
            <v>202.40000000000148</v>
          </cell>
          <cell r="T16">
            <v>728.69999999999857</v>
          </cell>
          <cell r="U16">
            <v>174.7999999999989</v>
          </cell>
          <cell r="V16">
            <v>212.6000000000007</v>
          </cell>
          <cell r="W16">
            <v>197.29999999999708</v>
          </cell>
          <cell r="X16">
            <v>221.59999999999962</v>
          </cell>
          <cell r="Y16">
            <v>806.29999999999256</v>
          </cell>
          <cell r="Z16">
            <v>217.50000000000003</v>
          </cell>
          <cell r="AA16">
            <v>228.50000000000111</v>
          </cell>
          <cell r="AB16">
            <v>218.00000000000222</v>
          </cell>
          <cell r="AC16">
            <v>288.89999999999964</v>
          </cell>
          <cell r="AD16">
            <v>952.90000000000293</v>
          </cell>
          <cell r="AE16">
            <v>74.200000000000756</v>
          </cell>
          <cell r="AF16">
            <v>274.49999999999994</v>
          </cell>
          <cell r="AG16">
            <v>295.0999999999982</v>
          </cell>
          <cell r="AH16">
            <v>368.1000000000007</v>
          </cell>
          <cell r="AI16">
            <v>1011.9000000000013</v>
          </cell>
          <cell r="AJ16">
            <v>455.79999999999893</v>
          </cell>
          <cell r="AK16">
            <v>354.10000000000036</v>
          </cell>
          <cell r="AL16">
            <v>357.50000000000108</v>
          </cell>
          <cell r="AM16">
            <v>335.99999999999892</v>
          </cell>
          <cell r="AN16">
            <v>1503.3999999999992</v>
          </cell>
          <cell r="AO16">
            <v>448.00000000000074</v>
          </cell>
          <cell r="AP16">
            <v>437</v>
          </cell>
          <cell r="AQ16">
            <v>448.2999999999974</v>
          </cell>
          <cell r="AR16">
            <v>457.59999999999854</v>
          </cell>
          <cell r="AS16">
            <v>1790.8999999999969</v>
          </cell>
          <cell r="AT16">
            <v>486.30000000000041</v>
          </cell>
          <cell r="AU16">
            <v>527.9999999999992</v>
          </cell>
          <cell r="AV16">
            <v>552.70000000000005</v>
          </cell>
          <cell r="AW16">
            <v>536.20000000000039</v>
          </cell>
          <cell r="AX16">
            <v>2103.2000000000003</v>
          </cell>
          <cell r="AY16">
            <v>532.29999999999893</v>
          </cell>
          <cell r="AZ16">
            <v>582.1000000000007</v>
          </cell>
          <cell r="BA16">
            <v>612.5</v>
          </cell>
          <cell r="BB16">
            <v>607.30000000000075</v>
          </cell>
          <cell r="BC16">
            <v>2334.2000000000003</v>
          </cell>
          <cell r="BD16">
            <v>555.79999999999916</v>
          </cell>
          <cell r="BE16">
            <v>557.59999999999968</v>
          </cell>
          <cell r="BF16">
            <v>625.3000000000003</v>
          </cell>
          <cell r="BG16">
            <v>717.30000000000075</v>
          </cell>
          <cell r="BH16">
            <v>2456</v>
          </cell>
          <cell r="BI16">
            <v>528.4509408589779</v>
          </cell>
          <cell r="BJ16">
            <v>578.5979042539708</v>
          </cell>
          <cell r="BK16">
            <v>641.0839519175247</v>
          </cell>
          <cell r="BL16">
            <v>685.13856519141677</v>
          </cell>
          <cell r="BM16">
            <v>2433.2713622218898</v>
          </cell>
          <cell r="BN16">
            <v>579.69112588814119</v>
          </cell>
          <cell r="BO16">
            <v>589.22929229479575</v>
          </cell>
          <cell r="BP16">
            <v>640.2792601047546</v>
          </cell>
          <cell r="BQ16">
            <v>632.2647461454759</v>
          </cell>
          <cell r="BR16">
            <v>2441.4644244331676</v>
          </cell>
          <cell r="BS16">
            <v>623.15551342859771</v>
          </cell>
          <cell r="BT16">
            <v>636.20687401884516</v>
          </cell>
          <cell r="BU16">
            <v>697.00437867729522</v>
          </cell>
          <cell r="BV16">
            <v>689.82700056782176</v>
          </cell>
          <cell r="BW16">
            <v>2646.1937666925601</v>
          </cell>
          <cell r="BX16">
            <v>664.61532059865738</v>
          </cell>
          <cell r="BY16">
            <v>674.45606994392847</v>
          </cell>
          <cell r="BZ16">
            <v>733.91315099763756</v>
          </cell>
          <cell r="CA16">
            <v>724.88710258433048</v>
          </cell>
          <cell r="CB16">
            <v>2797.8716441245542</v>
          </cell>
        </row>
        <row r="17">
          <cell r="B17" t="str">
            <v>Income tax provision (benefit)</v>
          </cell>
          <cell r="D17">
            <v>179.7</v>
          </cell>
          <cell r="E17">
            <v>230.7</v>
          </cell>
          <cell r="J17">
            <v>261.7</v>
          </cell>
          <cell r="K17">
            <v>43.1</v>
          </cell>
          <cell r="L17">
            <v>74.900000000000006</v>
          </cell>
          <cell r="M17">
            <v>64.8</v>
          </cell>
          <cell r="N17">
            <v>75.8</v>
          </cell>
          <cell r="O17">
            <v>258.7</v>
          </cell>
          <cell r="P17">
            <v>72.599999999999994</v>
          </cell>
          <cell r="Q17">
            <v>74.8</v>
          </cell>
          <cell r="R17">
            <v>71.400000000000006</v>
          </cell>
          <cell r="S17">
            <v>84.1</v>
          </cell>
          <cell r="T17">
            <v>302.89999999999998</v>
          </cell>
          <cell r="U17">
            <v>71.2</v>
          </cell>
          <cell r="V17">
            <v>85.3</v>
          </cell>
          <cell r="W17">
            <v>79.2</v>
          </cell>
          <cell r="X17">
            <v>89</v>
          </cell>
          <cell r="Y17">
            <v>324.7</v>
          </cell>
          <cell r="Z17">
            <v>86.3</v>
          </cell>
          <cell r="AA17">
            <v>91.1</v>
          </cell>
          <cell r="AB17">
            <v>61.3</v>
          </cell>
          <cell r="AC17">
            <v>112.1</v>
          </cell>
          <cell r="AD17">
            <v>350.79999999999995</v>
          </cell>
          <cell r="AE17">
            <v>29.4</v>
          </cell>
          <cell r="AF17">
            <v>103.6</v>
          </cell>
          <cell r="AG17">
            <v>109.3</v>
          </cell>
          <cell r="AH17">
            <v>139.30000000000001</v>
          </cell>
          <cell r="AI17">
            <v>381.6</v>
          </cell>
          <cell r="AJ17">
            <v>181</v>
          </cell>
          <cell r="AK17">
            <v>139.19999999999999</v>
          </cell>
          <cell r="AL17">
            <v>142.80000000000001</v>
          </cell>
          <cell r="AM17">
            <v>128.4</v>
          </cell>
          <cell r="AN17">
            <v>591.4</v>
          </cell>
          <cell r="AO17">
            <v>177.8</v>
          </cell>
          <cell r="AP17">
            <v>174.3</v>
          </cell>
          <cell r="AQ17">
            <v>152.6</v>
          </cell>
          <cell r="AR17">
            <v>183.2</v>
          </cell>
          <cell r="AS17">
            <v>687.90000000000009</v>
          </cell>
          <cell r="AT17">
            <v>195.3</v>
          </cell>
          <cell r="AU17">
            <v>215.9</v>
          </cell>
          <cell r="AV17">
            <v>217.1</v>
          </cell>
          <cell r="AW17">
            <v>194.7</v>
          </cell>
          <cell r="AX17">
            <v>823</v>
          </cell>
          <cell r="AY17">
            <v>211.8</v>
          </cell>
          <cell r="AZ17">
            <v>225.2</v>
          </cell>
          <cell r="BA17">
            <v>241</v>
          </cell>
          <cell r="BB17">
            <v>228.8</v>
          </cell>
          <cell r="BC17">
            <v>906.8</v>
          </cell>
          <cell r="BD17">
            <v>222.7</v>
          </cell>
          <cell r="BE17">
            <v>214.8</v>
          </cell>
          <cell r="BF17">
            <v>247.9</v>
          </cell>
          <cell r="BG17">
            <v>265.40000000000003</v>
          </cell>
          <cell r="BH17">
            <v>950.8</v>
          </cell>
          <cell r="BI17">
            <v>206.0958669350014</v>
          </cell>
          <cell r="BJ17">
            <v>225.65318265904861</v>
          </cell>
          <cell r="BK17">
            <v>250.02274124783463</v>
          </cell>
          <cell r="BL17">
            <v>267.20404042465253</v>
          </cell>
          <cell r="BM17">
            <v>948.97583126653717</v>
          </cell>
          <cell r="BN17">
            <v>226.07953909637507</v>
          </cell>
          <cell r="BO17">
            <v>229.79942399497034</v>
          </cell>
          <cell r="BP17">
            <v>249.70891144085431</v>
          </cell>
          <cell r="BQ17">
            <v>246.58325099673561</v>
          </cell>
          <cell r="BR17">
            <v>952.17112552893536</v>
          </cell>
          <cell r="BS17">
            <v>243.03065023715311</v>
          </cell>
          <cell r="BT17">
            <v>248.12068086734962</v>
          </cell>
          <cell r="BU17">
            <v>271.83170768414516</v>
          </cell>
          <cell r="BV17">
            <v>269.03253022145049</v>
          </cell>
          <cell r="BW17">
            <v>1032.0155690100985</v>
          </cell>
          <cell r="BX17">
            <v>259.19997503347639</v>
          </cell>
          <cell r="BY17">
            <v>263.03786727813213</v>
          </cell>
          <cell r="BZ17">
            <v>286.22612888907867</v>
          </cell>
          <cell r="CA17">
            <v>282.70597000788888</v>
          </cell>
          <cell r="CB17">
            <v>1091.1699412085761</v>
          </cell>
          <cell r="CI17" t="str">
            <v>mstag:taxExpenseIncome</v>
          </cell>
          <cell r="CJ17">
            <v>6</v>
          </cell>
          <cell r="CK17" t="str">
            <v>ISO4217:USD</v>
          </cell>
          <cell r="CL17" t="b">
            <v>0</v>
          </cell>
        </row>
        <row r="18">
          <cell r="B18" t="str">
            <v>NI avail to common stockholders - cont. ops</v>
          </cell>
          <cell r="D18">
            <v>152.00000000000216</v>
          </cell>
          <cell r="E18">
            <v>216.79999999999853</v>
          </cell>
          <cell r="F18">
            <v>0</v>
          </cell>
          <cell r="G18">
            <v>0</v>
          </cell>
          <cell r="H18">
            <v>0</v>
          </cell>
          <cell r="I18">
            <v>0</v>
          </cell>
          <cell r="J18">
            <v>256.60000000000508</v>
          </cell>
          <cell r="K18">
            <v>59.600000000000186</v>
          </cell>
          <cell r="L18">
            <v>104.59999999999891</v>
          </cell>
          <cell r="M18">
            <v>90.200000000000372</v>
          </cell>
          <cell r="N18">
            <v>107.20000000000037</v>
          </cell>
          <cell r="O18">
            <v>361.59999999999928</v>
          </cell>
          <cell r="P18">
            <v>102</v>
          </cell>
          <cell r="Q18">
            <v>105.19999999999966</v>
          </cell>
          <cell r="R18">
            <v>100.30000000000018</v>
          </cell>
          <cell r="S18">
            <v>118.30000000000149</v>
          </cell>
          <cell r="T18">
            <v>425.79999999999859</v>
          </cell>
          <cell r="U18">
            <v>103.5999999999989</v>
          </cell>
          <cell r="V18">
            <v>127.30000000000071</v>
          </cell>
          <cell r="W18">
            <v>118.09999999999708</v>
          </cell>
          <cell r="X18">
            <v>132.59999999999962</v>
          </cell>
          <cell r="Y18">
            <v>481.59999999999258</v>
          </cell>
          <cell r="Z18">
            <v>131.20000000000005</v>
          </cell>
          <cell r="AA18">
            <v>137.40000000000111</v>
          </cell>
          <cell r="AB18">
            <v>156.70000000000221</v>
          </cell>
          <cell r="AC18">
            <v>176.79999999999964</v>
          </cell>
          <cell r="AD18">
            <v>602.10000000000298</v>
          </cell>
          <cell r="AE18">
            <v>44.800000000000757</v>
          </cell>
          <cell r="AF18">
            <v>170.89999999999995</v>
          </cell>
          <cell r="AG18">
            <v>185.79999999999819</v>
          </cell>
          <cell r="AH18">
            <v>228.80000000000069</v>
          </cell>
          <cell r="AI18">
            <v>630.30000000000132</v>
          </cell>
          <cell r="AJ18">
            <v>274.79999999999893</v>
          </cell>
          <cell r="AK18">
            <v>214.90000000000038</v>
          </cell>
          <cell r="AL18">
            <v>214.70000000000107</v>
          </cell>
          <cell r="AM18">
            <v>207.59999999999891</v>
          </cell>
          <cell r="AN18">
            <v>911.9999999999992</v>
          </cell>
          <cell r="AO18">
            <v>270.20000000000073</v>
          </cell>
          <cell r="AP18">
            <v>262.7</v>
          </cell>
          <cell r="AQ18">
            <v>295.69999999999743</v>
          </cell>
          <cell r="AR18">
            <v>274.39999999999856</v>
          </cell>
          <cell r="AS18">
            <v>1102.9999999999968</v>
          </cell>
          <cell r="AT18">
            <v>291.0000000000004</v>
          </cell>
          <cell r="AU18">
            <v>312.09999999999923</v>
          </cell>
          <cell r="AV18">
            <v>335.6</v>
          </cell>
          <cell r="AW18">
            <v>341.5000000000004</v>
          </cell>
          <cell r="AX18">
            <v>1280.2000000000003</v>
          </cell>
          <cell r="AY18">
            <v>320.49999999999892</v>
          </cell>
          <cell r="AZ18">
            <v>356.90000000000072</v>
          </cell>
          <cell r="BA18">
            <v>371.5</v>
          </cell>
          <cell r="BB18">
            <v>378.50000000000074</v>
          </cell>
          <cell r="BC18">
            <v>1427.4000000000003</v>
          </cell>
          <cell r="BD18">
            <v>333.09999999999917</v>
          </cell>
          <cell r="BE18">
            <v>342.79999999999967</v>
          </cell>
          <cell r="BF18">
            <v>377.40000000000032</v>
          </cell>
          <cell r="BG18">
            <v>451.90000000000072</v>
          </cell>
          <cell r="BH18">
            <v>1505.2</v>
          </cell>
          <cell r="BI18">
            <v>322.35507392397653</v>
          </cell>
          <cell r="BJ18">
            <v>352.94472159492216</v>
          </cell>
          <cell r="BK18">
            <v>391.06121066969007</v>
          </cell>
          <cell r="BL18">
            <v>417.93452476676424</v>
          </cell>
          <cell r="BM18">
            <v>1484.2955309553527</v>
          </cell>
          <cell r="BN18">
            <v>353.61158679176611</v>
          </cell>
          <cell r="BO18">
            <v>359.42986829982544</v>
          </cell>
          <cell r="BP18">
            <v>390.57034866390029</v>
          </cell>
          <cell r="BQ18">
            <v>385.68149514874028</v>
          </cell>
          <cell r="BR18">
            <v>1489.2932989042322</v>
          </cell>
          <cell r="BS18">
            <v>380.1248631914446</v>
          </cell>
          <cell r="BT18">
            <v>388.08619315149554</v>
          </cell>
          <cell r="BU18">
            <v>425.17267099315006</v>
          </cell>
          <cell r="BV18">
            <v>420.79447034637127</v>
          </cell>
          <cell r="BW18">
            <v>1614.1781976824616</v>
          </cell>
          <cell r="BX18">
            <v>405.41534556518098</v>
          </cell>
          <cell r="BY18">
            <v>411.41820266579634</v>
          </cell>
          <cell r="BZ18">
            <v>447.68702210855889</v>
          </cell>
          <cell r="CA18">
            <v>442.1811325764416</v>
          </cell>
          <cell r="CB18">
            <v>1706.7017029159781</v>
          </cell>
        </row>
        <row r="19">
          <cell r="B19" t="str">
            <v>Extraordinary / One Time Items</v>
          </cell>
          <cell r="D19">
            <v>0</v>
          </cell>
          <cell r="E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99.9</v>
          </cell>
          <cell r="AF19">
            <v>0</v>
          </cell>
          <cell r="AG19">
            <v>-6.6</v>
          </cell>
          <cell r="AH19">
            <v>-7.5</v>
          </cell>
          <cell r="AI19">
            <v>85.800000000000011</v>
          </cell>
          <cell r="AJ19">
            <v>0</v>
          </cell>
          <cell r="AK19">
            <v>0</v>
          </cell>
          <cell r="AL19">
            <v>0</v>
          </cell>
          <cell r="AM19">
            <v>0</v>
          </cell>
          <cell r="AN19">
            <v>0</v>
          </cell>
          <cell r="AO19">
            <v>0</v>
          </cell>
          <cell r="AP19">
            <v>0</v>
          </cell>
          <cell r="AQ19">
            <v>0</v>
          </cell>
          <cell r="AR19">
            <v>0</v>
          </cell>
          <cell r="AS19">
            <v>0</v>
          </cell>
          <cell r="AT19">
            <v>0</v>
          </cell>
          <cell r="AU19">
            <v>0</v>
          </cell>
          <cell r="AV19">
            <v>0</v>
          </cell>
          <cell r="AW19">
            <v>0</v>
          </cell>
          <cell r="AX19">
            <v>0</v>
          </cell>
          <cell r="AY19">
            <v>0</v>
          </cell>
          <cell r="AZ19">
            <v>0</v>
          </cell>
          <cell r="BA19">
            <v>0</v>
          </cell>
          <cell r="BB19">
            <v>0</v>
          </cell>
          <cell r="BC19">
            <v>0</v>
          </cell>
          <cell r="BD19">
            <v>0</v>
          </cell>
          <cell r="BE19">
            <v>0</v>
          </cell>
          <cell r="BF19">
            <v>0</v>
          </cell>
          <cell r="BG19">
            <v>0</v>
          </cell>
          <cell r="BH19">
            <v>0</v>
          </cell>
          <cell r="BI19">
            <v>0</v>
          </cell>
          <cell r="BJ19">
            <v>0</v>
          </cell>
          <cell r="BK19">
            <v>0</v>
          </cell>
          <cell r="BL19">
            <v>0</v>
          </cell>
          <cell r="BM19">
            <v>0</v>
          </cell>
          <cell r="BN19">
            <v>0</v>
          </cell>
          <cell r="BO19">
            <v>0</v>
          </cell>
          <cell r="BP19">
            <v>0</v>
          </cell>
          <cell r="BQ19">
            <v>0</v>
          </cell>
          <cell r="BR19">
            <v>0</v>
          </cell>
          <cell r="BS19">
            <v>0</v>
          </cell>
          <cell r="BT19">
            <v>0</v>
          </cell>
          <cell r="BU19">
            <v>0</v>
          </cell>
          <cell r="BV19">
            <v>0</v>
          </cell>
          <cell r="BW19">
            <v>0</v>
          </cell>
          <cell r="BX19">
            <v>0</v>
          </cell>
          <cell r="BY19">
            <v>0</v>
          </cell>
          <cell r="BZ19">
            <v>0</v>
          </cell>
          <cell r="CA19">
            <v>0</v>
          </cell>
          <cell r="CB19">
            <v>0</v>
          </cell>
          <cell r="CI19" t="str">
            <v>mstag:incomeLossFromExtraordinaryItemsNetOfTax</v>
          </cell>
          <cell r="CJ19">
            <v>6</v>
          </cell>
          <cell r="CK19" t="str">
            <v>ISO4217:USD</v>
          </cell>
          <cell r="CL19" t="b">
            <v>0</v>
          </cell>
        </row>
        <row r="20">
          <cell r="B20" t="str">
            <v>Net income - as reported</v>
          </cell>
          <cell r="D20">
            <v>152.00000000000216</v>
          </cell>
          <cell r="E20">
            <v>216.79999999999853</v>
          </cell>
          <cell r="F20">
            <v>0</v>
          </cell>
          <cell r="G20">
            <v>0</v>
          </cell>
          <cell r="H20">
            <v>0</v>
          </cell>
          <cell r="I20">
            <v>0</v>
          </cell>
          <cell r="J20">
            <v>256.60000000000508</v>
          </cell>
          <cell r="K20">
            <v>59.600000000000186</v>
          </cell>
          <cell r="L20">
            <v>104.59999999999891</v>
          </cell>
          <cell r="M20">
            <v>90.200000000000372</v>
          </cell>
          <cell r="N20">
            <v>107.20000000000037</v>
          </cell>
          <cell r="O20">
            <v>361.59999999999928</v>
          </cell>
          <cell r="P20">
            <v>102</v>
          </cell>
          <cell r="Q20">
            <v>105.19999999999966</v>
          </cell>
          <cell r="R20">
            <v>100.30000000000018</v>
          </cell>
          <cell r="S20">
            <v>118.30000000000149</v>
          </cell>
          <cell r="T20">
            <v>425.79999999999859</v>
          </cell>
          <cell r="U20">
            <v>103.5999999999989</v>
          </cell>
          <cell r="V20">
            <v>127.30000000000071</v>
          </cell>
          <cell r="W20">
            <v>118.09999999999708</v>
          </cell>
          <cell r="X20">
            <v>132.59999999999962</v>
          </cell>
          <cell r="Y20">
            <v>481.59999999999258</v>
          </cell>
          <cell r="Z20">
            <v>131.20000000000005</v>
          </cell>
          <cell r="AA20">
            <v>137.40000000000111</v>
          </cell>
          <cell r="AB20">
            <v>156.70000000000221</v>
          </cell>
          <cell r="AC20">
            <v>176.79999999999964</v>
          </cell>
          <cell r="AD20">
            <v>602.10000000000298</v>
          </cell>
          <cell r="AE20">
            <v>144.70000000000076</v>
          </cell>
          <cell r="AF20">
            <v>170.89999999999995</v>
          </cell>
          <cell r="AG20">
            <v>179.1999999999982</v>
          </cell>
          <cell r="AH20">
            <v>221.30000000000069</v>
          </cell>
          <cell r="AI20">
            <v>716.09999999999968</v>
          </cell>
          <cell r="AJ20">
            <v>274.79999999999893</v>
          </cell>
          <cell r="AK20">
            <v>214.90000000000038</v>
          </cell>
          <cell r="AL20">
            <v>214.70000000000107</v>
          </cell>
          <cell r="AM20">
            <v>207.59999999999891</v>
          </cell>
          <cell r="AN20">
            <v>911.9999999999992</v>
          </cell>
          <cell r="AO20">
            <v>270.20000000000073</v>
          </cell>
          <cell r="AP20">
            <v>262.7</v>
          </cell>
          <cell r="AQ20">
            <v>295.69999999999743</v>
          </cell>
          <cell r="AR20">
            <v>274.39999999999856</v>
          </cell>
          <cell r="AS20">
            <v>1102.9999999999968</v>
          </cell>
          <cell r="AT20">
            <v>291.0000000000004</v>
          </cell>
          <cell r="AU20">
            <v>312.09999999999923</v>
          </cell>
          <cell r="AV20">
            <v>335.6</v>
          </cell>
          <cell r="AW20">
            <v>341.5000000000004</v>
          </cell>
          <cell r="AX20">
            <v>1280.2000000000003</v>
          </cell>
          <cell r="AY20">
            <v>320.49999999999892</v>
          </cell>
          <cell r="AZ20">
            <v>356.90000000000072</v>
          </cell>
          <cell r="BA20">
            <v>371.5</v>
          </cell>
          <cell r="BB20">
            <v>378.50000000000074</v>
          </cell>
          <cell r="BC20">
            <v>1427.4000000000003</v>
          </cell>
          <cell r="BD20">
            <v>333.09999999999917</v>
          </cell>
          <cell r="BE20">
            <v>342.79999999999967</v>
          </cell>
          <cell r="BF20">
            <v>377.40000000000032</v>
          </cell>
          <cell r="BG20">
            <v>451.90000000000072</v>
          </cell>
          <cell r="BH20">
            <v>1505.2</v>
          </cell>
          <cell r="BI20">
            <v>322.35507392397653</v>
          </cell>
          <cell r="BJ20">
            <v>352.94472159492216</v>
          </cell>
          <cell r="BK20">
            <v>391.06121066969007</v>
          </cell>
          <cell r="BL20">
            <v>417.93452476676424</v>
          </cell>
          <cell r="BM20">
            <v>1484.2955309553527</v>
          </cell>
          <cell r="BN20">
            <v>353.61158679176611</v>
          </cell>
          <cell r="BO20">
            <v>359.42986829982544</v>
          </cell>
          <cell r="BP20">
            <v>390.57034866390029</v>
          </cell>
          <cell r="BQ20">
            <v>385.68149514874028</v>
          </cell>
          <cell r="BR20">
            <v>1489.2932989042322</v>
          </cell>
          <cell r="BS20">
            <v>380.1248631914446</v>
          </cell>
          <cell r="BT20">
            <v>388.08619315149554</v>
          </cell>
          <cell r="BU20">
            <v>425.17267099315006</v>
          </cell>
          <cell r="BV20">
            <v>420.79447034637127</v>
          </cell>
          <cell r="BW20">
            <v>1614.1781976824616</v>
          </cell>
          <cell r="BX20">
            <v>405.41534556518098</v>
          </cell>
          <cell r="BY20">
            <v>411.41820266579634</v>
          </cell>
          <cell r="BZ20">
            <v>447.68702210855889</v>
          </cell>
          <cell r="CA20">
            <v>442.1811325764416</v>
          </cell>
          <cell r="CB20">
            <v>1706.7017029159781</v>
          </cell>
          <cell r="CI20" t="str">
            <v>mstag:netIncomeAsReported</v>
          </cell>
          <cell r="CJ20">
            <v>6</v>
          </cell>
          <cell r="CK20" t="str">
            <v>ISO4217:USD</v>
          </cell>
          <cell r="CL20" t="b">
            <v>0</v>
          </cell>
        </row>
        <row r="21">
          <cell r="B21" t="str">
            <v>Adjustments (Amortization)</v>
          </cell>
          <cell r="K21">
            <v>12.30301850048687</v>
          </cell>
          <cell r="L21">
            <v>12.35387186629521</v>
          </cell>
          <cell r="M21">
            <v>12.337032258064536</v>
          </cell>
          <cell r="N21">
            <v>12.418797814207666</v>
          </cell>
          <cell r="O21">
            <v>49.491923262937249</v>
          </cell>
          <cell r="P21">
            <v>13.786941580756015</v>
          </cell>
          <cell r="Q21">
            <v>13.792888888888871</v>
          </cell>
          <cell r="R21">
            <v>13.786138613861397</v>
          </cell>
          <cell r="S21">
            <v>13.735424901185834</v>
          </cell>
          <cell r="T21">
            <v>55.10215452175099</v>
          </cell>
          <cell r="U21">
            <v>26.67048054919897</v>
          </cell>
          <cell r="V21">
            <v>26.944967074318029</v>
          </cell>
          <cell r="W21">
            <v>26.936137861124919</v>
          </cell>
          <cell r="X21">
            <v>26.92689530685918</v>
          </cell>
          <cell r="Y21">
            <v>107.4784807915011</v>
          </cell>
          <cell r="Z21">
            <v>28.6127025862069</v>
          </cell>
          <cell r="AA21">
            <v>28.526955962800965</v>
          </cell>
          <cell r="AB21">
            <v>28.567875000000001</v>
          </cell>
          <cell r="AC21">
            <v>57.609874999999995</v>
          </cell>
          <cell r="AD21">
            <v>143.31740854900787</v>
          </cell>
          <cell r="AE21">
            <v>33.201811320754899</v>
          </cell>
          <cell r="AF21">
            <v>33.231999999999999</v>
          </cell>
          <cell r="AG21">
            <v>34.364768553032775</v>
          </cell>
          <cell r="AH21">
            <v>34.002660146699299</v>
          </cell>
          <cell r="AI21">
            <v>134.80124002048697</v>
          </cell>
          <cell r="AJ21">
            <v>33.210250000000002</v>
          </cell>
          <cell r="AK21">
            <v>35.221250000000005</v>
          </cell>
          <cell r="AL21">
            <v>34.036424825174876</v>
          </cell>
          <cell r="AM21">
            <v>34.814821428571371</v>
          </cell>
          <cell r="AN21">
            <v>137.28274625374624</v>
          </cell>
          <cell r="AO21">
            <v>43.99512500000003</v>
          </cell>
          <cell r="AP21">
            <v>43.905987414187642</v>
          </cell>
          <cell r="AQ21">
            <v>46.536632500557573</v>
          </cell>
          <cell r="AR21">
            <v>42.639465034964985</v>
          </cell>
          <cell r="AS21">
            <v>177.07720994971024</v>
          </cell>
          <cell r="AT21">
            <v>43.435000000000002</v>
          </cell>
          <cell r="AU21">
            <v>42.775000000000006</v>
          </cell>
          <cell r="AV21">
            <v>47.456999999999994</v>
          </cell>
          <cell r="AW21">
            <v>47.606999999999999</v>
          </cell>
          <cell r="AX21">
            <v>181.274</v>
          </cell>
          <cell r="AY21">
            <v>44.057812500000004</v>
          </cell>
          <cell r="AZ21">
            <v>44.057812500000004</v>
          </cell>
          <cell r="BA21">
            <v>44.057812500000004</v>
          </cell>
          <cell r="BB21">
            <v>46.461599999999997</v>
          </cell>
          <cell r="BC21">
            <v>178.63503750000001</v>
          </cell>
          <cell r="BD21">
            <v>43.8699532205829</v>
          </cell>
          <cell r="BE21">
            <v>45.063199426111886</v>
          </cell>
          <cell r="BF21">
            <v>44.179881656804753</v>
          </cell>
          <cell r="BG21">
            <v>42.549100794646613</v>
          </cell>
          <cell r="BH21">
            <v>175.66213509814617</v>
          </cell>
          <cell r="BI21">
            <v>44.102999999999994</v>
          </cell>
          <cell r="BJ21">
            <v>44.102999999999994</v>
          </cell>
          <cell r="BK21">
            <v>44.102999999999994</v>
          </cell>
          <cell r="BL21">
            <v>44.102999999999994</v>
          </cell>
          <cell r="BM21">
            <v>176.41199999999998</v>
          </cell>
          <cell r="BN21">
            <v>44.102999999999994</v>
          </cell>
          <cell r="BO21">
            <v>44.102999999999994</v>
          </cell>
          <cell r="BP21">
            <v>44.102999999999994</v>
          </cell>
          <cell r="BQ21">
            <v>44.102999999999994</v>
          </cell>
          <cell r="BR21">
            <v>176.41199999999998</v>
          </cell>
          <cell r="BS21">
            <v>44.102999999999994</v>
          </cell>
          <cell r="BT21">
            <v>44.102999999999994</v>
          </cell>
          <cell r="BU21">
            <v>44.102999999999994</v>
          </cell>
          <cell r="BV21">
            <v>44.102999999999994</v>
          </cell>
          <cell r="BW21">
            <v>176.41199999999998</v>
          </cell>
          <cell r="BX21">
            <v>44.102999999999994</v>
          </cell>
          <cell r="BY21">
            <v>44.102999999999994</v>
          </cell>
          <cell r="BZ21">
            <v>44.102999999999994</v>
          </cell>
          <cell r="CA21">
            <v>44.102999999999994</v>
          </cell>
          <cell r="CB21">
            <v>176.41199999999998</v>
          </cell>
        </row>
        <row r="22">
          <cell r="B22" t="str">
            <v xml:space="preserve">Net Income (pro forma) </v>
          </cell>
          <cell r="K22">
            <v>71.90301850048705</v>
          </cell>
          <cell r="L22">
            <v>116.95387186629412</v>
          </cell>
          <cell r="M22">
            <v>102.53703225806491</v>
          </cell>
          <cell r="N22">
            <v>119.61879781420804</v>
          </cell>
          <cell r="O22">
            <v>411.09192326293652</v>
          </cell>
          <cell r="P22">
            <v>115.78694158075601</v>
          </cell>
          <cell r="Q22">
            <v>118.99288888888853</v>
          </cell>
          <cell r="R22">
            <v>114.08613861386158</v>
          </cell>
          <cell r="S22">
            <v>132.03542490118733</v>
          </cell>
          <cell r="T22">
            <v>480.90215452174959</v>
          </cell>
          <cell r="U22">
            <v>130.27048054919788</v>
          </cell>
          <cell r="V22">
            <v>154.24496707431874</v>
          </cell>
          <cell r="W22">
            <v>145.036137861122</v>
          </cell>
          <cell r="X22">
            <v>159.52689530685882</v>
          </cell>
          <cell r="Y22">
            <v>589.07848079149369</v>
          </cell>
          <cell r="Z22">
            <v>159.81270258620694</v>
          </cell>
          <cell r="AA22">
            <v>165.92695596280208</v>
          </cell>
          <cell r="AB22">
            <v>185.26787500000222</v>
          </cell>
          <cell r="AC22">
            <v>234.40987499999963</v>
          </cell>
          <cell r="AD22">
            <v>745.41740854901082</v>
          </cell>
          <cell r="AE22">
            <v>177.90181132075566</v>
          </cell>
          <cell r="AF22">
            <v>204.13199999999995</v>
          </cell>
          <cell r="AG22">
            <v>213.56476855303097</v>
          </cell>
          <cell r="AH22">
            <v>255.30266014669999</v>
          </cell>
          <cell r="AI22">
            <v>850.90124002048663</v>
          </cell>
          <cell r="AJ22">
            <v>308.0102499999989</v>
          </cell>
          <cell r="AK22">
            <v>250.12125000000037</v>
          </cell>
          <cell r="AL22">
            <v>248.73642482517596</v>
          </cell>
          <cell r="AM22">
            <v>242.41482142857029</v>
          </cell>
          <cell r="AN22">
            <v>1049.2827462537455</v>
          </cell>
          <cell r="AO22">
            <v>314.19512500000076</v>
          </cell>
          <cell r="AP22">
            <v>306.60598741418761</v>
          </cell>
          <cell r="AQ22">
            <v>342.236632500555</v>
          </cell>
          <cell r="AR22">
            <v>317.03946503496354</v>
          </cell>
          <cell r="AS22">
            <v>1280.0772099497071</v>
          </cell>
          <cell r="AT22">
            <v>334.4350000000004</v>
          </cell>
          <cell r="AU22">
            <v>354.8749999999992</v>
          </cell>
          <cell r="AV22">
            <v>383.05700000000002</v>
          </cell>
          <cell r="AW22">
            <v>389.10700000000043</v>
          </cell>
          <cell r="AX22">
            <v>1461.4740000000002</v>
          </cell>
          <cell r="AY22">
            <v>364.55781249999893</v>
          </cell>
          <cell r="AZ22">
            <v>400.95781250000073</v>
          </cell>
          <cell r="BA22">
            <v>415.55781250000001</v>
          </cell>
          <cell r="BB22">
            <v>424.96160000000071</v>
          </cell>
          <cell r="BC22">
            <v>1606.0350375000003</v>
          </cell>
          <cell r="BD22">
            <v>376.96995322058206</v>
          </cell>
          <cell r="BE22">
            <v>387.86319942611158</v>
          </cell>
          <cell r="BF22">
            <v>421.57988165680507</v>
          </cell>
          <cell r="BG22">
            <v>494.44910079464734</v>
          </cell>
          <cell r="BH22">
            <v>1680.8621350981462</v>
          </cell>
          <cell r="BI22">
            <v>366.45807392397654</v>
          </cell>
          <cell r="BJ22">
            <v>397.04772159492217</v>
          </cell>
          <cell r="BK22">
            <v>435.16421066969008</v>
          </cell>
          <cell r="BL22">
            <v>462.03752476676425</v>
          </cell>
          <cell r="BM22">
            <v>1660.7075309553527</v>
          </cell>
          <cell r="BN22">
            <v>397.71458679176612</v>
          </cell>
          <cell r="BO22">
            <v>403.53286829982545</v>
          </cell>
          <cell r="BP22">
            <v>434.6733486639003</v>
          </cell>
          <cell r="BQ22">
            <v>429.78449514874029</v>
          </cell>
          <cell r="BR22">
            <v>1665.7052989042322</v>
          </cell>
          <cell r="BS22">
            <v>424.22786319144461</v>
          </cell>
          <cell r="BT22">
            <v>432.18919315149554</v>
          </cell>
          <cell r="BU22">
            <v>469.27567099315007</v>
          </cell>
          <cell r="BV22">
            <v>464.89747034637128</v>
          </cell>
          <cell r="BW22">
            <v>1790.5901976824616</v>
          </cell>
          <cell r="BX22">
            <v>449.51834556518099</v>
          </cell>
          <cell r="BY22">
            <v>455.52120266579635</v>
          </cell>
          <cell r="BZ22">
            <v>491.7900221085589</v>
          </cell>
          <cell r="CA22">
            <v>486.28413257644161</v>
          </cell>
          <cell r="CB22">
            <v>1883.1137029159781</v>
          </cell>
          <cell r="CI22" t="str">
            <v>mstag:netIncomeAdjustedForConsensus</v>
          </cell>
          <cell r="CJ22">
            <v>6</v>
          </cell>
          <cell r="CK22" t="str">
            <v>ISO4217:USD</v>
          </cell>
          <cell r="CL22" t="b">
            <v>0</v>
          </cell>
        </row>
        <row r="24">
          <cell r="B24" t="str">
            <v>EPS (GAAP)</v>
          </cell>
          <cell r="K24">
            <v>0.11037037037037072</v>
          </cell>
          <cell r="L24">
            <v>0.19370370370370169</v>
          </cell>
          <cell r="M24">
            <v>0.16703703703703773</v>
          </cell>
          <cell r="N24">
            <v>0.1985185185185192</v>
          </cell>
          <cell r="O24">
            <v>0.66962962962962935</v>
          </cell>
          <cell r="P24">
            <v>0.18888888888888888</v>
          </cell>
          <cell r="Q24">
            <v>0.19481481481481419</v>
          </cell>
          <cell r="R24">
            <v>0.18574074074074107</v>
          </cell>
          <cell r="S24">
            <v>0.21682551319648366</v>
          </cell>
          <cell r="T24">
            <v>0.78626995764092789</v>
          </cell>
          <cell r="U24">
            <v>0.18925831202045837</v>
          </cell>
          <cell r="V24">
            <v>0.23179169701383959</v>
          </cell>
          <cell r="W24">
            <v>0.21535375638219745</v>
          </cell>
          <cell r="X24">
            <v>0.23978300180831758</v>
          </cell>
          <cell r="Y24">
            <v>0.87618676722481292</v>
          </cell>
          <cell r="Z24">
            <v>0.2342020706890397</v>
          </cell>
          <cell r="AA24">
            <v>0.24207188160676729</v>
          </cell>
          <cell r="AB24">
            <v>0.26424957841484353</v>
          </cell>
          <cell r="AC24">
            <v>0.283424174414876</v>
          </cell>
          <cell r="AD24">
            <v>1.0239477051255266</v>
          </cell>
          <cell r="AE24">
            <v>7.2585871678549505E-2</v>
          </cell>
          <cell r="AF24">
            <v>0.28210630571145584</v>
          </cell>
          <cell r="AG24">
            <v>0.31101439571476097</v>
          </cell>
          <cell r="AH24">
            <v>0.38714043993231928</v>
          </cell>
          <cell r="AI24">
            <v>1.0528470130370855</v>
          </cell>
          <cell r="AJ24">
            <v>0.47200274819649418</v>
          </cell>
          <cell r="AK24">
            <v>0.38089330024813961</v>
          </cell>
          <cell r="AL24">
            <v>0.39178832116788515</v>
          </cell>
          <cell r="AM24">
            <v>0.38001098297638464</v>
          </cell>
          <cell r="AN24">
            <v>1.6246953525889036</v>
          </cell>
          <cell r="AO24">
            <v>0.50241725548531191</v>
          </cell>
          <cell r="AP24">
            <v>0.50753477588871709</v>
          </cell>
          <cell r="AQ24">
            <v>0.57596416049863153</v>
          </cell>
          <cell r="AR24">
            <v>0.54304373639421843</v>
          </cell>
          <cell r="AS24">
            <v>2.1268800617045831</v>
          </cell>
          <cell r="AT24">
            <v>0.58060654429369596</v>
          </cell>
          <cell r="AU24">
            <v>0.63954918032786723</v>
          </cell>
          <cell r="AV24">
            <v>0.6923870435320818</v>
          </cell>
          <cell r="AW24">
            <v>0.70094417077175786</v>
          </cell>
          <cell r="AX24">
            <v>2.6126530612244903</v>
          </cell>
          <cell r="AY24">
            <v>0.67022166457548915</v>
          </cell>
          <cell r="AZ24">
            <v>0.77251082251082404</v>
          </cell>
          <cell r="BA24">
            <v>0.84991992679020811</v>
          </cell>
          <cell r="BB24">
            <v>0.87982333798233558</v>
          </cell>
          <cell r="BC24">
            <v>3.1588381742738592</v>
          </cell>
          <cell r="BD24">
            <v>0.80420086914533839</v>
          </cell>
          <cell r="BE24">
            <v>0.84621081214514848</v>
          </cell>
          <cell r="BF24">
            <v>0.95568498354013764</v>
          </cell>
          <cell r="BG24">
            <v>1.1449201925513066</v>
          </cell>
          <cell r="BH24">
            <v>3.7421841009385299</v>
          </cell>
          <cell r="BI24">
            <v>0.81670908012155197</v>
          </cell>
          <cell r="BJ24">
            <v>0.89421008764865006</v>
          </cell>
          <cell r="BK24">
            <v>1.0555903183665627</v>
          </cell>
          <cell r="BL24">
            <v>1.2235970150812645</v>
          </cell>
          <cell r="BM24">
            <v>3.9543540480346944</v>
          </cell>
          <cell r="BN24">
            <v>1.0821755315608694</v>
          </cell>
          <cell r="BO24">
            <v>1.1549645918908966</v>
          </cell>
          <cell r="BP24">
            <v>1.2816777514074307</v>
          </cell>
          <cell r="BQ24">
            <v>1.2742221167620269</v>
          </cell>
          <cell r="BR24">
            <v>4.7834266637713272</v>
          </cell>
          <cell r="BS24">
            <v>1.3082094382127447</v>
          </cell>
          <cell r="BT24">
            <v>1.4077651859951927</v>
          </cell>
          <cell r="BU24">
            <v>1.5787695004178479</v>
          </cell>
          <cell r="BV24">
            <v>1.5862414600586443</v>
          </cell>
          <cell r="BW24">
            <v>5.8653226420202031</v>
          </cell>
          <cell r="BX24">
            <v>1.5846313382576922</v>
          </cell>
          <cell r="BY24">
            <v>1.6834311588109165</v>
          </cell>
          <cell r="BZ24">
            <v>1.8813429237670201</v>
          </cell>
          <cell r="CA24">
            <v>1.8960952303480125</v>
          </cell>
          <cell r="CB24">
            <v>7.0277852516386963</v>
          </cell>
        </row>
        <row r="25">
          <cell r="B25" t="str">
            <v xml:space="preserve">EPS (Non-GAAP continuing) </v>
          </cell>
          <cell r="K25">
            <v>0.1331537379638649</v>
          </cell>
          <cell r="L25">
            <v>0.21658124419684097</v>
          </cell>
          <cell r="M25">
            <v>0.18988339307049057</v>
          </cell>
          <cell r="N25">
            <v>0.22151629224853339</v>
          </cell>
          <cell r="O25">
            <v>0.76113466747972991</v>
          </cell>
          <cell r="P25">
            <v>0.21442026218658519</v>
          </cell>
          <cell r="Q25">
            <v>0.22035720164608988</v>
          </cell>
          <cell r="R25">
            <v>0.21127062706270663</v>
          </cell>
          <cell r="S25">
            <v>0.24200041220892105</v>
          </cell>
          <cell r="T25">
            <v>0.88804850310430283</v>
          </cell>
          <cell r="U25">
            <v>0.23798041751771629</v>
          </cell>
          <cell r="V25">
            <v>0.28085390945797289</v>
          </cell>
          <cell r="W25">
            <v>0.26447144030109776</v>
          </cell>
          <cell r="X25">
            <v>0.28847539838491648</v>
          </cell>
          <cell r="Y25">
            <v>1.0717811656617033</v>
          </cell>
          <cell r="Z25">
            <v>0.28527794106784526</v>
          </cell>
          <cell r="AA25">
            <v>0.29233078922269568</v>
          </cell>
          <cell r="AB25">
            <v>0.3124247470489076</v>
          </cell>
          <cell r="AC25">
            <v>0.37577729240141017</v>
          </cell>
          <cell r="AD25">
            <v>1.2658107697408587</v>
          </cell>
          <cell r="AE25">
            <v>0.28824013499798384</v>
          </cell>
          <cell r="AF25">
            <v>0.33696269395840206</v>
          </cell>
          <cell r="AG25">
            <v>0.35749040601444759</v>
          </cell>
          <cell r="AH25">
            <v>0.43198419652571912</v>
          </cell>
          <cell r="AI25">
            <v>1.4146774314965527</v>
          </cell>
          <cell r="AJ25">
            <v>0.52904543112332336</v>
          </cell>
          <cell r="AK25">
            <v>0.44332018787664013</v>
          </cell>
          <cell r="AL25">
            <v>0.45389858544740136</v>
          </cell>
          <cell r="AM25">
            <v>0.4437393765853383</v>
          </cell>
          <cell r="AN25">
            <v>1.8700035810327031</v>
          </cell>
          <cell r="AO25">
            <v>0.58422299181852133</v>
          </cell>
          <cell r="AP25">
            <v>0.59236087212941957</v>
          </cell>
          <cell r="AQ25">
            <v>0.66660816614833462</v>
          </cell>
          <cell r="AR25">
            <v>0.62742819124275384</v>
          </cell>
          <cell r="AS25">
            <v>2.4683324526604458</v>
          </cell>
          <cell r="AT25">
            <v>0.66726855546688035</v>
          </cell>
          <cell r="AU25">
            <v>0.72720286885245744</v>
          </cell>
          <cell r="AV25">
            <v>0.79029709098411394</v>
          </cell>
          <cell r="AW25">
            <v>0.79865968801313714</v>
          </cell>
          <cell r="AX25">
            <v>2.9826000000000001</v>
          </cell>
          <cell r="AY25">
            <v>0.76235427122542643</v>
          </cell>
          <cell r="AZ25">
            <v>0.86787405303030463</v>
          </cell>
          <cell r="BA25">
            <v>0.95071565431251426</v>
          </cell>
          <cell r="BB25">
            <v>0.98782333798233546</v>
          </cell>
          <cell r="BC25">
            <v>3.5541577593360998</v>
          </cell>
          <cell r="BD25">
            <v>0.91011577310618563</v>
          </cell>
          <cell r="BE25">
            <v>0.95745050463123071</v>
          </cell>
          <cell r="BF25">
            <v>1.067561108272487</v>
          </cell>
          <cell r="BG25">
            <v>1.2527213093353113</v>
          </cell>
          <cell r="BH25">
            <v>4.1789101500357919</v>
          </cell>
          <cell r="BI25">
            <v>0.92844710900424765</v>
          </cell>
          <cell r="BJ25">
            <v>1.0059481165313457</v>
          </cell>
          <cell r="BK25">
            <v>1.1746374100768244</v>
          </cell>
          <cell r="BL25">
            <v>1.3527184347252739</v>
          </cell>
          <cell r="BM25">
            <v>4.4243382875431809</v>
          </cell>
          <cell r="BN25">
            <v>1.2171461865143636</v>
          </cell>
          <cell r="BO25">
            <v>1.2966818165531326</v>
          </cell>
          <cell r="BP25">
            <v>1.4264041344103668</v>
          </cell>
          <cell r="BQ25">
            <v>1.4199304764381451</v>
          </cell>
          <cell r="BR25">
            <v>5.3500402819418413</v>
          </cell>
          <cell r="BS25">
            <v>1.4599910406291037</v>
          </cell>
          <cell r="BT25">
            <v>1.5677468320665577</v>
          </cell>
          <cell r="BU25">
            <v>1.7425346622620581</v>
          </cell>
          <cell r="BV25">
            <v>1.7524936616509834</v>
          </cell>
          <cell r="BW25">
            <v>6.5063381751315079</v>
          </cell>
          <cell r="BX25">
            <v>1.7570150348189337</v>
          </cell>
          <cell r="BY25">
            <v>1.8638907590813212</v>
          </cell>
          <cell r="BZ25">
            <v>2.0666796944781822</v>
          </cell>
          <cell r="CA25">
            <v>2.0852111418677834</v>
          </cell>
          <cell r="CB25">
            <v>7.7542072442422398</v>
          </cell>
          <cell r="CI25" t="str">
            <v>mstag:adjEpsForConsensus</v>
          </cell>
          <cell r="CJ25">
            <v>0</v>
          </cell>
          <cell r="CK25" t="str">
            <v>ISO4217:USD</v>
          </cell>
          <cell r="CL25" t="b">
            <v>0</v>
          </cell>
        </row>
        <row r="26">
          <cell r="B26" t="str">
            <v>EPS (including legacy amortization)</v>
          </cell>
          <cell r="K26">
            <v>0.1331537379638649</v>
          </cell>
          <cell r="L26">
            <v>0.21658124419684097</v>
          </cell>
          <cell r="M26">
            <v>0.18988339307049057</v>
          </cell>
          <cell r="N26">
            <v>0.22151629224853339</v>
          </cell>
          <cell r="O26">
            <v>0.76128133937580833</v>
          </cell>
          <cell r="P26">
            <v>0.21442026218658519</v>
          </cell>
          <cell r="Q26">
            <v>0.22035720164608988</v>
          </cell>
          <cell r="R26">
            <v>0.21127062706270663</v>
          </cell>
          <cell r="S26">
            <v>0.24200041220892105</v>
          </cell>
          <cell r="T26">
            <v>0.88792864571962626</v>
          </cell>
          <cell r="U26">
            <v>0.23798041751771629</v>
          </cell>
          <cell r="V26">
            <v>0.28085390945797289</v>
          </cell>
          <cell r="W26">
            <v>0.26447144030109776</v>
          </cell>
          <cell r="X26">
            <v>0.28847539838491648</v>
          </cell>
          <cell r="Y26">
            <v>1.0720263526687783</v>
          </cell>
          <cell r="Z26">
            <v>0.28265767152125482</v>
          </cell>
          <cell r="AA26">
            <v>0.28974468104792472</v>
          </cell>
          <cell r="AB26">
            <v>0.30994940978077945</v>
          </cell>
          <cell r="AC26">
            <v>0.37342417441487602</v>
          </cell>
          <cell r="AD26">
            <v>1.2595519178216992</v>
          </cell>
          <cell r="AE26">
            <v>0.27846696584697933</v>
          </cell>
          <cell r="AF26">
            <v>0.32700561241333764</v>
          </cell>
          <cell r="AG26">
            <v>0.3473933186358068</v>
          </cell>
          <cell r="AH26">
            <v>0.42177776674568523</v>
          </cell>
          <cell r="AI26">
            <v>1.3706452918111514</v>
          </cell>
          <cell r="AJ26">
            <v>0.51700274819649406</v>
          </cell>
          <cell r="AK26">
            <v>0.4308933002481396</v>
          </cell>
          <cell r="AL26">
            <v>0.44110433362258389</v>
          </cell>
          <cell r="AM26">
            <v>0.43090531105357921</v>
          </cell>
          <cell r="AN26">
            <v>1.8207126872058219</v>
          </cell>
          <cell r="AO26">
            <v>0.55288327445147034</v>
          </cell>
          <cell r="AP26">
            <v>0.559798082330347</v>
          </cell>
          <cell r="AQ26">
            <v>0.63377898811950728</v>
          </cell>
          <cell r="AR26">
            <v>0.59407275882636756</v>
          </cell>
          <cell r="AS26">
            <v>2.3383324526604454</v>
          </cell>
          <cell r="AT26">
            <v>0.63060654429369589</v>
          </cell>
          <cell r="AU26">
            <v>0.68954918032786727</v>
          </cell>
          <cell r="AV26">
            <v>0.75238704353208175</v>
          </cell>
          <cell r="AW26">
            <v>0.76094417077175791</v>
          </cell>
          <cell r="AX26">
            <v>2.8326000000000002</v>
          </cell>
          <cell r="AY26">
            <v>0.72691865328314287</v>
          </cell>
          <cell r="AZ26">
            <v>0.83119588744588901</v>
          </cell>
          <cell r="BA26">
            <v>0.91194806680393503</v>
          </cell>
          <cell r="BB26">
            <v>0.93782333798233553</v>
          </cell>
          <cell r="BC26">
            <v>3.4041577593360999</v>
          </cell>
          <cell r="BD26">
            <v>0.86388206958131841</v>
          </cell>
          <cell r="BE26">
            <v>0.91017822618146527</v>
          </cell>
          <cell r="BF26">
            <v>1.0190678188321223</v>
          </cell>
          <cell r="BG26">
            <v>1.2042034476682224</v>
          </cell>
          <cell r="BH26">
            <v>3.9884694762835387</v>
          </cell>
          <cell r="BI26">
            <v>0.87992924733715883</v>
          </cell>
          <cell r="BJ26">
            <v>0.95743025486425692</v>
          </cell>
          <cell r="BK26">
            <v>1.122945874211883</v>
          </cell>
          <cell r="BL26">
            <v>1.29665251662032</v>
          </cell>
          <cell r="BM26">
            <v>4.2202660433287846</v>
          </cell>
          <cell r="BN26">
            <v>1.1585404671220454</v>
          </cell>
          <cell r="BO26">
            <v>1.2351466635639525</v>
          </cell>
          <cell r="BP26">
            <v>1.3635623722965373</v>
          </cell>
          <cell r="BQ26">
            <v>1.3566623294232558</v>
          </cell>
          <cell r="BR26">
            <v>5.1040105155321793</v>
          </cell>
          <cell r="BS26">
            <v>1.3940858258756113</v>
          </cell>
          <cell r="BT26">
            <v>1.4982810695953737</v>
          </cell>
          <cell r="BU26">
            <v>1.6714260562870311</v>
          </cell>
          <cell r="BV26">
            <v>1.6803051560959579</v>
          </cell>
          <cell r="BW26">
            <v>6.228002291879088</v>
          </cell>
          <cell r="BX26">
            <v>1.6821641677770596</v>
          </cell>
          <cell r="BY26">
            <v>1.7855332472300129</v>
          </cell>
          <cell r="BZ26">
            <v>1.986204462427783</v>
          </cell>
          <cell r="CA26">
            <v>2.0030949659703703</v>
          </cell>
          <cell r="CB26">
            <v>7.4387869517823653</v>
          </cell>
        </row>
        <row r="28">
          <cell r="B28" t="str">
            <v xml:space="preserve">Average basic shares </v>
          </cell>
          <cell r="Y28">
            <v>543.79999999999995</v>
          </cell>
          <cell r="Z28">
            <v>550.4</v>
          </cell>
          <cell r="AA28">
            <v>556</v>
          </cell>
          <cell r="AB28">
            <v>582</v>
          </cell>
          <cell r="AC28">
            <v>612.79999999999995</v>
          </cell>
          <cell r="AD28">
            <v>576.20000000000005</v>
          </cell>
          <cell r="AE28">
            <v>608.4</v>
          </cell>
          <cell r="AF28">
            <v>598</v>
          </cell>
          <cell r="AG28">
            <v>588.20000000000005</v>
          </cell>
          <cell r="AH28">
            <v>583.4</v>
          </cell>
          <cell r="AI28">
            <v>594.4</v>
          </cell>
          <cell r="AJ28">
            <v>573.4</v>
          </cell>
          <cell r="AK28">
            <v>554.4</v>
          </cell>
          <cell r="AL28">
            <v>537.9</v>
          </cell>
          <cell r="AM28">
            <v>535.20000000000005</v>
          </cell>
          <cell r="AN28">
            <v>550.20000000000005</v>
          </cell>
          <cell r="AO28">
            <v>526.9</v>
          </cell>
          <cell r="AP28">
            <v>507.7</v>
          </cell>
          <cell r="AQ28">
            <v>503.3</v>
          </cell>
          <cell r="AR28">
            <v>496.3</v>
          </cell>
          <cell r="AS28">
            <v>508.6</v>
          </cell>
          <cell r="AT28">
            <v>492.2</v>
          </cell>
          <cell r="AU28">
            <v>479.6</v>
          </cell>
          <cell r="AV28">
            <v>475.4</v>
          </cell>
          <cell r="AW28">
            <v>477</v>
          </cell>
          <cell r="AX28">
            <v>481.1</v>
          </cell>
          <cell r="AY28">
            <v>467.7</v>
          </cell>
          <cell r="AZ28">
            <v>453</v>
          </cell>
          <cell r="BA28">
            <v>429.9</v>
          </cell>
          <cell r="BB28">
            <v>421.4</v>
          </cell>
          <cell r="BC28">
            <v>443</v>
          </cell>
          <cell r="BD28">
            <v>405.5</v>
          </cell>
          <cell r="BE28">
            <v>397.6</v>
          </cell>
          <cell r="BF28">
            <v>388</v>
          </cell>
          <cell r="BG28">
            <v>387.8</v>
          </cell>
          <cell r="BH28">
            <v>394.72499999999997</v>
          </cell>
          <cell r="BI28">
            <v>387.8</v>
          </cell>
          <cell r="BJ28">
            <v>387.8</v>
          </cell>
          <cell r="BK28">
            <v>363.99047619047622</v>
          </cell>
          <cell r="BL28">
            <v>335.59116465863451</v>
          </cell>
          <cell r="BM28">
            <v>368.79541021227772</v>
          </cell>
          <cell r="BN28">
            <v>321.0476204300852</v>
          </cell>
          <cell r="BO28">
            <v>305.76387382680878</v>
          </cell>
          <cell r="BP28">
            <v>299.40641575924911</v>
          </cell>
          <cell r="BQ28">
            <v>297.38861721474439</v>
          </cell>
          <cell r="BR28">
            <v>305.90163180772186</v>
          </cell>
          <cell r="BS28">
            <v>285.48919573166336</v>
          </cell>
          <cell r="BT28">
            <v>270.85611796605554</v>
          </cell>
          <cell r="BU28">
            <v>264.59844763522506</v>
          </cell>
          <cell r="BV28">
            <v>260.6402031713377</v>
          </cell>
          <cell r="BW28">
            <v>270.39599112607038</v>
          </cell>
          <cell r="BX28">
            <v>251.36952313419715</v>
          </cell>
          <cell r="BY28">
            <v>240.12026811419184</v>
          </cell>
          <cell r="BZ28">
            <v>233.80146009040027</v>
          </cell>
          <cell r="CA28">
            <v>229.12935909244908</v>
          </cell>
          <cell r="CB28">
            <v>238.6051526078096</v>
          </cell>
          <cell r="CI28" t="str">
            <v>mstag:averageBasicSharesOutstanding</v>
          </cell>
          <cell r="CJ28">
            <v>6</v>
          </cell>
          <cell r="CK28" t="str">
            <v>ms_eqr_gcim_Decimal:ms_eqr_gcim_decimal</v>
          </cell>
          <cell r="CL28" t="b">
            <v>0</v>
          </cell>
        </row>
        <row r="29">
          <cell r="B29" t="str">
            <v xml:space="preserve">Average diluted shares </v>
          </cell>
          <cell r="D29">
            <v>540</v>
          </cell>
          <cell r="E29">
            <v>540</v>
          </cell>
          <cell r="F29">
            <v>270</v>
          </cell>
          <cell r="G29">
            <v>270</v>
          </cell>
          <cell r="H29">
            <v>270</v>
          </cell>
          <cell r="I29">
            <v>270</v>
          </cell>
          <cell r="J29">
            <v>540</v>
          </cell>
          <cell r="K29">
            <v>540</v>
          </cell>
          <cell r="L29">
            <v>540</v>
          </cell>
          <cell r="M29">
            <v>540</v>
          </cell>
          <cell r="N29">
            <v>540</v>
          </cell>
          <cell r="O29">
            <v>540</v>
          </cell>
          <cell r="P29">
            <v>540</v>
          </cell>
          <cell r="Q29">
            <v>540</v>
          </cell>
          <cell r="R29">
            <v>540</v>
          </cell>
          <cell r="S29">
            <v>545.6</v>
          </cell>
          <cell r="T29">
            <v>541.6</v>
          </cell>
          <cell r="U29">
            <v>547.4</v>
          </cell>
          <cell r="V29">
            <v>549.20000000000005</v>
          </cell>
          <cell r="W29">
            <v>548.4</v>
          </cell>
          <cell r="X29">
            <v>553</v>
          </cell>
          <cell r="Y29">
            <v>549.5</v>
          </cell>
          <cell r="Z29">
            <v>560.20000000000005</v>
          </cell>
          <cell r="AA29">
            <v>567.6</v>
          </cell>
          <cell r="AB29">
            <v>593</v>
          </cell>
          <cell r="AC29">
            <v>623.79999999999995</v>
          </cell>
          <cell r="AD29">
            <v>587.15000000000009</v>
          </cell>
          <cell r="AE29">
            <v>617.20000000000005</v>
          </cell>
          <cell r="AF29">
            <v>605.79999999999995</v>
          </cell>
          <cell r="AG29">
            <v>597.4</v>
          </cell>
          <cell r="AH29">
            <v>591</v>
          </cell>
          <cell r="AI29">
            <v>603.20000000000005</v>
          </cell>
          <cell r="AJ29">
            <v>582.20000000000005</v>
          </cell>
          <cell r="AK29">
            <v>564.20000000000005</v>
          </cell>
          <cell r="AL29">
            <v>548</v>
          </cell>
          <cell r="AM29">
            <v>546.29999999999995</v>
          </cell>
          <cell r="AN29">
            <v>560.9</v>
          </cell>
          <cell r="AO29">
            <v>537.79999999999995</v>
          </cell>
          <cell r="AP29">
            <v>517.6</v>
          </cell>
          <cell r="AQ29">
            <v>513.4</v>
          </cell>
          <cell r="AR29">
            <v>505.3</v>
          </cell>
          <cell r="AS29">
            <v>518.6</v>
          </cell>
          <cell r="AT29">
            <v>501.2</v>
          </cell>
          <cell r="AU29">
            <v>488</v>
          </cell>
          <cell r="AV29">
            <v>484.7</v>
          </cell>
          <cell r="AW29">
            <v>487.2</v>
          </cell>
          <cell r="AX29">
            <v>490</v>
          </cell>
          <cell r="AY29">
            <v>478.2</v>
          </cell>
          <cell r="AZ29">
            <v>462</v>
          </cell>
          <cell r="BA29">
            <v>437.1</v>
          </cell>
          <cell r="BB29">
            <v>430.2</v>
          </cell>
          <cell r="BC29">
            <v>451.87500000000006</v>
          </cell>
          <cell r="BD29">
            <v>414.2</v>
          </cell>
          <cell r="BE29">
            <v>405.1</v>
          </cell>
          <cell r="BF29">
            <v>394.9</v>
          </cell>
          <cell r="BG29">
            <v>394.7</v>
          </cell>
          <cell r="BH29">
            <v>402.22499999999997</v>
          </cell>
          <cell r="BI29">
            <v>394.7</v>
          </cell>
          <cell r="BJ29">
            <v>394.7</v>
          </cell>
          <cell r="BK29">
            <v>370.46684103244183</v>
          </cell>
          <cell r="BL29">
            <v>341.56222973378812</v>
          </cell>
          <cell r="BM29">
            <v>375.35726769155747</v>
          </cell>
          <cell r="BN29">
            <v>326.75991692561792</v>
          </cell>
          <cell r="BO29">
            <v>311.20423156122075</v>
          </cell>
          <cell r="BP29">
            <v>304.7336572980289</v>
          </cell>
          <cell r="BQ29">
            <v>302.67995671650232</v>
          </cell>
          <cell r="BR29">
            <v>311.34444062534249</v>
          </cell>
          <cell r="BS29">
            <v>290.5688126748002</v>
          </cell>
          <cell r="BT29">
            <v>275.67537328829837</v>
          </cell>
          <cell r="BU29">
            <v>269.30636225276771</v>
          </cell>
          <cell r="BV29">
            <v>265.27769002508245</v>
          </cell>
          <cell r="BW29">
            <v>275.20705956023716</v>
          </cell>
          <cell r="BX29">
            <v>255.8420597758319</v>
          </cell>
          <cell r="BY29">
            <v>244.3926503988435</v>
          </cell>
          <cell r="BZ29">
            <v>237.96141386715053</v>
          </cell>
          <cell r="CA29">
            <v>233.20618368692533</v>
          </cell>
          <cell r="CB29">
            <v>242.85057693218781</v>
          </cell>
          <cell r="CI29" t="str">
            <v>mstag:averageDilutedSharesOutstanding</v>
          </cell>
          <cell r="CJ29">
            <v>6</v>
          </cell>
          <cell r="CK29" t="str">
            <v>ms_eqr_gcim_Decimal:ms_eqr_gcim_decimal</v>
          </cell>
          <cell r="CL29" t="b">
            <v>0</v>
          </cell>
        </row>
        <row r="30">
          <cell r="B30" t="str">
            <v>Outstanding Shares</v>
          </cell>
          <cell r="AE30" t="str">
            <v>ND</v>
          </cell>
          <cell r="AF30" t="str">
            <v>ND</v>
          </cell>
          <cell r="AG30" t="str">
            <v>ND</v>
          </cell>
          <cell r="AH30">
            <v>576.89690799999994</v>
          </cell>
          <cell r="AI30">
            <v>576.89690799999994</v>
          </cell>
          <cell r="AJ30">
            <v>559.735094</v>
          </cell>
          <cell r="AK30">
            <v>544.50830799999994</v>
          </cell>
          <cell r="AL30">
            <v>534.47945200000004</v>
          </cell>
          <cell r="AM30">
            <v>535.93928600000004</v>
          </cell>
          <cell r="AN30">
            <v>535.93928600000004</v>
          </cell>
          <cell r="AO30">
            <v>516.96357999999998</v>
          </cell>
          <cell r="AP30">
            <v>505.67632600000002</v>
          </cell>
          <cell r="AQ30">
            <v>498.45347699999996</v>
          </cell>
          <cell r="AR30">
            <v>493.32536899999997</v>
          </cell>
          <cell r="AS30">
            <v>493.32536899999997</v>
          </cell>
          <cell r="AT30">
            <v>489.74058700000006</v>
          </cell>
          <cell r="AU30">
            <v>472.72141199999999</v>
          </cell>
          <cell r="AV30">
            <v>477.1</v>
          </cell>
          <cell r="AW30">
            <v>475.2</v>
          </cell>
          <cell r="AX30">
            <v>475.2</v>
          </cell>
          <cell r="AY30">
            <v>457.29555300000004</v>
          </cell>
          <cell r="AZ30">
            <v>441.3</v>
          </cell>
          <cell r="BA30">
            <v>424.15939900000006</v>
          </cell>
          <cell r="BB30">
            <v>411.2</v>
          </cell>
          <cell r="BC30">
            <v>411.2</v>
          </cell>
          <cell r="BD30">
            <v>400.2</v>
          </cell>
          <cell r="BE30">
            <v>391.54067099999997</v>
          </cell>
          <cell r="BF30">
            <v>386.87176499999998</v>
          </cell>
          <cell r="BG30">
            <v>387.8</v>
          </cell>
          <cell r="BH30">
            <v>387.8</v>
          </cell>
          <cell r="BI30">
            <v>387.8</v>
          </cell>
          <cell r="BJ30">
            <v>387.8</v>
          </cell>
          <cell r="BK30">
            <v>340.18095238095236</v>
          </cell>
          <cell r="BL30">
            <v>331.00137693631666</v>
          </cell>
          <cell r="BM30">
            <v>331.00137693631666</v>
          </cell>
          <cell r="BN30">
            <v>311.09386392385375</v>
          </cell>
          <cell r="BO30">
            <v>300.43388372976381</v>
          </cell>
          <cell r="BP30">
            <v>298.37894778873442</v>
          </cell>
          <cell r="BQ30">
            <v>296.39828664075429</v>
          </cell>
          <cell r="BR30">
            <v>296.39828664075429</v>
          </cell>
          <cell r="BS30">
            <v>274.58010482257248</v>
          </cell>
          <cell r="BT30">
            <v>267.13213110953853</v>
          </cell>
          <cell r="BU30">
            <v>262.06476416091158</v>
          </cell>
          <cell r="BV30">
            <v>259.21564218176388</v>
          </cell>
          <cell r="BW30">
            <v>259.21564218176388</v>
          </cell>
          <cell r="BX30">
            <v>243.52340408663042</v>
          </cell>
          <cell r="BY30">
            <v>236.71713214175327</v>
          </cell>
          <cell r="BZ30">
            <v>230.88578803904727</v>
          </cell>
          <cell r="CA30">
            <v>227.37293014585089</v>
          </cell>
          <cell r="CB30">
            <v>227.37293014585089</v>
          </cell>
          <cell r="CI30" t="str">
            <v>mstag:periodEndBasicSharesOutstanding</v>
          </cell>
          <cell r="CJ30">
            <v>6</v>
          </cell>
          <cell r="CK30" t="str">
            <v>ms_eqr_gcim_Decimal:ms_eqr_gcim_decimal</v>
          </cell>
          <cell r="CL30" t="b">
            <v>0</v>
          </cell>
        </row>
        <row r="32">
          <cell r="B32" t="str">
            <v>Share repurchase</v>
          </cell>
        </row>
        <row r="33">
          <cell r="B33" t="str">
            <v>Amount to repurchase</v>
          </cell>
          <cell r="AE33">
            <v>1000</v>
          </cell>
          <cell r="AF33">
            <v>796</v>
          </cell>
          <cell r="AG33">
            <v>247.01439999999991</v>
          </cell>
          <cell r="AH33">
            <v>1267.5350000000001</v>
          </cell>
          <cell r="AJ33">
            <v>3944.5349999999999</v>
          </cell>
          <cell r="AK33">
            <v>3162.5349999999999</v>
          </cell>
          <cell r="AL33">
            <v>2497.5349999999999</v>
          </cell>
          <cell r="AM33">
            <v>1984.5349999999999</v>
          </cell>
          <cell r="AO33">
            <v>1984.5349999999999</v>
          </cell>
          <cell r="AP33">
            <v>984.53499999999985</v>
          </cell>
          <cell r="AQ33">
            <v>421.44799999999998</v>
          </cell>
          <cell r="AR33">
            <v>29.74799999999999</v>
          </cell>
          <cell r="AT33">
            <v>2800.0039999999999</v>
          </cell>
          <cell r="AU33">
            <v>2584.402</v>
          </cell>
          <cell r="AV33">
            <v>1792.902</v>
          </cell>
          <cell r="AW33">
            <v>1792.902</v>
          </cell>
          <cell r="AY33">
            <v>1561.502</v>
          </cell>
          <cell r="AZ33">
            <v>3331.6019999999999</v>
          </cell>
          <cell r="BA33">
            <v>2303.6019999999999</v>
          </cell>
          <cell r="BB33">
            <v>1400.1019999999999</v>
          </cell>
          <cell r="BD33">
            <v>3436.8019999999997</v>
          </cell>
          <cell r="BE33">
            <v>2600.2019999999998</v>
          </cell>
          <cell r="BF33">
            <v>2000.2019999999998</v>
          </cell>
          <cell r="BG33">
            <v>1650.2019999999998</v>
          </cell>
          <cell r="BI33">
            <v>2650.2019999999998</v>
          </cell>
          <cell r="BJ33">
            <v>2650.2019999999998</v>
          </cell>
          <cell r="BK33">
            <v>2650.2019999999998</v>
          </cell>
          <cell r="BL33">
            <v>650.20199999999977</v>
          </cell>
          <cell r="BN33">
            <v>3250.2019999999998</v>
          </cell>
          <cell r="BO33">
            <v>2350.2019999999998</v>
          </cell>
          <cell r="BP33">
            <v>1850.2019999999998</v>
          </cell>
          <cell r="BQ33">
            <v>1750.2019999999998</v>
          </cell>
          <cell r="BS33">
            <v>1650.2019999999998</v>
          </cell>
          <cell r="BT33">
            <v>4450.2019999999993</v>
          </cell>
          <cell r="BU33">
            <v>4025.2019999999993</v>
          </cell>
          <cell r="BV33">
            <v>3725.2019999999993</v>
          </cell>
          <cell r="BX33">
            <v>3550.2019999999993</v>
          </cell>
          <cell r="BY33">
            <v>2550.2019999999993</v>
          </cell>
          <cell r="BZ33">
            <v>2100.2019999999993</v>
          </cell>
          <cell r="CA33">
            <v>1700.2019999999993</v>
          </cell>
        </row>
        <row r="34">
          <cell r="B34" t="str">
            <v>Amount repurchased ($)</v>
          </cell>
          <cell r="AE34">
            <v>204</v>
          </cell>
          <cell r="AF34">
            <v>548.98560000000009</v>
          </cell>
          <cell r="AG34">
            <v>71.8</v>
          </cell>
          <cell r="AH34">
            <v>323</v>
          </cell>
          <cell r="AI34">
            <v>1147.7856000000002</v>
          </cell>
          <cell r="AJ34">
            <v>782</v>
          </cell>
          <cell r="AK34">
            <v>665</v>
          </cell>
          <cell r="AL34">
            <v>513</v>
          </cell>
          <cell r="AM34">
            <v>0</v>
          </cell>
          <cell r="AN34">
            <v>1960</v>
          </cell>
          <cell r="AO34">
            <v>1000</v>
          </cell>
          <cell r="AP34">
            <v>562.4</v>
          </cell>
          <cell r="AQ34">
            <v>391.7</v>
          </cell>
          <cell r="AR34">
            <v>25.899999999999864</v>
          </cell>
          <cell r="AS34">
            <v>1979.9999999999998</v>
          </cell>
          <cell r="AT34">
            <v>215.6</v>
          </cell>
          <cell r="AU34">
            <v>791.5</v>
          </cell>
          <cell r="AV34">
            <v>0</v>
          </cell>
          <cell r="AW34">
            <v>231.4</v>
          </cell>
          <cell r="AX34">
            <v>1238.5</v>
          </cell>
          <cell r="AY34">
            <v>1229.9000000000001</v>
          </cell>
          <cell r="AZ34">
            <v>1028</v>
          </cell>
          <cell r="BA34">
            <v>903.5</v>
          </cell>
          <cell r="BB34">
            <v>963.3</v>
          </cell>
          <cell r="BC34">
            <v>4124.7</v>
          </cell>
          <cell r="BD34">
            <v>836.6</v>
          </cell>
          <cell r="BE34">
            <v>600</v>
          </cell>
          <cell r="BF34">
            <v>350</v>
          </cell>
          <cell r="BG34">
            <v>350</v>
          </cell>
          <cell r="BH34">
            <v>1786.6</v>
          </cell>
          <cell r="BI34">
            <v>1000</v>
          </cell>
          <cell r="BJ34">
            <v>500</v>
          </cell>
          <cell r="BK34">
            <v>2000</v>
          </cell>
          <cell r="BL34">
            <v>400</v>
          </cell>
          <cell r="BM34">
            <v>2400</v>
          </cell>
          <cell r="BN34">
            <v>900</v>
          </cell>
          <cell r="BO34">
            <v>500</v>
          </cell>
          <cell r="BP34">
            <v>100</v>
          </cell>
          <cell r="BQ34">
            <v>100</v>
          </cell>
          <cell r="BR34">
            <v>1600</v>
          </cell>
          <cell r="BS34">
            <v>1200</v>
          </cell>
          <cell r="BT34">
            <v>425</v>
          </cell>
          <cell r="BU34">
            <v>300</v>
          </cell>
          <cell r="BV34">
            <v>175</v>
          </cell>
          <cell r="BW34">
            <v>2100</v>
          </cell>
          <cell r="BX34">
            <v>1000</v>
          </cell>
          <cell r="BY34">
            <v>450</v>
          </cell>
          <cell r="BZ34">
            <v>400</v>
          </cell>
          <cell r="CA34">
            <v>250</v>
          </cell>
          <cell r="CB34">
            <v>2100</v>
          </cell>
        </row>
        <row r="35">
          <cell r="B35" t="str">
            <v>Average repurchase price</v>
          </cell>
          <cell r="AE35">
            <v>29.142857142857142</v>
          </cell>
          <cell r="AF35">
            <v>26.475000000000001</v>
          </cell>
          <cell r="AG35">
            <v>29.317035565892279</v>
          </cell>
          <cell r="AH35">
            <v>26.048387096774192</v>
          </cell>
          <cell r="AJ35">
            <v>33.774999999999999</v>
          </cell>
          <cell r="AK35">
            <v>38.200000000000003</v>
          </cell>
          <cell r="AL35">
            <v>40.24</v>
          </cell>
          <cell r="AM35">
            <v>48</v>
          </cell>
          <cell r="AO35">
            <v>47.55</v>
          </cell>
          <cell r="AP35">
            <v>45.22</v>
          </cell>
          <cell r="AQ35">
            <v>47.23</v>
          </cell>
          <cell r="AR35">
            <v>39.6</v>
          </cell>
          <cell r="AT35">
            <v>40.590000000000003</v>
          </cell>
          <cell r="AU35">
            <v>43.32</v>
          </cell>
          <cell r="AV35">
            <v>60</v>
          </cell>
          <cell r="AW35">
            <v>62.36</v>
          </cell>
          <cell r="AY35">
            <v>63.17</v>
          </cell>
          <cell r="AZ35">
            <v>58.45</v>
          </cell>
          <cell r="BA35">
            <v>52.81</v>
          </cell>
          <cell r="BB35">
            <v>61.05</v>
          </cell>
          <cell r="BD35">
            <v>62.2</v>
          </cell>
          <cell r="BE35">
            <v>59</v>
          </cell>
          <cell r="BF35">
            <v>55.89</v>
          </cell>
          <cell r="BG35">
            <v>1E-4</v>
          </cell>
          <cell r="BI35">
            <v>1E-4</v>
          </cell>
          <cell r="BJ35">
            <v>1E-4</v>
          </cell>
          <cell r="BK35">
            <v>42</v>
          </cell>
          <cell r="BL35">
            <v>43.575000000000003</v>
          </cell>
          <cell r="BN35">
            <v>45.209062500000009</v>
          </cell>
          <cell r="BO35">
            <v>46.904402343750014</v>
          </cell>
          <cell r="BP35">
            <v>48.663317431640642</v>
          </cell>
          <cell r="BQ35">
            <v>50.488191835327171</v>
          </cell>
          <cell r="BS35">
            <v>55</v>
          </cell>
          <cell r="BT35">
            <v>57.062500000000007</v>
          </cell>
          <cell r="BU35">
            <v>59.202343750000011</v>
          </cell>
          <cell r="BV35">
            <v>61.422431640625014</v>
          </cell>
          <cell r="BX35">
            <v>63.725772827148461</v>
          </cell>
          <cell r="BY35">
            <v>66.115489308166531</v>
          </cell>
          <cell r="BZ35">
            <v>68.594820157222784</v>
          </cell>
          <cell r="CA35">
            <v>71.167125913118639</v>
          </cell>
        </row>
        <row r="36">
          <cell r="B36" t="str">
            <v>Number of shares repurchased</v>
          </cell>
          <cell r="AE36">
            <v>7</v>
          </cell>
          <cell r="AF36">
            <v>20.736000000000001</v>
          </cell>
          <cell r="AG36">
            <v>2.4490880000000002</v>
          </cell>
          <cell r="AH36">
            <v>12.4</v>
          </cell>
          <cell r="AJ36">
            <v>23.153219837157661</v>
          </cell>
          <cell r="AK36">
            <v>17.408376963350783</v>
          </cell>
          <cell r="AL36">
            <v>12.748508946322067</v>
          </cell>
          <cell r="AM36">
            <v>0</v>
          </cell>
          <cell r="AO36">
            <v>21.030494216614091</v>
          </cell>
          <cell r="AP36">
            <v>12.436974789915967</v>
          </cell>
          <cell r="AQ36">
            <v>8.2934575481685364</v>
          </cell>
          <cell r="AR36">
            <v>0.65404040404040054</v>
          </cell>
          <cell r="AT36">
            <v>5.3116531165311649</v>
          </cell>
          <cell r="AU36">
            <v>18.27100646352724</v>
          </cell>
          <cell r="AV36">
            <v>0</v>
          </cell>
          <cell r="AW36">
            <v>3.7107119948685057</v>
          </cell>
          <cell r="AY36">
            <v>19.469684977046068</v>
          </cell>
          <cell r="AZ36">
            <v>17.587681779298546</v>
          </cell>
          <cell r="BA36">
            <v>17.108502177617876</v>
          </cell>
          <cell r="BB36">
            <v>15.77886977886978</v>
          </cell>
          <cell r="BD36">
            <v>13.45016077170418</v>
          </cell>
          <cell r="BE36">
            <v>10.169491525423728</v>
          </cell>
          <cell r="BF36">
            <v>6.2623009482912861</v>
          </cell>
          <cell r="BG36">
            <v>0</v>
          </cell>
          <cell r="BH36">
            <v>29.881953245419194</v>
          </cell>
          <cell r="BI36">
            <v>0</v>
          </cell>
          <cell r="BJ36">
            <v>0</v>
          </cell>
          <cell r="BK36">
            <v>47.61904761904762</v>
          </cell>
          <cell r="BL36">
            <v>9.1795754446356845</v>
          </cell>
          <cell r="BN36">
            <v>19.907513012462928</v>
          </cell>
          <cell r="BO36">
            <v>10.65998019408992</v>
          </cell>
          <cell r="BP36">
            <v>2.0549359410293824</v>
          </cell>
          <cell r="BQ36">
            <v>1.9806611479801273</v>
          </cell>
          <cell r="BS36">
            <v>21.818181818181817</v>
          </cell>
          <cell r="BT36">
            <v>7.4479737130339529</v>
          </cell>
          <cell r="BU36">
            <v>5.067366948626927</v>
          </cell>
          <cell r="BV36">
            <v>2.8491219791476698</v>
          </cell>
          <cell r="BX36">
            <v>15.692238095133463</v>
          </cell>
          <cell r="BY36">
            <v>6.8062719448771647</v>
          </cell>
          <cell r="BZ36">
            <v>5.8313441027060042</v>
          </cell>
          <cell r="CA36">
            <v>3.5128578931963879</v>
          </cell>
        </row>
        <row r="37">
          <cell r="B37" t="str">
            <v>Remaining to repurchase ($)</v>
          </cell>
          <cell r="AE37">
            <v>796</v>
          </cell>
          <cell r="AF37">
            <v>247.01439999999991</v>
          </cell>
          <cell r="AG37">
            <v>175.2143999999999</v>
          </cell>
          <cell r="AH37">
            <v>944.53500000000008</v>
          </cell>
          <cell r="AJ37">
            <v>3162.5349999999999</v>
          </cell>
          <cell r="AK37">
            <v>2497.5349999999999</v>
          </cell>
          <cell r="AL37">
            <v>1984.5349999999999</v>
          </cell>
          <cell r="AM37">
            <v>1984.5349999999999</v>
          </cell>
          <cell r="AO37">
            <v>984.53499999999985</v>
          </cell>
          <cell r="AP37">
            <v>422.13499999999988</v>
          </cell>
          <cell r="AQ37">
            <v>29.74799999999999</v>
          </cell>
          <cell r="AR37">
            <v>3.8480000000001269</v>
          </cell>
          <cell r="AT37">
            <v>2584.404</v>
          </cell>
          <cell r="AU37">
            <v>1792.902</v>
          </cell>
          <cell r="AV37">
            <v>1792.902</v>
          </cell>
          <cell r="AW37">
            <v>1561.502</v>
          </cell>
          <cell r="AY37">
            <v>331.60199999999986</v>
          </cell>
          <cell r="AZ37">
            <v>2303.6019999999999</v>
          </cell>
          <cell r="BA37">
            <v>1400.1019999999999</v>
          </cell>
          <cell r="BB37">
            <v>436.80199999999991</v>
          </cell>
          <cell r="BD37">
            <v>2600.2019999999998</v>
          </cell>
          <cell r="BE37">
            <v>2000.2019999999998</v>
          </cell>
          <cell r="BF37">
            <v>1650.2019999999998</v>
          </cell>
          <cell r="BG37">
            <v>1650.2019999999998</v>
          </cell>
          <cell r="BI37">
            <v>2650.2019999999998</v>
          </cell>
          <cell r="BJ37">
            <v>2650.2019999999998</v>
          </cell>
          <cell r="BK37">
            <v>650.20199999999977</v>
          </cell>
          <cell r="BL37">
            <v>250.20199999999977</v>
          </cell>
          <cell r="BN37">
            <v>2350.2019999999998</v>
          </cell>
          <cell r="BO37">
            <v>1850.2019999999998</v>
          </cell>
          <cell r="BP37">
            <v>1750.2019999999998</v>
          </cell>
          <cell r="BQ37">
            <v>1650.2019999999998</v>
          </cell>
          <cell r="BS37">
            <v>450.20199999999977</v>
          </cell>
          <cell r="BT37">
            <v>4025.2019999999993</v>
          </cell>
          <cell r="BU37">
            <v>3725.2019999999993</v>
          </cell>
          <cell r="BV37">
            <v>3550.2019999999993</v>
          </cell>
          <cell r="BX37">
            <v>2550.2019999999993</v>
          </cell>
          <cell r="BY37">
            <v>2100.2019999999993</v>
          </cell>
          <cell r="BZ37">
            <v>1700.2019999999993</v>
          </cell>
          <cell r="CA37">
            <v>1450.2019999999993</v>
          </cell>
        </row>
        <row r="39">
          <cell r="B39" t="str">
            <v>Share Price Growth Rate</v>
          </cell>
          <cell r="BE39">
            <v>0</v>
          </cell>
          <cell r="BF39">
            <v>0.15</v>
          </cell>
          <cell r="BG39">
            <v>0.15</v>
          </cell>
          <cell r="BI39">
            <v>0.1</v>
          </cell>
          <cell r="BJ39">
            <v>0.1</v>
          </cell>
          <cell r="BK39">
            <v>0.15</v>
          </cell>
          <cell r="BL39">
            <v>0.15</v>
          </cell>
          <cell r="BN39">
            <v>0.15</v>
          </cell>
          <cell r="BO39">
            <v>0.15</v>
          </cell>
          <cell r="BP39">
            <v>0.15</v>
          </cell>
          <cell r="BQ39">
            <v>0.15</v>
          </cell>
          <cell r="BS39">
            <v>0.15</v>
          </cell>
          <cell r="BT39">
            <v>0.15</v>
          </cell>
          <cell r="BU39">
            <v>0.15</v>
          </cell>
          <cell r="BV39">
            <v>0.15</v>
          </cell>
          <cell r="BX39">
            <v>0.15</v>
          </cell>
          <cell r="BY39">
            <v>0.15</v>
          </cell>
          <cell r="BZ39">
            <v>0.15</v>
          </cell>
          <cell r="CA39">
            <v>0.15</v>
          </cell>
        </row>
        <row r="41">
          <cell r="B41" t="str">
            <v>company guidance - continuing</v>
          </cell>
          <cell r="AS41" t="str">
            <v>2.30-2.33</v>
          </cell>
          <cell r="AX41" t="str">
            <v>2.80-2.82</v>
          </cell>
          <cell r="BC41" t="str">
            <v>$3.38-$3.40</v>
          </cell>
        </row>
        <row r="42">
          <cell r="B42" t="str">
            <v>company guidance - no Amortization</v>
          </cell>
          <cell r="BC42" t="str">
            <v>$3.53-$3.55</v>
          </cell>
          <cell r="BH42" t="str">
            <v>$4.08-$4.12</v>
          </cell>
        </row>
        <row r="43">
          <cell r="B43" t="str">
            <v>company guidance - GAAP</v>
          </cell>
          <cell r="AX43" t="str">
            <v>2.58-2.60</v>
          </cell>
          <cell r="BC43" t="str">
            <v>$3.14-$3.16</v>
          </cell>
          <cell r="BH43" t="str">
            <v>$3.65-$3.69</v>
          </cell>
        </row>
        <row r="45">
          <cell r="B45" t="str">
            <v>EBIT and EBITDA</v>
          </cell>
        </row>
        <row r="46">
          <cell r="B46" t="str">
            <v xml:space="preserve">EBIT </v>
          </cell>
          <cell r="D46">
            <v>328.00000000000216</v>
          </cell>
          <cell r="E46">
            <v>441.69999999999851</v>
          </cell>
          <cell r="F46">
            <v>0</v>
          </cell>
          <cell r="G46">
            <v>0</v>
          </cell>
          <cell r="H46">
            <v>0</v>
          </cell>
          <cell r="I46">
            <v>0</v>
          </cell>
          <cell r="J46">
            <v>513.70000000000505</v>
          </cell>
          <cell r="K46">
            <v>101.90000000000019</v>
          </cell>
          <cell r="L46">
            <v>188.89999999999893</v>
          </cell>
          <cell r="M46">
            <v>155.00000000000037</v>
          </cell>
          <cell r="N46">
            <v>182.50000000000037</v>
          </cell>
          <cell r="O46">
            <v>628.19999999999925</v>
          </cell>
          <cell r="P46">
            <v>162.9</v>
          </cell>
          <cell r="Q46">
            <v>179.59999999999965</v>
          </cell>
          <cell r="R46">
            <v>180.40000000000018</v>
          </cell>
          <cell r="S46">
            <v>218.50000000000148</v>
          </cell>
          <cell r="T46">
            <v>741.39999999999861</v>
          </cell>
          <cell r="U46">
            <v>196.7999999999989</v>
          </cell>
          <cell r="V46">
            <v>225.90000000000072</v>
          </cell>
          <cell r="W46">
            <v>209.89999999999708</v>
          </cell>
          <cell r="X46">
            <v>233.59999999999962</v>
          </cell>
          <cell r="Y46">
            <v>866.19999999999254</v>
          </cell>
          <cell r="Z46">
            <v>227.60000000000002</v>
          </cell>
          <cell r="AA46">
            <v>234.90000000000111</v>
          </cell>
          <cell r="AB46">
            <v>228.60000000000221</v>
          </cell>
          <cell r="AC46">
            <v>301.59999999999962</v>
          </cell>
          <cell r="AD46">
            <v>992.70000000000289</v>
          </cell>
          <cell r="AE46">
            <v>250.70000000000076</v>
          </cell>
          <cell r="AF46">
            <v>289.79999999999995</v>
          </cell>
          <cell r="AG46">
            <v>315.99999999999818</v>
          </cell>
          <cell r="AH46">
            <v>384.30000000000069</v>
          </cell>
          <cell r="AI46">
            <v>1240.7999999999995</v>
          </cell>
          <cell r="AJ46">
            <v>470.69999999999891</v>
          </cell>
          <cell r="AK46">
            <v>376.00000000000034</v>
          </cell>
          <cell r="AL46">
            <v>383.00000000000108</v>
          </cell>
          <cell r="AM46">
            <v>373.3999999999989</v>
          </cell>
          <cell r="AN46">
            <v>1603.0999999999992</v>
          </cell>
          <cell r="AO46">
            <v>502.30000000000075</v>
          </cell>
          <cell r="AP46">
            <v>494.5</v>
          </cell>
          <cell r="AQ46">
            <v>506.49999999999739</v>
          </cell>
          <cell r="AR46">
            <v>515.19999999999857</v>
          </cell>
          <cell r="AS46">
            <v>2018.4999999999968</v>
          </cell>
          <cell r="AT46">
            <v>527.90000000000043</v>
          </cell>
          <cell r="AU46">
            <v>569.19999999999925</v>
          </cell>
          <cell r="AV46">
            <v>592.6</v>
          </cell>
          <cell r="AW46">
            <v>576.10000000000036</v>
          </cell>
          <cell r="AX46">
            <v>2265.8000000000002</v>
          </cell>
          <cell r="AY46">
            <v>571.59999999999889</v>
          </cell>
          <cell r="AZ46">
            <v>614.6000000000007</v>
          </cell>
          <cell r="BA46">
            <v>653.29999999999995</v>
          </cell>
          <cell r="BB46">
            <v>657.70000000000073</v>
          </cell>
          <cell r="BC46">
            <v>2497.2000000000003</v>
          </cell>
          <cell r="BD46">
            <v>609.9999999999992</v>
          </cell>
          <cell r="BE46">
            <v>611.79999999999973</v>
          </cell>
          <cell r="BF46">
            <v>674.90000000000032</v>
          </cell>
          <cell r="BG46">
            <v>769.0000000000008</v>
          </cell>
          <cell r="BH46">
            <v>2665.7</v>
          </cell>
          <cell r="BI46">
            <v>580.06184680398792</v>
          </cell>
          <cell r="BJ46">
            <v>628.39848515403378</v>
          </cell>
          <cell r="BK46">
            <v>692.1687645281379</v>
          </cell>
          <cell r="BL46">
            <v>738.0274330125086</v>
          </cell>
          <cell r="BM46">
            <v>2638.6565294986681</v>
          </cell>
          <cell r="BN46">
            <v>633.62074857335892</v>
          </cell>
          <cell r="BO46">
            <v>643.19445494309059</v>
          </cell>
          <cell r="BP46">
            <v>695.06371364345955</v>
          </cell>
          <cell r="BQ46">
            <v>686.61479051643005</v>
          </cell>
          <cell r="BR46">
            <v>2658.493707676339</v>
          </cell>
          <cell r="BS46">
            <v>679.06046353792772</v>
          </cell>
          <cell r="BT46">
            <v>694.63175693508015</v>
          </cell>
          <cell r="BU46">
            <v>755.88343031433783</v>
          </cell>
          <cell r="BV46">
            <v>748.08925636638651</v>
          </cell>
          <cell r="BW46">
            <v>2877.6649071537322</v>
          </cell>
          <cell r="BX46">
            <v>724.16177160460256</v>
          </cell>
          <cell r="BY46">
            <v>736.37401551415837</v>
          </cell>
          <cell r="BZ46">
            <v>795.36391367038004</v>
          </cell>
          <cell r="CA46">
            <v>785.77184391942149</v>
          </cell>
          <cell r="CB46">
            <v>3041.6715447085626</v>
          </cell>
        </row>
        <row r="47">
          <cell r="B47" t="str">
            <v>Depreciation and amortization</v>
          </cell>
          <cell r="D47">
            <v>263.5</v>
          </cell>
          <cell r="E47">
            <v>289.20000000000005</v>
          </cell>
          <cell r="F47">
            <v>0</v>
          </cell>
          <cell r="G47">
            <v>0</v>
          </cell>
          <cell r="H47">
            <v>0</v>
          </cell>
          <cell r="I47">
            <v>0</v>
          </cell>
          <cell r="J47">
            <v>322.89999999999998</v>
          </cell>
          <cell r="K47">
            <v>0</v>
          </cell>
          <cell r="L47">
            <v>0</v>
          </cell>
          <cell r="M47">
            <v>63.2</v>
          </cell>
          <cell r="N47">
            <v>0</v>
          </cell>
          <cell r="O47">
            <v>257.39999999999998</v>
          </cell>
          <cell r="P47">
            <v>69.7</v>
          </cell>
          <cell r="Q47">
            <v>69.40000000000002</v>
          </cell>
          <cell r="R47">
            <v>70.699999999999974</v>
          </cell>
          <cell r="S47">
            <v>73.499999999999986</v>
          </cell>
          <cell r="T47">
            <v>283.3</v>
          </cell>
          <cell r="U47">
            <v>107.2</v>
          </cell>
          <cell r="V47">
            <v>94.600000000000009</v>
          </cell>
          <cell r="W47">
            <v>90.599999999999952</v>
          </cell>
          <cell r="X47">
            <v>84.90000000000002</v>
          </cell>
          <cell r="Y47">
            <v>377.3</v>
          </cell>
          <cell r="Z47">
            <v>86.4</v>
          </cell>
          <cell r="AA47">
            <v>84.4</v>
          </cell>
          <cell r="AB47">
            <v>88.699999999999989</v>
          </cell>
          <cell r="AC47">
            <v>98.1</v>
          </cell>
          <cell r="AD47">
            <v>357.6</v>
          </cell>
          <cell r="AE47">
            <v>104.2</v>
          </cell>
          <cell r="AF47">
            <v>95.999999999999986</v>
          </cell>
          <cell r="AG47">
            <v>96.90000000000002</v>
          </cell>
          <cell r="AH47">
            <v>94.999999999999986</v>
          </cell>
          <cell r="AI47">
            <v>392.1</v>
          </cell>
          <cell r="AJ47">
            <v>96.1</v>
          </cell>
          <cell r="AK47">
            <v>98.6</v>
          </cell>
          <cell r="AL47">
            <v>93.700000000000017</v>
          </cell>
          <cell r="AM47">
            <v>108.60000000000002</v>
          </cell>
          <cell r="AN47">
            <v>397</v>
          </cell>
          <cell r="AO47">
            <v>109.6</v>
          </cell>
          <cell r="AP47">
            <v>109.5</v>
          </cell>
          <cell r="AQ47">
            <v>109.79999999999998</v>
          </cell>
          <cell r="AR47">
            <v>113.90000000000003</v>
          </cell>
          <cell r="AS47">
            <v>442.80000000000007</v>
          </cell>
          <cell r="AT47">
            <v>119.10000000000001</v>
          </cell>
          <cell r="AU47">
            <v>120.10000000000001</v>
          </cell>
          <cell r="AV47">
            <v>126.69999999999996</v>
          </cell>
          <cell r="AW47">
            <v>118.70000000000005</v>
          </cell>
          <cell r="AX47">
            <v>484.6</v>
          </cell>
          <cell r="AY47">
            <v>114.9</v>
          </cell>
          <cell r="AZ47">
            <v>115.49999999999997</v>
          </cell>
          <cell r="BA47">
            <v>117.70000000000005</v>
          </cell>
          <cell r="BB47">
            <v>128.79999999999995</v>
          </cell>
          <cell r="BC47">
            <v>476.9</v>
          </cell>
          <cell r="BD47">
            <v>124.2</v>
          </cell>
          <cell r="BE47">
            <v>124.2</v>
          </cell>
          <cell r="BF47">
            <v>126</v>
          </cell>
          <cell r="BG47">
            <v>130.5</v>
          </cell>
          <cell r="BH47">
            <v>505</v>
          </cell>
          <cell r="BI47">
            <v>130.5</v>
          </cell>
          <cell r="BJ47">
            <v>130.5</v>
          </cell>
          <cell r="BK47">
            <v>130.5</v>
          </cell>
          <cell r="BL47">
            <v>130.5</v>
          </cell>
          <cell r="BM47">
            <v>522</v>
          </cell>
          <cell r="BN47">
            <v>130.5</v>
          </cell>
          <cell r="BO47">
            <v>130.5</v>
          </cell>
          <cell r="BP47">
            <v>130.5</v>
          </cell>
          <cell r="BQ47">
            <v>130.5</v>
          </cell>
          <cell r="BR47">
            <v>522</v>
          </cell>
          <cell r="BS47">
            <v>130.5</v>
          </cell>
          <cell r="BT47">
            <v>130.5</v>
          </cell>
          <cell r="BU47">
            <v>130.5</v>
          </cell>
          <cell r="BV47">
            <v>130.5</v>
          </cell>
          <cell r="BW47">
            <v>522</v>
          </cell>
          <cell r="BX47">
            <v>130.5</v>
          </cell>
          <cell r="BY47">
            <v>130.5</v>
          </cell>
          <cell r="BZ47">
            <v>130.5</v>
          </cell>
          <cell r="CA47">
            <v>130.5</v>
          </cell>
          <cell r="CB47">
            <v>522</v>
          </cell>
        </row>
        <row r="48">
          <cell r="B48" t="str">
            <v>EBITDA</v>
          </cell>
          <cell r="D48">
            <v>591.50000000000216</v>
          </cell>
          <cell r="E48">
            <v>730.8999999999985</v>
          </cell>
          <cell r="F48">
            <v>0</v>
          </cell>
          <cell r="G48">
            <v>0</v>
          </cell>
          <cell r="H48">
            <v>0</v>
          </cell>
          <cell r="I48">
            <v>0</v>
          </cell>
          <cell r="J48">
            <v>836.60000000000502</v>
          </cell>
          <cell r="K48">
            <v>101.90000000000019</v>
          </cell>
          <cell r="L48">
            <v>188.89999999999893</v>
          </cell>
          <cell r="M48">
            <v>218.20000000000039</v>
          </cell>
          <cell r="N48">
            <v>182.50000000000037</v>
          </cell>
          <cell r="O48">
            <v>885.59999999999923</v>
          </cell>
          <cell r="P48">
            <v>232.60000000000002</v>
          </cell>
          <cell r="Q48">
            <v>248.99999999999966</v>
          </cell>
          <cell r="R48">
            <v>251.10000000000014</v>
          </cell>
          <cell r="S48">
            <v>292.00000000000148</v>
          </cell>
          <cell r="T48">
            <v>1024.6999999999987</v>
          </cell>
          <cell r="U48">
            <v>303.99999999999892</v>
          </cell>
          <cell r="V48">
            <v>320.50000000000074</v>
          </cell>
          <cell r="W48">
            <v>300.49999999999704</v>
          </cell>
          <cell r="X48">
            <v>318.49999999999966</v>
          </cell>
          <cell r="Y48">
            <v>1243.4999999999925</v>
          </cell>
          <cell r="Z48">
            <v>314</v>
          </cell>
          <cell r="AA48">
            <v>319.30000000000109</v>
          </cell>
          <cell r="AB48">
            <v>317.30000000000223</v>
          </cell>
          <cell r="AC48">
            <v>399.69999999999959</v>
          </cell>
          <cell r="AD48">
            <v>1350.3000000000029</v>
          </cell>
          <cell r="AE48">
            <v>354.90000000000077</v>
          </cell>
          <cell r="AF48">
            <v>385.79999999999995</v>
          </cell>
          <cell r="AG48">
            <v>412.89999999999822</v>
          </cell>
          <cell r="AH48">
            <v>479.30000000000069</v>
          </cell>
          <cell r="AI48">
            <v>1632.8999999999996</v>
          </cell>
          <cell r="AJ48">
            <v>566.79999999999893</v>
          </cell>
          <cell r="AK48">
            <v>474.60000000000036</v>
          </cell>
          <cell r="AL48">
            <v>476.70000000000107</v>
          </cell>
          <cell r="AM48">
            <v>481.99999999999892</v>
          </cell>
          <cell r="AN48">
            <v>2000.0999999999992</v>
          </cell>
          <cell r="AO48">
            <v>611.90000000000077</v>
          </cell>
          <cell r="AP48">
            <v>604</v>
          </cell>
          <cell r="AQ48">
            <v>616.29999999999734</v>
          </cell>
          <cell r="AR48">
            <v>629.09999999999854</v>
          </cell>
          <cell r="AS48">
            <v>2461.299999999997</v>
          </cell>
          <cell r="AT48">
            <v>647.00000000000045</v>
          </cell>
          <cell r="AU48">
            <v>689.3999999999993</v>
          </cell>
          <cell r="AV48">
            <v>719.3</v>
          </cell>
          <cell r="AW48">
            <v>694.80000000000041</v>
          </cell>
          <cell r="AX48">
            <v>2750.4</v>
          </cell>
          <cell r="AY48">
            <v>686.49999999999886</v>
          </cell>
          <cell r="AZ48">
            <v>730.1000000000007</v>
          </cell>
          <cell r="BA48">
            <v>771</v>
          </cell>
          <cell r="BB48">
            <v>786.50000000000068</v>
          </cell>
          <cell r="BC48">
            <v>2974.1000000000004</v>
          </cell>
          <cell r="BD48">
            <v>734.19999999999925</v>
          </cell>
          <cell r="BE48">
            <v>735.99999999999977</v>
          </cell>
          <cell r="BF48">
            <v>800.90000000000032</v>
          </cell>
          <cell r="BG48">
            <v>899.5000000000008</v>
          </cell>
          <cell r="BH48">
            <v>3170.7</v>
          </cell>
          <cell r="BI48">
            <v>710.56184680398792</v>
          </cell>
          <cell r="BJ48">
            <v>758.89848515403378</v>
          </cell>
          <cell r="BK48">
            <v>822.6687645281379</v>
          </cell>
          <cell r="BL48">
            <v>868.5274330125086</v>
          </cell>
          <cell r="BM48">
            <v>3160.6565294986681</v>
          </cell>
          <cell r="BN48">
            <v>764.12074857335892</v>
          </cell>
          <cell r="BO48">
            <v>773.69445494309059</v>
          </cell>
          <cell r="BP48">
            <v>825.56371364345955</v>
          </cell>
          <cell r="BQ48">
            <v>817.11479051643005</v>
          </cell>
          <cell r="BR48">
            <v>3180.493707676339</v>
          </cell>
          <cell r="BS48">
            <v>809.56046353792772</v>
          </cell>
          <cell r="BT48">
            <v>825.13175693508015</v>
          </cell>
          <cell r="BU48">
            <v>886.38343031433783</v>
          </cell>
          <cell r="BV48">
            <v>878.58925636638651</v>
          </cell>
          <cell r="BW48">
            <v>3399.6649071537322</v>
          </cell>
          <cell r="BX48">
            <v>854.66177160460256</v>
          </cell>
          <cell r="BY48">
            <v>866.87401551415837</v>
          </cell>
          <cell r="BZ48">
            <v>925.86391367038004</v>
          </cell>
          <cell r="CA48">
            <v>916.27184391942149</v>
          </cell>
          <cell r="CB48">
            <v>3563.6715447085626</v>
          </cell>
        </row>
        <row r="50">
          <cell r="B50" t="str">
            <v>Margins</v>
          </cell>
          <cell r="D50" t="str">
            <v>1999A</v>
          </cell>
          <cell r="E50" t="str">
            <v>2000A</v>
          </cell>
          <cell r="F50" t="str">
            <v>1QA</v>
          </cell>
          <cell r="G50" t="str">
            <v>2QA</v>
          </cell>
          <cell r="H50" t="str">
            <v>3QA</v>
          </cell>
          <cell r="I50" t="str">
            <v>4QA</v>
          </cell>
          <cell r="J50" t="str">
            <v>2001A</v>
          </cell>
          <cell r="K50" t="str">
            <v>1QA</v>
          </cell>
          <cell r="L50" t="str">
            <v>2QA</v>
          </cell>
          <cell r="M50" t="str">
            <v>3QA</v>
          </cell>
          <cell r="N50" t="str">
            <v>4QA</v>
          </cell>
          <cell r="O50" t="str">
            <v>2002A</v>
          </cell>
          <cell r="P50" t="str">
            <v>1QA</v>
          </cell>
          <cell r="Q50" t="str">
            <v>2QA</v>
          </cell>
          <cell r="R50" t="str">
            <v>3QA</v>
          </cell>
          <cell r="S50" t="str">
            <v>4QA</v>
          </cell>
          <cell r="T50" t="str">
            <v>2003A</v>
          </cell>
          <cell r="U50" t="str">
            <v>1QA</v>
          </cell>
          <cell r="V50" t="str">
            <v>2QA</v>
          </cell>
          <cell r="W50" t="str">
            <v>3QA</v>
          </cell>
          <cell r="X50" t="str">
            <v>4QA</v>
          </cell>
          <cell r="Y50" t="str">
            <v>2004A</v>
          </cell>
          <cell r="Z50" t="str">
            <v>1QA</v>
          </cell>
          <cell r="AA50" t="str">
            <v>2QA</v>
          </cell>
          <cell r="AB50" t="str">
            <v>3QA</v>
          </cell>
          <cell r="AC50" t="str">
            <v>4QA</v>
          </cell>
          <cell r="AD50" t="str">
            <v>2005A</v>
          </cell>
          <cell r="AE50" t="str">
            <v>1QA</v>
          </cell>
          <cell r="AF50" t="str">
            <v>2QA</v>
          </cell>
          <cell r="AG50" t="str">
            <v>3QA</v>
          </cell>
          <cell r="AH50" t="str">
            <v>4QA</v>
          </cell>
          <cell r="AI50" t="str">
            <v>2006A</v>
          </cell>
          <cell r="AJ50" t="str">
            <v>1QA</v>
          </cell>
          <cell r="AK50" t="str">
            <v>2QA</v>
          </cell>
          <cell r="AL50" t="str">
            <v>3QA</v>
          </cell>
          <cell r="AM50" t="str">
            <v>4QA</v>
          </cell>
          <cell r="AN50" t="str">
            <v>2007A</v>
          </cell>
          <cell r="AO50" t="str">
            <v>1QA</v>
          </cell>
          <cell r="AP50" t="str">
            <v>2QA</v>
          </cell>
          <cell r="AQ50" t="str">
            <v>3QA</v>
          </cell>
          <cell r="AR50" t="str">
            <v>4QA</v>
          </cell>
          <cell r="AS50" t="str">
            <v>2008A</v>
          </cell>
          <cell r="AT50" t="str">
            <v>1QA</v>
          </cell>
          <cell r="AU50" t="str">
            <v>2QA</v>
          </cell>
          <cell r="AV50" t="str">
            <v>3QA</v>
          </cell>
          <cell r="AW50" t="str">
            <v>4QA</v>
          </cell>
          <cell r="AX50" t="str">
            <v>2009A</v>
          </cell>
          <cell r="AY50" t="str">
            <v>1QA</v>
          </cell>
          <cell r="AZ50" t="str">
            <v>2QA</v>
          </cell>
          <cell r="BA50" t="str">
            <v>3QA</v>
          </cell>
          <cell r="BB50" t="str">
            <v>4QA</v>
          </cell>
          <cell r="BC50" t="str">
            <v>2010A</v>
          </cell>
          <cell r="BD50" t="str">
            <v>1QA</v>
          </cell>
          <cell r="BE50" t="str">
            <v>2QA</v>
          </cell>
          <cell r="BF50" t="str">
            <v>3QA</v>
          </cell>
          <cell r="BG50" t="str">
            <v>4QA</v>
          </cell>
          <cell r="BH50" t="str">
            <v>2011A</v>
          </cell>
          <cell r="BI50" t="str">
            <v>1QE</v>
          </cell>
          <cell r="BJ50" t="str">
            <v>2QE</v>
          </cell>
          <cell r="BK50" t="str">
            <v>3QE</v>
          </cell>
          <cell r="BL50" t="str">
            <v>4QE</v>
          </cell>
          <cell r="BM50" t="str">
            <v>2012E</v>
          </cell>
          <cell r="BN50" t="str">
            <v>1QE</v>
          </cell>
          <cell r="BO50" t="str">
            <v>2QE</v>
          </cell>
          <cell r="BP50" t="str">
            <v>3QE</v>
          </cell>
          <cell r="BQ50" t="str">
            <v>4QE</v>
          </cell>
          <cell r="BR50" t="str">
            <v>2013E</v>
          </cell>
          <cell r="BS50" t="str">
            <v>1QE</v>
          </cell>
          <cell r="BT50" t="str">
            <v>2QE</v>
          </cell>
          <cell r="BU50" t="str">
            <v>3QE</v>
          </cell>
          <cell r="BV50" t="str">
            <v>4QE</v>
          </cell>
          <cell r="BW50" t="str">
            <v>2014E</v>
          </cell>
          <cell r="BX50" t="str">
            <v>1QE</v>
          </cell>
          <cell r="BY50" t="str">
            <v>2QE</v>
          </cell>
          <cell r="BZ50" t="str">
            <v>3QE</v>
          </cell>
          <cell r="CA50" t="str">
            <v>4QE</v>
          </cell>
          <cell r="CB50" t="str">
            <v>2015E</v>
          </cell>
        </row>
        <row r="51">
          <cell r="B51" t="str">
            <v>Gross profit</v>
          </cell>
          <cell r="D51">
            <v>5.4750659896073889E-2</v>
          </cell>
          <cell r="E51">
            <v>4.9945433233181923E-2</v>
          </cell>
          <cell r="F51" t="str">
            <v>NA</v>
          </cell>
          <cell r="G51" t="str">
            <v>NA</v>
          </cell>
          <cell r="H51" t="str">
            <v>NA</v>
          </cell>
          <cell r="I51" t="str">
            <v>NA</v>
          </cell>
          <cell r="J51">
            <v>4.4164895117404013E-2</v>
          </cell>
          <cell r="K51">
            <v>3.2222651913025056E-2</v>
          </cell>
          <cell r="L51">
            <v>4.0497883635841753E-2</v>
          </cell>
          <cell r="M51">
            <v>4.2677845086014993E-2</v>
          </cell>
          <cell r="N51">
            <v>4.2226802192140186E-2</v>
          </cell>
          <cell r="O51">
            <v>3.9467815586267559E-2</v>
          </cell>
          <cell r="P51">
            <v>4.19361418749475E-2</v>
          </cell>
          <cell r="Q51">
            <v>4.4131120233208358E-2</v>
          </cell>
          <cell r="R51">
            <v>4.5612388549976561E-2</v>
          </cell>
          <cell r="S51">
            <v>4.5868094513380669E-2</v>
          </cell>
          <cell r="T51">
            <v>4.4422069488829506E-2</v>
          </cell>
          <cell r="U51">
            <v>4.7238347612256926E-2</v>
          </cell>
          <cell r="V51">
            <v>4.8403159729295479E-2</v>
          </cell>
          <cell r="W51">
            <v>4.895016443207658E-2</v>
          </cell>
          <cell r="X51">
            <v>5.0307409235740216E-2</v>
          </cell>
          <cell r="Y51">
            <v>4.8724396708521835E-2</v>
          </cell>
          <cell r="Z51">
            <v>5.1182047968158478E-2</v>
          </cell>
          <cell r="AA51">
            <v>5.0596197228488675E-2</v>
          </cell>
          <cell r="AB51">
            <v>4.9660068200828071E-2</v>
          </cell>
          <cell r="AC51">
            <v>5.3399855601014463E-2</v>
          </cell>
          <cell r="AD51">
            <v>5.1300738299692714E-2</v>
          </cell>
          <cell r="AE51">
            <v>5.0949022577744189E-2</v>
          </cell>
          <cell r="AF51">
            <v>5.5105394378966457E-2</v>
          </cell>
          <cell r="AG51">
            <v>5.6733995468927573E-2</v>
          </cell>
          <cell r="AH51">
            <v>6.3146145541710191E-2</v>
          </cell>
          <cell r="AI51">
            <v>5.6539644035765696E-2</v>
          </cell>
          <cell r="AJ51">
            <v>6.9330441951324331E-2</v>
          </cell>
          <cell r="AK51">
            <v>6.3767014190558968E-2</v>
          </cell>
          <cell r="AL51">
            <v>6.4184052900555108E-2</v>
          </cell>
          <cell r="AM51">
            <v>6.7338114321872936E-2</v>
          </cell>
          <cell r="AN51">
            <v>6.6177296646309863E-2</v>
          </cell>
          <cell r="AO51">
            <v>6.9444337301066944E-2</v>
          </cell>
          <cell r="AP51">
            <v>7.3074695098085257E-2</v>
          </cell>
          <cell r="AQ51">
            <v>7.3635849702605879E-2</v>
          </cell>
          <cell r="AR51">
            <v>7.4845887372408521E-2</v>
          </cell>
          <cell r="AS51">
            <v>7.2741957825037534E-2</v>
          </cell>
          <cell r="AT51">
            <v>6.3644759638395859E-2</v>
          </cell>
          <cell r="AU51">
            <v>6.8035685581096239E-2</v>
          </cell>
          <cell r="AV51">
            <v>7.0294968502446806E-2</v>
          </cell>
          <cell r="AW51">
            <v>6.7372025293207058E-2</v>
          </cell>
          <cell r="AX51">
            <v>6.7336295216230385E-2</v>
          </cell>
          <cell r="AY51">
            <v>6.0861141935760685E-2</v>
          </cell>
          <cell r="AZ51">
            <v>6.3330458110875495E-2</v>
          </cell>
          <cell r="BA51">
            <v>6.8597654383019402E-2</v>
          </cell>
          <cell r="BB51">
            <v>6.8587494536390625E-2</v>
          </cell>
          <cell r="BC51">
            <v>6.5714796781489199E-2</v>
          </cell>
          <cell r="BD51">
            <v>6.2886319302451255E-2</v>
          </cell>
          <cell r="BE51">
            <v>6.4741712545390628E-2</v>
          </cell>
          <cell r="BF51">
            <v>6.8786620734328549E-2</v>
          </cell>
          <cell r="BG51">
            <v>6.7447151388757259E-2</v>
          </cell>
          <cell r="BH51">
            <v>6.6004598698605407E-2</v>
          </cell>
          <cell r="BI51">
            <v>7.2787028322457592E-2</v>
          </cell>
          <cell r="BJ51">
            <v>7.5568643448185993E-2</v>
          </cell>
          <cell r="BK51">
            <v>8.1340784725972143E-2</v>
          </cell>
          <cell r="BL51">
            <v>8.3068209496535539E-2</v>
          </cell>
          <cell r="BM51">
            <v>7.8236849945993905E-2</v>
          </cell>
          <cell r="BN51">
            <v>8.9835765420775704E-2</v>
          </cell>
          <cell r="BO51">
            <v>9.1475351111096018E-2</v>
          </cell>
          <cell r="BP51">
            <v>9.4584468812924177E-2</v>
          </cell>
          <cell r="BQ51">
            <v>9.5647605087866447E-2</v>
          </cell>
          <cell r="BR51">
            <v>9.2912134087656237E-2</v>
          </cell>
          <cell r="BS51">
            <v>9.1344681590728186E-2</v>
          </cell>
          <cell r="BT51">
            <v>9.4791268960276162E-2</v>
          </cell>
          <cell r="BU51">
            <v>0.10055436959011274</v>
          </cell>
          <cell r="BV51">
            <v>0.1017620909702488</v>
          </cell>
          <cell r="BW51">
            <v>9.7098847486756401E-2</v>
          </cell>
          <cell r="BX51">
            <v>9.6325608301807794E-2</v>
          </cell>
          <cell r="BY51">
            <v>9.8197778475878419E-2</v>
          </cell>
          <cell r="BZ51">
            <v>0.10176343679216546</v>
          </cell>
          <cell r="CA51">
            <v>0.10296262768405536</v>
          </cell>
          <cell r="CB51">
            <v>9.9837434727459137E-2</v>
          </cell>
        </row>
        <row r="52">
          <cell r="B52" t="str">
            <v>EBITDA</v>
          </cell>
          <cell r="D52">
            <v>3.5007042837020587E-2</v>
          </cell>
          <cell r="E52">
            <v>3.2825390837274197E-2</v>
          </cell>
          <cell r="F52" t="str">
            <v>NA</v>
          </cell>
          <cell r="G52" t="str">
            <v>NA</v>
          </cell>
          <cell r="H52" t="str">
            <v>NA</v>
          </cell>
          <cell r="I52" t="str">
            <v>NA</v>
          </cell>
          <cell r="J52">
            <v>2.8778215791899892E-2</v>
          </cell>
          <cell r="K52">
            <v>1.2711917266501189E-2</v>
          </cell>
          <cell r="L52">
            <v>2.2586507879570381E-2</v>
          </cell>
          <cell r="M52">
            <v>2.7141666563009266E-2</v>
          </cell>
          <cell r="N52">
            <v>2.137102440395339E-2</v>
          </cell>
          <cell r="O52">
            <v>2.6870154891757793E-2</v>
          </cell>
          <cell r="P52">
            <v>2.7909432332225436E-2</v>
          </cell>
          <cell r="Q52">
            <v>2.9626985543458821E-2</v>
          </cell>
          <cell r="R52">
            <v>2.9458000938526529E-2</v>
          </cell>
          <cell r="S52">
            <v>3.2437596507404159E-2</v>
          </cell>
          <cell r="T52">
            <v>2.9905587415546664E-2</v>
          </cell>
          <cell r="U52">
            <v>3.4134674766166127E-2</v>
          </cell>
          <cell r="V52">
            <v>3.6271247821461794E-2</v>
          </cell>
          <cell r="W52">
            <v>3.4553733643032575E-2</v>
          </cell>
          <cell r="X52">
            <v>3.5733518826010828E-2</v>
          </cell>
          <cell r="Y52">
            <v>3.5174912805252125E-2</v>
          </cell>
          <cell r="Z52">
            <v>3.5913213546372655E-2</v>
          </cell>
          <cell r="AA52">
            <v>3.5482903086001431E-2</v>
          </cell>
          <cell r="AB52">
            <v>3.4025350119029983E-2</v>
          </cell>
          <cell r="AC52">
            <v>3.6997611862932003E-2</v>
          </cell>
          <cell r="AD52">
            <v>3.5655439018980398E-2</v>
          </cell>
          <cell r="AE52">
            <v>3.3596819236048729E-2</v>
          </cell>
          <cell r="AF52">
            <v>3.643472348141432E-2</v>
          </cell>
          <cell r="AG52">
            <v>3.9470036611828421E-2</v>
          </cell>
          <cell r="AH52">
            <v>4.3850981683775291E-2</v>
          </cell>
          <cell r="AI52">
            <v>3.8381801258003549E-2</v>
          </cell>
          <cell r="AJ52">
            <v>5.0790350908634631E-2</v>
          </cell>
          <cell r="AK52">
            <v>4.2951781059947902E-2</v>
          </cell>
          <cell r="AL52">
            <v>4.3659443518399892E-2</v>
          </cell>
          <cell r="AM52">
            <v>4.2360964634746444E-2</v>
          </cell>
          <cell r="AN52">
            <v>4.4939806139369334E-2</v>
          </cell>
          <cell r="AO52">
            <v>4.7203943562011651E-2</v>
          </cell>
          <cell r="AP52">
            <v>4.7281323877068557E-2</v>
          </cell>
          <cell r="AQ52">
            <v>4.9071987642426401E-2</v>
          </cell>
          <cell r="AR52">
            <v>4.8536798006372707E-2</v>
          </cell>
          <cell r="AS52">
            <v>4.8017964060174084E-2</v>
          </cell>
          <cell r="AT52">
            <v>4.3616311286984573E-2</v>
          </cell>
          <cell r="AU52">
            <v>4.6174248513100744E-2</v>
          </cell>
          <cell r="AV52">
            <v>4.8618433503663447E-2</v>
          </cell>
          <cell r="AW52">
            <v>4.5575000655944192E-2</v>
          </cell>
          <cell r="AX52">
            <v>4.5990004063252973E-2</v>
          </cell>
          <cell r="AY52">
            <v>4.2088419400523505E-2</v>
          </cell>
          <cell r="AZ52">
            <v>4.312018841713787E-2</v>
          </cell>
          <cell r="BA52">
            <v>4.7243226019926719E-2</v>
          </cell>
          <cell r="BB52">
            <v>4.6455446480254257E-2</v>
          </cell>
          <cell r="BC52">
            <v>4.5083706744441288E-2</v>
          </cell>
          <cell r="BD52">
            <v>4.3138499142165464E-2</v>
          </cell>
          <cell r="BE52">
            <v>4.3106477685369557E-2</v>
          </cell>
          <cell r="BF52">
            <v>4.7163089244177503E-2</v>
          </cell>
          <cell r="BG52">
            <v>4.7371525473715294E-2</v>
          </cell>
          <cell r="BH52">
            <v>4.5254791024687671E-2</v>
          </cell>
          <cell r="BI52">
            <v>4.9000514183401456E-2</v>
          </cell>
          <cell r="BJ52">
            <v>5.2210809041189438E-2</v>
          </cell>
          <cell r="BK52">
            <v>5.7595872468573055E-2</v>
          </cell>
          <cell r="BL52">
            <v>5.7108885212523816E-2</v>
          </cell>
          <cell r="BM52">
            <v>5.4002354773077528E-2</v>
          </cell>
          <cell r="BN52">
            <v>6.5337871124658678E-2</v>
          </cell>
          <cell r="BO52">
            <v>6.4727372523168833E-2</v>
          </cell>
          <cell r="BP52">
            <v>6.8200488067880927E-2</v>
          </cell>
          <cell r="BQ52">
            <v>6.792172101929736E-2</v>
          </cell>
          <cell r="BR52">
            <v>6.6560869480658313E-2</v>
          </cell>
          <cell r="BS52">
            <v>6.7084949736674698E-2</v>
          </cell>
          <cell r="BT52">
            <v>6.7947416684092307E-2</v>
          </cell>
          <cell r="BU52">
            <v>7.3538088484805156E-2</v>
          </cell>
          <cell r="BV52">
            <v>7.3409518050564504E-2</v>
          </cell>
          <cell r="BW52">
            <v>7.048407341166732E-2</v>
          </cell>
          <cell r="BX52">
            <v>7.135929755256526E-2</v>
          </cell>
          <cell r="BY52">
            <v>7.0989859652310042E-2</v>
          </cell>
          <cell r="BZ52">
            <v>7.491039255263271E-2</v>
          </cell>
          <cell r="CA52">
            <v>7.4808075624180889E-2</v>
          </cell>
          <cell r="CB52">
            <v>7.303198582349088E-2</v>
          </cell>
        </row>
        <row r="53">
          <cell r="B53" t="str">
            <v xml:space="preserve">EBIT </v>
          </cell>
          <cell r="D53">
            <v>1.9412189434560925E-2</v>
          </cell>
          <cell r="E53">
            <v>1.9837153007010527E-2</v>
          </cell>
          <cell r="F53" t="str">
            <v>NA</v>
          </cell>
          <cell r="G53" t="str">
            <v>NA</v>
          </cell>
          <cell r="H53" t="str">
            <v>NA</v>
          </cell>
          <cell r="I53" t="str">
            <v>NA</v>
          </cell>
          <cell r="J53">
            <v>1.7670773909035417E-2</v>
          </cell>
          <cell r="K53">
            <v>1.2711917266501189E-2</v>
          </cell>
          <cell r="L53">
            <v>2.2586507879570381E-2</v>
          </cell>
          <cell r="M53">
            <v>1.9280285597004759E-2</v>
          </cell>
          <cell r="N53">
            <v>2.137102440395339E-2</v>
          </cell>
          <cell r="O53">
            <v>1.9060333449641191E-2</v>
          </cell>
          <cell r="P53">
            <v>1.9546201749439052E-2</v>
          </cell>
          <cell r="Q53">
            <v>2.1369504432149404E-2</v>
          </cell>
          <cell r="R53">
            <v>2.1163772876583786E-2</v>
          </cell>
          <cell r="S53">
            <v>2.4272653550917195E-2</v>
          </cell>
          <cell r="T53">
            <v>2.1637554903763331E-2</v>
          </cell>
          <cell r="U53">
            <v>2.2097710506518028E-2</v>
          </cell>
          <cell r="V53">
            <v>2.5565288246078711E-2</v>
          </cell>
          <cell r="W53">
            <v>2.4135869190257928E-2</v>
          </cell>
          <cell r="X53">
            <v>2.620832024413226E-2</v>
          </cell>
          <cell r="Y53">
            <v>2.4502219116935516E-2</v>
          </cell>
          <cell r="Z53">
            <v>2.603136115654273E-2</v>
          </cell>
          <cell r="AA53">
            <v>2.6103770544634346E-2</v>
          </cell>
          <cell r="AB53">
            <v>2.4513693782572562E-2</v>
          </cell>
          <cell r="AC53">
            <v>2.7917137197548885E-2</v>
          </cell>
          <cell r="AD53">
            <v>2.621280775689985E-2</v>
          </cell>
          <cell r="AE53">
            <v>2.3732664363137288E-2</v>
          </cell>
          <cell r="AF53">
            <v>2.7368540344514958E-2</v>
          </cell>
          <cell r="AG53">
            <v>3.0207148387836672E-2</v>
          </cell>
          <cell r="AH53">
            <v>3.5159466432453261E-2</v>
          </cell>
          <cell r="AI53">
            <v>2.5334010285918477E-2</v>
          </cell>
          <cell r="AJ53">
            <v>4.2178931144485371E-2</v>
          </cell>
          <cell r="AK53">
            <v>3.4028381117868552E-2</v>
          </cell>
          <cell r="AL53">
            <v>3.5077757221621916E-2</v>
          </cell>
          <cell r="AM53">
            <v>3.2816564719116828E-2</v>
          </cell>
          <cell r="AN53">
            <v>3.6019700625980186E-2</v>
          </cell>
          <cell r="AO53">
            <v>3.8749045352506055E-2</v>
          </cell>
          <cell r="AP53">
            <v>3.870962691591126E-2</v>
          </cell>
          <cell r="AQ53">
            <v>4.0329322961039998E-2</v>
          </cell>
          <cell r="AR53">
            <v>3.9749099241588315E-2</v>
          </cell>
          <cell r="AS53">
            <v>3.9379295679300111E-2</v>
          </cell>
          <cell r="AT53">
            <v>3.5587404526119255E-2</v>
          </cell>
          <cell r="AU53">
            <v>3.8123559984997002E-2</v>
          </cell>
          <cell r="AV53">
            <v>4.0054613783221137E-2</v>
          </cell>
          <cell r="AW53">
            <v>3.7788943405137373E-2</v>
          </cell>
          <cell r="AX53">
            <v>3.7886907797599838E-2</v>
          </cell>
          <cell r="AY53">
            <v>3.5044050297653652E-2</v>
          </cell>
          <cell r="AZ53">
            <v>3.6080724757226249E-2</v>
          </cell>
          <cell r="BA53">
            <v>4.0031127832448929E-2</v>
          </cell>
          <cell r="BB53">
            <v>3.8847739542356305E-2</v>
          </cell>
          <cell r="BC53">
            <v>3.7854487906330919E-2</v>
          </cell>
          <cell r="BD53">
            <v>3.584103034148859E-2</v>
          </cell>
          <cell r="BE53">
            <v>3.5832259575963435E-2</v>
          </cell>
          <cell r="BF53">
            <v>3.9743250007360974E-2</v>
          </cell>
          <cell r="BG53">
            <v>4.0498836119274115E-2</v>
          </cell>
          <cell r="BH53">
            <v>3.8047023191885049E-2</v>
          </cell>
          <cell r="BI53">
            <v>4.0001203103450005E-2</v>
          </cell>
          <cell r="BJ53">
            <v>4.3232650943413969E-2</v>
          </cell>
          <cell r="BK53">
            <v>4.8459435446486863E-2</v>
          </cell>
          <cell r="BL53">
            <v>4.8528028423251823E-2</v>
          </cell>
          <cell r="BM53">
            <v>4.5083565613782912E-2</v>
          </cell>
          <cell r="BN53">
            <v>5.4179173762118255E-2</v>
          </cell>
          <cell r="BO53">
            <v>5.3809726596787143E-2</v>
          </cell>
          <cell r="BP53">
            <v>5.7419777208413313E-2</v>
          </cell>
          <cell r="BQ53">
            <v>5.7074059594130588E-2</v>
          </cell>
          <cell r="BR53">
            <v>5.5636536008454064E-2</v>
          </cell>
          <cell r="BS53">
            <v>5.6270950863289877E-2</v>
          </cell>
          <cell r="BT53">
            <v>5.7201087018863221E-2</v>
          </cell>
          <cell r="BU53">
            <v>6.2711260930206361E-2</v>
          </cell>
          <cell r="BV53">
            <v>6.2505740163251403E-2</v>
          </cell>
          <cell r="BW53">
            <v>5.9661628457322126E-2</v>
          </cell>
          <cell r="BX53">
            <v>6.0463304962273041E-2</v>
          </cell>
          <cell r="BY53">
            <v>6.0302981837508186E-2</v>
          </cell>
          <cell r="BZ53">
            <v>6.4351814684137351E-2</v>
          </cell>
          <cell r="CA53">
            <v>6.4153536871581027E-2</v>
          </cell>
          <cell r="CB53">
            <v>6.2334395958210546E-2</v>
          </cell>
        </row>
        <row r="54">
          <cell r="B54" t="str">
            <v>Pre-tax income</v>
          </cell>
          <cell r="D54">
            <v>1.9631168400743471E-2</v>
          </cell>
          <cell r="E54">
            <v>2.0097636338322872E-2</v>
          </cell>
          <cell r="F54" t="str">
            <v>NA</v>
          </cell>
          <cell r="G54" t="str">
            <v>NA</v>
          </cell>
          <cell r="H54" t="str">
            <v>NA</v>
          </cell>
          <cell r="I54" t="str">
            <v>NA</v>
          </cell>
          <cell r="J54">
            <v>1.782900937717161E-2</v>
          </cell>
          <cell r="K54">
            <v>1.2811716420703357E-2</v>
          </cell>
          <cell r="L54">
            <v>2.1462563072434528E-2</v>
          </cell>
          <cell r="M54">
            <v>1.9280285597004759E-2</v>
          </cell>
          <cell r="N54">
            <v>2.1429575155745041E-2</v>
          </cell>
          <cell r="O54">
            <v>1.8820638075155098E-2</v>
          </cell>
          <cell r="P54">
            <v>2.0950072593321413E-2</v>
          </cell>
          <cell r="Q54">
            <v>2.1417097983223232E-2</v>
          </cell>
          <cell r="R54">
            <v>2.0143125293289557E-2</v>
          </cell>
          <cell r="S54">
            <v>2.2484142236639096E-2</v>
          </cell>
          <cell r="T54">
            <v>2.126690889988176E-2</v>
          </cell>
          <cell r="U54">
            <v>1.962743799054547E-2</v>
          </cell>
          <cell r="V54">
            <v>2.4060116339603074E-2</v>
          </cell>
          <cell r="W54">
            <v>2.2687027114044238E-2</v>
          </cell>
          <cell r="X54">
            <v>2.486200242337204E-2</v>
          </cell>
          <cell r="Y54">
            <v>2.280782645345774E-2</v>
          </cell>
          <cell r="Z54">
            <v>2.4876190911898258E-2</v>
          </cell>
          <cell r="AA54">
            <v>2.5392556702634947E-2</v>
          </cell>
          <cell r="AB54">
            <v>2.3377013318463785E-2</v>
          </cell>
          <cell r="AC54">
            <v>2.6741581354018145E-2</v>
          </cell>
          <cell r="AD54">
            <v>2.5161866134330482E-2</v>
          </cell>
          <cell r="AE54">
            <v>7.0241870592134001E-3</v>
          </cell>
          <cell r="AF54">
            <v>2.5923617407071619E-2</v>
          </cell>
          <cell r="AG54">
            <v>2.8209270535603164E-2</v>
          </cell>
          <cell r="AH54">
            <v>3.36773343580173E-2</v>
          </cell>
          <cell r="AI54">
            <v>2.3785011141511329E-2</v>
          </cell>
          <cell r="AJ54">
            <v>4.0843757840782736E-2</v>
          </cell>
          <cell r="AK54">
            <v>3.2046408919779931E-2</v>
          </cell>
          <cell r="AL54">
            <v>3.2742292967963021E-2</v>
          </cell>
          <cell r="AM54">
            <v>2.952963509808048E-2</v>
          </cell>
          <cell r="AN54">
            <v>3.3779563296799084E-2</v>
          </cell>
          <cell r="AO54">
            <v>3.4560167863672539E-2</v>
          </cell>
          <cell r="AP54">
            <v>3.4208507507084367E-2</v>
          </cell>
          <cell r="AQ54">
            <v>3.5695232938665784E-2</v>
          </cell>
          <cell r="AR54">
            <v>3.5305100568615695E-2</v>
          </cell>
          <cell r="AS54">
            <v>3.4939004524180604E-2</v>
          </cell>
          <cell r="AT54">
            <v>3.2783017277991655E-2</v>
          </cell>
          <cell r="AU54">
            <v>3.5364089374698551E-2</v>
          </cell>
          <cell r="AV54">
            <v>3.7357720280098421E-2</v>
          </cell>
          <cell r="AW54">
            <v>3.5171726182667354E-2</v>
          </cell>
          <cell r="AX54">
            <v>3.5168039756338594E-2</v>
          </cell>
          <cell r="AY54">
            <v>3.2634618567951426E-2</v>
          </cell>
          <cell r="AZ54">
            <v>3.4099923294480548E-2</v>
          </cell>
          <cell r="BA54">
            <v>3.7531097194818563E-2</v>
          </cell>
          <cell r="BB54">
            <v>3.587081074057015E-2</v>
          </cell>
          <cell r="BC54">
            <v>3.5383607909241402E-2</v>
          </cell>
          <cell r="BD54">
            <v>3.2656466661966158E-2</v>
          </cell>
          <cell r="BE54">
            <v>3.2657842333372364E-2</v>
          </cell>
          <cell r="BF54">
            <v>3.6822424403026841E-2</v>
          </cell>
          <cell r="BG54">
            <v>3.7776092520618108E-2</v>
          </cell>
          <cell r="BH54">
            <v>3.5054015440323251E-2</v>
          </cell>
          <cell r="BI54">
            <v>3.6442102737800505E-2</v>
          </cell>
          <cell r="BJ54">
            <v>3.9806463290679703E-2</v>
          </cell>
          <cell r="BK54">
            <v>4.4882936034977734E-2</v>
          </cell>
          <cell r="BL54">
            <v>4.5050390105094547E-2</v>
          </cell>
          <cell r="BM54">
            <v>4.1574395109208122E-2</v>
          </cell>
          <cell r="BN54">
            <v>4.9567799521349369E-2</v>
          </cell>
          <cell r="BO54">
            <v>4.9294994503655487E-2</v>
          </cell>
          <cell r="BP54">
            <v>5.2893989061327362E-2</v>
          </cell>
          <cell r="BQ54">
            <v>5.255627507475203E-2</v>
          </cell>
          <cell r="BR54">
            <v>5.1094581480902582E-2</v>
          </cell>
          <cell r="BS54">
            <v>5.1638337319236775E-2</v>
          </cell>
          <cell r="BT54">
            <v>5.2389952517175313E-2</v>
          </cell>
          <cell r="BU54">
            <v>5.7826407760454807E-2</v>
          </cell>
          <cell r="BV54">
            <v>5.7637704175194926E-2</v>
          </cell>
          <cell r="BW54">
            <v>5.4862617583451359E-2</v>
          </cell>
          <cell r="BX54">
            <v>5.5491521905269389E-2</v>
          </cell>
          <cell r="BY54">
            <v>5.5232410811817768E-2</v>
          </cell>
          <cell r="BZ54">
            <v>5.937991688522104E-2</v>
          </cell>
          <cell r="CA54">
            <v>5.9182664565092559E-2</v>
          </cell>
          <cell r="CB54">
            <v>5.7338090698356443E-2</v>
          </cell>
        </row>
        <row r="55">
          <cell r="B55" t="str">
            <v>Net income - continuing operations</v>
          </cell>
          <cell r="D55">
            <v>8.9958926647965946E-3</v>
          </cell>
          <cell r="E55">
            <v>9.7366872807785106E-3</v>
          </cell>
          <cell r="F55" t="str">
            <v>NA</v>
          </cell>
          <cell r="G55" t="str">
            <v>NA</v>
          </cell>
          <cell r="H55" t="str">
            <v>NA</v>
          </cell>
          <cell r="I55" t="str">
            <v>NA</v>
          </cell>
          <cell r="J55">
            <v>8.8267872008147424E-3</v>
          </cell>
          <cell r="K55">
            <v>7.4350369880615491E-3</v>
          </cell>
          <cell r="L55">
            <v>1.250687519429884E-2</v>
          </cell>
          <cell r="M55">
            <v>1.1219882328063435E-2</v>
          </cell>
          <cell r="N55">
            <v>1.2553281184130446E-2</v>
          </cell>
          <cell r="O55">
            <v>1.0971373090401543E-2</v>
          </cell>
          <cell r="P55">
            <v>1.223887402358983E-2</v>
          </cell>
          <cell r="Q55">
            <v>1.2517103932417117E-2</v>
          </cell>
          <cell r="R55">
            <v>1.1766776161426582E-2</v>
          </cell>
          <cell r="S55">
            <v>1.3141670091869661E-2</v>
          </cell>
          <cell r="T55">
            <v>1.2426855783682779E-2</v>
          </cell>
          <cell r="U55">
            <v>1.1632737847943376E-2</v>
          </cell>
          <cell r="V55">
            <v>1.4406645390552579E-2</v>
          </cell>
          <cell r="W55">
            <v>1.3580019777843882E-2</v>
          </cell>
          <cell r="X55">
            <v>1.48768119194004E-2</v>
          </cell>
          <cell r="Y55">
            <v>1.3623030162452164E-2</v>
          </cell>
          <cell r="Z55">
            <v>1.5005775851223228E-2</v>
          </cell>
          <cell r="AA55">
            <v>1.526887217042474E-2</v>
          </cell>
          <cell r="AB55">
            <v>1.6803568747721511E-2</v>
          </cell>
          <cell r="AC55">
            <v>1.6365218357183818E-2</v>
          </cell>
          <cell r="AD55">
            <v>1.5898792737412543E-2</v>
          </cell>
          <cell r="AE55">
            <v>4.2410186017892513E-3</v>
          </cell>
          <cell r="AF55">
            <v>1.6139694771834388E-2</v>
          </cell>
          <cell r="AG55">
            <v>1.7761038514114025E-2</v>
          </cell>
          <cell r="AH55">
            <v>2.0932828310552477E-2</v>
          </cell>
          <cell r="AI55">
            <v>1.4815389388768261E-2</v>
          </cell>
          <cell r="AJ55">
            <v>2.4624538513925136E-2</v>
          </cell>
          <cell r="AK55">
            <v>1.9448667825079674E-2</v>
          </cell>
          <cell r="AL55">
            <v>1.9663693147473217E-2</v>
          </cell>
          <cell r="AM55">
            <v>1.8245095971313973E-2</v>
          </cell>
          <cell r="AN55">
            <v>2.0491527023201245E-2</v>
          </cell>
          <cell r="AO55">
            <v>2.0844101242777521E-2</v>
          </cell>
          <cell r="AP55">
            <v>2.0564244673023029E-2</v>
          </cell>
          <cell r="AQ55">
            <v>2.3544680749416555E-2</v>
          </cell>
          <cell r="AR55">
            <v>2.1170715900411113E-2</v>
          </cell>
          <cell r="AS55">
            <v>2.1518634200776796E-2</v>
          </cell>
          <cell r="AT55">
            <v>1.9617228105892611E-2</v>
          </cell>
          <cell r="AU55">
            <v>2.0903659647430694E-2</v>
          </cell>
          <cell r="AV55">
            <v>2.2683645605212646E-2</v>
          </cell>
          <cell r="AW55">
            <v>2.2400493270012881E-2</v>
          </cell>
          <cell r="AX55">
            <v>2.1406487493374225E-2</v>
          </cell>
          <cell r="AY55">
            <v>1.9649436879632571E-2</v>
          </cell>
          <cell r="AZ55">
            <v>2.0374492851085762E-2</v>
          </cell>
          <cell r="BA55">
            <v>2.2763759359796076E-2</v>
          </cell>
          <cell r="BB55">
            <v>2.2356499037223466E-2</v>
          </cell>
          <cell r="BC55">
            <v>2.1637632563469789E-2</v>
          </cell>
          <cell r="BD55">
            <v>1.9571552797950552E-2</v>
          </cell>
          <cell r="BE55">
            <v>2.0077310530631349E-2</v>
          </cell>
          <cell r="BF55">
            <v>2.222418514265526E-2</v>
          </cell>
          <cell r="BG55">
            <v>2.379899095227566E-2</v>
          </cell>
          <cell r="BH55">
            <v>2.1483429984028728E-2</v>
          </cell>
          <cell r="BI55">
            <v>2.2229682670058308E-2</v>
          </cell>
          <cell r="BJ55">
            <v>2.4281942607314616E-2</v>
          </cell>
          <cell r="BK55">
            <v>2.7378590981336416E-2</v>
          </cell>
          <cell r="BL55">
            <v>2.7480737964107674E-2</v>
          </cell>
          <cell r="BM55">
            <v>2.5360381016616952E-2</v>
          </cell>
          <cell r="BN55">
            <v>3.0236357708023114E-2</v>
          </cell>
          <cell r="BO55">
            <v>3.006994664722985E-2</v>
          </cell>
          <cell r="BP55">
            <v>3.226533332740969E-2</v>
          </cell>
          <cell r="BQ55">
            <v>3.2059327795598738E-2</v>
          </cell>
          <cell r="BR55">
            <v>3.1167694703350571E-2</v>
          </cell>
          <cell r="BS55">
            <v>3.1499385764734433E-2</v>
          </cell>
          <cell r="BT55">
            <v>3.195787103547694E-2</v>
          </cell>
          <cell r="BU55">
            <v>3.527410873387743E-2</v>
          </cell>
          <cell r="BV55">
            <v>3.5158999546868908E-2</v>
          </cell>
          <cell r="BW55">
            <v>3.3466196725905326E-2</v>
          </cell>
          <cell r="BX55">
            <v>3.3849828362214326E-2</v>
          </cell>
          <cell r="BY55">
            <v>3.3691770595208836E-2</v>
          </cell>
          <cell r="BZ55">
            <v>3.6221749299984833E-2</v>
          </cell>
          <cell r="CA55">
            <v>3.6101425384706461E-2</v>
          </cell>
          <cell r="CB55">
            <v>3.4976235325997432E-2</v>
          </cell>
        </row>
        <row r="57">
          <cell r="B57" t="str">
            <v>EXPENSES</v>
          </cell>
        </row>
        <row r="58">
          <cell r="B58" t="str">
            <v>Cost of sales</v>
          </cell>
          <cell r="D58">
            <v>0.94524934010392614</v>
          </cell>
          <cell r="E58">
            <v>0.9500545667668181</v>
          </cell>
          <cell r="F58" t="str">
            <v>NA</v>
          </cell>
          <cell r="G58" t="str">
            <v>NA</v>
          </cell>
          <cell r="H58" t="str">
            <v>NA</v>
          </cell>
          <cell r="I58" t="str">
            <v>NA</v>
          </cell>
          <cell r="J58">
            <v>0.95583510488259604</v>
          </cell>
          <cell r="K58">
            <v>0.96777734808697491</v>
          </cell>
          <cell r="L58">
            <v>0.95950211636415828</v>
          </cell>
          <cell r="M58">
            <v>0.95732215491398498</v>
          </cell>
          <cell r="N58">
            <v>0.95777319780785986</v>
          </cell>
          <cell r="O58">
            <v>0.96053218441373245</v>
          </cell>
          <cell r="P58">
            <v>0.95806385812505246</v>
          </cell>
          <cell r="Q58">
            <v>0.95586887976679169</v>
          </cell>
          <cell r="R58">
            <v>0.95438761145002349</v>
          </cell>
          <cell r="S58">
            <v>0.9541319054866193</v>
          </cell>
          <cell r="T58">
            <v>0.95557793051117046</v>
          </cell>
          <cell r="U58">
            <v>0.95276165238774313</v>
          </cell>
          <cell r="V58">
            <v>0.95159684027070457</v>
          </cell>
          <cell r="W58">
            <v>0.95104983556792344</v>
          </cell>
          <cell r="X58">
            <v>0.94969259076425983</v>
          </cell>
          <cell r="Y58">
            <v>0.9512756032914782</v>
          </cell>
          <cell r="Z58">
            <v>0.94881795203184149</v>
          </cell>
          <cell r="AA58">
            <v>0.94940380277151137</v>
          </cell>
          <cell r="AB58">
            <v>0.95033993179917198</v>
          </cell>
          <cell r="AC58">
            <v>0.94660014439898554</v>
          </cell>
          <cell r="AD58">
            <v>0.94869926170030727</v>
          </cell>
          <cell r="AE58">
            <v>0.94905097742225586</v>
          </cell>
          <cell r="AF58">
            <v>0.94489460562103356</v>
          </cell>
          <cell r="AG58">
            <v>0.94326600453107246</v>
          </cell>
          <cell r="AH58">
            <v>0.93685385445828984</v>
          </cell>
          <cell r="AI58">
            <v>0.94346035596423428</v>
          </cell>
          <cell r="AJ58">
            <v>0.93066955804867568</v>
          </cell>
          <cell r="AK58">
            <v>0.93623298580944103</v>
          </cell>
          <cell r="AL58">
            <v>0.93581594709944493</v>
          </cell>
          <cell r="AM58">
            <v>0.93266188567812702</v>
          </cell>
          <cell r="AN58">
            <v>0.93382270335369011</v>
          </cell>
          <cell r="AO58">
            <v>0.93055566269893308</v>
          </cell>
          <cell r="AP58">
            <v>0.92692530490191472</v>
          </cell>
          <cell r="AQ58">
            <v>0.92636415029739416</v>
          </cell>
          <cell r="AR58">
            <v>0.92515411262759151</v>
          </cell>
          <cell r="AS58">
            <v>0.92725804217496244</v>
          </cell>
          <cell r="AT58">
            <v>0.93635524036160411</v>
          </cell>
          <cell r="AU58">
            <v>0.93196431441890371</v>
          </cell>
          <cell r="AV58">
            <v>0.92970503149755324</v>
          </cell>
          <cell r="AW58">
            <v>0.93262797470679293</v>
          </cell>
          <cell r="AX58">
            <v>0.93266370478376959</v>
          </cell>
          <cell r="AY58">
            <v>0.93913885806423936</v>
          </cell>
          <cell r="AZ58">
            <v>0.93666954188912455</v>
          </cell>
          <cell r="BA58">
            <v>0.93140234561698054</v>
          </cell>
          <cell r="BB58">
            <v>0.93141250546360932</v>
          </cell>
          <cell r="BC58">
            <v>0.93428520321851083</v>
          </cell>
          <cell r="BD58">
            <v>0.93711368069754875</v>
          </cell>
          <cell r="BE58">
            <v>0.93525828745460937</v>
          </cell>
          <cell r="BF58">
            <v>0.93121337926567149</v>
          </cell>
          <cell r="BG58">
            <v>0.93255284861124277</v>
          </cell>
          <cell r="BH58">
            <v>0.93399540130139458</v>
          </cell>
          <cell r="BI58">
            <v>0.92721297167754246</v>
          </cell>
          <cell r="BJ58">
            <v>0.92443135655181397</v>
          </cell>
          <cell r="BK58">
            <v>0.91865921527402783</v>
          </cell>
          <cell r="BL58">
            <v>0.91693179050346441</v>
          </cell>
          <cell r="BM58">
            <v>0.92176315005400611</v>
          </cell>
          <cell r="BN58">
            <v>0.91016423457922424</v>
          </cell>
          <cell r="BO58">
            <v>0.90852464888890394</v>
          </cell>
          <cell r="BP58">
            <v>0.90541553118707585</v>
          </cell>
          <cell r="BQ58">
            <v>0.90435239491213359</v>
          </cell>
          <cell r="BR58">
            <v>0.9070878659123438</v>
          </cell>
          <cell r="BS58">
            <v>0.90865531840927183</v>
          </cell>
          <cell r="BT58">
            <v>0.90520873103972388</v>
          </cell>
          <cell r="BU58">
            <v>0.89944563040988723</v>
          </cell>
          <cell r="BV58">
            <v>0.8982379090297512</v>
          </cell>
          <cell r="BW58">
            <v>0.90290115251324365</v>
          </cell>
          <cell r="BX58">
            <v>0.90367439169819219</v>
          </cell>
          <cell r="BY58">
            <v>0.90180222152412159</v>
          </cell>
          <cell r="BZ58">
            <v>0.89823656320783452</v>
          </cell>
          <cell r="CA58">
            <v>0.8970373723159446</v>
          </cell>
          <cell r="CB58">
            <v>0.9001625652725409</v>
          </cell>
        </row>
        <row r="59">
          <cell r="B59" t="str">
            <v>Total SG&amp;A</v>
          </cell>
          <cell r="D59">
            <v>2.4567072665506669E-2</v>
          </cell>
          <cell r="E59">
            <v>2.1696465061550416E-2</v>
          </cell>
          <cell r="F59" t="str">
            <v>NA</v>
          </cell>
          <cell r="G59" t="str">
            <v>NA</v>
          </cell>
          <cell r="H59" t="str">
            <v>NA</v>
          </cell>
          <cell r="I59" t="str">
            <v>NA</v>
          </cell>
          <cell r="J59">
            <v>1.9896390167385605E-2</v>
          </cell>
          <cell r="K59">
            <v>1.6866057060166414E-2</v>
          </cell>
          <cell r="L59">
            <v>1.5376521510390512E-2</v>
          </cell>
          <cell r="M59">
            <v>2.0760513975097334E-2</v>
          </cell>
          <cell r="N59">
            <v>1.8373225912220712E-2</v>
          </cell>
          <cell r="O59">
            <v>1.7831515390566925E-2</v>
          </cell>
          <cell r="P59">
            <v>1.9558200645540608E-2</v>
          </cell>
          <cell r="Q59">
            <v>1.9953596287703015E-2</v>
          </cell>
          <cell r="R59">
            <v>2.1679962458939467E-2</v>
          </cell>
          <cell r="S59">
            <v>1.8984880969573088E-2</v>
          </cell>
          <cell r="T59">
            <v>2.0032395044433743E-2</v>
          </cell>
          <cell r="U59">
            <v>2.0087806959431388E-2</v>
          </cell>
          <cell r="V59">
            <v>1.7745184581607478E-2</v>
          </cell>
          <cell r="W59">
            <v>1.9639859255341171E-2</v>
          </cell>
          <cell r="X59">
            <v>1.905039716375713E-2</v>
          </cell>
          <cell r="Y59">
            <v>1.9130513494324215E-2</v>
          </cell>
          <cell r="Z59">
            <v>2.0003888691912667E-2</v>
          </cell>
          <cell r="AA59">
            <v>1.9491704357296052E-2</v>
          </cell>
          <cell r="AB59">
            <v>1.9988418727346812E-2</v>
          </cell>
          <cell r="AC59">
            <v>2.0438010256030512E-2</v>
          </cell>
          <cell r="AD59">
            <v>2.0002218067746123E-2</v>
          </cell>
          <cell r="AE59">
            <v>3.7478108581436076E-2</v>
          </cell>
          <cell r="AF59">
            <v>2.2580462375339984E-2</v>
          </cell>
          <cell r="AG59">
            <v>2.1307510682433018E-2</v>
          </cell>
          <cell r="AH59">
            <v>2.2991345080602368E-2</v>
          </cell>
          <cell r="AI59">
            <v>2.6072076646076029E-2</v>
          </cell>
          <cell r="AJ59">
            <v>2.2258862324814513E-2</v>
          </cell>
          <cell r="AK59">
            <v>2.479727772951057E-2</v>
          </cell>
          <cell r="AL59">
            <v>2.4105654571098856E-2</v>
          </cell>
          <cell r="AM59">
            <v>2.8879280039372849E-2</v>
          </cell>
          <cell r="AN59">
            <v>2.5034714264529433E-2</v>
          </cell>
          <cell r="AO59">
            <v>2.5333837335781345E-2</v>
          </cell>
          <cell r="AP59">
            <v>2.8838476351510024E-2</v>
          </cell>
          <cell r="AQ59">
            <v>2.7645293054438618E-2</v>
          </cell>
          <cell r="AR59">
            <v>2.9395199555600136E-2</v>
          </cell>
          <cell r="AS59">
            <v>2.7800592689126949E-2</v>
          </cell>
          <cell r="AT59">
            <v>2.2940696647543803E-2</v>
          </cell>
          <cell r="AU59">
            <v>2.4828537748486309E-2</v>
          </cell>
          <cell r="AV59">
            <v>2.494119555519507E-2</v>
          </cell>
          <cell r="AW59">
            <v>2.4630703434523653E-2</v>
          </cell>
          <cell r="AX59">
            <v>2.4337714846591297E-2</v>
          </cell>
          <cell r="AY59">
            <v>2.1494828611541977E-2</v>
          </cell>
          <cell r="AZ59">
            <v>2.2940728325460916E-2</v>
          </cell>
          <cell r="BA59">
            <v>2.4203727986862586E-2</v>
          </cell>
          <cell r="BB59">
            <v>2.5309801419947785E-2</v>
          </cell>
          <cell r="BC59">
            <v>2.3503677518326958E-2</v>
          </cell>
          <cell r="BD59">
            <v>2.2744365319984021E-2</v>
          </cell>
          <cell r="BE59">
            <v>2.4616375776033737E-2</v>
          </cell>
          <cell r="BF59">
            <v>2.4732797456055118E-2</v>
          </cell>
          <cell r="BG59">
            <v>2.3140687374264016E-2</v>
          </cell>
          <cell r="BH59">
            <v>2.3789915690525569E-2</v>
          </cell>
          <cell r="BI59">
            <v>2.7799999999999998E-2</v>
          </cell>
          <cell r="BJ59">
            <v>2.736188652416538E-2</v>
          </cell>
          <cell r="BK59">
            <v>2.7819553136214537E-2</v>
          </cell>
          <cell r="BL59">
            <v>2.9786189150951426E-2</v>
          </cell>
          <cell r="BM59">
            <v>2.8212070108326031E-2</v>
          </cell>
          <cell r="BN59">
            <v>2.9474416798031602E-2</v>
          </cell>
          <cell r="BO59">
            <v>3.1616997690727296E-2</v>
          </cell>
          <cell r="BP59">
            <v>3.1191929955932254E-2</v>
          </cell>
          <cell r="BQ59">
            <v>3.2563691692666451E-2</v>
          </cell>
          <cell r="BR59">
            <v>3.1223266201498279E-2</v>
          </cell>
          <cell r="BS59">
            <v>2.9082526753907864E-2</v>
          </cell>
          <cell r="BT59">
            <v>3.1636468264814768E-2</v>
          </cell>
          <cell r="BU59">
            <v>3.1844797302071182E-2</v>
          </cell>
          <cell r="BV59">
            <v>3.3215407195865312E-2</v>
          </cell>
          <cell r="BW59">
            <v>3.1441335732889118E-2</v>
          </cell>
          <cell r="BX59">
            <v>2.982567296192459E-2</v>
          </cell>
          <cell r="BY59">
            <v>3.1974020653617943E-2</v>
          </cell>
          <cell r="BZ59">
            <v>3.1561927242953654E-2</v>
          </cell>
          <cell r="CA59">
            <v>3.2906231411608651E-2</v>
          </cell>
          <cell r="CB59">
            <v>3.1576328062277267E-2</v>
          </cell>
        </row>
        <row r="60">
          <cell r="B60" t="str">
            <v>Interest expense</v>
          </cell>
          <cell r="D60">
            <v>-2.1897896618254558E-4</v>
          </cell>
          <cell r="E60">
            <v>-2.6048333131234197E-4</v>
          </cell>
          <cell r="F60" t="str">
            <v>NA</v>
          </cell>
          <cell r="G60" t="str">
            <v>NA</v>
          </cell>
          <cell r="H60" t="str">
            <v>NA</v>
          </cell>
          <cell r="I60" t="str">
            <v>NA</v>
          </cell>
          <cell r="J60">
            <v>-1.5823546813619255E-4</v>
          </cell>
          <cell r="K60">
            <v>-9.9799154202168136E-5</v>
          </cell>
          <cell r="L60">
            <v>1.123944807135854E-3</v>
          </cell>
          <cell r="M60">
            <v>0</v>
          </cell>
          <cell r="N60">
            <v>-5.8550751791652999E-5</v>
          </cell>
          <cell r="O60">
            <v>2.3969537448609616E-4</v>
          </cell>
          <cell r="P60">
            <v>-1.4038708438823626E-3</v>
          </cell>
          <cell r="Q60">
            <v>-4.7593551073829496E-5</v>
          </cell>
          <cell r="R60">
            <v>1.020647583294228E-3</v>
          </cell>
          <cell r="S60">
            <v>1.788511314278097E-3</v>
          </cell>
          <cell r="T60">
            <v>3.7064600388156838E-4</v>
          </cell>
          <cell r="U60">
            <v>2.4702725159725576E-3</v>
          </cell>
          <cell r="V60">
            <v>1.5051719064756344E-3</v>
          </cell>
          <cell r="W60">
            <v>1.448842076213693E-3</v>
          </cell>
          <cell r="X60">
            <v>1.3463178207602209E-3</v>
          </cell>
          <cell r="Y60">
            <v>1.6943926634777765E-3</v>
          </cell>
          <cell r="Z60">
            <v>1.1551702446444708E-3</v>
          </cell>
          <cell r="AA60">
            <v>7.1121384199939993E-4</v>
          </cell>
          <cell r="AB60">
            <v>1.136680464108778E-3</v>
          </cell>
          <cell r="AC60">
            <v>1.1755558435307403E-3</v>
          </cell>
          <cell r="AD60">
            <v>1.0509416225693673E-3</v>
          </cell>
          <cell r="AE60">
            <v>1.2779855161641502E-3</v>
          </cell>
          <cell r="AF60">
            <v>1.4449229374433365E-3</v>
          </cell>
          <cell r="AG60">
            <v>1.9978778522335128E-3</v>
          </cell>
          <cell r="AH60">
            <v>1.4821320744359662E-3</v>
          </cell>
          <cell r="AI60">
            <v>1.5489991444071496E-3</v>
          </cell>
          <cell r="AJ60">
            <v>1.3351733037026419E-3</v>
          </cell>
          <cell r="AK60">
            <v>1.9819721980886182E-3</v>
          </cell>
          <cell r="AL60">
            <v>2.335464253658894E-3</v>
          </cell>
          <cell r="AM60">
            <v>3.2869296210363496E-3</v>
          </cell>
          <cell r="AN60">
            <v>2.2401373291811026E-3</v>
          </cell>
          <cell r="AO60">
            <v>4.1888774888335168E-3</v>
          </cell>
          <cell r="AP60">
            <v>4.5011194088268904E-3</v>
          </cell>
          <cell r="AQ60">
            <v>4.6340900223742158E-3</v>
          </cell>
          <cell r="AR60">
            <v>4.4439986729726188E-3</v>
          </cell>
          <cell r="AS60">
            <v>4.4402911551195039E-3</v>
          </cell>
          <cell r="AT60">
            <v>2.8043872481275998E-3</v>
          </cell>
          <cell r="AU60">
            <v>2.7594706102984519E-3</v>
          </cell>
          <cell r="AV60">
            <v>2.696893503122719E-3</v>
          </cell>
          <cell r="AW60">
            <v>2.6172172224700235E-3</v>
          </cell>
          <cell r="AX60">
            <v>2.7188680412612472E-3</v>
          </cell>
          <cell r="AY60">
            <v>2.4094317297022241E-3</v>
          </cell>
          <cell r="AZ60">
            <v>1.9808014627456954E-3</v>
          </cell>
          <cell r="BA60">
            <v>2.5000306376303629E-3</v>
          </cell>
          <cell r="BB60">
            <v>2.9769288017861572E-3</v>
          </cell>
          <cell r="BC60">
            <v>2.4708799970895156E-3</v>
          </cell>
          <cell r="BD60">
            <v>3.1845636795224332E-3</v>
          </cell>
          <cell r="BE60">
            <v>3.1744172425910741E-3</v>
          </cell>
          <cell r="BF60">
            <v>2.9208256043341285E-3</v>
          </cell>
          <cell r="BG60">
            <v>2.7227435986560073E-3</v>
          </cell>
          <cell r="BH60">
            <v>2.9930077515618017E-3</v>
          </cell>
          <cell r="BI60">
            <v>3.559100365649505E-3</v>
          </cell>
          <cell r="BJ60">
            <v>3.426187652734271E-3</v>
          </cell>
          <cell r="BK60">
            <v>3.5764994115091366E-3</v>
          </cell>
          <cell r="BL60">
            <v>3.4776383181572808E-3</v>
          </cell>
          <cell r="BM60">
            <v>3.5091705045747893E-3</v>
          </cell>
          <cell r="BN60">
            <v>4.6113742407688889E-3</v>
          </cell>
          <cell r="BO60">
            <v>4.5147320931316548E-3</v>
          </cell>
          <cell r="BP60">
            <v>4.5257881470859435E-3</v>
          </cell>
          <cell r="BQ60">
            <v>4.5177845193785553E-3</v>
          </cell>
          <cell r="BR60">
            <v>4.5419545275514903E-3</v>
          </cell>
          <cell r="BS60">
            <v>4.6326135440530993E-3</v>
          </cell>
          <cell r="BT60">
            <v>4.8111345016879081E-3</v>
          </cell>
          <cell r="BU60">
            <v>4.8848531697515555E-3</v>
          </cell>
          <cell r="BV60">
            <v>4.8680359880564714E-3</v>
          </cell>
          <cell r="BW60">
            <v>4.7990108738707711E-3</v>
          </cell>
          <cell r="BX60">
            <v>4.9717830570036549E-3</v>
          </cell>
          <cell r="BY60">
            <v>5.070571025690411E-3</v>
          </cell>
          <cell r="BZ60">
            <v>4.9718977989163162E-3</v>
          </cell>
          <cell r="CA60">
            <v>4.9708723064884738E-3</v>
          </cell>
          <cell r="CB60">
            <v>4.9963052598541065E-3</v>
          </cell>
        </row>
        <row r="61">
          <cell r="B61" t="str">
            <v>Tax rate</v>
          </cell>
          <cell r="D61">
            <v>0.54175459752788313</v>
          </cell>
          <cell r="E61">
            <v>0.51553072625698493</v>
          </cell>
          <cell r="F61" t="str">
            <v>NA</v>
          </cell>
          <cell r="G61" t="str">
            <v>NA</v>
          </cell>
          <cell r="H61" t="str">
            <v>NA</v>
          </cell>
          <cell r="I61" t="str">
            <v>NA</v>
          </cell>
          <cell r="J61">
            <v>0.50491993054215212</v>
          </cell>
          <cell r="K61">
            <v>0.41966893865627969</v>
          </cell>
          <cell r="L61">
            <v>0.41727019498607498</v>
          </cell>
          <cell r="M61">
            <v>0.41806451612903123</v>
          </cell>
          <cell r="N61">
            <v>0.4142076502732232</v>
          </cell>
          <cell r="O61">
            <v>0.41705626309850119</v>
          </cell>
          <cell r="P61">
            <v>0.41580756013745701</v>
          </cell>
          <cell r="Q61">
            <v>0.41555555555555634</v>
          </cell>
          <cell r="R61">
            <v>0.41584158415841543</v>
          </cell>
          <cell r="S61">
            <v>0.4155138339920918</v>
          </cell>
          <cell r="T61">
            <v>0.41567174420200437</v>
          </cell>
          <cell r="U61">
            <v>0.40732265446224514</v>
          </cell>
          <cell r="V61">
            <v>0.40122295390404383</v>
          </cell>
          <cell r="W61">
            <v>0.40141915864166838</v>
          </cell>
          <cell r="X61">
            <v>0.40162454873646275</v>
          </cell>
          <cell r="Y61">
            <v>0.40270370829716357</v>
          </cell>
          <cell r="Z61">
            <v>0.39678160919540223</v>
          </cell>
          <cell r="AA61">
            <v>0.39868708971553413</v>
          </cell>
          <cell r="AB61">
            <v>0.28119266055045583</v>
          </cell>
          <cell r="AC61">
            <v>0.3880235375562483</v>
          </cell>
          <cell r="AD61">
            <v>0.36813936404659342</v>
          </cell>
          <cell r="AE61">
            <v>0.39622641509433559</v>
          </cell>
          <cell r="AF61">
            <v>0.37741347905282335</v>
          </cell>
          <cell r="AG61">
            <v>0.37038292104371623</v>
          </cell>
          <cell r="AH61">
            <v>0.37842977451779336</v>
          </cell>
          <cell r="AI61">
            <v>0.37711236288170719</v>
          </cell>
          <cell r="AJ61">
            <v>0.39710399297937787</v>
          </cell>
          <cell r="AK61">
            <v>0.39310929116068866</v>
          </cell>
          <cell r="AL61">
            <v>0.39944055944055828</v>
          </cell>
          <cell r="AM61">
            <v>0.38214285714285839</v>
          </cell>
          <cell r="AN61">
            <v>0.39337501662897451</v>
          </cell>
          <cell r="AO61">
            <v>0.39687499999999937</v>
          </cell>
          <cell r="AP61">
            <v>0.39885583524027463</v>
          </cell>
          <cell r="AQ61">
            <v>0.34039705554316502</v>
          </cell>
          <cell r="AR61">
            <v>0.40034965034965159</v>
          </cell>
          <cell r="AS61">
            <v>0.38410854877435996</v>
          </cell>
          <cell r="AT61">
            <v>0.40160394818013539</v>
          </cell>
          <cell r="AU61">
            <v>0.40890151515151579</v>
          </cell>
          <cell r="AV61">
            <v>0.39279898679211139</v>
          </cell>
          <cell r="AW61">
            <v>0.36311077955986543</v>
          </cell>
          <cell r="AX61">
            <v>0.39130848231266635</v>
          </cell>
          <cell r="AY61">
            <v>0.39789592335149432</v>
          </cell>
          <cell r="AZ61">
            <v>0.38687510736986724</v>
          </cell>
          <cell r="BA61">
            <v>0.39346938775510204</v>
          </cell>
          <cell r="BB61">
            <v>0.3767495471760246</v>
          </cell>
          <cell r="BC61">
            <v>0.38848427726844309</v>
          </cell>
          <cell r="BD61">
            <v>0.40068369917236474</v>
          </cell>
          <cell r="BE61">
            <v>0.38522238163558131</v>
          </cell>
          <cell r="BF61">
            <v>0.39644970414201164</v>
          </cell>
          <cell r="BG61">
            <v>0.36999860588317268</v>
          </cell>
          <cell r="BH61">
            <v>0.38713355048859932</v>
          </cell>
          <cell r="BI61">
            <v>0.39</v>
          </cell>
          <cell r="BJ61">
            <v>0.39</v>
          </cell>
          <cell r="BK61">
            <v>0.39</v>
          </cell>
          <cell r="BL61">
            <v>0.39</v>
          </cell>
          <cell r="BM61">
            <v>0.39000000000000007</v>
          </cell>
          <cell r="BN61">
            <v>0.39</v>
          </cell>
          <cell r="BO61">
            <v>0.39</v>
          </cell>
          <cell r="BP61">
            <v>0.39</v>
          </cell>
          <cell r="BQ61">
            <v>0.39</v>
          </cell>
          <cell r="BR61">
            <v>0.39</v>
          </cell>
          <cell r="BS61">
            <v>0.39</v>
          </cell>
          <cell r="BT61">
            <v>0.39</v>
          </cell>
          <cell r="BU61">
            <v>0.39</v>
          </cell>
          <cell r="BV61">
            <v>0.39</v>
          </cell>
          <cell r="BW61">
            <v>0.39</v>
          </cell>
          <cell r="BX61">
            <v>0.39</v>
          </cell>
          <cell r="BY61">
            <v>0.39</v>
          </cell>
          <cell r="BZ61">
            <v>0.39</v>
          </cell>
          <cell r="CA61">
            <v>0.39</v>
          </cell>
          <cell r="CB61">
            <v>0.39</v>
          </cell>
        </row>
        <row r="63">
          <cell r="B63" t="str">
            <v>Y/Y Growth</v>
          </cell>
        </row>
        <row r="64">
          <cell r="B64" t="str">
            <v>Revenues</v>
          </cell>
          <cell r="D64" t="str">
            <v>NA</v>
          </cell>
          <cell r="E64">
            <v>0.31779766343524707</v>
          </cell>
          <cell r="F64" t="str">
            <v>NA</v>
          </cell>
          <cell r="G64" t="str">
            <v>NA</v>
          </cell>
          <cell r="H64" t="str">
            <v>NA</v>
          </cell>
          <cell r="I64" t="str">
            <v>NA</v>
          </cell>
          <cell r="J64">
            <v>0.30558736745664983</v>
          </cell>
          <cell r="K64" t="str">
            <v>NA</v>
          </cell>
          <cell r="L64" t="str">
            <v>NA</v>
          </cell>
          <cell r="M64" t="str">
            <v>NA</v>
          </cell>
          <cell r="N64" t="str">
            <v>NA</v>
          </cell>
          <cell r="O64">
            <v>0.13373992968841364</v>
          </cell>
          <cell r="P64">
            <v>3.9670163795361812E-2</v>
          </cell>
          <cell r="Q64">
            <v>4.9142693163068962E-3</v>
          </cell>
          <cell r="R64">
            <v>6.0291318895923762E-2</v>
          </cell>
          <cell r="S64">
            <v>5.4136025106562347E-2</v>
          </cell>
          <cell r="T64">
            <v>3.9625589756815405E-2</v>
          </cell>
          <cell r="U64">
            <v>6.8609687908712358E-2</v>
          </cell>
          <cell r="V64">
            <v>5.136533999643067E-2</v>
          </cell>
          <cell r="W64">
            <v>2.0248709526043962E-2</v>
          </cell>
          <cell r="X64">
            <v>-9.8534753774204287E-3</v>
          </cell>
          <cell r="Y64">
            <v>3.1735469655182369E-2</v>
          </cell>
          <cell r="Z64">
            <v>-1.8257559595324491E-2</v>
          </cell>
          <cell r="AA64">
            <v>1.8390258255811309E-2</v>
          </cell>
          <cell r="AB64">
            <v>7.2304118851045596E-2</v>
          </cell>
          <cell r="AC64">
            <v>0.21206749540008096</v>
          </cell>
          <cell r="AD64">
            <v>7.1252181636630718E-2</v>
          </cell>
          <cell r="AE64">
            <v>0.20818226527741257</v>
          </cell>
          <cell r="AF64">
            <v>0.17670330158800707</v>
          </cell>
          <cell r="AG64">
            <v>0.12178566066871088</v>
          </cell>
          <cell r="AH64">
            <v>1.1737045744858232E-2</v>
          </cell>
          <cell r="AI64">
            <v>0.12338794004879738</v>
          </cell>
          <cell r="AJ64">
            <v>5.6430160458181389E-2</v>
          </cell>
          <cell r="AK64">
            <v>4.3517679057117009E-2</v>
          </cell>
          <cell r="AL64">
            <v>4.3733450593150147E-2</v>
          </cell>
          <cell r="AM64">
            <v>4.1005654059395047E-2</v>
          </cell>
          <cell r="AN64">
            <v>4.6131498039658103E-2</v>
          </cell>
          <cell r="AO64">
            <v>0.16159181332664274</v>
          </cell>
          <cell r="AP64">
            <v>0.156114248479583</v>
          </cell>
          <cell r="AQ64">
            <v>0.15024820031872199</v>
          </cell>
          <cell r="AR64">
            <v>0.13911446249033244</v>
          </cell>
          <cell r="AS64">
            <v>0.1517024594326184</v>
          </cell>
          <cell r="AT64">
            <v>0.14433498676993572</v>
          </cell>
          <cell r="AU64">
            <v>0.16875675167911308</v>
          </cell>
          <cell r="AV64">
            <v>0.17801434816189077</v>
          </cell>
          <cell r="AW64">
            <v>0.17620917654864887</v>
          </cell>
          <cell r="AX64">
            <v>0.16673332305849464</v>
          </cell>
          <cell r="AY64">
            <v>9.9569229939530324E-2</v>
          </cell>
          <cell r="AZ64">
            <v>9.8932379574559359E-2</v>
          </cell>
          <cell r="BA64">
            <v>0.1030767566982993</v>
          </cell>
          <cell r="BB64">
            <v>0.11052659197649106</v>
          </cell>
          <cell r="BC64">
            <v>0.10307118384463987</v>
          </cell>
          <cell r="BD64">
            <v>4.3449472438675807E-2</v>
          </cell>
          <cell r="BE64">
            <v>4.062166692061564E-2</v>
          </cell>
          <cell r="BF64">
            <v>4.0545840022549351E-2</v>
          </cell>
          <cell r="BG64">
            <v>0.1215579260729347</v>
          </cell>
          <cell r="BH64">
            <v>6.2073659509704893E-2</v>
          </cell>
          <cell r="BI64">
            <v>-0.14797586243433458</v>
          </cell>
          <cell r="BJ64">
            <v>-0.14868950800574132</v>
          </cell>
          <cell r="BK64">
            <v>-0.15888070188661618</v>
          </cell>
          <cell r="BL64">
            <v>-0.19906723498362144</v>
          </cell>
          <cell r="BM64">
            <v>-0.16463934411283809</v>
          </cell>
          <cell r="BN64">
            <v>-0.1935159824154753</v>
          </cell>
          <cell r="BO64">
            <v>-0.17764707169332106</v>
          </cell>
          <cell r="BP64">
            <v>-0.15251998303409009</v>
          </cell>
          <cell r="BQ64">
            <v>-0.20896712637396242</v>
          </cell>
          <cell r="BR64">
            <v>-0.18358505056738883</v>
          </cell>
          <cell r="BS64">
            <v>3.18752103816069E-2</v>
          </cell>
          <cell r="BT64">
            <v>1.5941839352548115E-2</v>
          </cell>
          <cell r="BU64">
            <v>-4.2594836667169123E-3</v>
          </cell>
          <cell r="BV64">
            <v>-5.1465155220764558E-3</v>
          </cell>
          <cell r="BW64">
            <v>9.4145563492238349E-3</v>
          </cell>
          <cell r="BX64">
            <v>-7.5251259789254066E-3</v>
          </cell>
          <cell r="BY64">
            <v>5.5630700993776205E-3</v>
          </cell>
          <cell r="BZ64">
            <v>2.5405853841722559E-2</v>
          </cell>
          <cell r="CA64">
            <v>2.3392766266153497E-2</v>
          </cell>
          <cell r="CB64">
            <v>1.1671328835487049E-2</v>
          </cell>
        </row>
        <row r="65">
          <cell r="B65" t="str">
            <v>Gross profit</v>
          </cell>
          <cell r="D65" t="str">
            <v>NA</v>
          </cell>
          <cell r="E65">
            <v>0.20214030915576253</v>
          </cell>
          <cell r="F65" t="str">
            <v>NA</v>
          </cell>
          <cell r="G65" t="str">
            <v>NA</v>
          </cell>
          <cell r="H65" t="str">
            <v>NA</v>
          </cell>
          <cell r="I65" t="str">
            <v>NA</v>
          </cell>
          <cell r="J65">
            <v>0.15448251056560269</v>
          </cell>
          <cell r="K65" t="str">
            <v>NA</v>
          </cell>
          <cell r="L65" t="str">
            <v>NA</v>
          </cell>
          <cell r="M65" t="str">
            <v>NA</v>
          </cell>
          <cell r="N65" t="str">
            <v>NA</v>
          </cell>
          <cell r="O65">
            <v>1.3163018926703129E-2</v>
          </cell>
          <cell r="P65">
            <v>0.35307781649244974</v>
          </cell>
          <cell r="Q65">
            <v>9.5069382934752866E-2</v>
          </cell>
          <cell r="R65">
            <v>0.13319731856601513</v>
          </cell>
          <cell r="S65">
            <v>0.14503605102607064</v>
          </cell>
          <cell r="T65">
            <v>0.17012607626076215</v>
          </cell>
          <cell r="U65">
            <v>0.20371959942775075</v>
          </cell>
          <cell r="V65">
            <v>0.15314100835805111</v>
          </cell>
          <cell r="W65">
            <v>9.4907407407399447E-2</v>
          </cell>
          <cell r="X65">
            <v>8.5977234197137431E-2</v>
          </cell>
          <cell r="Y65">
            <v>0.13166020629393227</v>
          </cell>
          <cell r="Z65">
            <v>6.3703351556931631E-2</v>
          </cell>
          <cell r="AA65">
            <v>6.453121346738433E-2</v>
          </cell>
          <cell r="AB65">
            <v>8.7855297157635404E-2</v>
          </cell>
          <cell r="AC65">
            <v>0.28657448706512056</v>
          </cell>
          <cell r="AD65">
            <v>0.12789550072569589</v>
          </cell>
          <cell r="AE65">
            <v>0.20268156424581174</v>
          </cell>
          <cell r="AF65">
            <v>0.2815725895014245</v>
          </cell>
          <cell r="AG65">
            <v>0.28158065212696037</v>
          </cell>
          <cell r="AH65">
            <v>0.1963945224475665</v>
          </cell>
          <cell r="AI65">
            <v>0.23810994441012867</v>
          </cell>
          <cell r="AJ65">
            <v>0.4375696767001076</v>
          </cell>
          <cell r="AK65">
            <v>0.20754070265638447</v>
          </cell>
          <cell r="AL65">
            <v>0.18079191238416725</v>
          </cell>
          <cell r="AM65">
            <v>0.11011301072152735</v>
          </cell>
          <cell r="AN65">
            <v>0.22445331337822982</v>
          </cell>
          <cell r="AO65">
            <v>0.16350006462453415</v>
          </cell>
          <cell r="AP65">
            <v>0.32486517172863971</v>
          </cell>
          <cell r="AQ65">
            <v>0.31963470319634135</v>
          </cell>
          <cell r="AR65">
            <v>0.26611850691725381</v>
          </cell>
          <cell r="AS65">
            <v>0.26594913930669084</v>
          </cell>
          <cell r="AT65">
            <v>4.8766940679848547E-2</v>
          </cell>
          <cell r="AU65">
            <v>8.8162828066415955E-2</v>
          </cell>
          <cell r="AV65">
            <v>0.12456747404844593</v>
          </cell>
          <cell r="AW65">
            <v>5.875682919286862E-2</v>
          </cell>
          <cell r="AX65">
            <v>8.0030038084003774E-2</v>
          </cell>
          <cell r="AY65">
            <v>5.1477597712105139E-2</v>
          </cell>
          <cell r="AZ65">
            <v>2.2932163274453243E-2</v>
          </cell>
          <cell r="BA65">
            <v>7.6442307692307754E-2</v>
          </cell>
          <cell r="BB65">
            <v>0.13056177587381979</v>
          </cell>
          <cell r="BC65">
            <v>7.6508567171587716E-2</v>
          </cell>
          <cell r="BD65">
            <v>7.8170645713710574E-2</v>
          </cell>
          <cell r="BE65">
            <v>4.1160403127059375E-2</v>
          </cell>
          <cell r="BF65">
            <v>4.3412237606074378E-2</v>
          </cell>
          <cell r="BG65">
            <v>0.10291078194970704</v>
          </cell>
          <cell r="BH65">
            <v>6.6757398906601706E-2</v>
          </cell>
          <cell r="BI65">
            <v>-1.3834714444923124E-2</v>
          </cell>
          <cell r="BJ65">
            <v>-6.3225623185317881E-3</v>
          </cell>
          <cell r="BK65">
            <v>-5.369023418862362E-3</v>
          </cell>
          <cell r="BL65">
            <v>-1.3567669692419293E-2</v>
          </cell>
          <cell r="BM65">
            <v>-9.8267761029227074E-3</v>
          </cell>
          <cell r="BN65">
            <v>-4.6150984711356147E-3</v>
          </cell>
          <cell r="BO65">
            <v>-4.5471319639364127E-3</v>
          </cell>
          <cell r="BP65">
            <v>-1.4535604686711001E-2</v>
          </cell>
          <cell r="BQ65">
            <v>-8.917743181573079E-2</v>
          </cell>
          <cell r="BR65">
            <v>-3.0445943245265172E-2</v>
          </cell>
          <cell r="BS65">
            <v>4.9206984458725733E-2</v>
          </cell>
          <cell r="BT65">
            <v>5.2769024358338967E-2</v>
          </cell>
          <cell r="BU65">
            <v>5.858880587745352E-2</v>
          </cell>
          <cell r="BV65">
            <v>5.845170609874728E-2</v>
          </cell>
          <cell r="BW65">
            <v>5.4899782684967979E-2</v>
          </cell>
          <cell r="BX65">
            <v>4.6593455683400009E-2</v>
          </cell>
          <cell r="BY65">
            <v>4.1699944353769558E-2</v>
          </cell>
          <cell r="BZ65">
            <v>3.7735348738131114E-2</v>
          </cell>
          <cell r="CA65">
            <v>3.5466226793863687E-2</v>
          </cell>
          <cell r="CB65">
            <v>4.0204625209695255E-2</v>
          </cell>
        </row>
        <row r="66">
          <cell r="B66" t="str">
            <v>EBITDA</v>
          </cell>
          <cell r="D66" t="str">
            <v>NA</v>
          </cell>
          <cell r="E66">
            <v>0.23567202028739787</v>
          </cell>
          <cell r="F66" t="str">
            <v>NA</v>
          </cell>
          <cell r="G66" t="str">
            <v>NA</v>
          </cell>
          <cell r="H66" t="str">
            <v>NA</v>
          </cell>
          <cell r="I66" t="str">
            <v>NA</v>
          </cell>
          <cell r="J66">
            <v>0.14461622656999151</v>
          </cell>
          <cell r="K66" t="str">
            <v>NA</v>
          </cell>
          <cell r="L66" t="str">
            <v>NA</v>
          </cell>
          <cell r="M66" t="str">
            <v>NA</v>
          </cell>
          <cell r="N66" t="str">
            <v>NA</v>
          </cell>
          <cell r="O66">
            <v>5.8570404016248911E-2</v>
          </cell>
          <cell r="P66">
            <v>1.2826300294406239</v>
          </cell>
          <cell r="Q66">
            <v>0.31815775542615699</v>
          </cell>
          <cell r="R66">
            <v>0.15077910174152009</v>
          </cell>
          <cell r="S66">
            <v>0.60000000000000475</v>
          </cell>
          <cell r="T66">
            <v>0.15706865401987313</v>
          </cell>
          <cell r="U66">
            <v>0.30696474634565307</v>
          </cell>
          <cell r="V66">
            <v>0.28714859437751472</v>
          </cell>
          <cell r="W66">
            <v>0.19673436877736705</v>
          </cell>
          <cell r="X66">
            <v>9.0753424657527448E-2</v>
          </cell>
          <cell r="Y66">
            <v>0.21352591002243981</v>
          </cell>
          <cell r="Z66">
            <v>3.2894736842108863E-2</v>
          </cell>
          <cell r="AA66">
            <v>-3.7441497659895795E-3</v>
          </cell>
          <cell r="AB66">
            <v>5.5906821963412234E-2</v>
          </cell>
          <cell r="AC66">
            <v>0.25494505494505493</v>
          </cell>
          <cell r="AD66">
            <v>8.5886610373953509E-2</v>
          </cell>
          <cell r="AE66">
            <v>0.13025477707006616</v>
          </cell>
          <cell r="AF66">
            <v>0.20826808643908112</v>
          </cell>
          <cell r="AG66">
            <v>0.30129215253701647</v>
          </cell>
          <cell r="AH66">
            <v>0.19914936202151901</v>
          </cell>
          <cell r="AI66">
            <v>0.20928682514996377</v>
          </cell>
          <cell r="AJ66">
            <v>0.59706959706959051</v>
          </cell>
          <cell r="AK66">
            <v>0.23017107309486895</v>
          </cell>
          <cell r="AL66">
            <v>0.1545168321627588</v>
          </cell>
          <cell r="AM66">
            <v>5.6332151053581914E-3</v>
          </cell>
          <cell r="AN66">
            <v>0.22487598750688931</v>
          </cell>
          <cell r="AO66">
            <v>7.9569513055754992E-2</v>
          </cell>
          <cell r="AP66">
            <v>0.27265065318162574</v>
          </cell>
          <cell r="AQ66">
            <v>0.29284665408012578</v>
          </cell>
          <cell r="AR66">
            <v>0.30518672199170105</v>
          </cell>
          <cell r="AS66">
            <v>0.23058847057647025</v>
          </cell>
          <cell r="AT66">
            <v>5.7362314103611034E-2</v>
          </cell>
          <cell r="AU66">
            <v>0.1413907284768201</v>
          </cell>
          <cell r="AV66">
            <v>0.16712639948077723</v>
          </cell>
          <cell r="AW66">
            <v>0.10443490701001745</v>
          </cell>
          <cell r="AX66">
            <v>0.1174582537683353</v>
          </cell>
          <cell r="AY66">
            <v>6.1051004636782702E-2</v>
          </cell>
          <cell r="AZ66">
            <v>2.6246723896416357E-2</v>
          </cell>
          <cell r="BA66">
            <v>7.1875434450159981E-2</v>
          </cell>
          <cell r="BB66">
            <v>0.1319804260218771</v>
          </cell>
          <cell r="BC66">
            <v>8.1333624200116361E-2</v>
          </cell>
          <cell r="BD66">
            <v>6.9482884195193773E-2</v>
          </cell>
          <cell r="BE66">
            <v>8.0810847829051458E-3</v>
          </cell>
          <cell r="BF66">
            <v>3.8780804150454262E-2</v>
          </cell>
          <cell r="BG66">
            <v>0.14367450731087095</v>
          </cell>
          <cell r="BH66">
            <v>6.6104031471705627E-2</v>
          </cell>
          <cell r="BI66">
            <v>-3.2195795690562967E-2</v>
          </cell>
          <cell r="BJ66">
            <v>3.1112072220154996E-2</v>
          </cell>
          <cell r="BK66">
            <v>2.7180377735219752E-2</v>
          </cell>
          <cell r="BL66">
            <v>-3.4433092815444377E-2</v>
          </cell>
          <cell r="BM66">
            <v>-3.1675877570668254E-3</v>
          </cell>
          <cell r="BN66">
            <v>7.5375425813068553E-2</v>
          </cell>
          <cell r="BO66">
            <v>1.9496638982028802E-2</v>
          </cell>
          <cell r="BP66">
            <v>3.5189729331490671E-3</v>
          </cell>
          <cell r="BQ66">
            <v>-5.9195185485106161E-2</v>
          </cell>
          <cell r="BR66">
            <v>6.276284054445247E-3</v>
          </cell>
          <cell r="BS66">
            <v>5.9466668127264422E-2</v>
          </cell>
          <cell r="BT66">
            <v>6.6482707305654642E-2</v>
          </cell>
          <cell r="BU66">
            <v>7.3670530409412738E-2</v>
          </cell>
          <cell r="BV66">
            <v>7.5233573744398319E-2</v>
          </cell>
          <cell r="BW66">
            <v>6.8911062124854539E-2</v>
          </cell>
          <cell r="BX66">
            <v>5.5710858049532019E-2</v>
          </cell>
          <cell r="BY66">
            <v>5.0588597794524626E-2</v>
          </cell>
          <cell r="BZ66">
            <v>4.4541089110884391E-2</v>
          </cell>
          <cell r="CA66">
            <v>4.2889879747540105E-2</v>
          </cell>
          <cell r="CB66">
            <v>4.8242000913007566E-2</v>
          </cell>
        </row>
        <row r="67">
          <cell r="B67" t="str">
            <v>EBIT</v>
          </cell>
          <cell r="D67" t="str">
            <v>NA</v>
          </cell>
          <cell r="E67">
            <v>0.34664634146340112</v>
          </cell>
          <cell r="F67" t="str">
            <v>NA</v>
          </cell>
          <cell r="G67" t="str">
            <v>NA</v>
          </cell>
          <cell r="H67" t="str">
            <v>NA</v>
          </cell>
          <cell r="I67" t="str">
            <v>NA</v>
          </cell>
          <cell r="J67">
            <v>0.16300656554223858</v>
          </cell>
          <cell r="K67" t="str">
            <v>NA</v>
          </cell>
          <cell r="L67" t="str">
            <v>NA</v>
          </cell>
          <cell r="M67" t="str">
            <v>NA</v>
          </cell>
          <cell r="N67" t="str">
            <v>NA</v>
          </cell>
          <cell r="O67">
            <v>0.22289273895268269</v>
          </cell>
          <cell r="P67">
            <v>0.59862610402354965</v>
          </cell>
          <cell r="Q67">
            <v>-4.9232398094226193E-2</v>
          </cell>
          <cell r="R67">
            <v>0.16387096774193388</v>
          </cell>
          <cell r="S67">
            <v>0.19726027397260837</v>
          </cell>
          <cell r="T67">
            <v>0.18019738936644303</v>
          </cell>
          <cell r="U67">
            <v>0.2081031307550576</v>
          </cell>
          <cell r="V67">
            <v>0.25779510022272367</v>
          </cell>
          <cell r="W67">
            <v>0.16352549889133527</v>
          </cell>
          <cell r="X67">
            <v>6.9107551487405328E-2</v>
          </cell>
          <cell r="Y67">
            <v>0.16833018613433248</v>
          </cell>
          <cell r="Z67">
            <v>0.15650406504065706</v>
          </cell>
          <cell r="AA67">
            <v>3.9840637450200944E-2</v>
          </cell>
          <cell r="AB67">
            <v>8.9090042877586484E-2</v>
          </cell>
          <cell r="AC67">
            <v>0.29109589041095929</v>
          </cell>
          <cell r="AD67">
            <v>0.14604017547911741</v>
          </cell>
          <cell r="AE67">
            <v>-0.61467486818980333</v>
          </cell>
          <cell r="AF67">
            <v>0.23371647509577942</v>
          </cell>
          <cell r="AG67">
            <v>0.38232720909884121</v>
          </cell>
          <cell r="AH67">
            <v>0.27420424403183419</v>
          </cell>
          <cell r="AI67">
            <v>8.5725798327791036E-2</v>
          </cell>
          <cell r="AJ67">
            <v>4.3671607753705226</v>
          </cell>
          <cell r="AK67">
            <v>0.29744651483782047</v>
          </cell>
          <cell r="AL67">
            <v>0.21202531645570666</v>
          </cell>
          <cell r="AM67">
            <v>-2.8363257871459213E-2</v>
          </cell>
          <cell r="AN67">
            <v>0.48738170347002896</v>
          </cell>
          <cell r="AO67">
            <v>6.713405566178432E-2</v>
          </cell>
          <cell r="AP67">
            <v>0.31515957446808396</v>
          </cell>
          <cell r="AQ67">
            <v>0.32245430809398412</v>
          </cell>
          <cell r="AR67">
            <v>0.37975361542581698</v>
          </cell>
          <cell r="AS67">
            <v>0.25912294928575741</v>
          </cell>
          <cell r="AT67">
            <v>5.0965558431215641E-2</v>
          </cell>
          <cell r="AU67">
            <v>0.15106167846309249</v>
          </cell>
          <cell r="AV67">
            <v>0.16999012833169425</v>
          </cell>
          <cell r="AW67">
            <v>0.11820652173913415</v>
          </cell>
          <cell r="AX67">
            <v>0.12251672033688576</v>
          </cell>
          <cell r="AY67">
            <v>8.2780829702592262E-2</v>
          </cell>
          <cell r="AZ67">
            <v>4.004654155690357E-2</v>
          </cell>
          <cell r="BA67">
            <v>0.10242996962537965</v>
          </cell>
          <cell r="BB67">
            <v>0.14164207602846779</v>
          </cell>
          <cell r="BC67">
            <v>0.10212728396151483</v>
          </cell>
          <cell r="BD67">
            <v>6.7179846046186764E-2</v>
          </cell>
          <cell r="BE67">
            <v>-4.5558086560379962E-3</v>
          </cell>
          <cell r="BF67">
            <v>3.3062911373029857E-2</v>
          </cell>
          <cell r="BG67">
            <v>0.16922609092291307</v>
          </cell>
          <cell r="BH67">
            <v>6.7475572641358061E-2</v>
          </cell>
          <cell r="BI67">
            <v>-4.9078939665592292E-2</v>
          </cell>
          <cell r="BJ67">
            <v>2.7130573968672911E-2</v>
          </cell>
          <cell r="BK67">
            <v>2.5587145544728962E-2</v>
          </cell>
          <cell r="BL67">
            <v>-4.0276420009742742E-2</v>
          </cell>
          <cell r="BM67">
            <v>-1.0144978992884357E-2</v>
          </cell>
          <cell r="BN67">
            <v>9.2333088384400241E-2</v>
          </cell>
          <cell r="BO67">
            <v>2.3545521096267397E-2</v>
          </cell>
          <cell r="BP67">
            <v>4.1824324697679049E-3</v>
          </cell>
          <cell r="BQ67">
            <v>-6.9662237738535637E-2</v>
          </cell>
          <cell r="BR67">
            <v>7.5179084340468716E-3</v>
          </cell>
          <cell r="BS67">
            <v>7.1714373411665422E-2</v>
          </cell>
          <cell r="BT67">
            <v>7.9971619152936713E-2</v>
          </cell>
          <cell r="BU67">
            <v>8.7502361980698051E-2</v>
          </cell>
          <cell r="BV67">
            <v>8.953268513735213E-2</v>
          </cell>
          <cell r="BW67">
            <v>8.244187257037372E-2</v>
          </cell>
          <cell r="BX67">
            <v>6.6417219803514227E-2</v>
          </cell>
          <cell r="BY67">
            <v>6.0092643565933912E-2</v>
          </cell>
          <cell r="BZ67">
            <v>5.2230915208214101E-2</v>
          </cell>
          <cell r="CA67">
            <v>5.0371780148356304E-2</v>
          </cell>
          <cell r="CB67">
            <v>5.6992958821271422E-2</v>
          </cell>
        </row>
        <row r="68">
          <cell r="B68" t="str">
            <v>Pre-tax income</v>
          </cell>
          <cell r="D68" t="str">
            <v>NA</v>
          </cell>
          <cell r="E68">
            <v>0.34911064214650467</v>
          </cell>
          <cell r="F68" t="str">
            <v>NA</v>
          </cell>
          <cell r="G68" t="str">
            <v>NA</v>
          </cell>
          <cell r="H68" t="str">
            <v>NA</v>
          </cell>
          <cell r="I68" t="str">
            <v>NA</v>
          </cell>
          <cell r="J68">
            <v>0.15821229050280849</v>
          </cell>
          <cell r="K68" t="str">
            <v>NA</v>
          </cell>
          <cell r="L68" t="str">
            <v>NA</v>
          </cell>
          <cell r="M68" t="str">
            <v>NA</v>
          </cell>
          <cell r="N68" t="str">
            <v>NA</v>
          </cell>
          <cell r="O68">
            <v>0.19679722168626901</v>
          </cell>
          <cell r="P68">
            <v>0.70009737098344371</v>
          </cell>
          <cell r="Q68">
            <v>2.7855153203384386E-3</v>
          </cell>
          <cell r="R68">
            <v>0.10774193548386957</v>
          </cell>
          <cell r="S68">
            <v>0.10601092896175457</v>
          </cell>
          <cell r="T68">
            <v>0.17475415121715199</v>
          </cell>
          <cell r="U68">
            <v>1.1454753722732747E-3</v>
          </cell>
          <cell r="V68">
            <v>0.18111111111111722</v>
          </cell>
          <cell r="W68">
            <v>0.14909726266742496</v>
          </cell>
          <cell r="X68">
            <v>9.486166007904151E-2</v>
          </cell>
          <cell r="Y68">
            <v>0.10649101139013872</v>
          </cell>
          <cell r="Z68">
            <v>0.24427917620138095</v>
          </cell>
          <cell r="AA68">
            <v>7.4788334901224607E-2</v>
          </cell>
          <cell r="AB68">
            <v>0.10491637100864382</v>
          </cell>
          <cell r="AC68">
            <v>0.30370036101083087</v>
          </cell>
          <cell r="AD68">
            <v>0.18181818181819631</v>
          </cell>
          <cell r="AE68">
            <v>-0.6588505747126403</v>
          </cell>
          <cell r="AF68">
            <v>0.20131291028445775</v>
          </cell>
          <cell r="AG68">
            <v>0.3536697247706202</v>
          </cell>
          <cell r="AH68">
            <v>0.27414330218068939</v>
          </cell>
          <cell r="AI68">
            <v>6.1916255640674045E-2</v>
          </cell>
          <cell r="AJ68">
            <v>5.142857142857066</v>
          </cell>
          <cell r="AK68">
            <v>0.28998178506375383</v>
          </cell>
          <cell r="AL68">
            <v>0.21145374449340304</v>
          </cell>
          <cell r="AM68">
            <v>-8.720456397718479E-2</v>
          </cell>
          <cell r="AN68">
            <v>0.48571993279968106</v>
          </cell>
          <cell r="AO68">
            <v>-1.7112768758223318E-2</v>
          </cell>
          <cell r="AP68">
            <v>0.23411465687658728</v>
          </cell>
          <cell r="AQ68">
            <v>0.25398601398600285</v>
          </cell>
          <cell r="AR68">
            <v>0.36190476190476195</v>
          </cell>
          <cell r="AS68">
            <v>0.19123320473593042</v>
          </cell>
          <cell r="AT68">
            <v>8.5491071428570597E-2</v>
          </cell>
          <cell r="AU68">
            <v>0.20823798627002099</v>
          </cell>
          <cell r="AV68">
            <v>0.23287976801249899</v>
          </cell>
          <cell r="AW68">
            <v>0.17176573426573882</v>
          </cell>
          <cell r="AX68">
            <v>0.17438159584566648</v>
          </cell>
          <cell r="AY68">
            <v>9.4591815751590591E-2</v>
          </cell>
          <cell r="AZ68">
            <v>5.9648658057177117E-2</v>
          </cell>
          <cell r="BA68">
            <v>0.10819612809842583</v>
          </cell>
          <cell r="BB68">
            <v>0.13259977620290986</v>
          </cell>
          <cell r="BC68">
            <v>0.10983263598326354</v>
          </cell>
          <cell r="BD68">
            <v>4.4148036821341829E-2</v>
          </cell>
          <cell r="BE68">
            <v>-4.20889881463683E-2</v>
          </cell>
          <cell r="BF68">
            <v>2.0897959183673986E-2</v>
          </cell>
          <cell r="BG68">
            <v>0.18112958998847328</v>
          </cell>
          <cell r="BH68">
            <v>5.2180618627366782E-2</v>
          </cell>
          <cell r="BI68">
            <v>-4.920665552540715E-2</v>
          </cell>
          <cell r="BJ68">
            <v>3.7657647514295345E-2</v>
          </cell>
          <cell r="BK68">
            <v>2.5242206808770762E-2</v>
          </cell>
          <cell r="BL68">
            <v>-4.4836797446792032E-2</v>
          </cell>
          <cell r="BM68">
            <v>-9.2543313428787854E-3</v>
          </cell>
          <cell r="BN68">
            <v>9.6962993283490562E-2</v>
          </cell>
          <cell r="BO68">
            <v>1.8374397768572637E-2</v>
          </cell>
          <cell r="BP68">
            <v>-1.255205048204977E-3</v>
          </cell>
          <cell r="BQ68">
            <v>-7.7172446176882126E-2</v>
          </cell>
          <cell r="BR68">
            <v>3.3670976194766222E-3</v>
          </cell>
          <cell r="BS68">
            <v>7.4978528391071997E-2</v>
          </cell>
          <cell r="BT68">
            <v>7.9727166212480549E-2</v>
          </cell>
          <cell r="BU68">
            <v>8.8594340168475894E-2</v>
          </cell>
          <cell r="BV68">
            <v>9.1041379063544259E-2</v>
          </cell>
          <cell r="BW68">
            <v>8.3855140468378719E-2</v>
          </cell>
          <cell r="BX68">
            <v>6.6532039397273479E-2</v>
          </cell>
          <cell r="BY68">
            <v>6.0120689491246049E-2</v>
          </cell>
          <cell r="BZ68">
            <v>5.2953429633231464E-2</v>
          </cell>
          <cell r="CA68">
            <v>5.0824484961663474E-2</v>
          </cell>
          <cell r="CB68">
            <v>5.7319263366557793E-2</v>
          </cell>
        </row>
        <row r="69">
          <cell r="B69" t="str">
            <v>Net income - continuing operations</v>
          </cell>
          <cell r="D69" t="str">
            <v>NA</v>
          </cell>
          <cell r="E69">
            <v>0.42631578947365423</v>
          </cell>
          <cell r="F69" t="str">
            <v>NA</v>
          </cell>
          <cell r="G69" t="str">
            <v>NA</v>
          </cell>
          <cell r="H69" t="str">
            <v>NA</v>
          </cell>
          <cell r="I69" t="str">
            <v>NA</v>
          </cell>
          <cell r="J69">
            <v>0.18357933579338948</v>
          </cell>
          <cell r="K69" t="str">
            <v>NA</v>
          </cell>
          <cell r="L69" t="str">
            <v>NA</v>
          </cell>
          <cell r="M69" t="str">
            <v>NA</v>
          </cell>
          <cell r="N69" t="str">
            <v>NA</v>
          </cell>
          <cell r="O69">
            <v>0.4091971940763528</v>
          </cell>
          <cell r="P69">
            <v>0.71140939597314912</v>
          </cell>
          <cell r="Q69">
            <v>5.7361376673112918E-3</v>
          </cell>
          <cell r="R69">
            <v>0.11197339246119475</v>
          </cell>
          <cell r="S69">
            <v>0.10354477611941304</v>
          </cell>
          <cell r="T69">
            <v>0.17754424778760902</v>
          </cell>
          <cell r="U69">
            <v>1.5686274509793208E-2</v>
          </cell>
          <cell r="V69">
            <v>0.21007604562738713</v>
          </cell>
          <cell r="W69">
            <v>0.17746759720834371</v>
          </cell>
          <cell r="X69">
            <v>0.12087912087910357</v>
          </cell>
          <cell r="Y69">
            <v>0.1310474401127153</v>
          </cell>
          <cell r="Z69">
            <v>0.26640926640928031</v>
          </cell>
          <cell r="AA69">
            <v>7.9340141398274611E-2</v>
          </cell>
          <cell r="AB69">
            <v>0.32684165961055101</v>
          </cell>
          <cell r="AC69">
            <v>0.33333333333333437</v>
          </cell>
          <cell r="AD69">
            <v>0.25020764119603878</v>
          </cell>
          <cell r="AE69">
            <v>-0.65853658536584803</v>
          </cell>
          <cell r="AF69">
            <v>0.24381368267830106</v>
          </cell>
          <cell r="AG69">
            <v>0.18570516911292656</v>
          </cell>
          <cell r="AH69">
            <v>0.29411764705883003</v>
          </cell>
          <cell r="AI69">
            <v>4.6836073741900242E-2</v>
          </cell>
          <cell r="AJ69">
            <v>5.1339285714284442</v>
          </cell>
          <cell r="AK69">
            <v>0.25746050321825886</v>
          </cell>
          <cell r="AL69">
            <v>0.1555435952637414</v>
          </cell>
          <cell r="AM69">
            <v>-9.265734265735015E-2</v>
          </cell>
          <cell r="AN69">
            <v>0.4469300333174635</v>
          </cell>
          <cell r="AO69">
            <v>-1.6739446870444818E-2</v>
          </cell>
          <cell r="AP69">
            <v>0.22242903676128223</v>
          </cell>
          <cell r="AQ69">
            <v>0.37727061015368402</v>
          </cell>
          <cell r="AR69">
            <v>0.32177263969171488</v>
          </cell>
          <cell r="AS69">
            <v>0.20942982456140102</v>
          </cell>
          <cell r="AT69">
            <v>7.698001480384753E-2</v>
          </cell>
          <cell r="AU69">
            <v>0.18804720213170634</v>
          </cell>
          <cell r="AV69">
            <v>0.13493405478526532</v>
          </cell>
          <cell r="AW69">
            <v>0.24453352769680103</v>
          </cell>
          <cell r="AX69">
            <v>0.16065276518586025</v>
          </cell>
          <cell r="AY69">
            <v>0.10137457044673015</v>
          </cell>
          <cell r="AZ69">
            <v>7.1113397802593958E-2</v>
          </cell>
          <cell r="BA69">
            <v>0.1069725864123956</v>
          </cell>
          <cell r="BB69">
            <v>0.10834553440702877</v>
          </cell>
          <cell r="BC69">
            <v>0.11498203405717855</v>
          </cell>
          <cell r="BD69">
            <v>3.9313572542902575E-2</v>
          </cell>
          <cell r="BE69">
            <v>-3.9506864667977037E-2</v>
          </cell>
          <cell r="BF69">
            <v>1.5881561238224373E-2</v>
          </cell>
          <cell r="BG69">
            <v>0.1939233817701449</v>
          </cell>
          <cell r="BH69">
            <v>5.4504693848955954E-2</v>
          </cell>
          <cell r="BI69">
            <v>-3.2257358378933287E-2</v>
          </cell>
          <cell r="BJ69">
            <v>2.9593703602457611E-2</v>
          </cell>
          <cell r="BK69">
            <v>3.6198226469766226E-2</v>
          </cell>
          <cell r="BL69">
            <v>-7.5161485357903124E-2</v>
          </cell>
          <cell r="BM69">
            <v>-1.3888167050655986E-2</v>
          </cell>
          <cell r="BN69">
            <v>9.696299328349034E-2</v>
          </cell>
          <cell r="BO69">
            <v>1.8374397768572859E-2</v>
          </cell>
          <cell r="BP69">
            <v>-1.255205048205088E-3</v>
          </cell>
          <cell r="BQ69">
            <v>-7.7172446176882237E-2</v>
          </cell>
          <cell r="BR69">
            <v>3.3670976194766222E-3</v>
          </cell>
          <cell r="BS69">
            <v>7.4978528391071997E-2</v>
          </cell>
          <cell r="BT69">
            <v>7.9727166212480327E-2</v>
          </cell>
          <cell r="BU69">
            <v>8.8594340168475894E-2</v>
          </cell>
          <cell r="BV69">
            <v>9.1041379063544259E-2</v>
          </cell>
          <cell r="BW69">
            <v>8.3855140468378719E-2</v>
          </cell>
          <cell r="BX69">
            <v>6.6532039397273479E-2</v>
          </cell>
          <cell r="BY69">
            <v>6.0120689491246049E-2</v>
          </cell>
          <cell r="BZ69">
            <v>5.2953429633231464E-2</v>
          </cell>
          <cell r="CA69">
            <v>5.0824484961663474E-2</v>
          </cell>
          <cell r="CB69">
            <v>5.7319263366557793E-2</v>
          </cell>
        </row>
        <row r="70">
          <cell r="B70" t="str">
            <v>EPS - continuing</v>
          </cell>
          <cell r="P70">
            <v>0.61032101287891982</v>
          </cell>
          <cell r="Q70">
            <v>1.7434369551488471E-2</v>
          </cell>
          <cell r="R70">
            <v>0.11263351495028573</v>
          </cell>
          <cell r="S70">
            <v>9.2472295163757989E-2</v>
          </cell>
          <cell r="T70">
            <v>0.16674294451047689</v>
          </cell>
          <cell r="U70">
            <v>0.10987839997429627</v>
          </cell>
          <cell r="V70">
            <v>0.2745392814937142</v>
          </cell>
          <cell r="W70">
            <v>0.25181358136737453</v>
          </cell>
          <cell r="X70">
            <v>0.19204507030290996</v>
          </cell>
          <cell r="Y70">
            <v>0.20689485080503633</v>
          </cell>
          <cell r="Z70">
            <v>0.19874544319012277</v>
          </cell>
          <cell r="AA70">
            <v>4.0864233604126499E-2</v>
          </cell>
          <cell r="AB70">
            <v>0.18131752408961632</v>
          </cell>
          <cell r="AC70">
            <v>0.30263202514068688</v>
          </cell>
          <cell r="AD70">
            <v>0.18103472079523253</v>
          </cell>
          <cell r="AE70">
            <v>1.0383536557543094E-2</v>
          </cell>
          <cell r="AF70">
            <v>0.15267603133553642</v>
          </cell>
          <cell r="AG70">
            <v>0.14424484421038941</v>
          </cell>
          <cell r="AH70">
            <v>0.14957504154952517</v>
          </cell>
          <cell r="AI70">
            <v>0.11760577908984815</v>
          </cell>
          <cell r="AJ70">
            <v>0.83543291473626291</v>
          </cell>
          <cell r="AK70">
            <v>0.31563581317808387</v>
          </cell>
          <cell r="AL70">
            <v>0.26968046641525123</v>
          </cell>
          <cell r="AM70">
            <v>2.7212060427584062E-2</v>
          </cell>
          <cell r="AN70">
            <v>0.32185863674553139</v>
          </cell>
          <cell r="AO70">
            <v>0.10429645064326398</v>
          </cell>
          <cell r="AP70">
            <v>0.33619196311955912</v>
          </cell>
          <cell r="AQ70">
            <v>0.4686279876621966</v>
          </cell>
          <cell r="AR70">
            <v>0.41395653473653171</v>
          </cell>
          <cell r="AS70">
            <v>0.31996135071426846</v>
          </cell>
          <cell r="AT70">
            <v>0.14214703086207137</v>
          </cell>
          <cell r="AU70">
            <v>0.2276348811465343</v>
          </cell>
          <cell r="AV70">
            <v>0.18554966938142159</v>
          </cell>
          <cell r="AW70">
            <v>0.27291011012945265</v>
          </cell>
          <cell r="AX70">
            <v>0.20834614348049452</v>
          </cell>
          <cell r="AY70">
            <v>0.14249991997901912</v>
          </cell>
          <cell r="AZ70">
            <v>0.13636731459990159</v>
          </cell>
          <cell r="BA70">
            <v>0.20298513705604027</v>
          </cell>
          <cell r="BB70">
            <v>0.23685138089264224</v>
          </cell>
          <cell r="BC70">
            <v>0.19163071123720909</v>
          </cell>
          <cell r="BD70">
            <v>0.19382261955880931</v>
          </cell>
          <cell r="BE70">
            <v>0.10321365328086185</v>
          </cell>
          <cell r="BF70">
            <v>0.12290262964531329</v>
          </cell>
          <cell r="BG70">
            <v>0.26816330528699539</v>
          </cell>
          <cell r="BH70">
            <v>0.175780714589437</v>
          </cell>
          <cell r="BI70">
            <v>2.014176266333445E-2</v>
          </cell>
          <cell r="BJ70">
            <v>5.0652865777948808E-2</v>
          </cell>
          <cell r="BK70">
            <v>0.10029992754007955</v>
          </cell>
          <cell r="BL70">
            <v>7.9823919849356217E-2</v>
          </cell>
          <cell r="BM70">
            <v>5.8730178131560784E-2</v>
          </cell>
          <cell r="BN70">
            <v>0.31094832943121919</v>
          </cell>
          <cell r="BO70">
            <v>0.2890146074573694</v>
          </cell>
          <cell r="BP70">
            <v>0.21433569386920537</v>
          </cell>
          <cell r="BQ70">
            <v>4.9686645784879468E-2</v>
          </cell>
          <cell r="BR70">
            <v>0.20922947890422261</v>
          </cell>
          <cell r="BS70">
            <v>0.19951987428083218</v>
          </cell>
          <cell r="BT70">
            <v>0.20904512738057512</v>
          </cell>
          <cell r="BU70">
            <v>0.22162760204166831</v>
          </cell>
          <cell r="BV70">
            <v>0.23421089323124011</v>
          </cell>
          <cell r="BW70">
            <v>0.21612882001889866</v>
          </cell>
          <cell r="BX70">
            <v>0.20344234034603637</v>
          </cell>
          <cell r="BY70">
            <v>0.18889779966858256</v>
          </cell>
          <cell r="BZ70">
            <v>0.18601927366847204</v>
          </cell>
          <cell r="CA70">
            <v>0.1898537424114588</v>
          </cell>
          <cell r="CB70">
            <v>0.19179283884756115</v>
          </cell>
        </row>
        <row r="74">
          <cell r="B74" t="str">
            <v>MHS</v>
          </cell>
        </row>
        <row r="75">
          <cell r="B75" t="str">
            <v>Quarterly Balance Sheet &amp; Cash Flow Statement</v>
          </cell>
        </row>
        <row r="76">
          <cell r="B76" t="str">
            <v>BALANCE SHEET</v>
          </cell>
          <cell r="F76" t="str">
            <v xml:space="preserve">Fiscal Year End, December 31 2001 </v>
          </cell>
          <cell r="K76" t="str">
            <v>Fiscal Year End, December 31 2002</v>
          </cell>
          <cell r="P76" t="str">
            <v>Fiscal Year End, Dec 31 2003</v>
          </cell>
          <cell r="U76" t="str">
            <v>Fiscal Year End, Dec 31 2004</v>
          </cell>
          <cell r="Z76" t="str">
            <v xml:space="preserve">Fiscal Year End, Dec 31 2005 </v>
          </cell>
          <cell r="AE76" t="str">
            <v xml:space="preserve">Fiscal Year End, Dec 31 2006 </v>
          </cell>
          <cell r="AJ76" t="str">
            <v xml:space="preserve">Fiscal Year End, Dec 31 2007 </v>
          </cell>
          <cell r="AO76" t="str">
            <v>Fiscal Year End, Dec 31 2008</v>
          </cell>
          <cell r="AT76" t="str">
            <v>Fiscal Year End, Dec 31 2009</v>
          </cell>
          <cell r="AY76" t="str">
            <v>Fiscal Year End, Dec 31 2010</v>
          </cell>
          <cell r="BD76" t="str">
            <v>Fiscal Year End, Dec 31 2011</v>
          </cell>
          <cell r="BI76" t="str">
            <v>Fiscal Year End, Dec 31 2012</v>
          </cell>
          <cell r="BN76" t="str">
            <v>Fiscal Year End, Dec 31 2013</v>
          </cell>
          <cell r="BS76" t="str">
            <v>Fiscal Year End, Dec 31 2014</v>
          </cell>
          <cell r="BX76" t="str">
            <v>Fiscal Year End, Dec 31 2015</v>
          </cell>
        </row>
        <row r="77">
          <cell r="B77" t="str">
            <v>(In millions, except per share data)</v>
          </cell>
          <cell r="D77" t="str">
            <v>1999A</v>
          </cell>
          <cell r="E77" t="str">
            <v>2000A</v>
          </cell>
          <cell r="F77" t="str">
            <v>1QA</v>
          </cell>
          <cell r="G77" t="str">
            <v>2QA</v>
          </cell>
          <cell r="H77" t="str">
            <v>3QA</v>
          </cell>
          <cell r="I77" t="str">
            <v>4QA</v>
          </cell>
          <cell r="J77" t="str">
            <v>2001A</v>
          </cell>
          <cell r="K77" t="str">
            <v>1QA</v>
          </cell>
          <cell r="L77" t="str">
            <v>2QA</v>
          </cell>
          <cell r="M77" t="str">
            <v>3QA</v>
          </cell>
          <cell r="N77" t="str">
            <v>4QA</v>
          </cell>
          <cell r="O77" t="str">
            <v>2002A</v>
          </cell>
          <cell r="P77" t="str">
            <v>1QA</v>
          </cell>
          <cell r="Q77" t="str">
            <v>2QA</v>
          </cell>
          <cell r="R77" t="str">
            <v>3QA</v>
          </cell>
          <cell r="S77" t="str">
            <v>4QA</v>
          </cell>
          <cell r="T77" t="str">
            <v>2003A</v>
          </cell>
          <cell r="U77" t="str">
            <v>1QA</v>
          </cell>
          <cell r="V77" t="str">
            <v>2QA</v>
          </cell>
          <cell r="W77" t="str">
            <v>3QA</v>
          </cell>
          <cell r="X77" t="str">
            <v>4QA</v>
          </cell>
          <cell r="Y77" t="str">
            <v>2004A</v>
          </cell>
          <cell r="Z77" t="str">
            <v>1QA</v>
          </cell>
          <cell r="AA77" t="str">
            <v>2QA</v>
          </cell>
          <cell r="AB77" t="str">
            <v>3QA</v>
          </cell>
          <cell r="AC77" t="str">
            <v>4QA</v>
          </cell>
          <cell r="AD77" t="str">
            <v>2005A</v>
          </cell>
          <cell r="AE77" t="str">
            <v>1QA</v>
          </cell>
          <cell r="AF77" t="str">
            <v>2QA</v>
          </cell>
          <cell r="AG77" t="str">
            <v>3QA</v>
          </cell>
          <cell r="AH77" t="str">
            <v>4QA</v>
          </cell>
          <cell r="AI77" t="str">
            <v>2006A</v>
          </cell>
          <cell r="AJ77" t="str">
            <v>1QA</v>
          </cell>
          <cell r="AK77" t="str">
            <v>2QA</v>
          </cell>
          <cell r="AL77" t="str">
            <v>3QA</v>
          </cell>
          <cell r="AM77" t="str">
            <v>4QA</v>
          </cell>
          <cell r="AN77" t="str">
            <v>2007A</v>
          </cell>
          <cell r="AO77" t="str">
            <v>1QA</v>
          </cell>
          <cell r="AP77" t="str">
            <v>2QA</v>
          </cell>
          <cell r="AQ77" t="str">
            <v>3QA</v>
          </cell>
          <cell r="AR77" t="str">
            <v>4QA</v>
          </cell>
          <cell r="AS77" t="str">
            <v>2008A</v>
          </cell>
          <cell r="AT77" t="str">
            <v>1QA</v>
          </cell>
          <cell r="AU77" t="str">
            <v>2QA</v>
          </cell>
          <cell r="AV77" t="str">
            <v>3QA</v>
          </cell>
          <cell r="AW77" t="str">
            <v>4QA</v>
          </cell>
          <cell r="AX77" t="str">
            <v>2009A</v>
          </cell>
          <cell r="AY77" t="str">
            <v>1QA</v>
          </cell>
          <cell r="AZ77" t="str">
            <v>2QA</v>
          </cell>
          <cell r="BA77" t="str">
            <v>3QA</v>
          </cell>
          <cell r="BB77" t="str">
            <v>4QA</v>
          </cell>
          <cell r="BC77" t="str">
            <v>2010A</v>
          </cell>
          <cell r="BD77" t="str">
            <v>1QA</v>
          </cell>
          <cell r="BE77" t="str">
            <v>2QA</v>
          </cell>
          <cell r="BF77" t="str">
            <v>3QA</v>
          </cell>
          <cell r="BG77" t="str">
            <v>4QA</v>
          </cell>
          <cell r="BH77" t="str">
            <v>2011A</v>
          </cell>
          <cell r="BI77" t="str">
            <v>1QE</v>
          </cell>
          <cell r="BJ77" t="str">
            <v>2QE</v>
          </cell>
          <cell r="BK77" t="str">
            <v>3QE</v>
          </cell>
          <cell r="BL77" t="str">
            <v>4QE</v>
          </cell>
          <cell r="BM77" t="str">
            <v>2012E</v>
          </cell>
          <cell r="BN77" t="str">
            <v>1QE</v>
          </cell>
          <cell r="BO77" t="str">
            <v>2QE</v>
          </cell>
          <cell r="BP77" t="str">
            <v>3QE</v>
          </cell>
          <cell r="BQ77" t="str">
            <v>4QE</v>
          </cell>
          <cell r="BR77" t="str">
            <v>2013E</v>
          </cell>
          <cell r="BS77" t="str">
            <v>1QE</v>
          </cell>
          <cell r="BT77" t="str">
            <v>2QE</v>
          </cell>
          <cell r="BU77" t="str">
            <v>3QE</v>
          </cell>
          <cell r="BV77" t="str">
            <v>4QE</v>
          </cell>
          <cell r="BW77" t="str">
            <v>2014E</v>
          </cell>
          <cell r="BX77" t="str">
            <v>1QE</v>
          </cell>
          <cell r="BY77" t="str">
            <v>2QE</v>
          </cell>
          <cell r="BZ77" t="str">
            <v>3QE</v>
          </cell>
          <cell r="CA77" t="str">
            <v>4QE</v>
          </cell>
          <cell r="CB77" t="str">
            <v>2015E</v>
          </cell>
        </row>
        <row r="78">
          <cell r="B78" t="str">
            <v>Assets</v>
          </cell>
        </row>
        <row r="79">
          <cell r="B79" t="str">
            <v>Cash and equiv/securities</v>
          </cell>
          <cell r="K79">
            <v>0</v>
          </cell>
          <cell r="L79">
            <v>0</v>
          </cell>
          <cell r="M79">
            <v>0</v>
          </cell>
          <cell r="N79">
            <v>86.9</v>
          </cell>
          <cell r="O79">
            <v>86.9</v>
          </cell>
          <cell r="P79">
            <v>0</v>
          </cell>
          <cell r="Q79">
            <v>77.199999999999989</v>
          </cell>
          <cell r="R79">
            <v>870.9</v>
          </cell>
          <cell r="S79">
            <v>638.5</v>
          </cell>
          <cell r="T79">
            <v>638.5</v>
          </cell>
          <cell r="U79">
            <v>643.20000000000005</v>
          </cell>
          <cell r="V79">
            <v>594.4</v>
          </cell>
          <cell r="W79">
            <v>1000.5</v>
          </cell>
          <cell r="X79">
            <v>1145.5</v>
          </cell>
          <cell r="Y79">
            <v>1145.5</v>
          </cell>
          <cell r="Z79">
            <v>1498.6</v>
          </cell>
          <cell r="AA79">
            <v>1295.5</v>
          </cell>
          <cell r="AB79">
            <v>1326.3</v>
          </cell>
          <cell r="AC79">
            <v>888.2</v>
          </cell>
          <cell r="AD79">
            <v>888.2</v>
          </cell>
          <cell r="AE79">
            <v>710.9</v>
          </cell>
          <cell r="AF79">
            <v>408.7</v>
          </cell>
          <cell r="AG79">
            <v>458.8</v>
          </cell>
          <cell r="AH79">
            <v>818.5</v>
          </cell>
          <cell r="AI79">
            <v>818.5</v>
          </cell>
          <cell r="AJ79">
            <v>483.1</v>
          </cell>
          <cell r="AK79">
            <v>983.7</v>
          </cell>
          <cell r="AL79">
            <v>629.5</v>
          </cell>
          <cell r="AM79">
            <v>774.1</v>
          </cell>
          <cell r="AN79">
            <v>774.1</v>
          </cell>
          <cell r="AO79">
            <v>540.6</v>
          </cell>
          <cell r="AP79">
            <v>371.7</v>
          </cell>
          <cell r="AQ79">
            <v>440.8</v>
          </cell>
          <cell r="AR79">
            <v>938.4</v>
          </cell>
          <cell r="AS79">
            <v>938.4</v>
          </cell>
          <cell r="AT79">
            <v>1799.5</v>
          </cell>
          <cell r="AU79">
            <v>2085.5</v>
          </cell>
          <cell r="AV79">
            <v>2020.3</v>
          </cell>
          <cell r="AW79">
            <v>2528.1999999999998</v>
          </cell>
          <cell r="AX79">
            <v>2528.1999999999998</v>
          </cell>
          <cell r="AY79">
            <v>1562.1</v>
          </cell>
          <cell r="AZ79">
            <v>1183.7</v>
          </cell>
          <cell r="BA79">
            <v>892.4</v>
          </cell>
          <cell r="BB79">
            <v>853.4</v>
          </cell>
          <cell r="BC79">
            <v>853.4</v>
          </cell>
          <cell r="BD79">
            <v>127.1</v>
          </cell>
          <cell r="BE79">
            <v>92.4</v>
          </cell>
          <cell r="BF79">
            <v>161.5</v>
          </cell>
          <cell r="BG79">
            <v>229.1</v>
          </cell>
          <cell r="BH79">
            <v>229.1</v>
          </cell>
          <cell r="BI79">
            <v>1330.3170989389471</v>
          </cell>
          <cell r="BJ79">
            <v>1760.4263536396229</v>
          </cell>
          <cell r="BK79">
            <v>255.70092163342588</v>
          </cell>
          <cell r="BL79">
            <v>248.06407113131081</v>
          </cell>
          <cell r="BM79">
            <v>248.06407113131081</v>
          </cell>
          <cell r="BN79">
            <v>318.61449567371892</v>
          </cell>
          <cell r="BO79">
            <v>227.96235768641463</v>
          </cell>
          <cell r="BP79">
            <v>576.90228036857206</v>
          </cell>
          <cell r="BQ79">
            <v>949.48554221905852</v>
          </cell>
          <cell r="BR79">
            <v>949.48554221905852</v>
          </cell>
          <cell r="BS79">
            <v>214.84286689259739</v>
          </cell>
          <cell r="BT79">
            <v>243.6879696773384</v>
          </cell>
          <cell r="BU79">
            <v>448.07996006733856</v>
          </cell>
          <cell r="BV79">
            <v>781.6086071966547</v>
          </cell>
          <cell r="BW79">
            <v>781.6086071966547</v>
          </cell>
          <cell r="BX79">
            <v>277.54120935336425</v>
          </cell>
          <cell r="BY79">
            <v>290.56071631781538</v>
          </cell>
          <cell r="BZ79">
            <v>395.67278399629777</v>
          </cell>
          <cell r="CA79">
            <v>678.44205153593407</v>
          </cell>
          <cell r="CB79">
            <v>678.44205153593407</v>
          </cell>
          <cell r="CI79" t="str">
            <v>mstag:cashAndCashEquivalents</v>
          </cell>
          <cell r="CJ79">
            <v>6</v>
          </cell>
          <cell r="CK79" t="str">
            <v>ISO4217:USD</v>
          </cell>
          <cell r="CL79" t="b">
            <v>0</v>
          </cell>
        </row>
        <row r="80">
          <cell r="B80" t="str">
            <v>Short-term investments</v>
          </cell>
          <cell r="S80">
            <v>59.5</v>
          </cell>
          <cell r="T80">
            <v>59.5</v>
          </cell>
          <cell r="U80">
            <v>57.5</v>
          </cell>
          <cell r="V80">
            <v>57.5</v>
          </cell>
          <cell r="W80">
            <v>57.5</v>
          </cell>
          <cell r="X80">
            <v>65.400000000000006</v>
          </cell>
          <cell r="Y80">
            <v>65.400000000000006</v>
          </cell>
          <cell r="Z80">
            <v>65.3</v>
          </cell>
          <cell r="AA80">
            <v>64.099999999999994</v>
          </cell>
          <cell r="AB80">
            <v>64.8</v>
          </cell>
          <cell r="AC80">
            <v>56.6</v>
          </cell>
          <cell r="AD80">
            <v>56.6</v>
          </cell>
          <cell r="AE80">
            <v>56.6</v>
          </cell>
          <cell r="AF80">
            <v>58.2</v>
          </cell>
          <cell r="AG80">
            <v>60.4</v>
          </cell>
          <cell r="AH80">
            <v>68.400000000000006</v>
          </cell>
          <cell r="AI80">
            <v>68.400000000000006</v>
          </cell>
          <cell r="AJ80">
            <v>71.3</v>
          </cell>
          <cell r="AK80">
            <v>62.3</v>
          </cell>
          <cell r="AL80">
            <v>70.099999999999994</v>
          </cell>
          <cell r="AM80">
            <v>70.3</v>
          </cell>
          <cell r="AN80">
            <v>70.3</v>
          </cell>
          <cell r="AO80">
            <v>70.400000000000006</v>
          </cell>
          <cell r="AP80">
            <v>70.900000000000006</v>
          </cell>
          <cell r="AQ80">
            <v>66.900000000000006</v>
          </cell>
          <cell r="AR80">
            <v>64</v>
          </cell>
          <cell r="AS80">
            <v>64</v>
          </cell>
          <cell r="AT80">
            <v>62.4</v>
          </cell>
          <cell r="AU80">
            <v>62.1</v>
          </cell>
          <cell r="AV80">
            <v>47.6</v>
          </cell>
          <cell r="AW80">
            <v>20.100000000000001</v>
          </cell>
          <cell r="AX80">
            <v>20.100000000000001</v>
          </cell>
          <cell r="AY80">
            <v>18.2</v>
          </cell>
          <cell r="AZ80">
            <v>54</v>
          </cell>
          <cell r="BA80">
            <v>55</v>
          </cell>
          <cell r="BB80">
            <v>56.7</v>
          </cell>
          <cell r="BC80">
            <v>56.7</v>
          </cell>
          <cell r="BD80">
            <v>44</v>
          </cell>
          <cell r="BE80">
            <v>8.1999999999999993</v>
          </cell>
          <cell r="BF80">
            <v>5.3</v>
          </cell>
          <cell r="BG80">
            <v>2.6</v>
          </cell>
          <cell r="BH80">
            <v>2.6</v>
          </cell>
          <cell r="BI80">
            <v>2.6</v>
          </cell>
          <cell r="BJ80">
            <v>2.6</v>
          </cell>
          <cell r="BK80">
            <v>2.6</v>
          </cell>
          <cell r="BL80">
            <v>2.6</v>
          </cell>
          <cell r="BM80">
            <v>2.6</v>
          </cell>
          <cell r="BN80">
            <v>2.6</v>
          </cell>
          <cell r="BO80">
            <v>2.6</v>
          </cell>
          <cell r="BP80">
            <v>2.6</v>
          </cell>
          <cell r="BQ80">
            <v>2.6</v>
          </cell>
          <cell r="BR80">
            <v>2.6</v>
          </cell>
          <cell r="BS80">
            <v>2.6</v>
          </cell>
          <cell r="BT80">
            <v>2.6</v>
          </cell>
          <cell r="BU80">
            <v>2.6</v>
          </cell>
          <cell r="BV80">
            <v>2.6</v>
          </cell>
          <cell r="BW80">
            <v>2.6</v>
          </cell>
          <cell r="BX80">
            <v>2.6</v>
          </cell>
          <cell r="BY80">
            <v>2.6</v>
          </cell>
          <cell r="BZ80">
            <v>2.6</v>
          </cell>
          <cell r="CA80">
            <v>2.6</v>
          </cell>
          <cell r="CB80">
            <v>2.6</v>
          </cell>
          <cell r="CI80" t="str">
            <v>mstag:shortTermInvestments</v>
          </cell>
          <cell r="CJ80">
            <v>6</v>
          </cell>
          <cell r="CK80" t="str">
            <v>ISO4217:USD</v>
          </cell>
          <cell r="CL80" t="b">
            <v>0</v>
          </cell>
        </row>
        <row r="81">
          <cell r="B81" t="str">
            <v>Accounts receivable</v>
          </cell>
          <cell r="K81">
            <v>0</v>
          </cell>
          <cell r="L81">
            <v>0</v>
          </cell>
          <cell r="M81">
            <v>0</v>
          </cell>
          <cell r="N81">
            <v>1562.2</v>
          </cell>
          <cell r="O81">
            <v>1562.2</v>
          </cell>
          <cell r="P81">
            <v>0</v>
          </cell>
          <cell r="Q81">
            <v>1533.6</v>
          </cell>
          <cell r="R81">
            <v>1385.9</v>
          </cell>
          <cell r="S81">
            <v>1394</v>
          </cell>
          <cell r="T81">
            <v>1394</v>
          </cell>
          <cell r="U81">
            <v>1662.7</v>
          </cell>
          <cell r="V81">
            <v>1743.6</v>
          </cell>
          <cell r="W81">
            <v>1589.2</v>
          </cell>
          <cell r="X81">
            <v>1555.4</v>
          </cell>
          <cell r="Y81">
            <v>1555.4</v>
          </cell>
          <cell r="Z81">
            <v>1453.2</v>
          </cell>
          <cell r="AA81">
            <v>1662</v>
          </cell>
          <cell r="AB81">
            <v>1948.1</v>
          </cell>
          <cell r="AC81">
            <v>2008.1</v>
          </cell>
          <cell r="AD81">
            <v>2008.1</v>
          </cell>
          <cell r="AE81">
            <v>2420.6999999999998</v>
          </cell>
          <cell r="AF81">
            <v>2209.9</v>
          </cell>
          <cell r="AG81">
            <v>2460.1999999999998</v>
          </cell>
          <cell r="AH81">
            <v>2826.5</v>
          </cell>
          <cell r="AI81">
            <v>2826.5</v>
          </cell>
          <cell r="AJ81">
            <v>2895.6</v>
          </cell>
          <cell r="AK81">
            <v>2841.2</v>
          </cell>
          <cell r="AL81">
            <v>2723.1</v>
          </cell>
          <cell r="AM81">
            <v>2856.5</v>
          </cell>
          <cell r="AN81">
            <v>2856.5</v>
          </cell>
          <cell r="AO81">
            <v>3135.6000000000004</v>
          </cell>
          <cell r="AP81">
            <v>3366.5</v>
          </cell>
          <cell r="AQ81">
            <v>3530.2</v>
          </cell>
          <cell r="AR81">
            <v>3539.4</v>
          </cell>
          <cell r="AS81">
            <v>3539.4</v>
          </cell>
          <cell r="AT81">
            <v>3614</v>
          </cell>
          <cell r="AU81">
            <v>3818.1</v>
          </cell>
          <cell r="AV81">
            <v>3456.9</v>
          </cell>
          <cell r="AW81">
            <v>3828.8</v>
          </cell>
          <cell r="AX81">
            <v>3828.8</v>
          </cell>
          <cell r="AY81">
            <v>3724.1</v>
          </cell>
          <cell r="AZ81">
            <v>3880</v>
          </cell>
          <cell r="BA81">
            <v>3939</v>
          </cell>
          <cell r="BB81">
            <v>4448.2</v>
          </cell>
          <cell r="BC81">
            <v>4448.2</v>
          </cell>
          <cell r="BD81">
            <v>4238.3999999999996</v>
          </cell>
          <cell r="BE81">
            <v>4395.3999999999996</v>
          </cell>
          <cell r="BF81">
            <v>4270.5</v>
          </cell>
          <cell r="BG81">
            <v>4870.2999999999993</v>
          </cell>
          <cell r="BH81">
            <v>4870.2999999999993</v>
          </cell>
          <cell r="BI81">
            <v>3719.402370421833</v>
          </cell>
          <cell r="BJ81">
            <v>3728.1654653896444</v>
          </cell>
          <cell r="BK81">
            <v>3663.5790168552985</v>
          </cell>
          <cell r="BL81">
            <v>3900.7828454592677</v>
          </cell>
          <cell r="BM81">
            <v>3900.7828454592677</v>
          </cell>
          <cell r="BN81">
            <v>2999.6385667112045</v>
          </cell>
          <cell r="BO81">
            <v>3065.8677876750066</v>
          </cell>
          <cell r="BP81">
            <v>3104.8100073604801</v>
          </cell>
          <cell r="BQ81">
            <v>3085.6474636347962</v>
          </cell>
          <cell r="BR81">
            <v>3085.6474636347962</v>
          </cell>
          <cell r="BS81">
            <v>3095.2526770939062</v>
          </cell>
          <cell r="BT81">
            <v>3114.7433594222734</v>
          </cell>
          <cell r="BU81">
            <v>3091.585119845869</v>
          </cell>
          <cell r="BV81">
            <v>3069.7671310675441</v>
          </cell>
          <cell r="BW81">
            <v>3069.7671310675441</v>
          </cell>
          <cell r="BX81">
            <v>3071.9605107621683</v>
          </cell>
          <cell r="BY81">
            <v>3132.0708950723101</v>
          </cell>
          <cell r="BZ81">
            <v>3170.1294795399172</v>
          </cell>
          <cell r="CA81">
            <v>3141.5774760561276</v>
          </cell>
          <cell r="CB81">
            <v>3141.5774760561276</v>
          </cell>
          <cell r="CI81" t="str">
            <v>mstag:tradeReceivablesCurrent</v>
          </cell>
          <cell r="CJ81">
            <v>6</v>
          </cell>
          <cell r="CK81" t="str">
            <v>ISO4217:USD</v>
          </cell>
          <cell r="CL81" t="b">
            <v>0</v>
          </cell>
        </row>
        <row r="82">
          <cell r="B82" t="str">
            <v>Inventory, net</v>
          </cell>
          <cell r="K82">
            <v>0</v>
          </cell>
          <cell r="L82">
            <v>0</v>
          </cell>
          <cell r="M82">
            <v>0</v>
          </cell>
          <cell r="N82">
            <v>1062.7</v>
          </cell>
          <cell r="O82">
            <v>1062.7</v>
          </cell>
          <cell r="P82">
            <v>0</v>
          </cell>
          <cell r="Q82">
            <v>925.9</v>
          </cell>
          <cell r="R82">
            <v>1113.7</v>
          </cell>
          <cell r="S82">
            <v>1213.4000000000001</v>
          </cell>
          <cell r="T82">
            <v>1213.4000000000001</v>
          </cell>
          <cell r="U82">
            <v>1247.5999999999999</v>
          </cell>
          <cell r="V82">
            <v>1072.4000000000001</v>
          </cell>
          <cell r="W82">
            <v>1204.0999999999999</v>
          </cell>
          <cell r="X82">
            <v>1315.6</v>
          </cell>
          <cell r="Y82">
            <v>1315.6</v>
          </cell>
          <cell r="Z82">
            <v>1130</v>
          </cell>
          <cell r="AA82">
            <v>1319</v>
          </cell>
          <cell r="AB82">
            <v>1351.8</v>
          </cell>
          <cell r="AC82">
            <v>1527.1</v>
          </cell>
          <cell r="AD82">
            <v>1527.1</v>
          </cell>
          <cell r="AE82">
            <v>1387.6</v>
          </cell>
          <cell r="AF82">
            <v>1531.9</v>
          </cell>
          <cell r="AG82">
            <v>1616.8</v>
          </cell>
          <cell r="AH82">
            <v>1676.8</v>
          </cell>
          <cell r="AI82">
            <v>1676.8</v>
          </cell>
          <cell r="AJ82">
            <v>1705.6</v>
          </cell>
          <cell r="AK82">
            <v>1574.3</v>
          </cell>
          <cell r="AL82">
            <v>1645.7</v>
          </cell>
          <cell r="AM82">
            <v>1946</v>
          </cell>
          <cell r="AN82">
            <v>1946</v>
          </cell>
          <cell r="AO82">
            <v>1967</v>
          </cell>
          <cell r="AP82">
            <v>2090</v>
          </cell>
          <cell r="AQ82">
            <v>1947.2</v>
          </cell>
          <cell r="AR82">
            <v>1856.5</v>
          </cell>
          <cell r="AS82">
            <v>1856.5</v>
          </cell>
          <cell r="AT82">
            <v>1675.6</v>
          </cell>
          <cell r="AU82">
            <v>1497.2</v>
          </cell>
          <cell r="AV82">
            <v>1341.4</v>
          </cell>
          <cell r="AW82">
            <v>1285.3</v>
          </cell>
          <cell r="AX82">
            <v>1285.3</v>
          </cell>
          <cell r="AY82">
            <v>1250.4000000000001</v>
          </cell>
          <cell r="AZ82">
            <v>1162.0999999999999</v>
          </cell>
          <cell r="BA82">
            <v>998.4</v>
          </cell>
          <cell r="BB82">
            <v>1013.2</v>
          </cell>
          <cell r="BC82">
            <v>1013.2</v>
          </cell>
          <cell r="BD82">
            <v>1108.8</v>
          </cell>
          <cell r="BE82">
            <v>833</v>
          </cell>
          <cell r="BF82">
            <v>788.1</v>
          </cell>
          <cell r="BG82">
            <v>897.8</v>
          </cell>
          <cell r="BH82">
            <v>897.8</v>
          </cell>
          <cell r="BI82">
            <v>768.32098894759997</v>
          </cell>
          <cell r="BJ82">
            <v>767.82081718267875</v>
          </cell>
          <cell r="BK82">
            <v>749.80793812388572</v>
          </cell>
          <cell r="BL82">
            <v>796.85415104337596</v>
          </cell>
          <cell r="BM82">
            <v>796.85415104337596</v>
          </cell>
          <cell r="BN82">
            <v>591.34955329562717</v>
          </cell>
          <cell r="BO82">
            <v>603.31721223235752</v>
          </cell>
          <cell r="BP82">
            <v>608.88958869920566</v>
          </cell>
          <cell r="BQ82">
            <v>604.42104580270563</v>
          </cell>
          <cell r="BR82">
            <v>604.42104580270563</v>
          </cell>
          <cell r="BS82">
            <v>609.18732613157999</v>
          </cell>
          <cell r="BT82">
            <v>610.69811782087152</v>
          </cell>
          <cell r="BU82">
            <v>602.29839143432525</v>
          </cell>
          <cell r="BV82">
            <v>597.24481805914991</v>
          </cell>
          <cell r="BW82">
            <v>597.24481805914991</v>
          </cell>
          <cell r="BX82">
            <v>601.28889456561092</v>
          </cell>
          <cell r="BY82">
            <v>611.78449116301624</v>
          </cell>
          <cell r="BZ82">
            <v>616.77009578041032</v>
          </cell>
          <cell r="CA82">
            <v>610.39910786411531</v>
          </cell>
          <cell r="CB82">
            <v>610.39910786411531</v>
          </cell>
          <cell r="CI82" t="str">
            <v>mstag:inventories</v>
          </cell>
          <cell r="CJ82">
            <v>6</v>
          </cell>
          <cell r="CK82" t="str">
            <v>ISO4217:USD</v>
          </cell>
          <cell r="CL82" t="b">
            <v>0</v>
          </cell>
        </row>
        <row r="83">
          <cell r="B83" t="str">
            <v>Due from Merck, net</v>
          </cell>
          <cell r="K83">
            <v>0</v>
          </cell>
          <cell r="L83">
            <v>0</v>
          </cell>
          <cell r="M83">
            <v>0</v>
          </cell>
          <cell r="N83">
            <v>231.8</v>
          </cell>
          <cell r="O83">
            <v>231.8</v>
          </cell>
          <cell r="P83">
            <v>0</v>
          </cell>
          <cell r="Q83">
            <v>688.4</v>
          </cell>
          <cell r="R83">
            <v>0</v>
          </cell>
          <cell r="S83">
            <v>0</v>
          </cell>
          <cell r="T83">
            <v>0</v>
          </cell>
          <cell r="U83">
            <v>0</v>
          </cell>
          <cell r="V83">
            <v>0</v>
          </cell>
          <cell r="W83">
            <v>0</v>
          </cell>
          <cell r="X83">
            <v>0</v>
          </cell>
          <cell r="Y83">
            <v>0</v>
          </cell>
          <cell r="Z83">
            <v>0</v>
          </cell>
          <cell r="AA83">
            <v>0</v>
          </cell>
          <cell r="AB83">
            <v>0</v>
          </cell>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cell r="BK83">
            <v>0</v>
          </cell>
          <cell r="BL83">
            <v>0</v>
          </cell>
          <cell r="BM83">
            <v>0</v>
          </cell>
          <cell r="BN83">
            <v>0</v>
          </cell>
          <cell r="BO83">
            <v>0</v>
          </cell>
          <cell r="BP83">
            <v>0</v>
          </cell>
          <cell r="BQ83">
            <v>0</v>
          </cell>
          <cell r="BR83">
            <v>0</v>
          </cell>
          <cell r="BS83">
            <v>0</v>
          </cell>
          <cell r="BT83">
            <v>0</v>
          </cell>
          <cell r="BU83">
            <v>0</v>
          </cell>
          <cell r="BV83">
            <v>0</v>
          </cell>
          <cell r="BW83">
            <v>0</v>
          </cell>
          <cell r="BX83">
            <v>0</v>
          </cell>
          <cell r="BY83">
            <v>0</v>
          </cell>
          <cell r="BZ83">
            <v>0</v>
          </cell>
          <cell r="CA83">
            <v>0</v>
          </cell>
          <cell r="CB83">
            <v>0</v>
          </cell>
          <cell r="CI83" t="str">
            <v>mstag:otherAssetsOperatingCurrent</v>
          </cell>
          <cell r="CJ83">
            <v>6</v>
          </cell>
          <cell r="CK83" t="str">
            <v>ISO4217:USD</v>
          </cell>
          <cell r="CL83" t="b">
            <v>0</v>
          </cell>
        </row>
        <row r="84">
          <cell r="B84" t="str">
            <v>Prepaid expenses and other current assets</v>
          </cell>
          <cell r="K84">
            <v>0</v>
          </cell>
          <cell r="L84">
            <v>0</v>
          </cell>
          <cell r="M84">
            <v>0</v>
          </cell>
          <cell r="N84">
            <v>69.7</v>
          </cell>
          <cell r="O84">
            <v>69.7</v>
          </cell>
          <cell r="P84">
            <v>0</v>
          </cell>
          <cell r="Q84">
            <v>69.8</v>
          </cell>
          <cell r="R84">
            <v>76.7</v>
          </cell>
          <cell r="S84">
            <v>95.5</v>
          </cell>
          <cell r="T84">
            <v>95.5</v>
          </cell>
          <cell r="U84">
            <v>76.7</v>
          </cell>
          <cell r="V84">
            <v>68.5</v>
          </cell>
          <cell r="W84">
            <v>80.2</v>
          </cell>
          <cell r="X84">
            <v>66.7</v>
          </cell>
          <cell r="Y84">
            <v>66.7</v>
          </cell>
          <cell r="Z84">
            <v>95.7</v>
          </cell>
          <cell r="AA84">
            <v>82.6</v>
          </cell>
          <cell r="AB84">
            <v>93.6</v>
          </cell>
          <cell r="AC84">
            <v>259.89999999999998</v>
          </cell>
          <cell r="AD84">
            <v>259.89999999999998</v>
          </cell>
          <cell r="AE84">
            <v>338.6</v>
          </cell>
          <cell r="AF84">
            <v>356.7</v>
          </cell>
          <cell r="AG84">
            <v>303.3</v>
          </cell>
          <cell r="AH84">
            <v>273.39999999999998</v>
          </cell>
          <cell r="AI84">
            <v>273.39999999999998</v>
          </cell>
          <cell r="AJ84">
            <v>278</v>
          </cell>
          <cell r="AK84">
            <v>275</v>
          </cell>
          <cell r="AL84">
            <v>284.39999999999998</v>
          </cell>
          <cell r="AM84">
            <v>285.39999999999998</v>
          </cell>
          <cell r="AN84">
            <v>285.39999999999998</v>
          </cell>
          <cell r="AO84">
            <v>500.4</v>
          </cell>
          <cell r="AP84">
            <v>540.70000000000005</v>
          </cell>
          <cell r="AQ84">
            <v>73.400000000000006</v>
          </cell>
          <cell r="AR84">
            <v>326.60000000000002</v>
          </cell>
          <cell r="AS84">
            <v>326.60000000000002</v>
          </cell>
          <cell r="AT84">
            <v>287</v>
          </cell>
          <cell r="AU84">
            <v>265.3</v>
          </cell>
          <cell r="AV84">
            <v>257.10000000000002</v>
          </cell>
          <cell r="AW84">
            <v>265.39999999999998</v>
          </cell>
          <cell r="AX84">
            <v>265.39999999999998</v>
          </cell>
          <cell r="AY84">
            <v>97.8</v>
          </cell>
          <cell r="AZ84">
            <v>100.7</v>
          </cell>
          <cell r="BA84">
            <v>81.7</v>
          </cell>
          <cell r="BB84">
            <v>75.8</v>
          </cell>
          <cell r="BC84">
            <v>75.8</v>
          </cell>
          <cell r="BD84">
            <v>75.7</v>
          </cell>
          <cell r="BE84">
            <v>83.6</v>
          </cell>
          <cell r="BF84">
            <v>69.7</v>
          </cell>
          <cell r="BG84">
            <v>400.7</v>
          </cell>
          <cell r="BH84">
            <v>400.7</v>
          </cell>
          <cell r="BI84">
            <v>400.7</v>
          </cell>
          <cell r="BJ84">
            <v>400.7</v>
          </cell>
          <cell r="BK84">
            <v>400.7</v>
          </cell>
          <cell r="BL84">
            <v>400.7</v>
          </cell>
          <cell r="BM84">
            <v>400.7</v>
          </cell>
          <cell r="BN84">
            <v>400.7</v>
          </cell>
          <cell r="BO84">
            <v>400.7</v>
          </cell>
          <cell r="BP84">
            <v>400.7</v>
          </cell>
          <cell r="BQ84">
            <v>400.7</v>
          </cell>
          <cell r="BR84">
            <v>400.7</v>
          </cell>
          <cell r="BS84">
            <v>400.7</v>
          </cell>
          <cell r="BT84">
            <v>400.7</v>
          </cell>
          <cell r="BU84">
            <v>400.7</v>
          </cell>
          <cell r="BV84">
            <v>400.7</v>
          </cell>
          <cell r="BW84">
            <v>400.7</v>
          </cell>
          <cell r="BX84">
            <v>400.7</v>
          </cell>
          <cell r="BY84">
            <v>400.7</v>
          </cell>
          <cell r="BZ84">
            <v>400.7</v>
          </cell>
          <cell r="CA84">
            <v>400.7</v>
          </cell>
          <cell r="CB84">
            <v>400.7</v>
          </cell>
          <cell r="CI84" t="str">
            <v>mstag:prepaidExpensesCurrent</v>
          </cell>
          <cell r="CJ84">
            <v>6</v>
          </cell>
          <cell r="CK84" t="str">
            <v>ISO4217:USD</v>
          </cell>
          <cell r="CL84" t="b">
            <v>0</v>
          </cell>
        </row>
        <row r="85">
          <cell r="B85" t="str">
            <v>Deferred tax asset</v>
          </cell>
          <cell r="K85">
            <v>0</v>
          </cell>
          <cell r="L85">
            <v>0</v>
          </cell>
          <cell r="M85">
            <v>0</v>
          </cell>
          <cell r="N85">
            <v>213.1</v>
          </cell>
          <cell r="O85">
            <v>213.1</v>
          </cell>
          <cell r="P85">
            <v>0</v>
          </cell>
          <cell r="Q85">
            <v>222.2</v>
          </cell>
          <cell r="R85">
            <v>220.1</v>
          </cell>
          <cell r="S85">
            <v>359.4</v>
          </cell>
          <cell r="T85">
            <v>359.4</v>
          </cell>
          <cell r="U85">
            <v>341</v>
          </cell>
          <cell r="V85">
            <v>332.3</v>
          </cell>
          <cell r="W85">
            <v>191.9</v>
          </cell>
          <cell r="X85">
            <v>171.8</v>
          </cell>
          <cell r="Y85">
            <v>171.8</v>
          </cell>
          <cell r="Z85">
            <v>180.5</v>
          </cell>
          <cell r="AA85">
            <v>171.5</v>
          </cell>
          <cell r="AB85">
            <v>177.5</v>
          </cell>
          <cell r="AC85">
            <v>321</v>
          </cell>
          <cell r="AD85">
            <v>321</v>
          </cell>
          <cell r="AE85">
            <v>398.3</v>
          </cell>
          <cell r="AF85">
            <v>334.8</v>
          </cell>
          <cell r="AG85">
            <v>195.7</v>
          </cell>
          <cell r="AH85">
            <v>191.4</v>
          </cell>
          <cell r="AI85">
            <v>191.4</v>
          </cell>
          <cell r="AJ85">
            <v>193</v>
          </cell>
          <cell r="AK85">
            <v>206.9</v>
          </cell>
          <cell r="AL85">
            <v>219.1</v>
          </cell>
          <cell r="AM85">
            <v>154.4</v>
          </cell>
          <cell r="AN85">
            <v>154.4</v>
          </cell>
          <cell r="AO85">
            <v>151.69999999999999</v>
          </cell>
          <cell r="AP85">
            <v>154.4</v>
          </cell>
          <cell r="AQ85">
            <v>163.4</v>
          </cell>
          <cell r="AR85">
            <v>159.19999999999999</v>
          </cell>
          <cell r="AS85">
            <v>159.19999999999999</v>
          </cell>
          <cell r="AT85">
            <v>166.7</v>
          </cell>
          <cell r="AU85">
            <v>223.3</v>
          </cell>
          <cell r="AV85">
            <v>222.8</v>
          </cell>
          <cell r="AW85">
            <v>230.8</v>
          </cell>
          <cell r="AX85">
            <v>230.8</v>
          </cell>
          <cell r="AY85">
            <v>240.1</v>
          </cell>
          <cell r="AZ85">
            <v>232.6</v>
          </cell>
          <cell r="BA85">
            <v>226.1</v>
          </cell>
          <cell r="BB85">
            <v>238.4</v>
          </cell>
          <cell r="BC85">
            <v>238.4</v>
          </cell>
          <cell r="BD85">
            <v>239.8</v>
          </cell>
          <cell r="BE85">
            <v>248.3</v>
          </cell>
          <cell r="BF85">
            <v>266.89999999999998</v>
          </cell>
          <cell r="BG85">
            <v>280</v>
          </cell>
          <cell r="BH85">
            <v>280</v>
          </cell>
          <cell r="BI85">
            <v>280</v>
          </cell>
          <cell r="BJ85">
            <v>280</v>
          </cell>
          <cell r="BK85">
            <v>280</v>
          </cell>
          <cell r="BL85">
            <v>280</v>
          </cell>
          <cell r="BM85">
            <v>280</v>
          </cell>
          <cell r="BN85">
            <v>280</v>
          </cell>
          <cell r="BO85">
            <v>280</v>
          </cell>
          <cell r="BP85">
            <v>280</v>
          </cell>
          <cell r="BQ85">
            <v>280</v>
          </cell>
          <cell r="BR85">
            <v>280</v>
          </cell>
          <cell r="BS85">
            <v>280</v>
          </cell>
          <cell r="BT85">
            <v>280</v>
          </cell>
          <cell r="BU85">
            <v>280</v>
          </cell>
          <cell r="BV85">
            <v>280</v>
          </cell>
          <cell r="BW85">
            <v>280</v>
          </cell>
          <cell r="BX85">
            <v>280</v>
          </cell>
          <cell r="BY85">
            <v>280</v>
          </cell>
          <cell r="BZ85">
            <v>280</v>
          </cell>
          <cell r="CA85">
            <v>280</v>
          </cell>
          <cell r="CB85">
            <v>280</v>
          </cell>
          <cell r="CI85" t="str">
            <v>mstag:deferredTaxAssetsCurrent</v>
          </cell>
          <cell r="CJ85">
            <v>6</v>
          </cell>
          <cell r="CK85" t="str">
            <v>ISO4217:USD</v>
          </cell>
          <cell r="CL85" t="b">
            <v>0</v>
          </cell>
        </row>
        <row r="87">
          <cell r="B87" t="str">
            <v>PPE</v>
          </cell>
          <cell r="K87">
            <v>0</v>
          </cell>
          <cell r="L87">
            <v>0</v>
          </cell>
          <cell r="M87">
            <v>0</v>
          </cell>
          <cell r="N87">
            <v>842.9</v>
          </cell>
          <cell r="O87">
            <v>842.9</v>
          </cell>
          <cell r="P87">
            <v>0</v>
          </cell>
          <cell r="Q87">
            <v>797.6</v>
          </cell>
          <cell r="R87">
            <v>783.5</v>
          </cell>
          <cell r="S87">
            <v>757.3</v>
          </cell>
          <cell r="T87">
            <v>757.3</v>
          </cell>
          <cell r="U87">
            <v>717.7</v>
          </cell>
          <cell r="V87">
            <v>688.6</v>
          </cell>
          <cell r="W87">
            <v>664.8</v>
          </cell>
          <cell r="X87">
            <v>657.8</v>
          </cell>
          <cell r="Y87">
            <v>657.8</v>
          </cell>
          <cell r="Z87">
            <v>640.1</v>
          </cell>
          <cell r="AA87">
            <v>628.6</v>
          </cell>
          <cell r="AB87">
            <v>661</v>
          </cell>
          <cell r="AC87">
            <v>672.3</v>
          </cell>
          <cell r="AD87">
            <v>672.3</v>
          </cell>
          <cell r="AE87">
            <v>650.5</v>
          </cell>
          <cell r="AF87">
            <v>637.6</v>
          </cell>
          <cell r="AG87">
            <v>626.9</v>
          </cell>
          <cell r="AH87">
            <v>649.70000000000005</v>
          </cell>
          <cell r="AI87">
            <v>649.70000000000005</v>
          </cell>
          <cell r="AJ87">
            <v>633.1</v>
          </cell>
          <cell r="AK87">
            <v>623.70000000000005</v>
          </cell>
          <cell r="AL87">
            <v>618.79999999999995</v>
          </cell>
          <cell r="AM87">
            <v>725.5</v>
          </cell>
          <cell r="AN87">
            <v>725.5</v>
          </cell>
          <cell r="AO87">
            <v>724</v>
          </cell>
          <cell r="AP87">
            <v>734.6</v>
          </cell>
          <cell r="AQ87">
            <v>763.8</v>
          </cell>
          <cell r="AR87">
            <v>854.1</v>
          </cell>
          <cell r="AS87">
            <v>854.1</v>
          </cell>
          <cell r="AT87">
            <v>846.1</v>
          </cell>
          <cell r="AU87">
            <v>862.5</v>
          </cell>
          <cell r="AV87">
            <v>869.1</v>
          </cell>
          <cell r="AW87">
            <v>912.5</v>
          </cell>
          <cell r="AX87">
            <v>912.5</v>
          </cell>
          <cell r="AY87">
            <v>910.6</v>
          </cell>
          <cell r="AZ87">
            <v>923.3</v>
          </cell>
          <cell r="BA87">
            <v>962.2</v>
          </cell>
          <cell r="BB87">
            <v>993.6</v>
          </cell>
          <cell r="BC87">
            <v>993.6</v>
          </cell>
          <cell r="BD87">
            <v>986.3</v>
          </cell>
          <cell r="BE87">
            <v>1001.9</v>
          </cell>
          <cell r="BF87">
            <v>1027.0999999999999</v>
          </cell>
          <cell r="BG87">
            <v>1108.4000000000001</v>
          </cell>
          <cell r="BH87">
            <v>1108.4000000000001</v>
          </cell>
          <cell r="BI87">
            <v>1093.95</v>
          </cell>
          <cell r="BJ87">
            <v>1079.5</v>
          </cell>
          <cell r="BK87">
            <v>1065.05</v>
          </cell>
          <cell r="BL87">
            <v>1050.5999999999999</v>
          </cell>
          <cell r="BM87">
            <v>1050.5999999999999</v>
          </cell>
          <cell r="BN87">
            <v>1042.3999999999999</v>
          </cell>
          <cell r="BO87">
            <v>1034.1999999999998</v>
          </cell>
          <cell r="BP87">
            <v>1025.9999999999998</v>
          </cell>
          <cell r="BQ87">
            <v>1017.7999999999997</v>
          </cell>
          <cell r="BR87">
            <v>1017.7999999999997</v>
          </cell>
          <cell r="BS87">
            <v>1009.5999999999997</v>
          </cell>
          <cell r="BT87">
            <v>1001.3999999999996</v>
          </cell>
          <cell r="BU87">
            <v>993.19999999999959</v>
          </cell>
          <cell r="BV87">
            <v>984.99999999999955</v>
          </cell>
          <cell r="BW87">
            <v>984.99999999999955</v>
          </cell>
          <cell r="BX87">
            <v>976.7999999999995</v>
          </cell>
          <cell r="BY87">
            <v>968.59999999999945</v>
          </cell>
          <cell r="BZ87">
            <v>960.39999999999941</v>
          </cell>
          <cell r="CA87">
            <v>952.19999999999936</v>
          </cell>
          <cell r="CB87">
            <v>952.19999999999936</v>
          </cell>
          <cell r="CI87" t="str">
            <v>mstag:propertyPlantAndEquipmentNet</v>
          </cell>
          <cell r="CJ87">
            <v>6</v>
          </cell>
          <cell r="CK87" t="str">
            <v>ISO4217:USD</v>
          </cell>
          <cell r="CL87" t="b">
            <v>0</v>
          </cell>
        </row>
        <row r="88">
          <cell r="B88" t="str">
            <v>Goodwill and Other Intangibles</v>
          </cell>
          <cell r="K88">
            <v>0</v>
          </cell>
          <cell r="L88">
            <v>0</v>
          </cell>
          <cell r="M88">
            <v>0</v>
          </cell>
          <cell r="N88">
            <v>5725</v>
          </cell>
          <cell r="O88">
            <v>5725</v>
          </cell>
          <cell r="P88">
            <v>0</v>
          </cell>
          <cell r="Q88">
            <v>5677.9</v>
          </cell>
          <cell r="R88">
            <v>5654.2999999999993</v>
          </cell>
          <cell r="S88">
            <v>5630.7</v>
          </cell>
          <cell r="T88">
            <v>5630.7</v>
          </cell>
          <cell r="U88">
            <v>5585.7</v>
          </cell>
          <cell r="V88">
            <v>5540.7</v>
          </cell>
          <cell r="W88">
            <v>5495.7999999999993</v>
          </cell>
          <cell r="X88">
            <v>5450.7999999999993</v>
          </cell>
          <cell r="Y88">
            <v>5450.7999999999993</v>
          </cell>
          <cell r="Z88">
            <v>5405.7999999999993</v>
          </cell>
          <cell r="AA88">
            <v>5360.7999999999993</v>
          </cell>
          <cell r="AB88">
            <v>7920.7</v>
          </cell>
          <cell r="AC88">
            <v>7893.9</v>
          </cell>
          <cell r="AD88">
            <v>7893.9</v>
          </cell>
          <cell r="AE88">
            <v>7811.6</v>
          </cell>
          <cell r="AF88">
            <v>7755.7</v>
          </cell>
          <cell r="AG88">
            <v>7694.5</v>
          </cell>
          <cell r="AH88">
            <v>7631.7999999999993</v>
          </cell>
          <cell r="AI88">
            <v>7631.7999999999993</v>
          </cell>
          <cell r="AJ88">
            <v>7575.5</v>
          </cell>
          <cell r="AK88">
            <v>7520.5</v>
          </cell>
          <cell r="AL88">
            <v>7465.5999999999995</v>
          </cell>
          <cell r="AM88">
            <v>9135.2000000000007</v>
          </cell>
          <cell r="AN88">
            <v>9135.2000000000007</v>
          </cell>
          <cell r="AO88">
            <v>9069.7999999999993</v>
          </cell>
          <cell r="AP88">
            <v>9155.2000000000007</v>
          </cell>
          <cell r="AQ88">
            <v>9073.6</v>
          </cell>
          <cell r="AR88">
            <v>8997.7999999999993</v>
          </cell>
          <cell r="AS88">
            <v>8997.7999999999993</v>
          </cell>
          <cell r="AT88">
            <v>8978.7999999999993</v>
          </cell>
          <cell r="AU88">
            <v>8908.5</v>
          </cell>
          <cell r="AV88">
            <v>8835.7999999999993</v>
          </cell>
          <cell r="AW88">
            <v>8761.7999999999993</v>
          </cell>
          <cell r="AX88">
            <v>8761.7999999999993</v>
          </cell>
          <cell r="AY88">
            <v>8721</v>
          </cell>
          <cell r="AZ88">
            <v>8641.7000000000007</v>
          </cell>
          <cell r="BA88">
            <v>9345</v>
          </cell>
          <cell r="BB88">
            <v>9349.2999999999993</v>
          </cell>
          <cell r="BC88">
            <v>9349.2999999999993</v>
          </cell>
          <cell r="BD88">
            <v>9318.4</v>
          </cell>
          <cell r="BE88">
            <v>9242.2000000000007</v>
          </cell>
          <cell r="BF88">
            <v>9172.1</v>
          </cell>
          <cell r="BG88">
            <v>9101.7999999999993</v>
          </cell>
          <cell r="BH88">
            <v>9101.7999999999993</v>
          </cell>
          <cell r="BI88">
            <v>9029.5</v>
          </cell>
          <cell r="BJ88">
            <v>8957.2000000000007</v>
          </cell>
          <cell r="BK88">
            <v>8884.9000000000015</v>
          </cell>
          <cell r="BL88">
            <v>8812.6000000000022</v>
          </cell>
          <cell r="BM88">
            <v>8812.6000000000022</v>
          </cell>
          <cell r="BN88">
            <v>8740.3000000000029</v>
          </cell>
          <cell r="BO88">
            <v>8668.0000000000036</v>
          </cell>
          <cell r="BP88">
            <v>8595.7000000000044</v>
          </cell>
          <cell r="BQ88">
            <v>8523.4000000000051</v>
          </cell>
          <cell r="BR88">
            <v>8523.4000000000051</v>
          </cell>
          <cell r="BS88">
            <v>8451.1000000000058</v>
          </cell>
          <cell r="BT88">
            <v>8378.8000000000065</v>
          </cell>
          <cell r="BU88">
            <v>8306.5000000000073</v>
          </cell>
          <cell r="BV88">
            <v>8234.200000000008</v>
          </cell>
          <cell r="BW88">
            <v>8234.200000000008</v>
          </cell>
          <cell r="BX88">
            <v>8161.9000000000078</v>
          </cell>
          <cell r="BY88">
            <v>8089.6000000000076</v>
          </cell>
          <cell r="BZ88">
            <v>8017.3000000000075</v>
          </cell>
          <cell r="CA88">
            <v>7945.0000000000073</v>
          </cell>
          <cell r="CB88">
            <v>7945.0000000000073</v>
          </cell>
          <cell r="CI88" t="str">
            <v>mstag:otherIntangibleAssets</v>
          </cell>
          <cell r="CJ88">
            <v>6</v>
          </cell>
          <cell r="CK88" t="str">
            <v>ISO4217:USD</v>
          </cell>
          <cell r="CL88" t="b">
            <v>0</v>
          </cell>
        </row>
        <row r="89">
          <cell r="B89" t="str">
            <v xml:space="preserve">Other </v>
          </cell>
          <cell r="K89">
            <v>0</v>
          </cell>
          <cell r="L89">
            <v>0</v>
          </cell>
          <cell r="M89">
            <v>0</v>
          </cell>
          <cell r="N89">
            <v>128.19999999999999</v>
          </cell>
          <cell r="O89">
            <v>128.19999999999999</v>
          </cell>
          <cell r="P89">
            <v>0</v>
          </cell>
          <cell r="Q89">
            <v>121.5</v>
          </cell>
          <cell r="R89">
            <v>127.3</v>
          </cell>
          <cell r="S89">
            <v>114.7</v>
          </cell>
          <cell r="T89">
            <v>114.7</v>
          </cell>
          <cell r="U89">
            <v>122.4</v>
          </cell>
          <cell r="V89">
            <v>104.7</v>
          </cell>
          <cell r="W89">
            <v>127.3</v>
          </cell>
          <cell r="X89">
            <v>112.5</v>
          </cell>
          <cell r="Y89">
            <v>112.5</v>
          </cell>
          <cell r="Z89">
            <v>87.2</v>
          </cell>
          <cell r="AA89">
            <v>86.9</v>
          </cell>
          <cell r="AB89">
            <v>75.400000000000006</v>
          </cell>
          <cell r="AC89">
            <v>75.900000000000006</v>
          </cell>
          <cell r="AD89">
            <v>75.900000000000006</v>
          </cell>
          <cell r="AE89">
            <v>67.3</v>
          </cell>
          <cell r="AF89">
            <v>59.5</v>
          </cell>
          <cell r="AG89">
            <v>253.7</v>
          </cell>
          <cell r="AH89">
            <v>251.60000000000002</v>
          </cell>
          <cell r="AI89">
            <v>251.60000000000002</v>
          </cell>
          <cell r="AJ89">
            <v>248.70000000000002</v>
          </cell>
          <cell r="AK89">
            <v>247.60000000000002</v>
          </cell>
          <cell r="AL89">
            <v>268.8</v>
          </cell>
          <cell r="AM89">
            <v>270.5</v>
          </cell>
          <cell r="AN89">
            <v>270.5</v>
          </cell>
          <cell r="AO89">
            <v>75</v>
          </cell>
          <cell r="AP89">
            <v>61.6</v>
          </cell>
          <cell r="AQ89">
            <v>53.8</v>
          </cell>
          <cell r="AR89">
            <v>274.89999999999998</v>
          </cell>
          <cell r="AS89">
            <v>274.89999999999998</v>
          </cell>
          <cell r="AT89">
            <v>56.1</v>
          </cell>
          <cell r="AU89">
            <v>47.8</v>
          </cell>
          <cell r="AV89">
            <v>60.8</v>
          </cell>
          <cell r="AW89">
            <v>82.6</v>
          </cell>
          <cell r="AX89">
            <v>82.6</v>
          </cell>
          <cell r="AY89">
            <v>91</v>
          </cell>
          <cell r="AZ89">
            <v>61.9</v>
          </cell>
          <cell r="BA89">
            <v>70.400000000000006</v>
          </cell>
          <cell r="BB89">
            <v>68.7</v>
          </cell>
          <cell r="BC89">
            <v>68.7</v>
          </cell>
          <cell r="BD89">
            <v>72.7</v>
          </cell>
          <cell r="BE89">
            <v>85.8</v>
          </cell>
          <cell r="BF89">
            <v>102.4</v>
          </cell>
          <cell r="BG89">
            <v>72.099999999999994</v>
          </cell>
          <cell r="BH89">
            <v>72.099999999999994</v>
          </cell>
          <cell r="BI89">
            <v>72.099999999999994</v>
          </cell>
          <cell r="BJ89">
            <v>72.099999999999994</v>
          </cell>
          <cell r="BK89">
            <v>72.099999999999994</v>
          </cell>
          <cell r="BL89">
            <v>72.099999999999994</v>
          </cell>
          <cell r="BM89">
            <v>72.099999999999994</v>
          </cell>
          <cell r="BN89">
            <v>72.099999999999994</v>
          </cell>
          <cell r="BO89">
            <v>72.099999999999994</v>
          </cell>
          <cell r="BP89">
            <v>72.099999999999994</v>
          </cell>
          <cell r="BQ89">
            <v>72.099999999999994</v>
          </cell>
          <cell r="BR89">
            <v>72.099999999999994</v>
          </cell>
          <cell r="BS89">
            <v>72.099999999999994</v>
          </cell>
          <cell r="BT89">
            <v>72.099999999999994</v>
          </cell>
          <cell r="BU89">
            <v>72.099999999999994</v>
          </cell>
          <cell r="BV89">
            <v>72.099999999999994</v>
          </cell>
          <cell r="BW89">
            <v>72.099999999999994</v>
          </cell>
          <cell r="BX89">
            <v>72.099999999999994</v>
          </cell>
          <cell r="BY89">
            <v>72.099999999999994</v>
          </cell>
          <cell r="BZ89">
            <v>72.099999999999994</v>
          </cell>
          <cell r="CA89">
            <v>72.099999999999994</v>
          </cell>
          <cell r="CB89">
            <v>72.099999999999994</v>
          </cell>
          <cell r="CI89" t="str">
            <v>mstag:otherAssetsOperatingNonCurrent</v>
          </cell>
          <cell r="CJ89">
            <v>6</v>
          </cell>
          <cell r="CK89" t="str">
            <v>ISO4217:USD</v>
          </cell>
          <cell r="CL89" t="b">
            <v>0</v>
          </cell>
        </row>
        <row r="90">
          <cell r="B90" t="str">
            <v>Total Assets</v>
          </cell>
          <cell r="K90">
            <v>0</v>
          </cell>
          <cell r="L90">
            <v>0</v>
          </cell>
          <cell r="M90">
            <v>0</v>
          </cell>
          <cell r="N90">
            <v>9922.5</v>
          </cell>
          <cell r="O90">
            <v>9922.5</v>
          </cell>
          <cell r="P90">
            <v>0</v>
          </cell>
          <cell r="Q90">
            <v>10114.099999999999</v>
          </cell>
          <cell r="R90">
            <v>10232.399999999998</v>
          </cell>
          <cell r="S90">
            <v>10263</v>
          </cell>
          <cell r="T90">
            <v>10263</v>
          </cell>
          <cell r="U90">
            <v>10454.499999999998</v>
          </cell>
          <cell r="V90">
            <v>10202.700000000001</v>
          </cell>
          <cell r="W90">
            <v>10411.299999999999</v>
          </cell>
          <cell r="X90">
            <v>10541.5</v>
          </cell>
          <cell r="Y90">
            <v>10541.5</v>
          </cell>
          <cell r="Z90">
            <v>10556.400000000001</v>
          </cell>
          <cell r="AA90">
            <v>10671</v>
          </cell>
          <cell r="AB90">
            <v>13619.199999999999</v>
          </cell>
          <cell r="AC90">
            <v>13702.999999999998</v>
          </cell>
          <cell r="AD90">
            <v>13702.999999999998</v>
          </cell>
          <cell r="AE90">
            <v>13842.099999999999</v>
          </cell>
          <cell r="AF90">
            <v>13353</v>
          </cell>
          <cell r="AG90">
            <v>13670.3</v>
          </cell>
          <cell r="AH90">
            <v>14388.099999999999</v>
          </cell>
          <cell r="AI90">
            <v>14388.099999999999</v>
          </cell>
          <cell r="AJ90">
            <v>14083.900000000001</v>
          </cell>
          <cell r="AK90">
            <v>14335.199999999999</v>
          </cell>
          <cell r="AL90">
            <v>13925.099999999999</v>
          </cell>
          <cell r="AM90">
            <v>16217.9</v>
          </cell>
          <cell r="AN90">
            <v>16217.9</v>
          </cell>
          <cell r="AO90">
            <v>16234.5</v>
          </cell>
          <cell r="AP90">
            <v>16545.599999999999</v>
          </cell>
          <cell r="AQ90">
            <v>16113.099999999999</v>
          </cell>
          <cell r="AR90">
            <v>17010.900000000001</v>
          </cell>
          <cell r="AS90">
            <v>17010.900000000001</v>
          </cell>
          <cell r="AT90">
            <v>17486.199999999997</v>
          </cell>
          <cell r="AU90">
            <v>17770.3</v>
          </cell>
          <cell r="AV90">
            <v>17111.8</v>
          </cell>
          <cell r="AW90">
            <v>17915.5</v>
          </cell>
          <cell r="AX90">
            <v>17915.5</v>
          </cell>
          <cell r="AY90">
            <v>16615.3</v>
          </cell>
          <cell r="AZ90">
            <v>16240</v>
          </cell>
          <cell r="BA90">
            <v>16570.2</v>
          </cell>
          <cell r="BB90">
            <v>17097.3</v>
          </cell>
          <cell r="BC90">
            <v>17097.3</v>
          </cell>
          <cell r="BD90">
            <v>16211.2</v>
          </cell>
          <cell r="BE90">
            <v>15990.8</v>
          </cell>
          <cell r="BF90">
            <v>15863.6</v>
          </cell>
          <cell r="BG90">
            <v>16962.799999999996</v>
          </cell>
          <cell r="BH90">
            <v>16962.799999999996</v>
          </cell>
          <cell r="BI90">
            <v>16696.890458308379</v>
          </cell>
          <cell r="BJ90">
            <v>17048.512636211944</v>
          </cell>
          <cell r="BK90">
            <v>15374.437876612612</v>
          </cell>
          <cell r="BL90">
            <v>15564.301067633956</v>
          </cell>
          <cell r="BM90">
            <v>15564.301067633956</v>
          </cell>
          <cell r="BN90">
            <v>14447.702615680553</v>
          </cell>
          <cell r="BO90">
            <v>14354.747357593782</v>
          </cell>
          <cell r="BP90">
            <v>14667.701876428262</v>
          </cell>
          <cell r="BQ90">
            <v>14936.154051656566</v>
          </cell>
          <cell r="BR90">
            <v>14936.154051656566</v>
          </cell>
          <cell r="BS90">
            <v>14135.382870118088</v>
          </cell>
          <cell r="BT90">
            <v>14104.72944692049</v>
          </cell>
          <cell r="BU90">
            <v>14197.063471347539</v>
          </cell>
          <cell r="BV90">
            <v>14423.220556323357</v>
          </cell>
          <cell r="BW90">
            <v>14423.220556323357</v>
          </cell>
          <cell r="BX90">
            <v>13844.890614681151</v>
          </cell>
          <cell r="BY90">
            <v>13848.016102553151</v>
          </cell>
          <cell r="BZ90">
            <v>13915.672359316633</v>
          </cell>
          <cell r="CA90">
            <v>14083.018635456185</v>
          </cell>
          <cell r="CB90">
            <v>14083.018635456185</v>
          </cell>
        </row>
        <row r="92">
          <cell r="B92" t="str">
            <v>Liabilities</v>
          </cell>
        </row>
        <row r="93">
          <cell r="B93" t="str">
            <v>Claims and other accounts payable</v>
          </cell>
          <cell r="K93">
            <v>0</v>
          </cell>
          <cell r="L93">
            <v>0</v>
          </cell>
          <cell r="M93">
            <v>0</v>
          </cell>
          <cell r="N93">
            <v>1718.3</v>
          </cell>
          <cell r="O93">
            <v>1718.3</v>
          </cell>
          <cell r="P93">
            <v>0</v>
          </cell>
          <cell r="Q93">
            <v>1654.3</v>
          </cell>
          <cell r="R93">
            <v>2101.6</v>
          </cell>
          <cell r="S93">
            <v>1988.2</v>
          </cell>
          <cell r="T93">
            <v>1988.2</v>
          </cell>
          <cell r="U93">
            <v>2174.6</v>
          </cell>
          <cell r="V93">
            <v>1878.4</v>
          </cell>
          <cell r="W93">
            <v>2168.6</v>
          </cell>
          <cell r="X93">
            <v>2162.1</v>
          </cell>
          <cell r="Y93">
            <v>2162.1</v>
          </cell>
          <cell r="Z93">
            <v>2170.4</v>
          </cell>
          <cell r="AA93">
            <v>2174.1999999999998</v>
          </cell>
          <cell r="AB93">
            <v>2490.4</v>
          </cell>
          <cell r="AC93">
            <v>2678.6</v>
          </cell>
          <cell r="AD93">
            <v>2678.6</v>
          </cell>
          <cell r="AE93">
            <v>2574.6</v>
          </cell>
          <cell r="AF93">
            <v>2624</v>
          </cell>
          <cell r="AG93">
            <v>2708.5</v>
          </cell>
          <cell r="AH93">
            <v>2884.2</v>
          </cell>
          <cell r="AI93">
            <v>2884.2</v>
          </cell>
          <cell r="AJ93">
            <v>2324.6999999999998</v>
          </cell>
          <cell r="AK93">
            <v>2578.6999999999998</v>
          </cell>
          <cell r="AL93">
            <v>2177.8000000000002</v>
          </cell>
          <cell r="AM93">
            <v>2812.9</v>
          </cell>
          <cell r="AN93">
            <v>2812.9</v>
          </cell>
          <cell r="AO93">
            <v>2447.5</v>
          </cell>
          <cell r="AP93">
            <v>2812</v>
          </cell>
          <cell r="AQ93">
            <v>2173.6</v>
          </cell>
          <cell r="AR93">
            <v>2878.9</v>
          </cell>
          <cell r="AS93">
            <v>2878.9</v>
          </cell>
          <cell r="AT93">
            <v>2789.7</v>
          </cell>
          <cell r="AU93">
            <v>3523</v>
          </cell>
          <cell r="AV93">
            <v>2768.8</v>
          </cell>
          <cell r="AW93">
            <v>3506.4</v>
          </cell>
          <cell r="AX93">
            <v>3506.4</v>
          </cell>
          <cell r="AY93">
            <v>2839.4</v>
          </cell>
          <cell r="AZ93">
            <v>3158.3</v>
          </cell>
          <cell r="BA93">
            <v>2836.4</v>
          </cell>
          <cell r="BB93">
            <v>3495.4</v>
          </cell>
          <cell r="BC93">
            <v>3495.4</v>
          </cell>
          <cell r="BD93">
            <v>2969.7</v>
          </cell>
          <cell r="BE93">
            <v>3384.8</v>
          </cell>
          <cell r="BF93">
            <v>2960.5</v>
          </cell>
          <cell r="BG93">
            <v>3375.5</v>
          </cell>
          <cell r="BH93">
            <v>3375.5</v>
          </cell>
          <cell r="BI93">
            <v>2799.6353843844054</v>
          </cell>
          <cell r="BJ93">
            <v>2797.8128406930487</v>
          </cell>
          <cell r="BK93">
            <v>2732.1768704240221</v>
          </cell>
          <cell r="BL93">
            <v>2903.6055366786031</v>
          </cell>
          <cell r="BM93">
            <v>2903.6055366786031</v>
          </cell>
          <cell r="BN93">
            <v>2332.9954979334334</v>
          </cell>
          <cell r="BO93">
            <v>2380.2103715468352</v>
          </cell>
          <cell r="BP93">
            <v>2402.1945417174143</v>
          </cell>
          <cell r="BQ93">
            <v>2384.5652217969759</v>
          </cell>
          <cell r="BR93">
            <v>2384.5652217969759</v>
          </cell>
          <cell r="BS93">
            <v>2403.3691770670553</v>
          </cell>
          <cell r="BT93">
            <v>2409.3295607179589</v>
          </cell>
          <cell r="BU93">
            <v>2376.1909141518586</v>
          </cell>
          <cell r="BV93">
            <v>2356.2535287813039</v>
          </cell>
          <cell r="BW93">
            <v>2356.2535287813039</v>
          </cell>
          <cell r="BX93">
            <v>2372.2082415739173</v>
          </cell>
          <cell r="BY93">
            <v>2413.6155267801191</v>
          </cell>
          <cell r="BZ93">
            <v>2433.284761435043</v>
          </cell>
          <cell r="CA93">
            <v>2408.1499049981535</v>
          </cell>
          <cell r="CB93">
            <v>2408.1499049981535</v>
          </cell>
          <cell r="CI93" t="str">
            <v>mstag:tradeAndOtherPayablesCurrent</v>
          </cell>
          <cell r="CJ93">
            <v>6</v>
          </cell>
          <cell r="CK93" t="str">
            <v>ISO4217:USD</v>
          </cell>
          <cell r="CL93" t="b">
            <v>0</v>
          </cell>
        </row>
        <row r="94">
          <cell r="B94" t="str">
            <v>Accrued expenses and other current liabilities</v>
          </cell>
          <cell r="K94">
            <v>0</v>
          </cell>
          <cell r="L94">
            <v>0</v>
          </cell>
          <cell r="M94">
            <v>0</v>
          </cell>
          <cell r="N94">
            <v>336.6</v>
          </cell>
          <cell r="O94">
            <v>336.6</v>
          </cell>
          <cell r="P94">
            <v>0</v>
          </cell>
          <cell r="Q94">
            <v>382.3</v>
          </cell>
          <cell r="R94">
            <v>441.6</v>
          </cell>
          <cell r="S94">
            <v>567.1</v>
          </cell>
          <cell r="T94">
            <v>567.1</v>
          </cell>
          <cell r="U94">
            <v>570.4</v>
          </cell>
          <cell r="V94">
            <v>511.2</v>
          </cell>
          <cell r="W94">
            <v>342</v>
          </cell>
          <cell r="X94">
            <v>382.4</v>
          </cell>
          <cell r="Y94">
            <v>382.4</v>
          </cell>
          <cell r="Z94">
            <v>405.6</v>
          </cell>
          <cell r="AA94">
            <v>303.89999999999998</v>
          </cell>
          <cell r="AB94">
            <v>369.9</v>
          </cell>
          <cell r="AC94">
            <v>556.70000000000005</v>
          </cell>
          <cell r="AD94">
            <v>556.70000000000005</v>
          </cell>
          <cell r="AE94">
            <v>887.1</v>
          </cell>
          <cell r="AF94">
            <v>713.5</v>
          </cell>
          <cell r="AG94">
            <v>775.7</v>
          </cell>
          <cell r="AH94">
            <v>1542.3000000000002</v>
          </cell>
          <cell r="AI94">
            <v>1542.3000000000002</v>
          </cell>
          <cell r="AJ94">
            <v>1782.3</v>
          </cell>
          <cell r="AK94">
            <v>1600.8</v>
          </cell>
          <cell r="AL94">
            <v>1811</v>
          </cell>
          <cell r="AM94">
            <v>1716.3000000000002</v>
          </cell>
          <cell r="AN94">
            <v>1716.3000000000002</v>
          </cell>
          <cell r="AO94">
            <v>2156.4</v>
          </cell>
          <cell r="AP94">
            <v>1828.6999999999998</v>
          </cell>
          <cell r="AQ94">
            <v>2217.8000000000002</v>
          </cell>
          <cell r="AR94">
            <v>2319.1</v>
          </cell>
          <cell r="AS94">
            <v>2319.1</v>
          </cell>
          <cell r="AT94">
            <v>2789</v>
          </cell>
          <cell r="AU94">
            <v>2754.7</v>
          </cell>
          <cell r="AV94">
            <v>2767.5</v>
          </cell>
          <cell r="AW94">
            <v>2825.5</v>
          </cell>
          <cell r="AX94">
            <v>2825.5</v>
          </cell>
          <cell r="AY94">
            <v>3062.5</v>
          </cell>
          <cell r="AZ94">
            <v>3007.9</v>
          </cell>
          <cell r="BA94">
            <v>3052.8</v>
          </cell>
          <cell r="BB94">
            <v>3363.3999999999996</v>
          </cell>
          <cell r="BC94">
            <v>3363.3999999999996</v>
          </cell>
          <cell r="BD94">
            <v>3409.3</v>
          </cell>
          <cell r="BE94">
            <v>2943.9</v>
          </cell>
          <cell r="BF94">
            <v>3141.8</v>
          </cell>
          <cell r="BG94">
            <v>3331.1</v>
          </cell>
          <cell r="BH94">
            <v>3331.1</v>
          </cell>
          <cell r="BI94">
            <v>3331.1</v>
          </cell>
          <cell r="BJ94">
            <v>3331.1</v>
          </cell>
          <cell r="BK94">
            <v>3331.1</v>
          </cell>
          <cell r="BL94">
            <v>3331.1</v>
          </cell>
          <cell r="BM94">
            <v>3331.1</v>
          </cell>
          <cell r="BN94">
            <v>3331.1</v>
          </cell>
          <cell r="BO94">
            <v>3331.1</v>
          </cell>
          <cell r="BP94">
            <v>3331.1</v>
          </cell>
          <cell r="BQ94">
            <v>3331.1</v>
          </cell>
          <cell r="BR94">
            <v>3331.1</v>
          </cell>
          <cell r="BS94">
            <v>3331.1</v>
          </cell>
          <cell r="BT94">
            <v>3331.1</v>
          </cell>
          <cell r="BU94">
            <v>3331.1</v>
          </cell>
          <cell r="BV94">
            <v>3331.1</v>
          </cell>
          <cell r="BW94">
            <v>3331.1</v>
          </cell>
          <cell r="BX94">
            <v>3331.1</v>
          </cell>
          <cell r="BY94">
            <v>3331.1</v>
          </cell>
          <cell r="BZ94">
            <v>3331.1</v>
          </cell>
          <cell r="CA94">
            <v>3331.1</v>
          </cell>
          <cell r="CB94">
            <v>3331.1</v>
          </cell>
          <cell r="CI94" t="str">
            <v>mstag:accruedExpenses</v>
          </cell>
          <cell r="CJ94">
            <v>6</v>
          </cell>
          <cell r="CK94" t="str">
            <v>ISO4217:USD</v>
          </cell>
          <cell r="CL94" t="b">
            <v>0</v>
          </cell>
        </row>
        <row r="95">
          <cell r="B95" t="str">
            <v>Short-term Debt &amp; Current portion of LTD</v>
          </cell>
          <cell r="K95">
            <v>0</v>
          </cell>
          <cell r="L95">
            <v>0</v>
          </cell>
          <cell r="M95">
            <v>0</v>
          </cell>
          <cell r="N95">
            <v>0</v>
          </cell>
          <cell r="O95">
            <v>0</v>
          </cell>
          <cell r="P95">
            <v>0</v>
          </cell>
          <cell r="Q95">
            <v>0</v>
          </cell>
          <cell r="R95">
            <v>33.700000000000003</v>
          </cell>
          <cell r="S95">
            <v>50</v>
          </cell>
          <cell r="T95">
            <v>50</v>
          </cell>
          <cell r="U95">
            <v>60</v>
          </cell>
          <cell r="V95">
            <v>80</v>
          </cell>
          <cell r="W95">
            <v>80</v>
          </cell>
          <cell r="X95">
            <v>100</v>
          </cell>
          <cell r="Y95">
            <v>100</v>
          </cell>
          <cell r="Z95">
            <v>100</v>
          </cell>
          <cell r="AA95">
            <v>100</v>
          </cell>
          <cell r="AB95">
            <v>75.5</v>
          </cell>
          <cell r="AC95">
            <v>525.5</v>
          </cell>
          <cell r="AD95">
            <v>525.5</v>
          </cell>
          <cell r="AE95">
            <v>525.5</v>
          </cell>
          <cell r="AF95">
            <v>525.5</v>
          </cell>
          <cell r="AG95">
            <v>525.4</v>
          </cell>
          <cell r="AH95">
            <v>400.3</v>
          </cell>
          <cell r="AI95">
            <v>400.3</v>
          </cell>
          <cell r="AJ95">
            <v>675.1</v>
          </cell>
          <cell r="AK95">
            <v>600</v>
          </cell>
          <cell r="AL95">
            <v>600</v>
          </cell>
          <cell r="AM95">
            <v>600</v>
          </cell>
          <cell r="AN95">
            <v>600</v>
          </cell>
          <cell r="AO95">
            <v>600</v>
          </cell>
          <cell r="AP95">
            <v>600</v>
          </cell>
          <cell r="AQ95">
            <v>600</v>
          </cell>
          <cell r="AR95">
            <v>600</v>
          </cell>
          <cell r="AS95">
            <v>600</v>
          </cell>
          <cell r="AT95">
            <v>600</v>
          </cell>
          <cell r="AU95">
            <v>609.1</v>
          </cell>
          <cell r="AV95">
            <v>211.7</v>
          </cell>
          <cell r="AW95">
            <v>15.8</v>
          </cell>
          <cell r="AX95">
            <v>15.8</v>
          </cell>
          <cell r="AY95">
            <v>21.1</v>
          </cell>
          <cell r="AZ95">
            <v>19.100000000000001</v>
          </cell>
          <cell r="BA95">
            <v>18.8</v>
          </cell>
          <cell r="BB95">
            <v>23.6</v>
          </cell>
          <cell r="BC95">
            <v>23.6</v>
          </cell>
          <cell r="BD95">
            <v>26.9</v>
          </cell>
          <cell r="BE95">
            <v>2031.9</v>
          </cell>
          <cell r="BF95">
            <v>2036.4</v>
          </cell>
          <cell r="BG95">
            <v>2042.7</v>
          </cell>
          <cell r="BH95">
            <v>2042.7</v>
          </cell>
          <cell r="BI95">
            <v>42.7</v>
          </cell>
          <cell r="BJ95">
            <v>42.7</v>
          </cell>
          <cell r="BK95">
            <v>42.7</v>
          </cell>
          <cell r="BL95">
            <v>42.7</v>
          </cell>
          <cell r="BM95">
            <v>42.7</v>
          </cell>
          <cell r="BN95">
            <v>42.7</v>
          </cell>
          <cell r="BO95">
            <v>42.7</v>
          </cell>
          <cell r="BP95">
            <v>42.7</v>
          </cell>
          <cell r="BQ95">
            <v>42.7</v>
          </cell>
          <cell r="BR95">
            <v>42.7</v>
          </cell>
          <cell r="BS95">
            <v>42.7</v>
          </cell>
          <cell r="BT95">
            <v>42.7</v>
          </cell>
          <cell r="BU95">
            <v>42.7</v>
          </cell>
          <cell r="BV95">
            <v>42.7</v>
          </cell>
          <cell r="BW95">
            <v>42.7</v>
          </cell>
          <cell r="BX95">
            <v>42.7</v>
          </cell>
          <cell r="BY95">
            <v>42.7</v>
          </cell>
          <cell r="BZ95">
            <v>42.7</v>
          </cell>
          <cell r="CA95">
            <v>42.7</v>
          </cell>
          <cell r="CB95">
            <v>42.7</v>
          </cell>
          <cell r="CI95" t="str">
            <v>mstag:shortTermBorrowings</v>
          </cell>
          <cell r="CJ95">
            <v>6</v>
          </cell>
          <cell r="CK95" t="str">
            <v>ISO4217:USD</v>
          </cell>
          <cell r="CL95" t="b">
            <v>0</v>
          </cell>
        </row>
        <row r="96">
          <cell r="B96" t="str">
            <v>Other</v>
          </cell>
          <cell r="K96">
            <v>0</v>
          </cell>
          <cell r="L96">
            <v>0</v>
          </cell>
          <cell r="M96">
            <v>0</v>
          </cell>
          <cell r="N96">
            <v>0</v>
          </cell>
          <cell r="O96">
            <v>0</v>
          </cell>
          <cell r="P96">
            <v>0</v>
          </cell>
          <cell r="Q96">
            <v>0</v>
          </cell>
          <cell r="R96">
            <v>100</v>
          </cell>
          <cell r="S96">
            <v>0</v>
          </cell>
          <cell r="T96">
            <v>0</v>
          </cell>
          <cell r="U96">
            <v>0</v>
          </cell>
          <cell r="V96">
            <v>0</v>
          </cell>
          <cell r="W96">
            <v>0</v>
          </cell>
          <cell r="X96">
            <v>0</v>
          </cell>
          <cell r="Y96">
            <v>0</v>
          </cell>
          <cell r="Z96">
            <v>0</v>
          </cell>
          <cell r="AA96">
            <v>0</v>
          </cell>
          <cell r="AB96">
            <v>0</v>
          </cell>
          <cell r="AC96">
            <v>0</v>
          </cell>
          <cell r="AD96">
            <v>0</v>
          </cell>
          <cell r="AE96">
            <v>0</v>
          </cell>
          <cell r="AF96">
            <v>0</v>
          </cell>
          <cell r="AG96">
            <v>0</v>
          </cell>
          <cell r="AH96">
            <v>0</v>
          </cell>
          <cell r="AI96">
            <v>0</v>
          </cell>
          <cell r="AJ96">
            <v>0</v>
          </cell>
          <cell r="AK96">
            <v>0</v>
          </cell>
          <cell r="AL96">
            <v>0</v>
          </cell>
          <cell r="AM96">
            <v>0</v>
          </cell>
          <cell r="AN96">
            <v>0</v>
          </cell>
          <cell r="AO96">
            <v>0</v>
          </cell>
          <cell r="AP96">
            <v>0</v>
          </cell>
          <cell r="AQ96">
            <v>0</v>
          </cell>
          <cell r="AR96">
            <v>0</v>
          </cell>
          <cell r="AS96">
            <v>0</v>
          </cell>
          <cell r="AT96">
            <v>0</v>
          </cell>
          <cell r="AU96">
            <v>0</v>
          </cell>
          <cell r="AV96">
            <v>0</v>
          </cell>
          <cell r="AW96">
            <v>0</v>
          </cell>
          <cell r="AX96">
            <v>0</v>
          </cell>
          <cell r="AY96">
            <v>0</v>
          </cell>
          <cell r="AZ96">
            <v>0</v>
          </cell>
          <cell r="BA96">
            <v>0</v>
          </cell>
          <cell r="BB96">
            <v>0</v>
          </cell>
          <cell r="BC96">
            <v>0</v>
          </cell>
          <cell r="BD96">
            <v>0</v>
          </cell>
          <cell r="BE96">
            <v>0</v>
          </cell>
          <cell r="BF96">
            <v>0</v>
          </cell>
          <cell r="BG96">
            <v>0</v>
          </cell>
          <cell r="BH96">
            <v>0</v>
          </cell>
          <cell r="BI96">
            <v>0</v>
          </cell>
          <cell r="BJ96">
            <v>0</v>
          </cell>
          <cell r="BK96">
            <v>0</v>
          </cell>
          <cell r="BL96">
            <v>0</v>
          </cell>
          <cell r="BM96">
            <v>0</v>
          </cell>
          <cell r="BN96">
            <v>0</v>
          </cell>
          <cell r="BO96">
            <v>0</v>
          </cell>
          <cell r="BP96">
            <v>0</v>
          </cell>
          <cell r="BQ96">
            <v>0</v>
          </cell>
          <cell r="BR96">
            <v>0</v>
          </cell>
          <cell r="BS96">
            <v>0</v>
          </cell>
          <cell r="BT96">
            <v>0</v>
          </cell>
          <cell r="BU96">
            <v>0</v>
          </cell>
          <cell r="BV96">
            <v>0</v>
          </cell>
          <cell r="BW96">
            <v>0</v>
          </cell>
          <cell r="BX96">
            <v>0</v>
          </cell>
          <cell r="BY96">
            <v>0</v>
          </cell>
          <cell r="BZ96">
            <v>0</v>
          </cell>
          <cell r="CA96">
            <v>0</v>
          </cell>
          <cell r="CB96">
            <v>0</v>
          </cell>
          <cell r="CI96" t="str">
            <v>mstag:otherLiabilitiesOperatingCurrent</v>
          </cell>
          <cell r="CJ96">
            <v>6</v>
          </cell>
          <cell r="CK96" t="str">
            <v>ISO4217:USD</v>
          </cell>
          <cell r="CL96" t="b">
            <v>0</v>
          </cell>
        </row>
        <row r="98">
          <cell r="B98" t="str">
            <v>Long term debt</v>
          </cell>
          <cell r="K98">
            <v>0</v>
          </cell>
          <cell r="L98">
            <v>0</v>
          </cell>
          <cell r="M98">
            <v>0</v>
          </cell>
          <cell r="N98">
            <v>0</v>
          </cell>
          <cell r="O98">
            <v>0</v>
          </cell>
          <cell r="P98">
            <v>0</v>
          </cell>
          <cell r="Q98">
            <v>0</v>
          </cell>
          <cell r="R98">
            <v>1362.3</v>
          </cell>
          <cell r="S98">
            <v>1346.1</v>
          </cell>
          <cell r="T98">
            <v>1346.1</v>
          </cell>
          <cell r="U98">
            <v>1236.5999999999999</v>
          </cell>
          <cell r="V98">
            <v>1205</v>
          </cell>
          <cell r="W98">
            <v>1194.3</v>
          </cell>
          <cell r="X98">
            <v>1092.9000000000001</v>
          </cell>
          <cell r="Y98">
            <v>1092.9000000000001</v>
          </cell>
          <cell r="Z98">
            <v>885.9</v>
          </cell>
          <cell r="AA98">
            <v>876.2</v>
          </cell>
          <cell r="AB98">
            <v>1615.9</v>
          </cell>
          <cell r="AC98">
            <v>943.9</v>
          </cell>
          <cell r="AD98">
            <v>943.9</v>
          </cell>
          <cell r="AE98">
            <v>920</v>
          </cell>
          <cell r="AF98">
            <v>897.4</v>
          </cell>
          <cell r="AG98">
            <v>885.5</v>
          </cell>
          <cell r="AH98">
            <v>866.4</v>
          </cell>
          <cell r="AI98">
            <v>866.4</v>
          </cell>
          <cell r="AJ98">
            <v>849.7</v>
          </cell>
          <cell r="AK98">
            <v>1482</v>
          </cell>
          <cell r="AL98">
            <v>1488.7</v>
          </cell>
          <cell r="AM98">
            <v>2894.4</v>
          </cell>
          <cell r="AN98">
            <v>2894.4</v>
          </cell>
          <cell r="AO98">
            <v>3589.9</v>
          </cell>
          <cell r="AP98">
            <v>4083</v>
          </cell>
          <cell r="AQ98">
            <v>3985</v>
          </cell>
          <cell r="AR98">
            <v>4002.9</v>
          </cell>
          <cell r="AS98">
            <v>4002.9</v>
          </cell>
          <cell r="AT98">
            <v>4001.2</v>
          </cell>
          <cell r="AU98">
            <v>3998.4</v>
          </cell>
          <cell r="AV98">
            <v>3999.2</v>
          </cell>
          <cell r="AW98">
            <v>4000.1</v>
          </cell>
          <cell r="AX98">
            <v>4000.1</v>
          </cell>
          <cell r="AY98">
            <v>4000.7</v>
          </cell>
          <cell r="AZ98">
            <v>4004.8</v>
          </cell>
          <cell r="BA98">
            <v>5004.8</v>
          </cell>
          <cell r="BB98">
            <v>5003.6000000000004</v>
          </cell>
          <cell r="BC98">
            <v>5003.6000000000004</v>
          </cell>
          <cell r="BD98">
            <v>5001.6000000000004</v>
          </cell>
          <cell r="BE98">
            <v>3004.2</v>
          </cell>
          <cell r="BF98">
            <v>3002.2</v>
          </cell>
          <cell r="BG98">
            <v>3001.6</v>
          </cell>
          <cell r="BH98">
            <v>3001.6</v>
          </cell>
          <cell r="BI98">
            <v>4989.2</v>
          </cell>
          <cell r="BJ98">
            <v>4989.7</v>
          </cell>
          <cell r="BK98">
            <v>4990.2</v>
          </cell>
          <cell r="BL98">
            <v>4990.7</v>
          </cell>
          <cell r="BM98">
            <v>4990.7</v>
          </cell>
          <cell r="BN98">
            <v>4991.0999999999995</v>
          </cell>
          <cell r="BO98">
            <v>4991.5</v>
          </cell>
          <cell r="BP98">
            <v>4991.8999999999996</v>
          </cell>
          <cell r="BQ98">
            <v>4992.3</v>
          </cell>
          <cell r="BR98">
            <v>4992.3</v>
          </cell>
          <cell r="BS98">
            <v>4992.5999999999995</v>
          </cell>
          <cell r="BT98">
            <v>4992.8999999999996</v>
          </cell>
          <cell r="BU98">
            <v>4993.2</v>
          </cell>
          <cell r="BV98">
            <v>4993.4999999999991</v>
          </cell>
          <cell r="BW98">
            <v>4993.4999999999991</v>
          </cell>
          <cell r="BX98">
            <v>4993.7999999999993</v>
          </cell>
          <cell r="BY98">
            <v>4994.0999999999995</v>
          </cell>
          <cell r="BZ98">
            <v>4994.3999999999996</v>
          </cell>
          <cell r="CA98">
            <v>4994.7</v>
          </cell>
          <cell r="CB98">
            <v>4994.7</v>
          </cell>
          <cell r="CI98" t="str">
            <v>mstag:longTermDebt</v>
          </cell>
          <cell r="CJ98">
            <v>6</v>
          </cell>
          <cell r="CK98" t="str">
            <v>ISO4217:USD</v>
          </cell>
          <cell r="CL98" t="b">
            <v>0</v>
          </cell>
        </row>
        <row r="99">
          <cell r="B99" t="str">
            <v>Deferred tax liabilities</v>
          </cell>
          <cell r="K99">
            <v>0</v>
          </cell>
          <cell r="L99">
            <v>0</v>
          </cell>
          <cell r="M99">
            <v>0</v>
          </cell>
          <cell r="N99">
            <v>1197.7</v>
          </cell>
          <cell r="O99">
            <v>1197.7</v>
          </cell>
          <cell r="Q99">
            <v>1187.2</v>
          </cell>
          <cell r="R99">
            <v>1192.9000000000001</v>
          </cell>
          <cell r="S99">
            <v>1177.5</v>
          </cell>
          <cell r="T99">
            <v>1177.5</v>
          </cell>
          <cell r="U99">
            <v>1159.9000000000001</v>
          </cell>
          <cell r="V99">
            <v>1068.4000000000001</v>
          </cell>
          <cell r="W99">
            <v>1047</v>
          </cell>
          <cell r="X99">
            <v>1030.2</v>
          </cell>
          <cell r="Y99">
            <v>1030.2</v>
          </cell>
          <cell r="Z99">
            <v>1002.2</v>
          </cell>
          <cell r="AA99">
            <v>980.6</v>
          </cell>
          <cell r="AB99">
            <v>1265.2</v>
          </cell>
          <cell r="AC99">
            <v>1213.8</v>
          </cell>
          <cell r="AD99">
            <v>1213.8</v>
          </cell>
          <cell r="AE99">
            <v>1187.0999999999999</v>
          </cell>
          <cell r="AF99">
            <v>1173.5999999999999</v>
          </cell>
          <cell r="AG99">
            <v>1166.2</v>
          </cell>
          <cell r="AH99">
            <v>1161.3</v>
          </cell>
          <cell r="AI99">
            <v>1161.3</v>
          </cell>
          <cell r="AJ99">
            <v>1143.4000000000001</v>
          </cell>
          <cell r="AK99">
            <v>1124.5999999999999</v>
          </cell>
          <cell r="AL99">
            <v>1109</v>
          </cell>
          <cell r="AM99">
            <v>1167</v>
          </cell>
          <cell r="AN99">
            <v>1167</v>
          </cell>
          <cell r="AO99">
            <v>1125.7</v>
          </cell>
          <cell r="AP99">
            <v>1103.2</v>
          </cell>
          <cell r="AQ99">
            <v>1103.0999999999999</v>
          </cell>
          <cell r="AR99">
            <v>1065.3</v>
          </cell>
          <cell r="AS99">
            <v>1065.3</v>
          </cell>
          <cell r="AT99">
            <v>1050.4000000000001</v>
          </cell>
          <cell r="AU99">
            <v>1018</v>
          </cell>
          <cell r="AV99">
            <v>995.8</v>
          </cell>
          <cell r="AW99">
            <v>958.8</v>
          </cell>
          <cell r="AX99">
            <v>958.8</v>
          </cell>
          <cell r="AY99">
            <v>918.4</v>
          </cell>
          <cell r="AZ99">
            <v>897.1</v>
          </cell>
          <cell r="BA99">
            <v>985.7</v>
          </cell>
          <cell r="BB99">
            <v>985.1</v>
          </cell>
          <cell r="BC99">
            <v>985.1</v>
          </cell>
          <cell r="BD99">
            <v>1004</v>
          </cell>
          <cell r="BE99">
            <v>980.6</v>
          </cell>
          <cell r="BF99">
            <v>972.2</v>
          </cell>
          <cell r="BG99">
            <v>988.4</v>
          </cell>
          <cell r="BH99">
            <v>988.4</v>
          </cell>
          <cell r="BI99">
            <v>988.4</v>
          </cell>
          <cell r="BJ99">
            <v>988.4</v>
          </cell>
          <cell r="BK99">
            <v>988.4</v>
          </cell>
          <cell r="BL99">
            <v>988.4</v>
          </cell>
          <cell r="BM99">
            <v>988.4</v>
          </cell>
          <cell r="BN99">
            <v>988.4</v>
          </cell>
          <cell r="BO99">
            <v>988.4</v>
          </cell>
          <cell r="BP99">
            <v>988.4</v>
          </cell>
          <cell r="BQ99">
            <v>988.4</v>
          </cell>
          <cell r="BR99">
            <v>988.4</v>
          </cell>
          <cell r="BS99">
            <v>988.4</v>
          </cell>
          <cell r="BT99">
            <v>988.4</v>
          </cell>
          <cell r="BU99">
            <v>988.4</v>
          </cell>
          <cell r="BV99">
            <v>988.4</v>
          </cell>
          <cell r="BW99">
            <v>988.4</v>
          </cell>
          <cell r="BX99">
            <v>988.4</v>
          </cell>
          <cell r="BY99">
            <v>988.4</v>
          </cell>
          <cell r="BZ99">
            <v>988.4</v>
          </cell>
          <cell r="CA99">
            <v>988.4</v>
          </cell>
          <cell r="CB99">
            <v>988.4</v>
          </cell>
          <cell r="CI99" t="str">
            <v>mstag:deferredTaxLiabilitiesNonCurrent</v>
          </cell>
          <cell r="CJ99">
            <v>6</v>
          </cell>
          <cell r="CK99" t="str">
            <v>ISO4217:USD</v>
          </cell>
          <cell r="CL99" t="b">
            <v>0</v>
          </cell>
        </row>
        <row r="100">
          <cell r="B100" t="str">
            <v>Other noncurrent liabilities</v>
          </cell>
          <cell r="K100">
            <v>0</v>
          </cell>
          <cell r="L100">
            <v>0</v>
          </cell>
          <cell r="M100">
            <v>0</v>
          </cell>
          <cell r="N100">
            <v>34.299999999999997</v>
          </cell>
          <cell r="O100">
            <v>34.299999999999997</v>
          </cell>
          <cell r="P100">
            <v>0</v>
          </cell>
          <cell r="Q100">
            <v>47.6</v>
          </cell>
          <cell r="R100">
            <v>52.8</v>
          </cell>
          <cell r="S100">
            <v>54.1</v>
          </cell>
          <cell r="T100">
            <v>54.1</v>
          </cell>
          <cell r="U100">
            <v>55.2</v>
          </cell>
          <cell r="V100">
            <v>67.099999999999994</v>
          </cell>
          <cell r="W100">
            <v>58.3</v>
          </cell>
          <cell r="X100">
            <v>54.5</v>
          </cell>
          <cell r="Y100">
            <v>54.5</v>
          </cell>
          <cell r="Z100">
            <v>62.1</v>
          </cell>
          <cell r="AA100">
            <v>51.4</v>
          </cell>
          <cell r="AB100">
            <v>57.2</v>
          </cell>
          <cell r="AC100">
            <v>60.3</v>
          </cell>
          <cell r="AD100">
            <v>60.3</v>
          </cell>
          <cell r="AE100">
            <v>65.2</v>
          </cell>
          <cell r="AF100">
            <v>68.8</v>
          </cell>
          <cell r="AG100">
            <v>60.3</v>
          </cell>
          <cell r="AH100">
            <v>30.1</v>
          </cell>
          <cell r="AI100">
            <v>30.1</v>
          </cell>
          <cell r="AJ100">
            <v>135.1</v>
          </cell>
          <cell r="AK100">
            <v>142</v>
          </cell>
          <cell r="AL100">
            <v>135.30000000000001</v>
          </cell>
          <cell r="AM100">
            <v>152</v>
          </cell>
          <cell r="AN100">
            <v>152</v>
          </cell>
          <cell r="AO100">
            <v>140.4</v>
          </cell>
          <cell r="AP100">
            <v>173.8</v>
          </cell>
          <cell r="AQ100">
            <v>129.9</v>
          </cell>
          <cell r="AR100">
            <v>186.8</v>
          </cell>
          <cell r="AS100">
            <v>186.8</v>
          </cell>
          <cell r="AT100">
            <v>188.9</v>
          </cell>
          <cell r="AU100">
            <v>200.9</v>
          </cell>
          <cell r="AV100">
            <v>206.4</v>
          </cell>
          <cell r="AW100">
            <v>221.7</v>
          </cell>
          <cell r="AX100">
            <v>221.7</v>
          </cell>
          <cell r="AY100">
            <v>243.9</v>
          </cell>
          <cell r="AZ100">
            <v>227.5</v>
          </cell>
          <cell r="BA100">
            <v>217.7</v>
          </cell>
          <cell r="BB100">
            <v>239.4</v>
          </cell>
          <cell r="BC100">
            <v>239.4</v>
          </cell>
          <cell r="BD100">
            <v>202.3</v>
          </cell>
          <cell r="BE100">
            <v>201.2</v>
          </cell>
          <cell r="BF100">
            <v>200.1</v>
          </cell>
          <cell r="BG100">
            <v>214.1</v>
          </cell>
          <cell r="BH100">
            <v>214.1</v>
          </cell>
          <cell r="BI100">
            <v>214.1</v>
          </cell>
          <cell r="BJ100">
            <v>214.1</v>
          </cell>
          <cell r="BK100">
            <v>214.1</v>
          </cell>
          <cell r="BL100">
            <v>214.1</v>
          </cell>
          <cell r="BM100">
            <v>214.1</v>
          </cell>
          <cell r="BN100">
            <v>214.1</v>
          </cell>
          <cell r="BO100">
            <v>214.1</v>
          </cell>
          <cell r="BP100">
            <v>214.1</v>
          </cell>
          <cell r="BQ100">
            <v>214.1</v>
          </cell>
          <cell r="BR100">
            <v>214.1</v>
          </cell>
          <cell r="BS100">
            <v>214.1</v>
          </cell>
          <cell r="BT100">
            <v>214.1</v>
          </cell>
          <cell r="BU100">
            <v>214.1</v>
          </cell>
          <cell r="BV100">
            <v>214.1</v>
          </cell>
          <cell r="BW100">
            <v>214.1</v>
          </cell>
          <cell r="BX100">
            <v>214.1</v>
          </cell>
          <cell r="BY100">
            <v>214.1</v>
          </cell>
          <cell r="BZ100">
            <v>214.1</v>
          </cell>
          <cell r="CA100">
            <v>214.1</v>
          </cell>
          <cell r="CB100">
            <v>214.1</v>
          </cell>
          <cell r="CI100" t="str">
            <v>mstag:otherLiabilitiesOperatingNonCurrent</v>
          </cell>
          <cell r="CJ100">
            <v>6</v>
          </cell>
          <cell r="CK100" t="str">
            <v>ISO4217:USD</v>
          </cell>
          <cell r="CL100" t="b">
            <v>0</v>
          </cell>
        </row>
        <row r="101">
          <cell r="B101" t="str">
            <v>Total Liabilities</v>
          </cell>
          <cell r="K101">
            <v>0</v>
          </cell>
          <cell r="L101">
            <v>0</v>
          </cell>
          <cell r="M101">
            <v>0</v>
          </cell>
          <cell r="N101">
            <v>3286.9000000000005</v>
          </cell>
          <cell r="O101">
            <v>3286.9000000000005</v>
          </cell>
          <cell r="Q101">
            <v>3271.4</v>
          </cell>
          <cell r="R101">
            <v>5284.9000000000005</v>
          </cell>
          <cell r="S101">
            <v>5183</v>
          </cell>
          <cell r="T101">
            <v>5183</v>
          </cell>
          <cell r="U101">
            <v>5256.7</v>
          </cell>
          <cell r="V101">
            <v>4810.1000000000004</v>
          </cell>
          <cell r="W101">
            <v>4890.2</v>
          </cell>
          <cell r="X101">
            <v>4822.1000000000004</v>
          </cell>
          <cell r="Y101">
            <v>4822.1000000000004</v>
          </cell>
          <cell r="Z101">
            <v>4626.2000000000007</v>
          </cell>
          <cell r="AA101">
            <v>4486.3</v>
          </cell>
          <cell r="AB101">
            <v>5874.1</v>
          </cell>
          <cell r="AC101">
            <v>5978.8</v>
          </cell>
          <cell r="AD101">
            <v>5978.8</v>
          </cell>
          <cell r="AE101">
            <v>6159.4999999999991</v>
          </cell>
          <cell r="AF101">
            <v>6002.8</v>
          </cell>
          <cell r="AG101">
            <v>6121.6</v>
          </cell>
          <cell r="AH101">
            <v>6884.6</v>
          </cell>
          <cell r="AI101">
            <v>6884.6</v>
          </cell>
          <cell r="AJ101">
            <v>6910.3000000000011</v>
          </cell>
          <cell r="AK101">
            <v>7528.1</v>
          </cell>
          <cell r="AL101">
            <v>7321.8</v>
          </cell>
          <cell r="AM101">
            <v>9342.6</v>
          </cell>
          <cell r="AN101">
            <v>9342.6</v>
          </cell>
          <cell r="AO101">
            <v>10059.9</v>
          </cell>
          <cell r="AP101">
            <v>10600.7</v>
          </cell>
          <cell r="AQ101">
            <v>10209.4</v>
          </cell>
          <cell r="AR101">
            <v>11052.999999999998</v>
          </cell>
          <cell r="AS101">
            <v>11052.999999999998</v>
          </cell>
          <cell r="AT101">
            <v>11419.199999999999</v>
          </cell>
          <cell r="AU101">
            <v>12104.1</v>
          </cell>
          <cell r="AV101">
            <v>10949.4</v>
          </cell>
          <cell r="AW101">
            <v>11528.3</v>
          </cell>
          <cell r="AX101">
            <v>11528.3</v>
          </cell>
          <cell r="AY101">
            <v>11086</v>
          </cell>
          <cell r="AZ101">
            <v>11314.700000000003</v>
          </cell>
          <cell r="BA101">
            <v>12116.200000000003</v>
          </cell>
          <cell r="BB101">
            <v>13110.5</v>
          </cell>
          <cell r="BC101">
            <v>13110.5</v>
          </cell>
          <cell r="BD101">
            <v>12613.8</v>
          </cell>
          <cell r="BE101">
            <v>12546.6</v>
          </cell>
          <cell r="BF101">
            <v>12313.200000000003</v>
          </cell>
          <cell r="BG101">
            <v>12953.400000000001</v>
          </cell>
          <cell r="BH101">
            <v>12953.400000000001</v>
          </cell>
          <cell r="BI101">
            <v>12365.135384384404</v>
          </cell>
          <cell r="BJ101">
            <v>12363.812840693048</v>
          </cell>
          <cell r="BK101">
            <v>12298.676870424022</v>
          </cell>
          <cell r="BL101">
            <v>12470.605536678602</v>
          </cell>
          <cell r="BM101">
            <v>12470.605536678602</v>
          </cell>
          <cell r="BN101">
            <v>11900.395497933432</v>
          </cell>
          <cell r="BO101">
            <v>11948.010371546836</v>
          </cell>
          <cell r="BP101">
            <v>11970.394541717415</v>
          </cell>
          <cell r="BQ101">
            <v>11953.165221796975</v>
          </cell>
          <cell r="BR101">
            <v>11953.165221796975</v>
          </cell>
          <cell r="BS101">
            <v>11972.269177067054</v>
          </cell>
          <cell r="BT101">
            <v>11978.529560717958</v>
          </cell>
          <cell r="BU101">
            <v>11945.690914151859</v>
          </cell>
          <cell r="BV101">
            <v>11926.053528781304</v>
          </cell>
          <cell r="BW101">
            <v>11926.053528781304</v>
          </cell>
          <cell r="BX101">
            <v>11942.308241573915</v>
          </cell>
          <cell r="BY101">
            <v>11984.015526780118</v>
          </cell>
          <cell r="BZ101">
            <v>12003.984761435044</v>
          </cell>
          <cell r="CA101">
            <v>11979.149904998154</v>
          </cell>
          <cell r="CB101">
            <v>11979.149904998154</v>
          </cell>
        </row>
        <row r="103">
          <cell r="B103" t="str">
            <v>Equity</v>
          </cell>
        </row>
        <row r="104">
          <cell r="B104" t="str">
            <v>Additional paid in capital</v>
          </cell>
          <cell r="K104">
            <v>0</v>
          </cell>
          <cell r="L104">
            <v>0</v>
          </cell>
          <cell r="M104">
            <v>0</v>
          </cell>
          <cell r="N104">
            <v>6386.9</v>
          </cell>
          <cell r="O104">
            <v>6386.9</v>
          </cell>
          <cell r="P104">
            <v>0</v>
          </cell>
          <cell r="Q104">
            <v>6386.9</v>
          </cell>
          <cell r="R104">
            <v>4900.1000000000004</v>
          </cell>
          <cell r="S104">
            <v>4913.3999999999996</v>
          </cell>
          <cell r="T104">
            <v>4913.3999999999996</v>
          </cell>
          <cell r="U104">
            <v>4926.3999999999996</v>
          </cell>
          <cell r="V104">
            <v>4993.2</v>
          </cell>
          <cell r="W104">
            <v>5002.2</v>
          </cell>
          <cell r="X104">
            <v>5067</v>
          </cell>
          <cell r="Y104">
            <v>5067</v>
          </cell>
          <cell r="Z104">
            <v>5193.5</v>
          </cell>
          <cell r="AA104">
            <v>5306</v>
          </cell>
          <cell r="AB104">
            <v>5306</v>
          </cell>
          <cell r="AC104">
            <v>6913.3</v>
          </cell>
          <cell r="AD104">
            <v>6913.3</v>
          </cell>
          <cell r="AE104">
            <v>6991.5</v>
          </cell>
          <cell r="AF104">
            <v>7037.2</v>
          </cell>
          <cell r="AG104">
            <v>7122.4</v>
          </cell>
          <cell r="AH104">
            <v>7171.5</v>
          </cell>
          <cell r="AI104">
            <v>7171.5</v>
          </cell>
          <cell r="AJ104">
            <v>7304.8</v>
          </cell>
          <cell r="AK104">
            <v>7389.2</v>
          </cell>
          <cell r="AL104">
            <v>7484.6</v>
          </cell>
          <cell r="AM104">
            <v>7553</v>
          </cell>
          <cell r="AN104">
            <v>7553</v>
          </cell>
          <cell r="AO104">
            <v>7600.3</v>
          </cell>
          <cell r="AP104">
            <v>7670.2</v>
          </cell>
          <cell r="AQ104">
            <v>7736.4</v>
          </cell>
          <cell r="AR104">
            <v>7788.9</v>
          </cell>
          <cell r="AS104">
            <v>7788.9</v>
          </cell>
          <cell r="AT104">
            <v>7827.5</v>
          </cell>
          <cell r="AU104">
            <v>7899.7</v>
          </cell>
          <cell r="AV104">
            <v>8053.6</v>
          </cell>
          <cell r="AW104">
            <v>8156.7</v>
          </cell>
          <cell r="AX104">
            <v>8156.7</v>
          </cell>
          <cell r="AY104">
            <v>8216.7000000000007</v>
          </cell>
          <cell r="AZ104">
            <v>8292.2000000000007</v>
          </cell>
          <cell r="BA104">
            <v>8341.1</v>
          </cell>
          <cell r="BB104">
            <v>8463</v>
          </cell>
          <cell r="BC104">
            <v>8463</v>
          </cell>
          <cell r="BD104">
            <v>8550.2999999999993</v>
          </cell>
          <cell r="BE104">
            <v>8653.5</v>
          </cell>
          <cell r="BF104">
            <v>8760</v>
          </cell>
          <cell r="BG104">
            <v>8760</v>
          </cell>
          <cell r="BH104">
            <v>8760</v>
          </cell>
          <cell r="BI104">
            <v>8760</v>
          </cell>
          <cell r="BJ104">
            <v>8760</v>
          </cell>
          <cell r="BK104">
            <v>8760</v>
          </cell>
          <cell r="BL104">
            <v>8760</v>
          </cell>
          <cell r="BM104">
            <v>8760</v>
          </cell>
          <cell r="BN104">
            <v>8760</v>
          </cell>
          <cell r="BO104">
            <v>8760</v>
          </cell>
          <cell r="BP104">
            <v>8760</v>
          </cell>
          <cell r="BQ104">
            <v>8760</v>
          </cell>
          <cell r="BR104">
            <v>8760</v>
          </cell>
          <cell r="BS104">
            <v>8760</v>
          </cell>
          <cell r="BT104">
            <v>8760</v>
          </cell>
          <cell r="BU104">
            <v>8760</v>
          </cell>
          <cell r="BV104">
            <v>8760</v>
          </cell>
          <cell r="BW104">
            <v>8760</v>
          </cell>
          <cell r="BX104">
            <v>8760</v>
          </cell>
          <cell r="BY104">
            <v>8760</v>
          </cell>
          <cell r="BZ104">
            <v>8760</v>
          </cell>
          <cell r="CA104">
            <v>8760</v>
          </cell>
          <cell r="CB104">
            <v>8760</v>
          </cell>
          <cell r="CI104" t="str">
            <v>mstag:additionalPaidInCapital</v>
          </cell>
          <cell r="CJ104">
            <v>6</v>
          </cell>
          <cell r="CK104" t="str">
            <v>ISO4217:USD</v>
          </cell>
          <cell r="CL104" t="b">
            <v>0</v>
          </cell>
        </row>
        <row r="105">
          <cell r="B105" t="str">
            <v>Retained earnings</v>
          </cell>
          <cell r="K105">
            <v>0</v>
          </cell>
          <cell r="L105">
            <v>0</v>
          </cell>
          <cell r="M105">
            <v>0</v>
          </cell>
          <cell r="N105">
            <v>245.9</v>
          </cell>
          <cell r="O105">
            <v>245.9</v>
          </cell>
          <cell r="P105">
            <v>0</v>
          </cell>
          <cell r="Q105">
            <v>453.1</v>
          </cell>
          <cell r="R105">
            <v>53</v>
          </cell>
          <cell r="S105">
            <v>171.3</v>
          </cell>
          <cell r="T105">
            <v>171.3</v>
          </cell>
          <cell r="U105">
            <v>274.89999999999998</v>
          </cell>
          <cell r="V105">
            <v>402.1</v>
          </cell>
          <cell r="W105">
            <v>520.20000000000005</v>
          </cell>
          <cell r="X105">
            <v>652.9</v>
          </cell>
          <cell r="Y105">
            <v>652.9</v>
          </cell>
          <cell r="Z105">
            <v>784.1</v>
          </cell>
          <cell r="AA105">
            <v>921.5</v>
          </cell>
          <cell r="AB105">
            <v>2484.7000000000003</v>
          </cell>
          <cell r="AC105">
            <v>1254.9000000000001</v>
          </cell>
          <cell r="AD105">
            <v>1254.9000000000001</v>
          </cell>
          <cell r="AE105">
            <v>1299.7</v>
          </cell>
          <cell r="AF105">
            <v>1470.6</v>
          </cell>
          <cell r="AG105">
            <v>1656.3</v>
          </cell>
          <cell r="AH105">
            <v>1885.1</v>
          </cell>
          <cell r="AI105">
            <v>1885.1</v>
          </cell>
          <cell r="AJ105">
            <v>2189.1</v>
          </cell>
          <cell r="AK105">
            <v>2404</v>
          </cell>
          <cell r="AL105">
            <v>2618.8000000000002</v>
          </cell>
          <cell r="AM105">
            <v>2826.3999999999992</v>
          </cell>
          <cell r="AN105">
            <v>2826.3999999999992</v>
          </cell>
          <cell r="AO105">
            <v>3096.6</v>
          </cell>
          <cell r="AP105">
            <v>3359.3</v>
          </cell>
          <cell r="AQ105">
            <v>3655</v>
          </cell>
          <cell r="AR105">
            <v>3929.3</v>
          </cell>
          <cell r="AS105">
            <v>3929.3</v>
          </cell>
          <cell r="AT105">
            <v>4220.3</v>
          </cell>
          <cell r="AU105">
            <v>4532.5</v>
          </cell>
          <cell r="AV105">
            <v>4868</v>
          </cell>
          <cell r="AW105">
            <v>5209.6000000000004</v>
          </cell>
          <cell r="AX105">
            <v>5209.6000000000004</v>
          </cell>
          <cell r="AY105">
            <v>5530.1</v>
          </cell>
          <cell r="AZ105">
            <v>5887</v>
          </cell>
          <cell r="BA105">
            <v>6258.5</v>
          </cell>
          <cell r="BB105">
            <v>6636.9</v>
          </cell>
          <cell r="BC105">
            <v>6636.9</v>
          </cell>
          <cell r="BD105">
            <v>6970</v>
          </cell>
          <cell r="BE105">
            <v>7312.8</v>
          </cell>
          <cell r="BF105">
            <v>7668.2</v>
          </cell>
          <cell r="BG105">
            <v>8120.1</v>
          </cell>
          <cell r="BH105">
            <v>8120.1</v>
          </cell>
          <cell r="BI105">
            <v>8442.4550739239767</v>
          </cell>
          <cell r="BJ105">
            <v>8795.3997955188988</v>
          </cell>
          <cell r="BK105">
            <v>7186.4610061885887</v>
          </cell>
          <cell r="BL105">
            <v>7204.395530955353</v>
          </cell>
          <cell r="BM105">
            <v>7204.395530955353</v>
          </cell>
          <cell r="BN105">
            <v>6658.0071177471191</v>
          </cell>
          <cell r="BO105">
            <v>6517.4369860469442</v>
          </cell>
          <cell r="BP105">
            <v>6808.0073347108446</v>
          </cell>
          <cell r="BQ105">
            <v>7093.688829859585</v>
          </cell>
          <cell r="BR105">
            <v>7093.688829859585</v>
          </cell>
          <cell r="BS105">
            <v>6273.81369305103</v>
          </cell>
          <cell r="BT105">
            <v>6236.8998862025255</v>
          </cell>
          <cell r="BU105">
            <v>6362.0725571956755</v>
          </cell>
          <cell r="BV105">
            <v>6607.8670275420463</v>
          </cell>
          <cell r="BW105">
            <v>6607.8670275420463</v>
          </cell>
          <cell r="BX105">
            <v>6013.2823731072276</v>
          </cell>
          <cell r="BY105">
            <v>5974.700575773024</v>
          </cell>
          <cell r="BZ105">
            <v>6022.3875978815831</v>
          </cell>
          <cell r="CA105">
            <v>6214.5687304580251</v>
          </cell>
          <cell r="CB105">
            <v>6214.5687304580251</v>
          </cell>
          <cell r="CI105" t="str">
            <v>mstag:retainedEarnings</v>
          </cell>
          <cell r="CJ105">
            <v>6</v>
          </cell>
          <cell r="CK105" t="str">
            <v>ISO4217:USD</v>
          </cell>
          <cell r="CL105" t="b">
            <v>0</v>
          </cell>
        </row>
        <row r="106">
          <cell r="B106" t="str">
            <v>Common Stock</v>
          </cell>
          <cell r="K106">
            <v>0</v>
          </cell>
          <cell r="L106">
            <v>0</v>
          </cell>
          <cell r="M106">
            <v>0</v>
          </cell>
          <cell r="N106">
            <v>2.7</v>
          </cell>
          <cell r="O106">
            <v>2.7</v>
          </cell>
          <cell r="P106">
            <v>0</v>
          </cell>
          <cell r="Q106">
            <v>2.7</v>
          </cell>
          <cell r="R106">
            <v>2.7</v>
          </cell>
          <cell r="S106">
            <v>2.7</v>
          </cell>
          <cell r="T106">
            <v>2.7</v>
          </cell>
          <cell r="U106">
            <v>2.7</v>
          </cell>
          <cell r="V106">
            <v>2.4</v>
          </cell>
          <cell r="W106">
            <v>2.7</v>
          </cell>
          <cell r="X106">
            <v>2.7</v>
          </cell>
          <cell r="Y106">
            <v>2.7</v>
          </cell>
          <cell r="Z106">
            <v>2.8</v>
          </cell>
          <cell r="AA106">
            <v>2.8</v>
          </cell>
          <cell r="AB106">
            <v>0</v>
          </cell>
          <cell r="AC106">
            <v>3.1</v>
          </cell>
          <cell r="AD106">
            <v>3.1</v>
          </cell>
          <cell r="AE106">
            <v>3.1</v>
          </cell>
          <cell r="AF106">
            <v>3.1</v>
          </cell>
          <cell r="AG106">
            <v>3.2</v>
          </cell>
          <cell r="AH106">
            <v>3.2</v>
          </cell>
          <cell r="AI106">
            <v>3.2</v>
          </cell>
          <cell r="AJ106">
            <v>3.2</v>
          </cell>
          <cell r="AK106">
            <v>3.2</v>
          </cell>
          <cell r="AL106">
            <v>3.2</v>
          </cell>
          <cell r="AM106">
            <v>6.4</v>
          </cell>
          <cell r="AN106">
            <v>6.4</v>
          </cell>
          <cell r="AO106">
            <v>6.5</v>
          </cell>
          <cell r="AP106">
            <v>6.5</v>
          </cell>
          <cell r="AQ106">
            <v>6.5</v>
          </cell>
          <cell r="AR106">
            <v>6.5</v>
          </cell>
          <cell r="AS106">
            <v>6.5</v>
          </cell>
          <cell r="AT106">
            <v>6.5</v>
          </cell>
          <cell r="AU106">
            <v>6.6</v>
          </cell>
          <cell r="AV106">
            <v>6.6</v>
          </cell>
          <cell r="AW106">
            <v>6.6</v>
          </cell>
          <cell r="AX106">
            <v>6.6</v>
          </cell>
          <cell r="AY106">
            <v>6.6</v>
          </cell>
          <cell r="AZ106">
            <v>6.6</v>
          </cell>
          <cell r="BA106">
            <v>6.6</v>
          </cell>
          <cell r="BB106">
            <v>6.7</v>
          </cell>
          <cell r="BC106">
            <v>6.7</v>
          </cell>
          <cell r="BD106">
            <v>6.7</v>
          </cell>
          <cell r="BE106">
            <v>6.7</v>
          </cell>
          <cell r="BF106">
            <v>6.7</v>
          </cell>
          <cell r="BG106">
            <v>6.7</v>
          </cell>
          <cell r="BH106">
            <v>6.7</v>
          </cell>
          <cell r="BI106">
            <v>6.7</v>
          </cell>
          <cell r="BJ106">
            <v>6.7</v>
          </cell>
          <cell r="BK106">
            <v>6.7</v>
          </cell>
          <cell r="BL106">
            <v>6.7</v>
          </cell>
          <cell r="BM106">
            <v>6.7</v>
          </cell>
          <cell r="BN106">
            <v>6.7</v>
          </cell>
          <cell r="BO106">
            <v>6.7</v>
          </cell>
          <cell r="BP106">
            <v>6.7</v>
          </cell>
          <cell r="BQ106">
            <v>6.7</v>
          </cell>
          <cell r="BR106">
            <v>6.7</v>
          </cell>
          <cell r="BS106">
            <v>6.7</v>
          </cell>
          <cell r="BT106">
            <v>6.7</v>
          </cell>
          <cell r="BU106">
            <v>6.7</v>
          </cell>
          <cell r="BV106">
            <v>6.7</v>
          </cell>
          <cell r="BW106">
            <v>6.7</v>
          </cell>
          <cell r="BX106">
            <v>6.7</v>
          </cell>
          <cell r="BY106">
            <v>6.7</v>
          </cell>
          <cell r="BZ106">
            <v>6.7</v>
          </cell>
          <cell r="CA106">
            <v>6.7</v>
          </cell>
          <cell r="CB106">
            <v>6.7</v>
          </cell>
          <cell r="CI106" t="str">
            <v>mstag:commonStock</v>
          </cell>
          <cell r="CJ106">
            <v>6</v>
          </cell>
          <cell r="CK106" t="str">
            <v>ISO4217:USD</v>
          </cell>
          <cell r="CL106" t="b">
            <v>0</v>
          </cell>
        </row>
        <row r="107">
          <cell r="B107" t="str">
            <v>Other</v>
          </cell>
          <cell r="K107">
            <v>0</v>
          </cell>
          <cell r="L107">
            <v>0</v>
          </cell>
          <cell r="M107">
            <v>0</v>
          </cell>
          <cell r="N107">
            <v>0.1</v>
          </cell>
          <cell r="O107">
            <v>0.1</v>
          </cell>
          <cell r="P107">
            <v>0</v>
          </cell>
          <cell r="Q107">
            <v>0</v>
          </cell>
          <cell r="R107">
            <v>-8.3000000000000007</v>
          </cell>
          <cell r="S107">
            <v>-7.4</v>
          </cell>
          <cell r="T107">
            <v>-7.4</v>
          </cell>
          <cell r="U107">
            <v>-6.2</v>
          </cell>
          <cell r="V107">
            <v>-5.4</v>
          </cell>
          <cell r="W107">
            <v>-4</v>
          </cell>
          <cell r="X107">
            <v>-3.2</v>
          </cell>
          <cell r="Y107">
            <v>-3.2</v>
          </cell>
          <cell r="Z107">
            <v>-50.2</v>
          </cell>
          <cell r="AA107">
            <v>-45.6</v>
          </cell>
          <cell r="AB107">
            <v>-45.6</v>
          </cell>
          <cell r="AC107">
            <v>-447.1</v>
          </cell>
          <cell r="AD107">
            <v>-447.1</v>
          </cell>
          <cell r="AE107">
            <v>-611.70000000000005</v>
          </cell>
          <cell r="AF107">
            <v>-1160.7</v>
          </cell>
          <cell r="AG107">
            <v>-1233.2</v>
          </cell>
          <cell r="AH107">
            <v>-1556.3</v>
          </cell>
          <cell r="AI107">
            <v>-1556.3</v>
          </cell>
          <cell r="AJ107">
            <v>-2323.5</v>
          </cell>
          <cell r="AK107">
            <v>-2989.3</v>
          </cell>
          <cell r="AL107">
            <v>-3503.3</v>
          </cell>
          <cell r="AM107">
            <v>-3510.5</v>
          </cell>
          <cell r="AN107">
            <v>-3510.5</v>
          </cell>
          <cell r="AO107">
            <v>-4528.8</v>
          </cell>
          <cell r="AP107">
            <v>-5091.0999999999995</v>
          </cell>
          <cell r="AQ107">
            <v>-5494.2</v>
          </cell>
          <cell r="AR107">
            <v>-5766.8</v>
          </cell>
          <cell r="AS107">
            <v>-5766.8</v>
          </cell>
          <cell r="AT107">
            <v>-5987.3</v>
          </cell>
          <cell r="AU107">
            <v>-6772.6</v>
          </cell>
          <cell r="AV107">
            <v>-6765.8</v>
          </cell>
          <cell r="AW107">
            <v>-6985.7</v>
          </cell>
          <cell r="AX107">
            <v>-6985.7</v>
          </cell>
          <cell r="AY107">
            <v>-8224.1</v>
          </cell>
          <cell r="AZ107">
            <v>-9260.5</v>
          </cell>
          <cell r="BA107">
            <v>-10152.199999999999</v>
          </cell>
          <cell r="BB107">
            <v>-11119.8</v>
          </cell>
          <cell r="BC107">
            <v>-11119.8</v>
          </cell>
          <cell r="BD107">
            <v>-11929.6</v>
          </cell>
          <cell r="BE107">
            <v>-12528.8</v>
          </cell>
          <cell r="BF107">
            <v>-12884.5</v>
          </cell>
          <cell r="BG107">
            <v>-12877.4</v>
          </cell>
          <cell r="BH107">
            <v>-12877.4</v>
          </cell>
          <cell r="BI107">
            <v>-12877.4</v>
          </cell>
          <cell r="BJ107">
            <v>-12877.4</v>
          </cell>
          <cell r="BK107">
            <v>-12877.4</v>
          </cell>
          <cell r="BL107">
            <v>-12877.4</v>
          </cell>
          <cell r="BM107">
            <v>-12877.4</v>
          </cell>
          <cell r="BN107">
            <v>-12877.4</v>
          </cell>
          <cell r="BO107">
            <v>-12877.4</v>
          </cell>
          <cell r="BP107">
            <v>-12877.4</v>
          </cell>
          <cell r="BQ107">
            <v>-12877.4</v>
          </cell>
          <cell r="BR107">
            <v>-12877.4</v>
          </cell>
          <cell r="BS107">
            <v>-12877.4</v>
          </cell>
          <cell r="BT107">
            <v>-12877.4</v>
          </cell>
          <cell r="BU107">
            <v>-12877.4</v>
          </cell>
          <cell r="BV107">
            <v>-12877.4</v>
          </cell>
          <cell r="BW107">
            <v>-12877.4</v>
          </cell>
          <cell r="BX107">
            <v>-12877.4</v>
          </cell>
          <cell r="BY107">
            <v>-12877.4</v>
          </cell>
          <cell r="BZ107">
            <v>-12877.4</v>
          </cell>
          <cell r="CA107">
            <v>-12877.4</v>
          </cell>
          <cell r="CB107">
            <v>-12877.4</v>
          </cell>
          <cell r="CI107" t="str">
            <v>mstag:accumulatedOtherComprehensiveIncomeLossAndReserves</v>
          </cell>
          <cell r="CJ107">
            <v>6</v>
          </cell>
          <cell r="CK107" t="str">
            <v>ISO4217:USD</v>
          </cell>
          <cell r="CL107" t="b">
            <v>0</v>
          </cell>
        </row>
        <row r="108">
          <cell r="B108" t="str">
            <v>Total Equity</v>
          </cell>
          <cell r="K108">
            <v>0</v>
          </cell>
          <cell r="L108">
            <v>0</v>
          </cell>
          <cell r="M108">
            <v>0</v>
          </cell>
          <cell r="N108">
            <v>6635.5999999999995</v>
          </cell>
          <cell r="O108">
            <v>6635.5999999999995</v>
          </cell>
          <cell r="P108">
            <v>0</v>
          </cell>
          <cell r="Q108">
            <v>6842.7</v>
          </cell>
          <cell r="R108">
            <v>4947.5</v>
          </cell>
          <cell r="S108">
            <v>5080</v>
          </cell>
          <cell r="T108">
            <v>5080</v>
          </cell>
          <cell r="U108">
            <v>5197.7999999999993</v>
          </cell>
          <cell r="V108">
            <v>5392.3</v>
          </cell>
          <cell r="W108">
            <v>5521.0999999999995</v>
          </cell>
          <cell r="X108">
            <v>5719.4</v>
          </cell>
          <cell r="Y108">
            <v>5719.4</v>
          </cell>
          <cell r="Z108">
            <v>5930.2000000000007</v>
          </cell>
          <cell r="AA108">
            <v>6184.7</v>
          </cell>
          <cell r="AB108">
            <v>7745.1</v>
          </cell>
          <cell r="AC108">
            <v>7724.2000000000007</v>
          </cell>
          <cell r="AD108">
            <v>7724.2000000000007</v>
          </cell>
          <cell r="AE108">
            <v>7682.6000000000013</v>
          </cell>
          <cell r="AF108">
            <v>7350.2</v>
          </cell>
          <cell r="AG108">
            <v>7548.7</v>
          </cell>
          <cell r="AH108">
            <v>7503.5000000000009</v>
          </cell>
          <cell r="AI108">
            <v>7503.5000000000009</v>
          </cell>
          <cell r="AJ108">
            <v>7173.6</v>
          </cell>
          <cell r="AK108">
            <v>6807.1000000000013</v>
          </cell>
          <cell r="AL108">
            <v>6603.300000000002</v>
          </cell>
          <cell r="AM108">
            <v>6875.2999999999993</v>
          </cell>
          <cell r="AN108">
            <v>6875.2999999999993</v>
          </cell>
          <cell r="AO108">
            <v>6174.5999999999995</v>
          </cell>
          <cell r="AP108">
            <v>5944.9000000000005</v>
          </cell>
          <cell r="AQ108">
            <v>5903.7</v>
          </cell>
          <cell r="AR108">
            <v>5957.9000000000005</v>
          </cell>
          <cell r="AS108">
            <v>5957.9000000000005</v>
          </cell>
          <cell r="AT108">
            <v>6066.9999999999991</v>
          </cell>
          <cell r="AU108">
            <v>5666.2000000000007</v>
          </cell>
          <cell r="AV108">
            <v>6162.4000000000005</v>
          </cell>
          <cell r="AW108">
            <v>6387.2</v>
          </cell>
          <cell r="AX108">
            <v>6387.2</v>
          </cell>
          <cell r="AY108">
            <v>5529.3000000000011</v>
          </cell>
          <cell r="AZ108">
            <v>4925.3000000000011</v>
          </cell>
          <cell r="BA108">
            <v>4454.0000000000018</v>
          </cell>
          <cell r="BB108">
            <v>3986.8000000000011</v>
          </cell>
          <cell r="BC108">
            <v>3986.8000000000011</v>
          </cell>
          <cell r="BD108">
            <v>3597.3999999999996</v>
          </cell>
          <cell r="BE108">
            <v>3444.2000000000007</v>
          </cell>
          <cell r="BF108">
            <v>3550.4000000000015</v>
          </cell>
          <cell r="BG108">
            <v>4009.4</v>
          </cell>
          <cell r="BH108">
            <v>4009.3999999999996</v>
          </cell>
          <cell r="BI108">
            <v>4331.7550739239796</v>
          </cell>
          <cell r="BJ108">
            <v>4684.6997955188981</v>
          </cell>
          <cell r="BK108">
            <v>3075.7610061885898</v>
          </cell>
          <cell r="BL108">
            <v>3093.6955309553541</v>
          </cell>
          <cell r="BM108">
            <v>3093.6955309553541</v>
          </cell>
          <cell r="BN108">
            <v>2547.3071177471193</v>
          </cell>
          <cell r="BO108">
            <v>2406.7369860469462</v>
          </cell>
          <cell r="BP108">
            <v>2697.3073347108457</v>
          </cell>
          <cell r="BQ108">
            <v>2982.9888298595852</v>
          </cell>
          <cell r="BR108">
            <v>2982.9888298595852</v>
          </cell>
          <cell r="BS108">
            <v>2163.1136930510311</v>
          </cell>
          <cell r="BT108">
            <v>2126.1998862025266</v>
          </cell>
          <cell r="BU108">
            <v>2251.3725571956766</v>
          </cell>
          <cell r="BV108">
            <v>2497.1670275420474</v>
          </cell>
          <cell r="BW108">
            <v>2497.1670275420474</v>
          </cell>
          <cell r="BX108">
            <v>1902.5823731072287</v>
          </cell>
          <cell r="BY108">
            <v>1864.000575773025</v>
          </cell>
          <cell r="BZ108">
            <v>1911.6875978815842</v>
          </cell>
          <cell r="CA108">
            <v>2103.8687304580253</v>
          </cell>
          <cell r="CB108">
            <v>2103.8687304580253</v>
          </cell>
        </row>
        <row r="109">
          <cell r="B109" t="str">
            <v>Total liabilities and equity</v>
          </cell>
          <cell r="K109">
            <v>0</v>
          </cell>
          <cell r="L109">
            <v>0</v>
          </cell>
          <cell r="M109">
            <v>0</v>
          </cell>
          <cell r="N109">
            <v>9922.5</v>
          </cell>
          <cell r="O109">
            <v>9922.5</v>
          </cell>
          <cell r="P109">
            <v>0</v>
          </cell>
          <cell r="Q109">
            <v>10114.1</v>
          </cell>
          <cell r="R109">
            <v>10232.400000000001</v>
          </cell>
          <cell r="S109">
            <v>10263</v>
          </cell>
          <cell r="T109">
            <v>10263</v>
          </cell>
          <cell r="U109">
            <v>10454.5</v>
          </cell>
          <cell r="V109">
            <v>10202.400000000001</v>
          </cell>
          <cell r="W109">
            <v>10411.299999999999</v>
          </cell>
          <cell r="X109">
            <v>10541.5</v>
          </cell>
          <cell r="Y109">
            <v>10541.5</v>
          </cell>
          <cell r="Z109">
            <v>10556.400000000001</v>
          </cell>
          <cell r="AA109">
            <v>10671</v>
          </cell>
          <cell r="AB109">
            <v>13619.2</v>
          </cell>
          <cell r="AC109">
            <v>13703</v>
          </cell>
          <cell r="AD109">
            <v>13703</v>
          </cell>
          <cell r="AE109">
            <v>13842.1</v>
          </cell>
          <cell r="AF109">
            <v>13353</v>
          </cell>
          <cell r="AG109">
            <v>13670.3</v>
          </cell>
          <cell r="AH109">
            <v>14388.100000000002</v>
          </cell>
          <cell r="AI109">
            <v>14388.100000000002</v>
          </cell>
          <cell r="AJ109">
            <v>14083.900000000001</v>
          </cell>
          <cell r="AK109">
            <v>14335.2</v>
          </cell>
          <cell r="AL109">
            <v>13925.100000000002</v>
          </cell>
          <cell r="AM109">
            <v>16217.9</v>
          </cell>
          <cell r="AN109">
            <v>16217.9</v>
          </cell>
          <cell r="AO109">
            <v>16234.5</v>
          </cell>
          <cell r="AP109">
            <v>16545.600000000002</v>
          </cell>
          <cell r="AQ109">
            <v>16113.099999999999</v>
          </cell>
          <cell r="AR109">
            <v>17010.899999999998</v>
          </cell>
          <cell r="AS109">
            <v>17010.899999999998</v>
          </cell>
          <cell r="AT109">
            <v>17486.199999999997</v>
          </cell>
          <cell r="AU109">
            <v>17770.300000000003</v>
          </cell>
          <cell r="AV109">
            <v>17111.8</v>
          </cell>
          <cell r="AW109">
            <v>17915.5</v>
          </cell>
          <cell r="AX109">
            <v>17915.5</v>
          </cell>
          <cell r="AY109">
            <v>16615.300000000003</v>
          </cell>
          <cell r="AZ109">
            <v>16240.000000000004</v>
          </cell>
          <cell r="BA109">
            <v>16570.200000000004</v>
          </cell>
          <cell r="BB109">
            <v>17097.300000000003</v>
          </cell>
          <cell r="BC109">
            <v>17097.300000000003</v>
          </cell>
          <cell r="BD109">
            <v>16211.199999999999</v>
          </cell>
          <cell r="BE109">
            <v>15990.800000000001</v>
          </cell>
          <cell r="BF109">
            <v>15863.600000000004</v>
          </cell>
          <cell r="BG109">
            <v>16962.800000000003</v>
          </cell>
          <cell r="BH109">
            <v>16962.800000000003</v>
          </cell>
          <cell r="BI109">
            <v>16696.890458308386</v>
          </cell>
          <cell r="BJ109">
            <v>17048.512636211948</v>
          </cell>
          <cell r="BK109">
            <v>15374.437876612612</v>
          </cell>
          <cell r="BL109">
            <v>15564.301067633956</v>
          </cell>
          <cell r="BM109">
            <v>15564.301067633956</v>
          </cell>
          <cell r="BN109">
            <v>14447.702615680551</v>
          </cell>
          <cell r="BO109">
            <v>14354.747357593782</v>
          </cell>
          <cell r="BP109">
            <v>14667.70187642826</v>
          </cell>
          <cell r="BQ109">
            <v>14936.15405165656</v>
          </cell>
          <cell r="BR109">
            <v>14936.15405165656</v>
          </cell>
          <cell r="BS109">
            <v>14135.382870118085</v>
          </cell>
          <cell r="BT109">
            <v>14104.729446920484</v>
          </cell>
          <cell r="BU109">
            <v>14197.063471347536</v>
          </cell>
          <cell r="BV109">
            <v>14423.220556323351</v>
          </cell>
          <cell r="BW109">
            <v>14423.220556323351</v>
          </cell>
          <cell r="BX109">
            <v>13844.890614681144</v>
          </cell>
          <cell r="BY109">
            <v>13848.016102553143</v>
          </cell>
          <cell r="BZ109">
            <v>13915.672359316628</v>
          </cell>
          <cell r="CA109">
            <v>14083.018635456179</v>
          </cell>
          <cell r="CB109">
            <v>14083.018635456179</v>
          </cell>
        </row>
        <row r="111">
          <cell r="B111" t="str">
            <v>Balance sheet check: Assets = Liab + Equity</v>
          </cell>
          <cell r="N111">
            <v>0</v>
          </cell>
          <cell r="O111">
            <v>0</v>
          </cell>
          <cell r="P111">
            <v>0</v>
          </cell>
          <cell r="Q111">
            <v>0</v>
          </cell>
          <cell r="R111">
            <v>0</v>
          </cell>
          <cell r="S111">
            <v>0</v>
          </cell>
          <cell r="T111">
            <v>0</v>
          </cell>
          <cell r="U111">
            <v>0</v>
          </cell>
          <cell r="V111">
            <v>0.2999999999992724</v>
          </cell>
          <cell r="W111">
            <v>0</v>
          </cell>
          <cell r="X111">
            <v>0</v>
          </cell>
          <cell r="Y111">
            <v>0</v>
          </cell>
          <cell r="Z111">
            <v>0</v>
          </cell>
          <cell r="AA111">
            <v>0</v>
          </cell>
          <cell r="AB111">
            <v>0</v>
          </cell>
          <cell r="AC111">
            <v>0</v>
          </cell>
          <cell r="AD111">
            <v>0</v>
          </cell>
          <cell r="AE111">
            <v>0</v>
          </cell>
          <cell r="AF111">
            <v>0</v>
          </cell>
          <cell r="AG111">
            <v>0</v>
          </cell>
          <cell r="AH111">
            <v>0</v>
          </cell>
          <cell r="AI111">
            <v>0</v>
          </cell>
          <cell r="AJ111">
            <v>0</v>
          </cell>
          <cell r="AK111">
            <v>0</v>
          </cell>
          <cell r="AL111">
            <v>0</v>
          </cell>
          <cell r="AM111">
            <v>0</v>
          </cell>
          <cell r="AN111">
            <v>0</v>
          </cell>
          <cell r="AO111">
            <v>0</v>
          </cell>
          <cell r="AP111">
            <v>0</v>
          </cell>
          <cell r="AQ111">
            <v>0</v>
          </cell>
          <cell r="AR111">
            <v>0</v>
          </cell>
          <cell r="AS111">
            <v>0</v>
          </cell>
          <cell r="AT111">
            <v>0</v>
          </cell>
          <cell r="AU111">
            <v>0</v>
          </cell>
          <cell r="AV111">
            <v>0</v>
          </cell>
          <cell r="AW111">
            <v>0</v>
          </cell>
          <cell r="AX111">
            <v>0</v>
          </cell>
          <cell r="AY111">
            <v>0</v>
          </cell>
          <cell r="AZ111">
            <v>0</v>
          </cell>
          <cell r="BA111">
            <v>0</v>
          </cell>
          <cell r="BB111">
            <v>0</v>
          </cell>
          <cell r="BC111">
            <v>0</v>
          </cell>
          <cell r="BD111">
            <v>0</v>
          </cell>
          <cell r="BE111">
            <v>0</v>
          </cell>
          <cell r="BF111">
            <v>0</v>
          </cell>
          <cell r="BG111">
            <v>0</v>
          </cell>
          <cell r="BH111">
            <v>0</v>
          </cell>
          <cell r="BI111">
            <v>0</v>
          </cell>
          <cell r="BJ111">
            <v>0</v>
          </cell>
          <cell r="BK111">
            <v>0</v>
          </cell>
          <cell r="BL111">
            <v>0</v>
          </cell>
          <cell r="BM111">
            <v>0</v>
          </cell>
          <cell r="BN111">
            <v>0</v>
          </cell>
          <cell r="BO111">
            <v>0</v>
          </cell>
          <cell r="BP111">
            <v>0</v>
          </cell>
          <cell r="BQ111">
            <v>0</v>
          </cell>
          <cell r="BR111">
            <v>0</v>
          </cell>
          <cell r="BS111">
            <v>0</v>
          </cell>
          <cell r="BT111">
            <v>0</v>
          </cell>
          <cell r="BU111">
            <v>0</v>
          </cell>
          <cell r="BV111">
            <v>0</v>
          </cell>
          <cell r="BW111">
            <v>0</v>
          </cell>
          <cell r="BX111">
            <v>0</v>
          </cell>
          <cell r="BY111">
            <v>0</v>
          </cell>
          <cell r="BZ111">
            <v>0</v>
          </cell>
          <cell r="CA111">
            <v>0</v>
          </cell>
          <cell r="CB111">
            <v>0</v>
          </cell>
        </row>
        <row r="113">
          <cell r="B113" t="str">
            <v>Days receivable</v>
          </cell>
          <cell r="K113">
            <v>0</v>
          </cell>
          <cell r="L113">
            <v>0</v>
          </cell>
          <cell r="M113">
            <v>0</v>
          </cell>
          <cell r="N113">
            <v>16.692907161927959</v>
          </cell>
          <cell r="O113">
            <v>17.300635647860187</v>
          </cell>
          <cell r="Q113">
            <v>16.650722827056931</v>
          </cell>
          <cell r="R113">
            <v>14.836153801032381</v>
          </cell>
          <cell r="S113">
            <v>14.130627978537866</v>
          </cell>
          <cell r="T113">
            <v>14.849479782281952</v>
          </cell>
          <cell r="U113">
            <v>17.036051943093906</v>
          </cell>
          <cell r="V113">
            <v>18.005873565559853</v>
          </cell>
          <cell r="W113">
            <v>16.674849941356396</v>
          </cell>
          <cell r="X113">
            <v>15.923602073329446</v>
          </cell>
          <cell r="Y113">
            <v>15.923602073329446</v>
          </cell>
          <cell r="Z113">
            <v>15.166413139203737</v>
          </cell>
          <cell r="AA113">
            <v>16.853267694222499</v>
          </cell>
          <cell r="AB113">
            <v>19.06235925536706</v>
          </cell>
          <cell r="AC113">
            <v>16.961245996630691</v>
          </cell>
          <cell r="AD113">
            <v>16.961245996630691</v>
          </cell>
          <cell r="AE113">
            <v>20.910576513466179</v>
          </cell>
          <cell r="AF113">
            <v>19.044025290873378</v>
          </cell>
          <cell r="AG113">
            <v>21.459813021575169</v>
          </cell>
          <cell r="AH113">
            <v>23.596834916104005</v>
          </cell>
          <cell r="AI113">
            <v>23.596834916104005</v>
          </cell>
          <cell r="AJ113">
            <v>23.676789490662749</v>
          </cell>
          <cell r="AK113">
            <v>23.463247538372428</v>
          </cell>
          <cell r="AL113">
            <v>22.757759694466323</v>
          </cell>
          <cell r="AM113">
            <v>22.907933013428952</v>
          </cell>
          <cell r="AN113">
            <v>22.907933013428952</v>
          </cell>
          <cell r="AO113">
            <v>22.072491494958694</v>
          </cell>
          <cell r="AP113">
            <v>24.047181516446699</v>
          </cell>
          <cell r="AQ113">
            <v>25.649190626716884</v>
          </cell>
          <cell r="AR113">
            <v>24.918044486278387</v>
          </cell>
          <cell r="AS113">
            <v>24.918044486278387</v>
          </cell>
          <cell r="AT113">
            <v>22.231341724024027</v>
          </cell>
          <cell r="AU113">
            <v>23.335049630284519</v>
          </cell>
          <cell r="AV113">
            <v>21.321148308865279</v>
          </cell>
          <cell r="AW113">
            <v>22.917246084013325</v>
          </cell>
          <cell r="AX113">
            <v>22.917246084013325</v>
          </cell>
          <cell r="AY113">
            <v>20.834173773366278</v>
          </cell>
          <cell r="AZ113">
            <v>21.578546396465033</v>
          </cell>
          <cell r="BA113">
            <v>22.024396745058151</v>
          </cell>
          <cell r="BB113">
            <v>23.974805377372977</v>
          </cell>
          <cell r="BC113">
            <v>23.974805377372977</v>
          </cell>
          <cell r="BD113">
            <v>22.724035817528026</v>
          </cell>
          <cell r="BE113">
            <v>23.490702237319898</v>
          </cell>
          <cell r="BF113">
            <v>22.947509053970496</v>
          </cell>
          <cell r="BG113">
            <v>23.404792186726489</v>
          </cell>
          <cell r="BH113">
            <v>23.404792186726489</v>
          </cell>
          <cell r="BI113">
            <v>23.404792186726489</v>
          </cell>
          <cell r="BJ113">
            <v>23.404792186726489</v>
          </cell>
          <cell r="BK113">
            <v>23.404792186726489</v>
          </cell>
          <cell r="BL113">
            <v>23.404792186726489</v>
          </cell>
          <cell r="BM113">
            <v>23.404792186726489</v>
          </cell>
          <cell r="BN113">
            <v>23.404792186726489</v>
          </cell>
          <cell r="BO113">
            <v>23.404792186726489</v>
          </cell>
          <cell r="BP113">
            <v>23.404792186726489</v>
          </cell>
          <cell r="BQ113">
            <v>23.404792186726489</v>
          </cell>
          <cell r="BR113">
            <v>23.404792186726489</v>
          </cell>
          <cell r="BS113">
            <v>23.404792186726489</v>
          </cell>
          <cell r="BT113">
            <v>23.404792186726489</v>
          </cell>
          <cell r="BU113">
            <v>23.404792186726489</v>
          </cell>
          <cell r="BV113">
            <v>23.404792186726489</v>
          </cell>
          <cell r="BW113">
            <v>23.404792186726489</v>
          </cell>
          <cell r="BX113">
            <v>23.404792186726489</v>
          </cell>
          <cell r="BY113">
            <v>23.404792186726489</v>
          </cell>
          <cell r="BZ113">
            <v>23.404792186726489</v>
          </cell>
          <cell r="CA113">
            <v>23.404792186726489</v>
          </cell>
          <cell r="CB113">
            <v>23.404792186726489</v>
          </cell>
        </row>
        <row r="114">
          <cell r="B114" t="str">
            <v>Inventory turnaround</v>
          </cell>
          <cell r="N114">
            <v>30.785734449985885</v>
          </cell>
          <cell r="O114">
            <v>29.789874847087606</v>
          </cell>
          <cell r="Q114">
            <v>34.706123771465606</v>
          </cell>
          <cell r="R114">
            <v>29.218640567477774</v>
          </cell>
          <cell r="S114">
            <v>28.313828910499414</v>
          </cell>
          <cell r="T114">
            <v>26.984011867479808</v>
          </cell>
          <cell r="U114">
            <v>27.204873356845148</v>
          </cell>
          <cell r="V114">
            <v>31.363297277135395</v>
          </cell>
          <cell r="W114">
            <v>27.475791047255218</v>
          </cell>
          <cell r="X114">
            <v>25.736698084524171</v>
          </cell>
          <cell r="Y114">
            <v>25.736698084524171</v>
          </cell>
          <cell r="Z114">
            <v>29.365663716814158</v>
          </cell>
          <cell r="AA114">
            <v>25.908718726307807</v>
          </cell>
          <cell r="AB114">
            <v>26.223701731025297</v>
          </cell>
          <cell r="AC114">
            <v>26.786719926658375</v>
          </cell>
          <cell r="AD114">
            <v>26.786719926658375</v>
          </cell>
          <cell r="AE114">
            <v>28.899682905736523</v>
          </cell>
          <cell r="AF114">
            <v>26.125203995038838</v>
          </cell>
          <cell r="AG114">
            <v>24.41266699653637</v>
          </cell>
          <cell r="AH114">
            <v>24.427480916030536</v>
          </cell>
          <cell r="AI114">
            <v>24.427480916030536</v>
          </cell>
          <cell r="AJ114">
            <v>24.357176360225139</v>
          </cell>
          <cell r="AK114">
            <v>26.284697960998539</v>
          </cell>
          <cell r="AL114">
            <v>24.835146138421337</v>
          </cell>
          <cell r="AM114">
            <v>21.813360739979448</v>
          </cell>
          <cell r="AN114">
            <v>21.813360739979448</v>
          </cell>
          <cell r="AO114">
            <v>24.530147432638532</v>
          </cell>
          <cell r="AP114">
            <v>22.662392344497608</v>
          </cell>
          <cell r="AQ114">
            <v>23.899548069022188</v>
          </cell>
          <cell r="AR114">
            <v>25.836143280366283</v>
          </cell>
          <cell r="AS114">
            <v>25.836143280366283</v>
          </cell>
          <cell r="AT114">
            <v>33.15779422296491</v>
          </cell>
          <cell r="AU114">
            <v>37.174993320865617</v>
          </cell>
          <cell r="AV114">
            <v>41.016251677352017</v>
          </cell>
          <cell r="AW114">
            <v>44.248346689488841</v>
          </cell>
          <cell r="AX114">
            <v>44.248346689488841</v>
          </cell>
          <cell r="AY114">
            <v>49.002559181062061</v>
          </cell>
          <cell r="AZ114">
            <v>52.820927631012822</v>
          </cell>
          <cell r="BA114">
            <v>60.898637820512818</v>
          </cell>
          <cell r="BB114">
            <v>62.254243979470978</v>
          </cell>
          <cell r="BC114">
            <v>62.254243979470978</v>
          </cell>
          <cell r="BD114">
            <v>57.537157287157285</v>
          </cell>
          <cell r="BE114">
            <v>76.679951980792325</v>
          </cell>
          <cell r="BF114">
            <v>80.26088059890877</v>
          </cell>
          <cell r="BG114">
            <v>78.892849186901316</v>
          </cell>
          <cell r="BH114">
            <v>78.892849186901316</v>
          </cell>
          <cell r="BI114">
            <v>70</v>
          </cell>
          <cell r="BJ114">
            <v>70</v>
          </cell>
          <cell r="BK114">
            <v>70</v>
          </cell>
          <cell r="BL114">
            <v>70</v>
          </cell>
          <cell r="BM114">
            <v>70</v>
          </cell>
          <cell r="BN114">
            <v>72</v>
          </cell>
          <cell r="BO114">
            <v>72</v>
          </cell>
          <cell r="BP114">
            <v>72</v>
          </cell>
          <cell r="BQ114">
            <v>72</v>
          </cell>
          <cell r="BR114">
            <v>72</v>
          </cell>
          <cell r="BS114">
            <v>72</v>
          </cell>
          <cell r="BT114">
            <v>72</v>
          </cell>
          <cell r="BU114">
            <v>72</v>
          </cell>
          <cell r="BV114">
            <v>72</v>
          </cell>
          <cell r="BW114">
            <v>72</v>
          </cell>
          <cell r="BX114">
            <v>72</v>
          </cell>
          <cell r="BY114">
            <v>72</v>
          </cell>
          <cell r="BZ114">
            <v>72</v>
          </cell>
          <cell r="CA114">
            <v>72</v>
          </cell>
          <cell r="CB114">
            <v>72</v>
          </cell>
        </row>
        <row r="115">
          <cell r="B115" t="str">
            <v>Mail/Specialty Inventory days</v>
          </cell>
          <cell r="T115">
            <v>42.614695027589448</v>
          </cell>
          <cell r="U115">
            <v>38.69725361030914</v>
          </cell>
          <cell r="V115">
            <v>31.91627336450599</v>
          </cell>
          <cell r="W115">
            <v>35.182168718710372</v>
          </cell>
          <cell r="X115">
            <v>38.218448211936767</v>
          </cell>
          <cell r="Y115">
            <v>39.129049101601218</v>
          </cell>
          <cell r="Z115">
            <v>29.139244294719813</v>
          </cell>
          <cell r="AA115">
            <v>33.57600599993502</v>
          </cell>
          <cell r="AB115">
            <v>32.082485404639634</v>
          </cell>
          <cell r="AC115">
            <v>29.922888038782812</v>
          </cell>
          <cell r="AD115">
            <v>8.918258901965066</v>
          </cell>
          <cell r="AE115">
            <v>28.769208154870782</v>
          </cell>
          <cell r="AF115">
            <v>31.90826205654075</v>
          </cell>
          <cell r="AG115">
            <v>33.452972202796794</v>
          </cell>
          <cell r="AH115">
            <v>34.637244595665429</v>
          </cell>
          <cell r="AI115">
            <v>34.755485963347837</v>
          </cell>
          <cell r="AJ115">
            <v>33.952681413762619</v>
          </cell>
          <cell r="AK115">
            <v>30.798958269670305</v>
          </cell>
          <cell r="AL115">
            <v>32.269458315872662</v>
          </cell>
          <cell r="AM115">
            <v>36.267131130152649</v>
          </cell>
          <cell r="AN115">
            <v>37.785294079149871</v>
          </cell>
          <cell r="AO115">
            <v>31.43365702079382</v>
          </cell>
          <cell r="AP115">
            <v>32.978227087491575</v>
          </cell>
          <cell r="AQ115">
            <v>30.672293380547348</v>
          </cell>
          <cell r="AR115">
            <v>28.15586118987061</v>
          </cell>
          <cell r="AS115">
            <v>29.079155599435733</v>
          </cell>
          <cell r="AT115">
            <v>25.575219876205569</v>
          </cell>
          <cell r="AU115">
            <v>22.519520539394623</v>
          </cell>
          <cell r="AV115">
            <v>20.277516829983089</v>
          </cell>
          <cell r="AW115">
            <v>18.898793003172056</v>
          </cell>
          <cell r="AX115">
            <v>19.315997338063831</v>
          </cell>
          <cell r="AY115">
            <v>17.199607808551729</v>
          </cell>
          <cell r="AZ115">
            <v>15.693028687845819</v>
          </cell>
          <cell r="BA115">
            <v>13.521321759356759</v>
          </cell>
          <cell r="BB115">
            <v>13.316619272333122</v>
          </cell>
          <cell r="BC115">
            <v>13.660710666341844</v>
          </cell>
          <cell r="BD115">
            <v>14.238389424994631</v>
          </cell>
          <cell r="BE115">
            <v>10.53237890351906</v>
          </cell>
          <cell r="BF115">
            <v>9.8523857728635029</v>
          </cell>
          <cell r="BG115">
            <v>9.971707685531511</v>
          </cell>
          <cell r="BH115">
            <v>10.9826348671362</v>
          </cell>
          <cell r="BI115">
            <v>11.162467988720653</v>
          </cell>
          <cell r="BJ115">
            <v>11.260621029752635</v>
          </cell>
          <cell r="BK115">
            <v>11.217229479889976</v>
          </cell>
          <cell r="BL115">
            <v>11.690505073792002</v>
          </cell>
          <cell r="BM115">
            <v>11.717412681430154</v>
          </cell>
          <cell r="BN115">
            <v>9.722587653143389</v>
          </cell>
          <cell r="BO115">
            <v>9.7805361641614201</v>
          </cell>
          <cell r="BP115">
            <v>9.6527036780002646</v>
          </cell>
          <cell r="BQ115">
            <v>9.9021384347948906</v>
          </cell>
          <cell r="BR115">
            <v>9.8030038137963427</v>
          </cell>
          <cell r="BS115">
            <v>9.5785298822046236</v>
          </cell>
          <cell r="BT115">
            <v>9.6647967943880335</v>
          </cell>
          <cell r="BU115">
            <v>9.5614599650134977</v>
          </cell>
          <cell r="BV115">
            <v>9.8517709658392256</v>
          </cell>
          <cell r="BW115">
            <v>9.5405553824153557</v>
          </cell>
          <cell r="BX115">
            <v>9.4536323920557326</v>
          </cell>
          <cell r="BY115">
            <v>9.502326013386174</v>
          </cell>
          <cell r="BZ115">
            <v>9.3459879807385402</v>
          </cell>
          <cell r="CA115">
            <v>9.6340225022688486</v>
          </cell>
          <cell r="CB115">
            <v>9.4878844403298945</v>
          </cell>
        </row>
        <row r="116">
          <cell r="B116" t="str">
            <v>Days Payable</v>
          </cell>
          <cell r="N116">
            <v>19.170421200635772</v>
          </cell>
          <cell r="O116">
            <v>19.811278140863042</v>
          </cell>
          <cell r="Q116">
            <v>18.79043952897829</v>
          </cell>
          <cell r="R116">
            <v>23.572991444586485</v>
          </cell>
          <cell r="S116">
            <v>21.122744207707537</v>
          </cell>
          <cell r="T116">
            <v>22.16370821931196</v>
          </cell>
          <cell r="U116">
            <v>23.385689200018852</v>
          </cell>
          <cell r="V116">
            <v>20.384610810489384</v>
          </cell>
          <cell r="W116">
            <v>23.925419240953214</v>
          </cell>
          <cell r="X116">
            <v>23.307299050184294</v>
          </cell>
          <cell r="Y116">
            <v>23.307299050184294</v>
          </cell>
          <cell r="Z116">
            <v>23.87340581981244</v>
          </cell>
          <cell r="AA116">
            <v>23.222107123627595</v>
          </cell>
          <cell r="AB116">
            <v>25.642214774945558</v>
          </cell>
          <cell r="AC116">
            <v>23.900870287977313</v>
          </cell>
          <cell r="AD116">
            <v>23.900870287977313</v>
          </cell>
          <cell r="AE116">
            <v>23.433937139038235</v>
          </cell>
          <cell r="AF116">
            <v>23.931316402306777</v>
          </cell>
          <cell r="AG116">
            <v>25.046680550488468</v>
          </cell>
          <cell r="AH116">
            <v>25.701489257812497</v>
          </cell>
          <cell r="AI116">
            <v>25.701489257812497</v>
          </cell>
          <cell r="AJ116">
            <v>20.424698389162231</v>
          </cell>
          <cell r="AK116">
            <v>22.745903818269696</v>
          </cell>
          <cell r="AL116">
            <v>19.448829493628768</v>
          </cell>
          <cell r="AM116">
            <v>24.186985262245337</v>
          </cell>
          <cell r="AN116">
            <v>24.186985262245337</v>
          </cell>
          <cell r="AO116">
            <v>18.514459863877907</v>
          </cell>
          <cell r="AP116">
            <v>21.669861752708783</v>
          </cell>
          <cell r="AQ116">
            <v>17.047953035421124</v>
          </cell>
          <cell r="AR116">
            <v>21.907701064113684</v>
          </cell>
          <cell r="AS116">
            <v>21.907701064113684</v>
          </cell>
          <cell r="AT116">
            <v>18.327126740485824</v>
          </cell>
          <cell r="AU116">
            <v>23.103341094965</v>
          </cell>
          <cell r="AV116">
            <v>18.368351411870766</v>
          </cell>
          <cell r="AW116">
            <v>22.503639726827071</v>
          </cell>
          <cell r="AX116">
            <v>22.503639726827071</v>
          </cell>
          <cell r="AY116">
            <v>16.914209894112886</v>
          </cell>
          <cell r="AZ116">
            <v>18.780048938471765</v>
          </cell>
          <cell r="BA116">
            <v>17.027394196167183</v>
          </cell>
          <cell r="BB116">
            <v>20.226726488680324</v>
          </cell>
          <cell r="BC116">
            <v>20.226726488680324</v>
          </cell>
          <cell r="BD116">
            <v>16.990408669972975</v>
          </cell>
          <cell r="BE116">
            <v>19.341895970842781</v>
          </cell>
          <cell r="BF116">
            <v>17.083335968229477</v>
          </cell>
          <cell r="BG116">
            <v>17.394571509247495</v>
          </cell>
          <cell r="BH116">
            <v>17.394571509247495</v>
          </cell>
          <cell r="BI116">
            <v>19</v>
          </cell>
          <cell r="BJ116">
            <v>19</v>
          </cell>
          <cell r="BK116">
            <v>19</v>
          </cell>
          <cell r="BL116">
            <v>19</v>
          </cell>
          <cell r="BM116">
            <v>19</v>
          </cell>
          <cell r="BN116">
            <v>20</v>
          </cell>
          <cell r="BO116">
            <v>20</v>
          </cell>
          <cell r="BP116">
            <v>20</v>
          </cell>
          <cell r="BQ116">
            <v>20</v>
          </cell>
          <cell r="BR116">
            <v>20</v>
          </cell>
          <cell r="BS116">
            <v>20</v>
          </cell>
          <cell r="BT116">
            <v>20</v>
          </cell>
          <cell r="BU116">
            <v>20</v>
          </cell>
          <cell r="BV116">
            <v>20</v>
          </cell>
          <cell r="BW116">
            <v>20</v>
          </cell>
          <cell r="BX116">
            <v>20</v>
          </cell>
          <cell r="BY116">
            <v>20</v>
          </cell>
          <cell r="BZ116">
            <v>20</v>
          </cell>
          <cell r="CA116">
            <v>20</v>
          </cell>
          <cell r="CB116">
            <v>20</v>
          </cell>
        </row>
        <row r="117">
          <cell r="B117" t="str">
            <v>Debt to equity</v>
          </cell>
          <cell r="N117">
            <v>0</v>
          </cell>
          <cell r="O117">
            <v>0</v>
          </cell>
          <cell r="Q117">
            <v>0</v>
          </cell>
          <cell r="R117">
            <v>0.28216270843860536</v>
          </cell>
          <cell r="S117">
            <v>0.27482283464566926</v>
          </cell>
          <cell r="T117">
            <v>0.27482283464566926</v>
          </cell>
          <cell r="U117">
            <v>0.24945169110008081</v>
          </cell>
          <cell r="V117">
            <v>0.2383027650538731</v>
          </cell>
          <cell r="W117">
            <v>0.23080545543460543</v>
          </cell>
          <cell r="X117">
            <v>0.20857082910794841</v>
          </cell>
          <cell r="Y117">
            <v>0.20857082910794841</v>
          </cell>
          <cell r="Z117">
            <v>0.16625071667060132</v>
          </cell>
          <cell r="AA117">
            <v>0.15784112406422302</v>
          </cell>
          <cell r="AB117">
            <v>0.21838323585234534</v>
          </cell>
          <cell r="AC117">
            <v>0.1902332927681831</v>
          </cell>
          <cell r="AD117">
            <v>0.1902332927681831</v>
          </cell>
          <cell r="AE117">
            <v>0.18815244838986797</v>
          </cell>
          <cell r="AF117">
            <v>0.19358656907295041</v>
          </cell>
          <cell r="AG117">
            <v>0.18690635473657718</v>
          </cell>
          <cell r="AH117">
            <v>0.16881455320850269</v>
          </cell>
          <cell r="AI117">
            <v>0.16881455320850269</v>
          </cell>
          <cell r="AJ117">
            <v>0.21255715400914466</v>
          </cell>
          <cell r="AK117">
            <v>0.30585711977200269</v>
          </cell>
          <cell r="AL117">
            <v>0.31631154119909732</v>
          </cell>
          <cell r="AM117">
            <v>0.50825418527191546</v>
          </cell>
          <cell r="AN117">
            <v>0.50825418527191546</v>
          </cell>
          <cell r="AO117">
            <v>0.67857027175849449</v>
          </cell>
          <cell r="AP117">
            <v>0.78773402412151583</v>
          </cell>
          <cell r="AQ117">
            <v>0.77663160390941277</v>
          </cell>
          <cell r="AR117">
            <v>0.77257087228721522</v>
          </cell>
          <cell r="AS117">
            <v>0.77257087228721522</v>
          </cell>
          <cell r="AT117">
            <v>0.75839789022581183</v>
          </cell>
          <cell r="AU117">
            <v>0.81315520101655425</v>
          </cell>
          <cell r="AV117">
            <v>0.683321433207841</v>
          </cell>
          <cell r="AW117">
            <v>0.62874185871743493</v>
          </cell>
          <cell r="AX117">
            <v>0.62874185871743493</v>
          </cell>
          <cell r="AY117">
            <v>0.7273615104986163</v>
          </cell>
          <cell r="AZ117">
            <v>0.8169857673644243</v>
          </cell>
          <cell r="BA117">
            <v>1.1278850471486301</v>
          </cell>
          <cell r="BB117">
            <v>1.2609611718671614</v>
          </cell>
          <cell r="BC117">
            <v>1.2609611718671614</v>
          </cell>
          <cell r="BD117">
            <v>1.3978150886751544</v>
          </cell>
          <cell r="BE117">
            <v>1.4621973172289644</v>
          </cell>
          <cell r="BF117">
            <v>1.4191640378548891</v>
          </cell>
          <cell r="BG117">
            <v>1.2581184217089838</v>
          </cell>
          <cell r="BH117">
            <v>1.258118421708984</v>
          </cell>
          <cell r="BI117">
            <v>1.1616307741614265</v>
          </cell>
          <cell r="BJ117">
            <v>1.074220381168008</v>
          </cell>
          <cell r="BK117">
            <v>1.6363104902733161</v>
          </cell>
          <cell r="BL117">
            <v>1.6269862207305357</v>
          </cell>
          <cell r="BM117">
            <v>1.6269862207305357</v>
          </cell>
          <cell r="BN117">
            <v>1.9761260685566551</v>
          </cell>
          <cell r="BO117">
            <v>2.0917117363408493</v>
          </cell>
          <cell r="BP117">
            <v>1.8665281242560794</v>
          </cell>
          <cell r="BQ117">
            <v>1.6879044096980433</v>
          </cell>
          <cell r="BR117">
            <v>1.6879044096980433</v>
          </cell>
          <cell r="BS117">
            <v>2.3278018239058915</v>
          </cell>
          <cell r="BT117">
            <v>2.3683568194492621</v>
          </cell>
          <cell r="BU117">
            <v>2.2368132648257681</v>
          </cell>
          <cell r="BV117">
            <v>2.0167653763060907</v>
          </cell>
          <cell r="BW117">
            <v>2.0167653763060907</v>
          </cell>
          <cell r="BX117">
            <v>2.6471915598453535</v>
          </cell>
          <cell r="BY117">
            <v>2.7021450880781908</v>
          </cell>
          <cell r="BZ117">
            <v>2.6348970436287846</v>
          </cell>
          <cell r="CA117">
            <v>2.3943509055830332</v>
          </cell>
          <cell r="CB117">
            <v>2.3943509055830332</v>
          </cell>
        </row>
        <row r="118">
          <cell r="B118" t="str">
            <v>Debt to total capitalization</v>
          </cell>
          <cell r="N118">
            <v>0</v>
          </cell>
          <cell r="O118">
            <v>0</v>
          </cell>
          <cell r="Q118">
            <v>0</v>
          </cell>
          <cell r="R118">
            <v>0.22006778592259793</v>
          </cell>
          <cell r="S118">
            <v>0.21557727644724445</v>
          </cell>
          <cell r="T118">
            <v>0.21557727644724445</v>
          </cell>
          <cell r="U118">
            <v>0.19964892830746489</v>
          </cell>
          <cell r="V118">
            <v>0.19244305332993875</v>
          </cell>
          <cell r="W118">
            <v>0.18752391323542397</v>
          </cell>
          <cell r="X118">
            <v>0.17257642174095456</v>
          </cell>
          <cell r="Y118">
            <v>0.17257642174095456</v>
          </cell>
          <cell r="Z118">
            <v>0.14255143794913316</v>
          </cell>
          <cell r="AA118">
            <v>0.13632364646901926</v>
          </cell>
          <cell r="AB118">
            <v>0.17924018439039899</v>
          </cell>
          <cell r="AC118">
            <v>0.15982857640097459</v>
          </cell>
          <cell r="AD118">
            <v>0.15982857640097459</v>
          </cell>
          <cell r="AE118">
            <v>0.15835716085494239</v>
          </cell>
          <cell r="AF118">
            <v>0.16218896399220345</v>
          </cell>
          <cell r="AG118">
            <v>0.15747354792624671</v>
          </cell>
          <cell r="AH118">
            <v>0.14443228204601946</v>
          </cell>
          <cell r="AI118">
            <v>0.14443228204601946</v>
          </cell>
          <cell r="AJ118">
            <v>0.17529660627241792</v>
          </cell>
          <cell r="AK118">
            <v>0.23421943728836433</v>
          </cell>
          <cell r="AL118">
            <v>0.24030142659917159</v>
          </cell>
          <cell r="AM118">
            <v>0.33698178346528834</v>
          </cell>
          <cell r="AN118">
            <v>0.33698178346528834</v>
          </cell>
          <cell r="AO118">
            <v>0.4042549085821795</v>
          </cell>
          <cell r="AP118">
            <v>0.44063267437593495</v>
          </cell>
          <cell r="AQ118">
            <v>0.43713710946065765</v>
          </cell>
          <cell r="AR118">
            <v>0.43584766305582912</v>
          </cell>
          <cell r="AS118">
            <v>0.43584766305582912</v>
          </cell>
          <cell r="AT118">
            <v>0.43130050055304553</v>
          </cell>
          <cell r="AU118">
            <v>0.44847523287617896</v>
          </cell>
          <cell r="AV118">
            <v>0.40593639439715423</v>
          </cell>
          <cell r="AW118">
            <v>0.38602916438369334</v>
          </cell>
          <cell r="AX118">
            <v>0.38602916438369334</v>
          </cell>
          <cell r="AY118">
            <v>0.42108238841599394</v>
          </cell>
          <cell r="AZ118">
            <v>0.44963795646538235</v>
          </cell>
          <cell r="BA118">
            <v>0.53004980163754534</v>
          </cell>
          <cell r="BB118">
            <v>0.55771022853339247</v>
          </cell>
          <cell r="BC118">
            <v>0.55771022853339247</v>
          </cell>
          <cell r="BD118">
            <v>0.58295366280619998</v>
          </cell>
          <cell r="BE118">
            <v>0.5938587078287324</v>
          </cell>
          <cell r="BF118">
            <v>0.58663406682966579</v>
          </cell>
          <cell r="BG118">
            <v>0.55715342898483489</v>
          </cell>
          <cell r="BH118">
            <v>0.55715342898483489</v>
          </cell>
          <cell r="BI118">
            <v>0.53738630484295558</v>
          </cell>
          <cell r="BJ118">
            <v>0.51789115125901275</v>
          </cell>
          <cell r="BK118">
            <v>0.6206820085534287</v>
          </cell>
          <cell r="BL118">
            <v>0.61933565082731534</v>
          </cell>
          <cell r="BM118">
            <v>0.61933565082731534</v>
          </cell>
          <cell r="BN118">
            <v>0.6639927284784094</v>
          </cell>
          <cell r="BO118">
            <v>0.67655458034922245</v>
          </cell>
          <cell r="BP118">
            <v>0.65114593101732787</v>
          </cell>
          <cell r="BQ118">
            <v>0.62796296014398101</v>
          </cell>
          <cell r="BR118">
            <v>0.62796296014398101</v>
          </cell>
          <cell r="BS118">
            <v>0.69950133664321246</v>
          </cell>
          <cell r="BT118">
            <v>0.70311933871557486</v>
          </cell>
          <cell r="BU118">
            <v>0.69105415784502222</v>
          </cell>
          <cell r="BV118">
            <v>0.66851913381992589</v>
          </cell>
          <cell r="BW118">
            <v>0.66851913381992589</v>
          </cell>
          <cell r="BX118">
            <v>0.72581643064495316</v>
          </cell>
          <cell r="BY118">
            <v>0.72988632908519879</v>
          </cell>
          <cell r="BZ118">
            <v>0.72488904417449973</v>
          </cell>
          <cell r="CA118">
            <v>0.70539286366792586</v>
          </cell>
          <cell r="CB118">
            <v>0.70539286366792586</v>
          </cell>
        </row>
        <row r="120">
          <cell r="B120" t="str">
            <v>CASH FLOW STATEMENT</v>
          </cell>
          <cell r="F120" t="str">
            <v xml:space="preserve">Fiscal Year End, December 31 2001 </v>
          </cell>
          <cell r="K120" t="str">
            <v>Fiscal Year End, December 31 2002</v>
          </cell>
          <cell r="P120" t="str">
            <v>Fiscal Year End, Dec 31 2003</v>
          </cell>
          <cell r="U120" t="str">
            <v>Fiscal Year End, Dec 31 2004</v>
          </cell>
          <cell r="Z120" t="str">
            <v xml:space="preserve">Fiscal Year End, Dec 31 2005 </v>
          </cell>
          <cell r="AE120" t="str">
            <v xml:space="preserve">Fiscal Year End, Dec 31 2006 </v>
          </cell>
          <cell r="AJ120" t="str">
            <v xml:space="preserve">Fiscal Year End, Dec 31 2007 </v>
          </cell>
          <cell r="AO120" t="str">
            <v>Fiscal Year End, Dec 31 2008</v>
          </cell>
          <cell r="AT120" t="str">
            <v>Fiscal Year End, Dec 31 2009</v>
          </cell>
          <cell r="AY120" t="str">
            <v>Fiscal Year End, Dec 31 2010</v>
          </cell>
          <cell r="BD120" t="str">
            <v>Fiscal Year End, Dec 31 2011</v>
          </cell>
          <cell r="BI120" t="str">
            <v>Fiscal Year End, Dec 31 2012</v>
          </cell>
          <cell r="BN120" t="str">
            <v>Fiscal Year End, Dec 31 2013</v>
          </cell>
          <cell r="BS120" t="str">
            <v>Fiscal Year End, Dec 31 2014</v>
          </cell>
          <cell r="BX120" t="str">
            <v>Fiscal Year End, Dec 31 2015</v>
          </cell>
        </row>
        <row r="121">
          <cell r="B121" t="str">
            <v>(In millions, except per share data)</v>
          </cell>
          <cell r="D121" t="str">
            <v>1999A</v>
          </cell>
          <cell r="E121" t="str">
            <v>2000A</v>
          </cell>
          <cell r="F121" t="str">
            <v>1QA</v>
          </cell>
          <cell r="G121" t="str">
            <v>2QA</v>
          </cell>
          <cell r="H121" t="str">
            <v>3QA</v>
          </cell>
          <cell r="I121" t="str">
            <v>4QA</v>
          </cell>
          <cell r="J121">
            <v>2001</v>
          </cell>
          <cell r="K121" t="str">
            <v>1QA</v>
          </cell>
          <cell r="L121" t="str">
            <v>2QA</v>
          </cell>
          <cell r="M121" t="str">
            <v>3QA</v>
          </cell>
          <cell r="N121" t="str">
            <v>4QA</v>
          </cell>
          <cell r="O121" t="str">
            <v>2002A</v>
          </cell>
          <cell r="P121" t="str">
            <v>1QA</v>
          </cell>
          <cell r="Q121" t="str">
            <v>2QA</v>
          </cell>
          <cell r="R121" t="str">
            <v>3QA</v>
          </cell>
          <cell r="S121" t="str">
            <v>4QA</v>
          </cell>
          <cell r="T121" t="str">
            <v>2003A</v>
          </cell>
          <cell r="U121" t="str">
            <v>1QA</v>
          </cell>
          <cell r="V121" t="str">
            <v>2QA</v>
          </cell>
          <cell r="W121" t="str">
            <v>3QA</v>
          </cell>
          <cell r="X121" t="str">
            <v>4QA</v>
          </cell>
          <cell r="Y121" t="str">
            <v>2004A</v>
          </cell>
          <cell r="Z121" t="str">
            <v>1QA</v>
          </cell>
          <cell r="AA121" t="str">
            <v>2QA</v>
          </cell>
          <cell r="AB121" t="str">
            <v>3QA</v>
          </cell>
          <cell r="AC121" t="str">
            <v>4QA</v>
          </cell>
          <cell r="AD121" t="str">
            <v>2005A</v>
          </cell>
          <cell r="AE121" t="str">
            <v>1QA</v>
          </cell>
          <cell r="AF121" t="str">
            <v>2QA</v>
          </cell>
          <cell r="AG121" t="str">
            <v>3QA</v>
          </cell>
          <cell r="AH121" t="str">
            <v>4QA</v>
          </cell>
          <cell r="AI121" t="str">
            <v>2006A</v>
          </cell>
          <cell r="AJ121" t="str">
            <v>1QA</v>
          </cell>
          <cell r="AK121" t="str">
            <v>2QA</v>
          </cell>
          <cell r="AL121" t="str">
            <v>3QA</v>
          </cell>
          <cell r="AM121" t="str">
            <v>4QA</v>
          </cell>
          <cell r="AN121" t="str">
            <v>2007A</v>
          </cell>
          <cell r="AO121" t="str">
            <v>1QA</v>
          </cell>
          <cell r="AP121" t="str">
            <v>2QA</v>
          </cell>
          <cell r="AQ121" t="str">
            <v>3QA</v>
          </cell>
          <cell r="AR121" t="str">
            <v>4QA</v>
          </cell>
          <cell r="AS121" t="str">
            <v>2008A</v>
          </cell>
          <cell r="AT121" t="str">
            <v>1QA</v>
          </cell>
          <cell r="AU121" t="str">
            <v>2QA</v>
          </cell>
          <cell r="AV121" t="str">
            <v>3QA</v>
          </cell>
          <cell r="AW121" t="str">
            <v>4QA</v>
          </cell>
          <cell r="AX121" t="str">
            <v>2009A</v>
          </cell>
          <cell r="AY121" t="str">
            <v>1QA</v>
          </cell>
          <cell r="AZ121" t="str">
            <v>2QA</v>
          </cell>
          <cell r="BA121" t="str">
            <v>3QA</v>
          </cell>
          <cell r="BB121" t="str">
            <v>4QA</v>
          </cell>
          <cell r="BC121" t="str">
            <v>2010A</v>
          </cell>
          <cell r="BD121" t="str">
            <v>1QA</v>
          </cell>
          <cell r="BE121" t="str">
            <v>2QA</v>
          </cell>
          <cell r="BF121" t="str">
            <v>3QA</v>
          </cell>
          <cell r="BG121" t="str">
            <v>4QA</v>
          </cell>
          <cell r="BH121" t="str">
            <v>2011A</v>
          </cell>
          <cell r="BI121" t="str">
            <v>1QE</v>
          </cell>
          <cell r="BJ121" t="str">
            <v>2QE</v>
          </cell>
          <cell r="BK121" t="str">
            <v>3QE</v>
          </cell>
          <cell r="BL121" t="str">
            <v>4QE</v>
          </cell>
          <cell r="BM121" t="str">
            <v>2012E</v>
          </cell>
          <cell r="BN121" t="str">
            <v>1QE</v>
          </cell>
          <cell r="BO121" t="str">
            <v>2QE</v>
          </cell>
          <cell r="BP121" t="str">
            <v>3QE</v>
          </cell>
          <cell r="BQ121" t="str">
            <v>4QE</v>
          </cell>
          <cell r="BR121" t="str">
            <v>2013E</v>
          </cell>
          <cell r="BS121" t="str">
            <v>1QE</v>
          </cell>
          <cell r="BT121" t="str">
            <v>2QE</v>
          </cell>
          <cell r="BU121" t="str">
            <v>3QE</v>
          </cell>
          <cell r="BV121" t="str">
            <v>4QE</v>
          </cell>
          <cell r="BW121" t="str">
            <v>2014E</v>
          </cell>
          <cell r="BX121" t="str">
            <v>1QE</v>
          </cell>
          <cell r="BY121" t="str">
            <v>2QE</v>
          </cell>
          <cell r="BZ121" t="str">
            <v>3QE</v>
          </cell>
          <cell r="CA121" t="str">
            <v>4QE</v>
          </cell>
          <cell r="CB121" t="str">
            <v>2015E</v>
          </cell>
        </row>
        <row r="122">
          <cell r="B122" t="str">
            <v>Net income</v>
          </cell>
          <cell r="D122">
            <v>152.00000000000216</v>
          </cell>
          <cell r="E122">
            <v>216.79999999999853</v>
          </cell>
          <cell r="F122">
            <v>0</v>
          </cell>
          <cell r="G122">
            <v>0</v>
          </cell>
          <cell r="H122">
            <v>0</v>
          </cell>
          <cell r="I122">
            <v>0</v>
          </cell>
          <cell r="J122">
            <v>256.60000000000508</v>
          </cell>
          <cell r="K122">
            <v>59.600000000000186</v>
          </cell>
          <cell r="L122">
            <v>104.59999999999891</v>
          </cell>
          <cell r="M122">
            <v>90.200000000000372</v>
          </cell>
          <cell r="N122">
            <v>107.20000000000037</v>
          </cell>
          <cell r="O122">
            <v>361.59999999999928</v>
          </cell>
          <cell r="P122">
            <v>102</v>
          </cell>
          <cell r="Q122">
            <v>105.19999999999966</v>
          </cell>
          <cell r="R122">
            <v>100.30000000000018</v>
          </cell>
          <cell r="S122">
            <v>118.30000000000149</v>
          </cell>
          <cell r="T122">
            <v>425.80000000000132</v>
          </cell>
          <cell r="U122">
            <v>103.5999999999989</v>
          </cell>
          <cell r="V122">
            <v>127.30000000000071</v>
          </cell>
          <cell r="W122">
            <v>118.09999999999708</v>
          </cell>
          <cell r="X122">
            <v>132.59999999999962</v>
          </cell>
          <cell r="Y122">
            <v>481.59999999999627</v>
          </cell>
          <cell r="Z122">
            <v>131.20000000000005</v>
          </cell>
          <cell r="AA122">
            <v>137.40000000000111</v>
          </cell>
          <cell r="AB122">
            <v>156.70000000000221</v>
          </cell>
          <cell r="AC122">
            <v>176.79999999999964</v>
          </cell>
          <cell r="AD122">
            <v>602.10000000000298</v>
          </cell>
          <cell r="AE122">
            <v>44.800000000000757</v>
          </cell>
          <cell r="AF122">
            <v>170.89999999999995</v>
          </cell>
          <cell r="AG122">
            <v>185.79999999999819</v>
          </cell>
          <cell r="AH122">
            <v>228.80000000000069</v>
          </cell>
          <cell r="AI122">
            <v>630.29999999999961</v>
          </cell>
          <cell r="AJ122">
            <v>274.79999999999893</v>
          </cell>
          <cell r="AK122">
            <v>214.90000000000038</v>
          </cell>
          <cell r="AL122">
            <v>214.70000000000107</v>
          </cell>
          <cell r="AM122">
            <v>207.59999999999891</v>
          </cell>
          <cell r="AN122">
            <v>911.9999999999992</v>
          </cell>
          <cell r="AO122">
            <v>270.20000000000073</v>
          </cell>
          <cell r="AP122">
            <v>262.7</v>
          </cell>
          <cell r="AQ122">
            <v>295.69999999999743</v>
          </cell>
          <cell r="AR122">
            <v>274.39999999999856</v>
          </cell>
          <cell r="AS122">
            <v>1102.9999999999968</v>
          </cell>
          <cell r="AT122">
            <v>291.0000000000004</v>
          </cell>
          <cell r="AU122">
            <v>312.19999999999925</v>
          </cell>
          <cell r="AV122">
            <v>335.6</v>
          </cell>
          <cell r="AW122">
            <v>341.5000000000004</v>
          </cell>
          <cell r="AX122">
            <v>1280.3</v>
          </cell>
          <cell r="AY122">
            <v>320.49999999999892</v>
          </cell>
          <cell r="AZ122">
            <v>356.90000000000072</v>
          </cell>
          <cell r="BA122">
            <v>371.5</v>
          </cell>
          <cell r="BB122">
            <v>378.50000000000074</v>
          </cell>
          <cell r="BC122">
            <v>1427.4000000000003</v>
          </cell>
          <cell r="BD122">
            <v>333.09999999999917</v>
          </cell>
          <cell r="BE122">
            <v>342.79999999999967</v>
          </cell>
          <cell r="BF122">
            <v>355.40000000000032</v>
          </cell>
          <cell r="BG122">
            <v>424.40000000000072</v>
          </cell>
          <cell r="BH122">
            <v>1455.7</v>
          </cell>
          <cell r="BI122">
            <v>322.35507392397653</v>
          </cell>
          <cell r="BJ122">
            <v>352.94472159492216</v>
          </cell>
          <cell r="BK122">
            <v>391.06121066969007</v>
          </cell>
          <cell r="BL122">
            <v>417.93452476676424</v>
          </cell>
          <cell r="BM122">
            <v>1484.2955309553529</v>
          </cell>
          <cell r="BN122">
            <v>353.61158679176611</v>
          </cell>
          <cell r="BO122">
            <v>359.42986829982544</v>
          </cell>
          <cell r="BP122">
            <v>390.57034866390029</v>
          </cell>
          <cell r="BQ122">
            <v>385.68149514874028</v>
          </cell>
          <cell r="BR122">
            <v>1489.293298904232</v>
          </cell>
          <cell r="BS122">
            <v>380.1248631914446</v>
          </cell>
          <cell r="BT122">
            <v>388.08619315149554</v>
          </cell>
          <cell r="BU122">
            <v>425.17267099315006</v>
          </cell>
          <cell r="BV122">
            <v>420.79447034637127</v>
          </cell>
          <cell r="BW122">
            <v>1614.1781976824614</v>
          </cell>
          <cell r="BX122">
            <v>405.41534556518098</v>
          </cell>
          <cell r="BY122">
            <v>411.41820266579634</v>
          </cell>
          <cell r="BZ122">
            <v>447.68702210855889</v>
          </cell>
          <cell r="CA122">
            <v>442.1811325764416</v>
          </cell>
          <cell r="CB122">
            <v>1706.7017029159779</v>
          </cell>
          <cell r="CI122" t="str">
            <v>mstag:netIncomeReported</v>
          </cell>
          <cell r="CJ122">
            <v>6</v>
          </cell>
          <cell r="CK122" t="str">
            <v>ISO4217:USD</v>
          </cell>
          <cell r="CL122" t="b">
            <v>0</v>
          </cell>
        </row>
        <row r="123">
          <cell r="B123" t="str">
            <v>Depreciation and amortization</v>
          </cell>
          <cell r="D123">
            <v>263.5</v>
          </cell>
          <cell r="E123">
            <v>289.20000000000005</v>
          </cell>
          <cell r="J123">
            <v>322.89999999999998</v>
          </cell>
          <cell r="K123">
            <v>0</v>
          </cell>
          <cell r="L123">
            <v>0</v>
          </cell>
          <cell r="M123">
            <v>63.2</v>
          </cell>
          <cell r="N123">
            <v>0</v>
          </cell>
          <cell r="O123">
            <v>257.39999999999998</v>
          </cell>
          <cell r="P123">
            <v>69.7</v>
          </cell>
          <cell r="Q123">
            <v>69.40000000000002</v>
          </cell>
          <cell r="R123">
            <v>70.699999999999974</v>
          </cell>
          <cell r="S123">
            <v>73.499999999999986</v>
          </cell>
          <cell r="T123">
            <v>283.3</v>
          </cell>
          <cell r="U123">
            <v>107.2</v>
          </cell>
          <cell r="V123">
            <v>94.600000000000009</v>
          </cell>
          <cell r="W123">
            <v>90.599999999999952</v>
          </cell>
          <cell r="X123">
            <v>84.90000000000002</v>
          </cell>
          <cell r="Y123">
            <v>377.29999999999995</v>
          </cell>
          <cell r="Z123">
            <v>86.4</v>
          </cell>
          <cell r="AA123">
            <v>84.4</v>
          </cell>
          <cell r="AB123">
            <v>88.699999999999989</v>
          </cell>
          <cell r="AC123">
            <v>98.1</v>
          </cell>
          <cell r="AD123">
            <v>357.6</v>
          </cell>
          <cell r="AE123">
            <v>104.2</v>
          </cell>
          <cell r="AF123">
            <v>95.999999999999986</v>
          </cell>
          <cell r="AG123">
            <v>96.90000000000002</v>
          </cell>
          <cell r="AH123">
            <v>94.999999999999986</v>
          </cell>
          <cell r="AI123">
            <v>392.09999999999997</v>
          </cell>
          <cell r="AJ123">
            <v>96.1</v>
          </cell>
          <cell r="AK123">
            <v>98.6</v>
          </cell>
          <cell r="AL123">
            <v>93.700000000000017</v>
          </cell>
          <cell r="AM123">
            <v>108.60000000000002</v>
          </cell>
          <cell r="AN123">
            <v>397</v>
          </cell>
          <cell r="AO123">
            <v>109.6</v>
          </cell>
          <cell r="AP123">
            <v>109.5</v>
          </cell>
          <cell r="AQ123">
            <v>109.79999999999998</v>
          </cell>
          <cell r="AR123">
            <v>113.90000000000003</v>
          </cell>
          <cell r="AS123">
            <v>442.80000000000007</v>
          </cell>
          <cell r="AT123">
            <v>119.10000000000001</v>
          </cell>
          <cell r="AU123">
            <v>120.10000000000001</v>
          </cell>
          <cell r="AV123">
            <v>126.69999999999996</v>
          </cell>
          <cell r="AW123">
            <v>118.70000000000005</v>
          </cell>
          <cell r="AX123">
            <v>484.6</v>
          </cell>
          <cell r="AY123">
            <v>114.9</v>
          </cell>
          <cell r="AZ123">
            <v>115.49999999999997</v>
          </cell>
          <cell r="BA123">
            <v>117.70000000000005</v>
          </cell>
          <cell r="BB123">
            <v>128.79999999999995</v>
          </cell>
          <cell r="BC123">
            <v>476.9</v>
          </cell>
          <cell r="BD123">
            <v>124.2</v>
          </cell>
          <cell r="BE123">
            <v>124.2</v>
          </cell>
          <cell r="BF123">
            <v>126.1</v>
          </cell>
          <cell r="BG123">
            <v>130.5</v>
          </cell>
          <cell r="BH123">
            <v>505</v>
          </cell>
          <cell r="BI123">
            <v>130.5</v>
          </cell>
          <cell r="BJ123">
            <v>130.5</v>
          </cell>
          <cell r="BK123">
            <v>130.5</v>
          </cell>
          <cell r="BL123">
            <v>130.5</v>
          </cell>
          <cell r="BM123">
            <v>522</v>
          </cell>
          <cell r="BN123">
            <v>130.5</v>
          </cell>
          <cell r="BO123">
            <v>130.5</v>
          </cell>
          <cell r="BP123">
            <v>130.5</v>
          </cell>
          <cell r="BQ123">
            <v>130.5</v>
          </cell>
          <cell r="BR123">
            <v>522</v>
          </cell>
          <cell r="BS123">
            <v>130.5</v>
          </cell>
          <cell r="BT123">
            <v>130.5</v>
          </cell>
          <cell r="BU123">
            <v>130.5</v>
          </cell>
          <cell r="BV123">
            <v>130.5</v>
          </cell>
          <cell r="BW123">
            <v>522</v>
          </cell>
          <cell r="BX123">
            <v>130.5</v>
          </cell>
          <cell r="BY123">
            <v>130.5</v>
          </cell>
          <cell r="BZ123">
            <v>130.5</v>
          </cell>
          <cell r="CA123">
            <v>130.5</v>
          </cell>
          <cell r="CB123">
            <v>522</v>
          </cell>
          <cell r="CI123" t="str">
            <v>mstag:depreciation</v>
          </cell>
          <cell r="CJ123">
            <v>6</v>
          </cell>
          <cell r="CK123" t="str">
            <v>ISO4217:USD</v>
          </cell>
          <cell r="CL123" t="b">
            <v>0</v>
          </cell>
        </row>
        <row r="124">
          <cell r="B124" t="str">
            <v>Deferred income taxes</v>
          </cell>
          <cell r="J124">
            <v>10.5</v>
          </cell>
          <cell r="K124">
            <v>0</v>
          </cell>
          <cell r="L124">
            <v>0</v>
          </cell>
          <cell r="M124">
            <v>0</v>
          </cell>
          <cell r="N124">
            <v>0</v>
          </cell>
          <cell r="O124">
            <v>57.7</v>
          </cell>
          <cell r="P124">
            <v>-40.9</v>
          </cell>
          <cell r="Q124">
            <v>21.4</v>
          </cell>
          <cell r="R124">
            <v>7.6999999999999957</v>
          </cell>
          <cell r="S124">
            <v>-130.19999999999999</v>
          </cell>
          <cell r="T124">
            <v>-142</v>
          </cell>
          <cell r="U124">
            <v>0.7</v>
          </cell>
          <cell r="V124">
            <v>-44.400000000000006</v>
          </cell>
          <cell r="W124">
            <v>119</v>
          </cell>
          <cell r="X124">
            <v>3.3</v>
          </cell>
          <cell r="Y124">
            <v>78.599999999999994</v>
          </cell>
          <cell r="Z124">
            <v>-36.700000000000003</v>
          </cell>
          <cell r="AA124">
            <v>33.000000000000007</v>
          </cell>
          <cell r="AB124">
            <v>-81.3</v>
          </cell>
          <cell r="AC124">
            <v>-148</v>
          </cell>
          <cell r="AD124">
            <v>-233</v>
          </cell>
          <cell r="AE124">
            <v>-104.1</v>
          </cell>
          <cell r="AF124">
            <v>49.999999999999993</v>
          </cell>
          <cell r="AG124">
            <v>-18.599999999999994</v>
          </cell>
          <cell r="AH124">
            <v>-27.099999999999994</v>
          </cell>
          <cell r="AI124">
            <v>-99.799999999999983</v>
          </cell>
          <cell r="AJ124">
            <v>-35.700000000000003</v>
          </cell>
          <cell r="AK124">
            <v>-34.099999999999994</v>
          </cell>
          <cell r="AL124">
            <v>-29.900000000000006</v>
          </cell>
          <cell r="AM124">
            <v>-34.399999999999991</v>
          </cell>
          <cell r="AN124">
            <v>-134.1</v>
          </cell>
          <cell r="AO124">
            <v>-42.4</v>
          </cell>
          <cell r="AP124">
            <v>-38.199999999999996</v>
          </cell>
          <cell r="AQ124">
            <v>-8.8000000000000114</v>
          </cell>
          <cell r="AR124">
            <v>-10.199999999999989</v>
          </cell>
          <cell r="AS124">
            <v>-99.6</v>
          </cell>
          <cell r="AT124">
            <v>-40.5</v>
          </cell>
          <cell r="AU124">
            <v>-92.4</v>
          </cell>
          <cell r="AV124">
            <v>-30</v>
          </cell>
          <cell r="AW124">
            <v>-59.199999999999989</v>
          </cell>
          <cell r="AX124">
            <v>-222.1</v>
          </cell>
          <cell r="AY124">
            <v>-74.3</v>
          </cell>
          <cell r="AZ124">
            <v>-16.700000000000003</v>
          </cell>
          <cell r="BA124">
            <v>3.5</v>
          </cell>
          <cell r="BB124">
            <v>-26.700000000000003</v>
          </cell>
          <cell r="BC124">
            <v>-114.2</v>
          </cell>
          <cell r="BD124">
            <v>-26.3</v>
          </cell>
          <cell r="BE124">
            <v>-40.5</v>
          </cell>
          <cell r="BF124">
            <v>-30.760000000000005</v>
          </cell>
          <cell r="BG124">
            <v>17.560000000000002</v>
          </cell>
          <cell r="BH124">
            <v>-80</v>
          </cell>
          <cell r="BI124">
            <v>0</v>
          </cell>
          <cell r="BJ124">
            <v>0</v>
          </cell>
          <cell r="BK124">
            <v>0</v>
          </cell>
          <cell r="BL124">
            <v>0</v>
          </cell>
          <cell r="BM124">
            <v>0</v>
          </cell>
          <cell r="BN124">
            <v>0</v>
          </cell>
          <cell r="BO124">
            <v>0</v>
          </cell>
          <cell r="BP124">
            <v>0</v>
          </cell>
          <cell r="BQ124">
            <v>0</v>
          </cell>
          <cell r="BR124">
            <v>0</v>
          </cell>
          <cell r="BS124">
            <v>0</v>
          </cell>
          <cell r="BT124">
            <v>0</v>
          </cell>
          <cell r="BU124">
            <v>0</v>
          </cell>
          <cell r="BV124">
            <v>0</v>
          </cell>
          <cell r="BW124">
            <v>0</v>
          </cell>
          <cell r="BX124">
            <v>0</v>
          </cell>
          <cell r="BY124">
            <v>0</v>
          </cell>
          <cell r="BZ124">
            <v>0</v>
          </cell>
          <cell r="CA124">
            <v>0</v>
          </cell>
          <cell r="CB124">
            <v>0</v>
          </cell>
          <cell r="CI124" t="str">
            <v>mstag:deferredTax</v>
          </cell>
          <cell r="CJ124">
            <v>6</v>
          </cell>
          <cell r="CK124" t="str">
            <v>ISO4217:USD</v>
          </cell>
          <cell r="CL124" t="b">
            <v>0</v>
          </cell>
        </row>
        <row r="125">
          <cell r="B125" t="str">
            <v>Other</v>
          </cell>
          <cell r="J125">
            <v>1</v>
          </cell>
          <cell r="K125">
            <v>0</v>
          </cell>
          <cell r="L125">
            <v>0</v>
          </cell>
          <cell r="M125">
            <v>0</v>
          </cell>
          <cell r="N125">
            <v>0</v>
          </cell>
          <cell r="O125">
            <v>4.8</v>
          </cell>
          <cell r="P125">
            <v>11.2</v>
          </cell>
          <cell r="Q125">
            <v>6.9000000000000021</v>
          </cell>
          <cell r="R125">
            <v>6.2999999999999972</v>
          </cell>
          <cell r="S125">
            <v>12.899999999999999</v>
          </cell>
          <cell r="T125">
            <v>37.299999999999997</v>
          </cell>
          <cell r="U125">
            <v>11.1</v>
          </cell>
          <cell r="V125">
            <v>8.2000000000000011</v>
          </cell>
          <cell r="W125">
            <v>5.1999999999999975</v>
          </cell>
          <cell r="X125">
            <v>11.299999999999999</v>
          </cell>
          <cell r="Y125">
            <v>35.799999999999997</v>
          </cell>
          <cell r="Z125">
            <v>21.6</v>
          </cell>
          <cell r="AA125">
            <v>-9.7000000000000011</v>
          </cell>
          <cell r="AB125">
            <v>90.699999999999989</v>
          </cell>
          <cell r="AC125">
            <v>51.6</v>
          </cell>
          <cell r="AD125">
            <v>154.19999999999999</v>
          </cell>
          <cell r="AE125">
            <v>52.6</v>
          </cell>
          <cell r="AF125">
            <v>37.800000000000004</v>
          </cell>
          <cell r="AG125">
            <v>41.9</v>
          </cell>
          <cell r="AH125">
            <v>41.799999999999976</v>
          </cell>
          <cell r="AI125">
            <v>174.09999999999997</v>
          </cell>
          <cell r="AJ125">
            <v>46.8</v>
          </cell>
          <cell r="AK125">
            <v>45.399999999999991</v>
          </cell>
          <cell r="AL125">
            <v>55.900000000000034</v>
          </cell>
          <cell r="AM125">
            <v>51.69999999999996</v>
          </cell>
          <cell r="AN125">
            <v>199.8</v>
          </cell>
          <cell r="AO125">
            <v>79.899999999999991</v>
          </cell>
          <cell r="AP125">
            <v>61.2</v>
          </cell>
          <cell r="AQ125">
            <v>61.900000000000006</v>
          </cell>
          <cell r="AR125">
            <v>65.5</v>
          </cell>
          <cell r="AS125">
            <v>268.5</v>
          </cell>
          <cell r="AT125">
            <v>87.9</v>
          </cell>
          <cell r="AU125">
            <v>89.799999999999983</v>
          </cell>
          <cell r="AV125">
            <v>73.300000000000011</v>
          </cell>
          <cell r="AW125">
            <v>75.199999999999989</v>
          </cell>
          <cell r="AX125">
            <v>326.2</v>
          </cell>
          <cell r="AY125">
            <v>94.6</v>
          </cell>
          <cell r="AZ125">
            <v>61.599999999999994</v>
          </cell>
          <cell r="BA125">
            <v>76.000000000000057</v>
          </cell>
          <cell r="BB125">
            <v>96.899999999999949</v>
          </cell>
          <cell r="BC125">
            <v>329.1</v>
          </cell>
          <cell r="BD125">
            <v>68.799999999999983</v>
          </cell>
          <cell r="BE125">
            <v>89.9</v>
          </cell>
          <cell r="BF125">
            <v>94.699999999999989</v>
          </cell>
          <cell r="BG125">
            <v>95.700000000000045</v>
          </cell>
          <cell r="BH125">
            <v>349.1</v>
          </cell>
          <cell r="BI125">
            <v>0</v>
          </cell>
          <cell r="BJ125">
            <v>0</v>
          </cell>
          <cell r="BK125">
            <v>0</v>
          </cell>
          <cell r="BL125">
            <v>0</v>
          </cell>
          <cell r="BM125">
            <v>0</v>
          </cell>
          <cell r="BN125">
            <v>0</v>
          </cell>
          <cell r="BO125">
            <v>0</v>
          </cell>
          <cell r="BP125">
            <v>0</v>
          </cell>
          <cell r="BQ125">
            <v>0</v>
          </cell>
          <cell r="BR125">
            <v>0</v>
          </cell>
          <cell r="BS125">
            <v>0</v>
          </cell>
          <cell r="BT125">
            <v>0</v>
          </cell>
          <cell r="BU125">
            <v>0</v>
          </cell>
          <cell r="BV125">
            <v>0</v>
          </cell>
          <cell r="BW125">
            <v>0</v>
          </cell>
          <cell r="BX125">
            <v>0</v>
          </cell>
          <cell r="BY125">
            <v>0</v>
          </cell>
          <cell r="BZ125">
            <v>0</v>
          </cell>
          <cell r="CA125">
            <v>0</v>
          </cell>
          <cell r="CB125">
            <v>0</v>
          </cell>
          <cell r="CI125" t="str">
            <v>mstag:otherCashFlow</v>
          </cell>
          <cell r="CJ125">
            <v>6</v>
          </cell>
          <cell r="CK125" t="str">
            <v>ISO4217:USD</v>
          </cell>
          <cell r="CL125" t="b">
            <v>0</v>
          </cell>
        </row>
        <row r="126">
          <cell r="B126" t="str">
            <v>Other</v>
          </cell>
          <cell r="D126">
            <v>0</v>
          </cell>
          <cell r="E126">
            <v>0</v>
          </cell>
          <cell r="F126">
            <v>0</v>
          </cell>
          <cell r="G126">
            <v>0</v>
          </cell>
          <cell r="H126">
            <v>0</v>
          </cell>
          <cell r="I126">
            <v>0</v>
          </cell>
          <cell r="J126">
            <v>11.5</v>
          </cell>
          <cell r="K126">
            <v>0</v>
          </cell>
          <cell r="L126">
            <v>0</v>
          </cell>
          <cell r="M126">
            <v>0</v>
          </cell>
          <cell r="N126">
            <v>0</v>
          </cell>
          <cell r="O126">
            <v>62.5</v>
          </cell>
          <cell r="P126">
            <v>-29.7</v>
          </cell>
          <cell r="Q126">
            <v>28.3</v>
          </cell>
          <cell r="R126">
            <v>13.999999999999993</v>
          </cell>
          <cell r="S126">
            <v>-117.29999999999998</v>
          </cell>
          <cell r="T126">
            <v>-104.7</v>
          </cell>
          <cell r="U126">
            <v>11.799999999999999</v>
          </cell>
          <cell r="V126">
            <v>-36.200000000000003</v>
          </cell>
          <cell r="W126">
            <v>124.2</v>
          </cell>
          <cell r="X126">
            <v>14.599999999999998</v>
          </cell>
          <cell r="Y126">
            <v>114.39999999999999</v>
          </cell>
          <cell r="Z126">
            <v>-15.100000000000001</v>
          </cell>
          <cell r="AA126">
            <v>23.300000000000004</v>
          </cell>
          <cell r="AB126">
            <v>9.3999999999999915</v>
          </cell>
          <cell r="AC126">
            <v>-96.4</v>
          </cell>
          <cell r="AD126">
            <v>-78.800000000000011</v>
          </cell>
          <cell r="AE126">
            <v>-51.499999999999993</v>
          </cell>
          <cell r="AF126">
            <v>87.8</v>
          </cell>
          <cell r="AG126">
            <v>23.300000000000004</v>
          </cell>
          <cell r="AH126">
            <v>14.699999999999982</v>
          </cell>
          <cell r="AI126">
            <v>74.299999999999983</v>
          </cell>
          <cell r="AJ126">
            <v>11.099999999999994</v>
          </cell>
          <cell r="AK126">
            <v>11.299999999999997</v>
          </cell>
          <cell r="AL126">
            <v>26.000000000000028</v>
          </cell>
          <cell r="AM126">
            <v>17.299999999999969</v>
          </cell>
          <cell r="AN126">
            <v>65.700000000000017</v>
          </cell>
          <cell r="AO126">
            <v>37.499999999999993</v>
          </cell>
          <cell r="AP126">
            <v>23.000000000000007</v>
          </cell>
          <cell r="AQ126">
            <v>53.099999999999994</v>
          </cell>
          <cell r="AR126">
            <v>55.300000000000011</v>
          </cell>
          <cell r="AS126">
            <v>168.9</v>
          </cell>
          <cell r="AT126">
            <v>47.400000000000006</v>
          </cell>
          <cell r="AU126">
            <v>-2.6000000000000227</v>
          </cell>
          <cell r="AV126">
            <v>43.300000000000011</v>
          </cell>
          <cell r="AW126">
            <v>16</v>
          </cell>
          <cell r="AX126">
            <v>104.1</v>
          </cell>
          <cell r="AY126">
            <v>20.299999999999997</v>
          </cell>
          <cell r="AZ126">
            <v>44.899999999999991</v>
          </cell>
          <cell r="BA126">
            <v>79.500000000000057</v>
          </cell>
          <cell r="BB126">
            <v>70.199999999999946</v>
          </cell>
          <cell r="BC126">
            <v>214.90000000000003</v>
          </cell>
          <cell r="BD126">
            <v>42.499999999999986</v>
          </cell>
          <cell r="BE126">
            <v>49.400000000000006</v>
          </cell>
          <cell r="BF126">
            <v>63.939999999999984</v>
          </cell>
          <cell r="BG126">
            <v>113.26000000000005</v>
          </cell>
          <cell r="BH126">
            <v>269.10000000000002</v>
          </cell>
          <cell r="BI126">
            <v>0</v>
          </cell>
          <cell r="BJ126">
            <v>0</v>
          </cell>
          <cell r="BK126">
            <v>0</v>
          </cell>
          <cell r="BL126">
            <v>0</v>
          </cell>
          <cell r="BM126">
            <v>0</v>
          </cell>
          <cell r="BN126">
            <v>0</v>
          </cell>
          <cell r="BO126">
            <v>0</v>
          </cell>
          <cell r="BP126">
            <v>0</v>
          </cell>
          <cell r="BQ126">
            <v>0</v>
          </cell>
          <cell r="BR126">
            <v>0</v>
          </cell>
          <cell r="BS126">
            <v>0</v>
          </cell>
          <cell r="BT126">
            <v>0</v>
          </cell>
          <cell r="BU126">
            <v>0</v>
          </cell>
          <cell r="BV126">
            <v>0</v>
          </cell>
          <cell r="BW126">
            <v>0</v>
          </cell>
          <cell r="BX126">
            <v>0</v>
          </cell>
          <cell r="BY126">
            <v>0</v>
          </cell>
          <cell r="BZ126">
            <v>0</v>
          </cell>
          <cell r="CA126">
            <v>0</v>
          </cell>
          <cell r="CB126">
            <v>0</v>
          </cell>
        </row>
        <row r="127">
          <cell r="B127" t="str">
            <v>Changes in working capital</v>
          </cell>
        </row>
        <row r="128">
          <cell r="B128" t="str">
            <v>Accounts receivable</v>
          </cell>
          <cell r="J128">
            <v>-41.3</v>
          </cell>
          <cell r="K128">
            <v>0</v>
          </cell>
          <cell r="L128">
            <v>0</v>
          </cell>
          <cell r="M128">
            <v>0</v>
          </cell>
          <cell r="N128">
            <v>0</v>
          </cell>
          <cell r="O128">
            <v>-593.79999999999995</v>
          </cell>
          <cell r="P128">
            <v>30.6</v>
          </cell>
          <cell r="Q128">
            <v>-2.7000000000000028</v>
          </cell>
          <cell r="R128">
            <v>147.50000000000003</v>
          </cell>
          <cell r="S128">
            <v>-8.7000000000000384</v>
          </cell>
          <cell r="T128">
            <v>166.7</v>
          </cell>
          <cell r="U128">
            <v>-269.10000000000002</v>
          </cell>
          <cell r="V128">
            <v>-82</v>
          </cell>
          <cell r="W128">
            <v>153.90000000000003</v>
          </cell>
          <cell r="X128">
            <v>33.100000000000023</v>
          </cell>
          <cell r="Y128">
            <v>-164.09999999999997</v>
          </cell>
          <cell r="Z128">
            <v>101.7</v>
          </cell>
          <cell r="AA128">
            <v>-209.3</v>
          </cell>
          <cell r="AB128">
            <v>112.2</v>
          </cell>
          <cell r="AC128">
            <v>-55.3</v>
          </cell>
          <cell r="AD128">
            <v>-50.7</v>
          </cell>
          <cell r="AE128">
            <v>-423</v>
          </cell>
          <cell r="AF128">
            <v>204.9</v>
          </cell>
          <cell r="AG128">
            <v>-264</v>
          </cell>
          <cell r="AH128">
            <v>360.7</v>
          </cell>
          <cell r="AI128">
            <v>-121.39999999999998</v>
          </cell>
          <cell r="AJ128">
            <v>-79.400000000000006</v>
          </cell>
          <cell r="AK128">
            <v>41.900000000000013</v>
          </cell>
          <cell r="AL128">
            <v>98.5</v>
          </cell>
          <cell r="AM128">
            <v>29.9</v>
          </cell>
          <cell r="AN128">
            <v>90.9</v>
          </cell>
          <cell r="AO128">
            <v>-302</v>
          </cell>
          <cell r="AP128">
            <v>-232.70000000000005</v>
          </cell>
          <cell r="AQ128">
            <v>24</v>
          </cell>
          <cell r="AR128">
            <v>-249</v>
          </cell>
          <cell r="AS128">
            <v>-759.7</v>
          </cell>
          <cell r="AT128">
            <v>-106.5</v>
          </cell>
          <cell r="AU128">
            <v>-248.7</v>
          </cell>
          <cell r="AV128">
            <v>334.2</v>
          </cell>
          <cell r="AW128">
            <v>-401</v>
          </cell>
          <cell r="AX128">
            <v>-422</v>
          </cell>
          <cell r="AY128">
            <v>74.199999999999989</v>
          </cell>
          <cell r="AZ128">
            <v>-10.799999999999983</v>
          </cell>
          <cell r="BA128">
            <v>0.5</v>
          </cell>
          <cell r="BB128">
            <v>-549.50000000000011</v>
          </cell>
          <cell r="BC128">
            <v>-485.60000000000008</v>
          </cell>
          <cell r="BD128">
            <v>177.9</v>
          </cell>
          <cell r="BE128">
            <v>-186.4</v>
          </cell>
          <cell r="BF128">
            <v>90.4</v>
          </cell>
          <cell r="BG128">
            <v>-606.69999999999993</v>
          </cell>
          <cell r="BH128">
            <v>-524.79999999999995</v>
          </cell>
          <cell r="BI128">
            <v>1150.8976295781663</v>
          </cell>
          <cell r="BJ128">
            <v>-8.7630949678114121</v>
          </cell>
          <cell r="BK128">
            <v>64.586448534345891</v>
          </cell>
          <cell r="BL128">
            <v>-237.20382860396921</v>
          </cell>
          <cell r="BM128">
            <v>969.51715454073155</v>
          </cell>
          <cell r="BN128">
            <v>901.14427874806324</v>
          </cell>
          <cell r="BO128">
            <v>-66.229220963802163</v>
          </cell>
          <cell r="BP128">
            <v>-38.942219685473447</v>
          </cell>
          <cell r="BQ128">
            <v>19.162543725683918</v>
          </cell>
          <cell r="BR128">
            <v>815.13538182447155</v>
          </cell>
          <cell r="BS128">
            <v>-9.6052134591100184</v>
          </cell>
          <cell r="BT128">
            <v>-19.490682328367257</v>
          </cell>
          <cell r="BU128">
            <v>23.158239576404412</v>
          </cell>
          <cell r="BV128">
            <v>21.817988778324889</v>
          </cell>
          <cell r="BW128">
            <v>15.880332567252026</v>
          </cell>
          <cell r="BX128">
            <v>-2.1933796946241273</v>
          </cell>
          <cell r="BY128">
            <v>-60.110384310141853</v>
          </cell>
          <cell r="BZ128">
            <v>-38.058584467607034</v>
          </cell>
          <cell r="CA128">
            <v>28.552003483789576</v>
          </cell>
          <cell r="CB128">
            <v>-71.810344988583438</v>
          </cell>
          <cell r="CI128" t="str">
            <v>mstag:netDecreaseInTradeReceivables</v>
          </cell>
          <cell r="CJ128">
            <v>6</v>
          </cell>
          <cell r="CK128" t="str">
            <v>ISO4217:USD</v>
          </cell>
          <cell r="CL128" t="b">
            <v>0</v>
          </cell>
        </row>
        <row r="129">
          <cell r="B129" t="str">
            <v>Inventories</v>
          </cell>
          <cell r="J129">
            <v>-208.1</v>
          </cell>
          <cell r="K129">
            <v>0</v>
          </cell>
          <cell r="L129">
            <v>0</v>
          </cell>
          <cell r="M129">
            <v>0</v>
          </cell>
          <cell r="N129">
            <v>0</v>
          </cell>
          <cell r="O129">
            <v>142.9</v>
          </cell>
          <cell r="P129">
            <v>130.1</v>
          </cell>
          <cell r="Q129">
            <v>6.5999999999999943</v>
          </cell>
          <cell r="R129">
            <v>-187.79999999999998</v>
          </cell>
          <cell r="S129">
            <v>-99.6</v>
          </cell>
          <cell r="T129">
            <v>-150.69999999999999</v>
          </cell>
          <cell r="U129">
            <v>-34.200000000000003</v>
          </cell>
          <cell r="V129">
            <v>175.2</v>
          </cell>
          <cell r="W129">
            <v>-131.69999999999999</v>
          </cell>
          <cell r="X129">
            <v>-111.49999999999999</v>
          </cell>
          <cell r="Y129">
            <v>-102.2</v>
          </cell>
          <cell r="Z129">
            <v>185.6</v>
          </cell>
          <cell r="AA129">
            <v>-189</v>
          </cell>
          <cell r="AB129">
            <v>135.50000000000003</v>
          </cell>
          <cell r="AC129">
            <v>-172.9</v>
          </cell>
          <cell r="AD129">
            <v>-40.799999999999983</v>
          </cell>
          <cell r="AE129">
            <v>139.5</v>
          </cell>
          <cell r="AF129">
            <v>-144.30000000000001</v>
          </cell>
          <cell r="AG129">
            <v>-84.899999999999991</v>
          </cell>
          <cell r="AH129">
            <v>-59.999999999999986</v>
          </cell>
          <cell r="AI129">
            <v>-149.69999999999999</v>
          </cell>
          <cell r="AJ129">
            <v>-28.8</v>
          </cell>
          <cell r="AK129">
            <v>131.30000000000001</v>
          </cell>
          <cell r="AL129">
            <v>-71.40000000000002</v>
          </cell>
          <cell r="AM129">
            <v>-249.2</v>
          </cell>
          <cell r="AN129">
            <v>-218.10000000000002</v>
          </cell>
          <cell r="AO129">
            <v>-21</v>
          </cell>
          <cell r="AP129">
            <v>-119.1</v>
          </cell>
          <cell r="AQ129">
            <v>142.6</v>
          </cell>
          <cell r="AR129">
            <v>90.5</v>
          </cell>
          <cell r="AS129">
            <v>93</v>
          </cell>
          <cell r="AT129">
            <v>180.6</v>
          </cell>
          <cell r="AU129">
            <v>178.70000000000002</v>
          </cell>
          <cell r="AV129">
            <v>155.59999999999994</v>
          </cell>
          <cell r="AW129">
            <v>56.5</v>
          </cell>
          <cell r="AX129">
            <v>571.4</v>
          </cell>
          <cell r="AY129">
            <v>34.299999999999997</v>
          </cell>
          <cell r="AZ129">
            <v>87.5</v>
          </cell>
          <cell r="BA129">
            <v>164.5</v>
          </cell>
          <cell r="BB129">
            <v>-15.300000000000011</v>
          </cell>
          <cell r="BC129">
            <v>271</v>
          </cell>
          <cell r="BD129">
            <v>-94.8</v>
          </cell>
          <cell r="BE129">
            <v>275.89999999999998</v>
          </cell>
          <cell r="BF129">
            <v>44.30000000000004</v>
          </cell>
          <cell r="BG129">
            <v>-78.800000000000011</v>
          </cell>
          <cell r="BH129">
            <v>146.60000000000002</v>
          </cell>
          <cell r="BI129">
            <v>129.47901105239998</v>
          </cell>
          <cell r="BJ129">
            <v>0.50017176492121962</v>
          </cell>
          <cell r="BK129">
            <v>18.012879058793033</v>
          </cell>
          <cell r="BL129">
            <v>-47.046212919490245</v>
          </cell>
          <cell r="BM129">
            <v>100.94584895662399</v>
          </cell>
          <cell r="BN129">
            <v>205.50459774774879</v>
          </cell>
          <cell r="BO129">
            <v>-11.967658936730345</v>
          </cell>
          <cell r="BP129">
            <v>-5.5723764668481408</v>
          </cell>
          <cell r="BQ129">
            <v>4.4685428965000256</v>
          </cell>
          <cell r="BR129">
            <v>192.43310524067033</v>
          </cell>
          <cell r="BS129">
            <v>-4.7662803288743589</v>
          </cell>
          <cell r="BT129">
            <v>-1.5107916892915227</v>
          </cell>
          <cell r="BU129">
            <v>8.3997263865462628</v>
          </cell>
          <cell r="BV129">
            <v>5.0535733751753469</v>
          </cell>
          <cell r="BW129">
            <v>7.176227743555728</v>
          </cell>
          <cell r="BX129">
            <v>-4.0440765064610105</v>
          </cell>
          <cell r="BY129">
            <v>-10.495596597405324</v>
          </cell>
          <cell r="BZ129">
            <v>-4.985604617394074</v>
          </cell>
          <cell r="CA129">
            <v>6.3709879162950074</v>
          </cell>
          <cell r="CB129">
            <v>-13.154289804965401</v>
          </cell>
          <cell r="CI129" t="str">
            <v>mstag:netDecreaseInInventories</v>
          </cell>
          <cell r="CJ129">
            <v>6</v>
          </cell>
          <cell r="CK129" t="str">
            <v>ISO4217:USD</v>
          </cell>
          <cell r="CL129" t="b">
            <v>0</v>
          </cell>
        </row>
        <row r="130">
          <cell r="B130" t="str">
            <v>Other current/noncurrent assets</v>
          </cell>
          <cell r="J130">
            <v>-84.1</v>
          </cell>
          <cell r="K130">
            <v>0</v>
          </cell>
          <cell r="L130">
            <v>0</v>
          </cell>
          <cell r="M130">
            <v>0</v>
          </cell>
          <cell r="N130">
            <v>0</v>
          </cell>
          <cell r="O130">
            <v>0.8</v>
          </cell>
          <cell r="P130">
            <v>0.8</v>
          </cell>
          <cell r="Q130">
            <v>10.399999999999999</v>
          </cell>
          <cell r="R130">
            <v>7.2</v>
          </cell>
          <cell r="S130">
            <v>15.200000000000003</v>
          </cell>
          <cell r="T130">
            <v>33.6</v>
          </cell>
          <cell r="U130">
            <v>-8.5</v>
          </cell>
          <cell r="V130">
            <v>16.5</v>
          </cell>
          <cell r="W130">
            <v>-24.1</v>
          </cell>
          <cell r="X130">
            <v>5.4000000000000021</v>
          </cell>
          <cell r="Y130">
            <v>-10.7</v>
          </cell>
          <cell r="Z130">
            <v>-5</v>
          </cell>
          <cell r="AA130">
            <v>-10.9</v>
          </cell>
          <cell r="AB130">
            <v>35.299999999999997</v>
          </cell>
          <cell r="AC130">
            <v>18.399999999999999</v>
          </cell>
          <cell r="AD130">
            <v>37.799999999999997</v>
          </cell>
          <cell r="AE130">
            <v>-78.7</v>
          </cell>
          <cell r="AF130">
            <v>-18.099999999999994</v>
          </cell>
          <cell r="AG130">
            <v>24.499999999999986</v>
          </cell>
          <cell r="AH130">
            <v>29.700000000000003</v>
          </cell>
          <cell r="AI130">
            <v>-42.600000000000009</v>
          </cell>
          <cell r="AJ130">
            <v>-2.5999999999999996</v>
          </cell>
          <cell r="AK130">
            <v>5.3999999999999995</v>
          </cell>
          <cell r="AL130">
            <v>-29.5</v>
          </cell>
          <cell r="AM130">
            <v>20.799999999999997</v>
          </cell>
          <cell r="AN130">
            <v>-5.900000000000003</v>
          </cell>
          <cell r="AO130">
            <v>-1.8999999999999995</v>
          </cell>
          <cell r="AP130">
            <v>-32.6</v>
          </cell>
          <cell r="AQ130">
            <v>263.09999999999997</v>
          </cell>
          <cell r="AR130">
            <v>-248.49999999999997</v>
          </cell>
          <cell r="AS130">
            <v>-19.900000000000006</v>
          </cell>
          <cell r="AT130">
            <v>255.6</v>
          </cell>
          <cell r="AU130">
            <v>26.000000000000028</v>
          </cell>
          <cell r="AV130">
            <v>11.399999999999892</v>
          </cell>
          <cell r="AW130">
            <v>-5.4999999999998295</v>
          </cell>
          <cell r="AX130">
            <v>287.50000000000011</v>
          </cell>
          <cell r="AY130">
            <v>159.79999999999998</v>
          </cell>
          <cell r="AZ130">
            <v>-180.89999999999998</v>
          </cell>
          <cell r="BA130">
            <v>13.299999999999983</v>
          </cell>
          <cell r="BB130">
            <v>3.900000000000011</v>
          </cell>
          <cell r="BC130">
            <v>-3.9000000000000057</v>
          </cell>
          <cell r="BD130">
            <v>-8.1</v>
          </cell>
          <cell r="BE130">
            <v>-16</v>
          </cell>
          <cell r="BF130">
            <v>-3.6999999999999957</v>
          </cell>
          <cell r="BG130">
            <v>-298.09999999999997</v>
          </cell>
          <cell r="BH130">
            <v>-325.89999999999998</v>
          </cell>
          <cell r="BI130">
            <v>0</v>
          </cell>
          <cell r="BJ130">
            <v>0</v>
          </cell>
          <cell r="BK130">
            <v>0</v>
          </cell>
          <cell r="BL130">
            <v>0</v>
          </cell>
          <cell r="BM130">
            <v>0</v>
          </cell>
          <cell r="BN130">
            <v>0</v>
          </cell>
          <cell r="BO130">
            <v>0</v>
          </cell>
          <cell r="BP130">
            <v>0</v>
          </cell>
          <cell r="BQ130">
            <v>0</v>
          </cell>
          <cell r="BR130">
            <v>0</v>
          </cell>
          <cell r="BS130">
            <v>0</v>
          </cell>
          <cell r="BT130">
            <v>0</v>
          </cell>
          <cell r="BU130">
            <v>0</v>
          </cell>
          <cell r="BV130">
            <v>0</v>
          </cell>
          <cell r="BW130">
            <v>0</v>
          </cell>
          <cell r="BX130">
            <v>0</v>
          </cell>
          <cell r="BY130">
            <v>0</v>
          </cell>
          <cell r="BZ130">
            <v>0</v>
          </cell>
          <cell r="CA130">
            <v>0</v>
          </cell>
          <cell r="CB130">
            <v>0</v>
          </cell>
          <cell r="CI130" t="str">
            <v>mstag:netDecreaseInOtherAssets</v>
          </cell>
          <cell r="CJ130">
            <v>6</v>
          </cell>
          <cell r="CK130" t="str">
            <v>ISO4217:USD</v>
          </cell>
          <cell r="CL130" t="b">
            <v>0</v>
          </cell>
        </row>
        <row r="131">
          <cell r="B131" t="str">
            <v>Current liabilities</v>
          </cell>
          <cell r="J131">
            <v>404.2</v>
          </cell>
          <cell r="K131">
            <v>0</v>
          </cell>
          <cell r="L131">
            <v>0</v>
          </cell>
          <cell r="M131">
            <v>0</v>
          </cell>
          <cell r="N131">
            <v>0</v>
          </cell>
          <cell r="O131">
            <v>208</v>
          </cell>
          <cell r="P131">
            <v>209.8</v>
          </cell>
          <cell r="Q131">
            <v>-222.4</v>
          </cell>
          <cell r="R131">
            <v>506.49999999999994</v>
          </cell>
          <cell r="S131">
            <v>-18.099999999999937</v>
          </cell>
          <cell r="T131">
            <v>475.8</v>
          </cell>
          <cell r="U131">
            <v>189.8</v>
          </cell>
          <cell r="V131">
            <v>-355.4</v>
          </cell>
          <cell r="W131">
            <v>120.89999999999998</v>
          </cell>
          <cell r="X131">
            <v>33.799999999999983</v>
          </cell>
          <cell r="Y131">
            <v>-10.900000000000006</v>
          </cell>
          <cell r="Z131">
            <v>31.5</v>
          </cell>
          <cell r="AA131">
            <v>-97.9</v>
          </cell>
          <cell r="AB131">
            <v>109.4</v>
          </cell>
          <cell r="AC131">
            <v>-230.4</v>
          </cell>
          <cell r="AD131">
            <v>-187.4</v>
          </cell>
          <cell r="AE131">
            <v>225.7</v>
          </cell>
          <cell r="AF131">
            <v>-113.80000000000001</v>
          </cell>
          <cell r="AG131">
            <v>135.90000000000003</v>
          </cell>
          <cell r="AH131">
            <v>0.5</v>
          </cell>
          <cell r="AI131">
            <v>248.3</v>
          </cell>
          <cell r="AJ131">
            <v>-285</v>
          </cell>
          <cell r="AK131">
            <v>308.89999999999998</v>
          </cell>
          <cell r="AL131">
            <v>-15.799999999999955</v>
          </cell>
          <cell r="AM131">
            <v>30.399999999999977</v>
          </cell>
          <cell r="AN131">
            <v>38.5</v>
          </cell>
          <cell r="AO131">
            <v>48.8</v>
          </cell>
          <cell r="AP131">
            <v>-111.4</v>
          </cell>
          <cell r="AQ131">
            <v>-33.299999999999969</v>
          </cell>
          <cell r="AR131">
            <v>82.199999999999974</v>
          </cell>
          <cell r="AS131">
            <v>-13.700000000000003</v>
          </cell>
          <cell r="AT131">
            <v>58.3</v>
          </cell>
          <cell r="AU131">
            <v>-120.19999999999999</v>
          </cell>
          <cell r="AV131">
            <v>-48.600000000000009</v>
          </cell>
          <cell r="AW131">
            <v>737.7</v>
          </cell>
          <cell r="AX131">
            <v>627.20000000000005</v>
          </cell>
          <cell r="AY131">
            <v>-666.2</v>
          </cell>
          <cell r="AZ131">
            <v>668.90000000000009</v>
          </cell>
          <cell r="BA131">
            <v>-466.29999999999995</v>
          </cell>
          <cell r="BB131">
            <v>791</v>
          </cell>
          <cell r="BC131">
            <v>327.40000000000009</v>
          </cell>
          <cell r="BD131">
            <v>-458.40000000000003</v>
          </cell>
          <cell r="BE131">
            <v>-65.89999999999992</v>
          </cell>
          <cell r="BF131">
            <v>-260.80000000000007</v>
          </cell>
          <cell r="BG131">
            <v>533.90000000000009</v>
          </cell>
          <cell r="BH131">
            <v>-251.19999999999993</v>
          </cell>
          <cell r="BI131">
            <v>-575.86461561559554</v>
          </cell>
          <cell r="BJ131">
            <v>-1.8225436913562589</v>
          </cell>
          <cell r="BK131">
            <v>-65.635970269026075</v>
          </cell>
          <cell r="BL131">
            <v>171.42866625458009</v>
          </cell>
          <cell r="BM131">
            <v>-471.89446332139778</v>
          </cell>
          <cell r="BN131">
            <v>-570.61003874516973</v>
          </cell>
          <cell r="BO131">
            <v>47.214873613402233</v>
          </cell>
          <cell r="BP131">
            <v>21.984170170579091</v>
          </cell>
          <cell r="BQ131">
            <v>-17.62931992043832</v>
          </cell>
          <cell r="BR131">
            <v>-519.04031488162673</v>
          </cell>
          <cell r="BS131">
            <v>18.803955270079314</v>
          </cell>
          <cell r="BT131">
            <v>5.9603836509040775</v>
          </cell>
          <cell r="BU131">
            <v>-33.138646566100761</v>
          </cell>
          <cell r="BV131">
            <v>-19.937385370554694</v>
          </cell>
          <cell r="BW131">
            <v>-28.311693015672063</v>
          </cell>
          <cell r="BX131">
            <v>15.954712792613464</v>
          </cell>
          <cell r="BY131">
            <v>41.407285206201777</v>
          </cell>
          <cell r="BZ131">
            <v>19.669234654924367</v>
          </cell>
          <cell r="CA131">
            <v>-25.134856436890004</v>
          </cell>
          <cell r="CB131">
            <v>51.896376216849603</v>
          </cell>
          <cell r="CI131" t="str">
            <v>mstag:netIncreaseInOtherLiabilitiesOperating</v>
          </cell>
          <cell r="CJ131">
            <v>6</v>
          </cell>
          <cell r="CK131" t="str">
            <v>ISO4217:USD</v>
          </cell>
          <cell r="CL131" t="b">
            <v>0</v>
          </cell>
        </row>
        <row r="132">
          <cell r="B132" t="str">
            <v>Other noncurrent liabilities</v>
          </cell>
          <cell r="J132">
            <v>13.4</v>
          </cell>
          <cell r="K132">
            <v>0</v>
          </cell>
          <cell r="L132">
            <v>0</v>
          </cell>
          <cell r="M132">
            <v>0</v>
          </cell>
          <cell r="N132">
            <v>0</v>
          </cell>
          <cell r="O132">
            <v>20.100000000000001</v>
          </cell>
          <cell r="P132">
            <v>4.7</v>
          </cell>
          <cell r="Q132">
            <v>8.6000000000000014</v>
          </cell>
          <cell r="R132">
            <v>5.1999999999999984</v>
          </cell>
          <cell r="S132">
            <v>1.3999999999999977</v>
          </cell>
          <cell r="T132">
            <v>19.899999999999999</v>
          </cell>
          <cell r="U132">
            <v>1.1000000000000001</v>
          </cell>
          <cell r="V132">
            <v>0.7</v>
          </cell>
          <cell r="W132">
            <v>0.30000000000000004</v>
          </cell>
          <cell r="X132">
            <v>-5.2000000000000011</v>
          </cell>
          <cell r="Y132">
            <v>-3.100000000000001</v>
          </cell>
          <cell r="Z132">
            <v>0.5</v>
          </cell>
          <cell r="AA132">
            <v>-0.5</v>
          </cell>
          <cell r="AB132">
            <v>0</v>
          </cell>
          <cell r="AC132">
            <v>0</v>
          </cell>
          <cell r="AD132">
            <v>0</v>
          </cell>
          <cell r="AE132">
            <v>7.9</v>
          </cell>
          <cell r="AF132">
            <v>-7.9</v>
          </cell>
          <cell r="AG132">
            <v>0</v>
          </cell>
          <cell r="AH132">
            <v>209.8</v>
          </cell>
          <cell r="AI132">
            <v>209.8</v>
          </cell>
          <cell r="AJ132">
            <v>114.3</v>
          </cell>
          <cell r="AK132">
            <v>-236.10000000000002</v>
          </cell>
          <cell r="AL132">
            <v>-176.49999999999994</v>
          </cell>
          <cell r="AM132">
            <v>385.19999999999993</v>
          </cell>
          <cell r="AN132">
            <v>86.899999999999963</v>
          </cell>
          <cell r="AO132">
            <v>24.300000000000011</v>
          </cell>
          <cell r="AP132">
            <v>135.29999999999998</v>
          </cell>
          <cell r="AQ132">
            <v>-258</v>
          </cell>
          <cell r="AR132">
            <v>719.19999999999993</v>
          </cell>
          <cell r="AS132">
            <v>620.79999999999995</v>
          </cell>
          <cell r="AT132">
            <v>324.8</v>
          </cell>
          <cell r="AU132">
            <v>829.7</v>
          </cell>
          <cell r="AV132">
            <v>-680</v>
          </cell>
          <cell r="AW132">
            <v>93.799999999999955</v>
          </cell>
          <cell r="AX132">
            <v>568.29999999999995</v>
          </cell>
          <cell r="AY132">
            <v>242.5</v>
          </cell>
          <cell r="AZ132">
            <v>-391.5</v>
          </cell>
          <cell r="BA132">
            <v>93.800000000000011</v>
          </cell>
          <cell r="BB132">
            <v>171.79999999999998</v>
          </cell>
          <cell r="BC132">
            <v>116.60000000000002</v>
          </cell>
          <cell r="BD132">
            <v>-22.4</v>
          </cell>
          <cell r="BE132">
            <v>22.4</v>
          </cell>
          <cell r="BF132">
            <v>30.1</v>
          </cell>
          <cell r="BG132">
            <v>-22.200000000000003</v>
          </cell>
          <cell r="BH132">
            <v>7.8999999999999986</v>
          </cell>
          <cell r="BI132">
            <v>0</v>
          </cell>
          <cell r="BJ132">
            <v>0</v>
          </cell>
          <cell r="BK132">
            <v>0</v>
          </cell>
          <cell r="BL132">
            <v>0</v>
          </cell>
          <cell r="BM132">
            <v>0</v>
          </cell>
          <cell r="BN132">
            <v>0</v>
          </cell>
          <cell r="BO132">
            <v>0</v>
          </cell>
          <cell r="BP132">
            <v>0</v>
          </cell>
          <cell r="BQ132">
            <v>0</v>
          </cell>
          <cell r="BR132">
            <v>0</v>
          </cell>
          <cell r="BS132">
            <v>0</v>
          </cell>
          <cell r="BT132">
            <v>0</v>
          </cell>
          <cell r="BU132">
            <v>0</v>
          </cell>
          <cell r="BV132">
            <v>0</v>
          </cell>
          <cell r="BW132">
            <v>0</v>
          </cell>
          <cell r="BX132">
            <v>0</v>
          </cell>
          <cell r="BY132">
            <v>0</v>
          </cell>
          <cell r="BZ132">
            <v>0</v>
          </cell>
          <cell r="CA132">
            <v>0</v>
          </cell>
          <cell r="CB132">
            <v>0</v>
          </cell>
          <cell r="CI132" t="str">
            <v>mstag:netIncreaseInOtherLiabilitiesOperating</v>
          </cell>
          <cell r="CJ132">
            <v>6</v>
          </cell>
          <cell r="CK132" t="str">
            <v>ISO4217:USD</v>
          </cell>
          <cell r="CL132" t="b">
            <v>0</v>
          </cell>
        </row>
        <row r="133">
          <cell r="B133" t="str">
            <v>Other</v>
          </cell>
          <cell r="J133">
            <v>-16.3</v>
          </cell>
          <cell r="K133">
            <v>0</v>
          </cell>
          <cell r="L133">
            <v>0</v>
          </cell>
          <cell r="M133">
            <v>0</v>
          </cell>
          <cell r="N133">
            <v>0</v>
          </cell>
          <cell r="O133">
            <v>10.8</v>
          </cell>
          <cell r="P133">
            <v>-1.3</v>
          </cell>
          <cell r="Q133">
            <v>1.1000000000000001</v>
          </cell>
          <cell r="R133">
            <v>-2.0999999999999996</v>
          </cell>
          <cell r="S133">
            <v>-23.500000000000004</v>
          </cell>
          <cell r="T133">
            <v>-25.8</v>
          </cell>
          <cell r="U133">
            <v>18.8</v>
          </cell>
          <cell r="V133">
            <v>8.0999999999999979</v>
          </cell>
          <cell r="W133">
            <v>-11.599999999999998</v>
          </cell>
          <cell r="X133">
            <v>13.7</v>
          </cell>
          <cell r="Y133">
            <v>29</v>
          </cell>
          <cell r="Z133">
            <v>0</v>
          </cell>
          <cell r="AA133">
            <v>23</v>
          </cell>
          <cell r="AB133">
            <v>-23</v>
          </cell>
          <cell r="AC133">
            <v>404.2</v>
          </cell>
          <cell r="AD133">
            <v>404.2</v>
          </cell>
          <cell r="AE133">
            <v>0</v>
          </cell>
          <cell r="AF133">
            <v>0</v>
          </cell>
          <cell r="AG133">
            <v>0</v>
          </cell>
          <cell r="AH133">
            <v>0</v>
          </cell>
          <cell r="AI133">
            <v>0</v>
          </cell>
          <cell r="AJ133">
            <v>0</v>
          </cell>
          <cell r="AK133">
            <v>0</v>
          </cell>
          <cell r="AL133">
            <v>0</v>
          </cell>
          <cell r="AM133">
            <v>0</v>
          </cell>
          <cell r="AN133">
            <v>0</v>
          </cell>
          <cell r="AO133">
            <v>0</v>
          </cell>
          <cell r="AP133">
            <v>0</v>
          </cell>
          <cell r="AQ133">
            <v>0</v>
          </cell>
          <cell r="AR133">
            <v>0</v>
          </cell>
          <cell r="AS133">
            <v>0</v>
          </cell>
          <cell r="AT133">
            <v>0</v>
          </cell>
          <cell r="AU133">
            <v>0</v>
          </cell>
          <cell r="AV133">
            <v>0</v>
          </cell>
          <cell r="AW133">
            <v>0</v>
          </cell>
          <cell r="AX133">
            <v>0</v>
          </cell>
          <cell r="AY133">
            <v>0</v>
          </cell>
          <cell r="AZ133">
            <v>0</v>
          </cell>
          <cell r="BA133">
            <v>0</v>
          </cell>
          <cell r="BB133">
            <v>0</v>
          </cell>
          <cell r="BC133">
            <v>0</v>
          </cell>
          <cell r="BD133">
            <v>0</v>
          </cell>
          <cell r="BE133">
            <v>0</v>
          </cell>
          <cell r="BF133">
            <v>0</v>
          </cell>
          <cell r="BG133">
            <v>0</v>
          </cell>
          <cell r="BH133">
            <v>0</v>
          </cell>
          <cell r="BI133">
            <v>0</v>
          </cell>
          <cell r="BJ133">
            <v>0</v>
          </cell>
          <cell r="BK133">
            <v>0</v>
          </cell>
          <cell r="BL133">
            <v>0</v>
          </cell>
          <cell r="BM133">
            <v>0</v>
          </cell>
          <cell r="BN133">
            <v>0</v>
          </cell>
          <cell r="BO133">
            <v>0</v>
          </cell>
          <cell r="BP133">
            <v>0</v>
          </cell>
          <cell r="BQ133">
            <v>0</v>
          </cell>
          <cell r="BR133">
            <v>0</v>
          </cell>
          <cell r="BS133">
            <v>0</v>
          </cell>
          <cell r="BT133">
            <v>0</v>
          </cell>
          <cell r="BU133">
            <v>0</v>
          </cell>
          <cell r="BV133">
            <v>0</v>
          </cell>
          <cell r="BW133">
            <v>0</v>
          </cell>
          <cell r="BX133">
            <v>0</v>
          </cell>
          <cell r="BY133">
            <v>0</v>
          </cell>
          <cell r="BZ133">
            <v>0</v>
          </cell>
          <cell r="CA133">
            <v>0</v>
          </cell>
          <cell r="CB133">
            <v>0</v>
          </cell>
          <cell r="CI133" t="str">
            <v>mstag:netIncreaseInOtherLiabilitiesOperating</v>
          </cell>
          <cell r="CJ133">
            <v>6</v>
          </cell>
          <cell r="CK133" t="str">
            <v>ISO4217:USD</v>
          </cell>
          <cell r="CL133" t="b">
            <v>0</v>
          </cell>
        </row>
        <row r="134">
          <cell r="B134" t="str">
            <v>Total changes in working capital</v>
          </cell>
          <cell r="J134">
            <v>67.8</v>
          </cell>
          <cell r="K134">
            <v>0</v>
          </cell>
          <cell r="L134">
            <v>0</v>
          </cell>
          <cell r="M134">
            <v>0</v>
          </cell>
          <cell r="N134">
            <v>0</v>
          </cell>
          <cell r="O134">
            <v>-211.19999999999996</v>
          </cell>
          <cell r="P134">
            <v>374.7</v>
          </cell>
          <cell r="Q134">
            <v>-198.40000000000003</v>
          </cell>
          <cell r="R134">
            <v>476.49999999999994</v>
          </cell>
          <cell r="S134">
            <v>-133.29999999999998</v>
          </cell>
          <cell r="T134">
            <v>519.5</v>
          </cell>
          <cell r="U134">
            <v>-102.10000000000001</v>
          </cell>
          <cell r="V134">
            <v>-236.9</v>
          </cell>
          <cell r="W134">
            <v>107.70000000000003</v>
          </cell>
          <cell r="X134">
            <v>-30.699999999999978</v>
          </cell>
          <cell r="Y134">
            <v>-261.99999999999994</v>
          </cell>
          <cell r="Z134">
            <v>314.3</v>
          </cell>
          <cell r="AA134">
            <v>-484.6</v>
          </cell>
          <cell r="AB134">
            <v>369.40000000000009</v>
          </cell>
          <cell r="AC134">
            <v>-36</v>
          </cell>
          <cell r="AD134">
            <v>163.10000000000008</v>
          </cell>
          <cell r="AE134">
            <v>-128.6</v>
          </cell>
          <cell r="AF134">
            <v>-79.200000000000017</v>
          </cell>
          <cell r="AG134">
            <v>-188.49999999999994</v>
          </cell>
          <cell r="AH134">
            <v>540.70000000000005</v>
          </cell>
          <cell r="AI134">
            <v>144.40000000000012</v>
          </cell>
          <cell r="AJ134">
            <v>-281.5</v>
          </cell>
          <cell r="AK134">
            <v>251.39999999999998</v>
          </cell>
          <cell r="AL134">
            <v>-194.69999999999993</v>
          </cell>
          <cell r="AM134">
            <v>217.09999999999991</v>
          </cell>
          <cell r="AN134">
            <v>-7.7000000000000455</v>
          </cell>
          <cell r="AO134">
            <v>-251.79999999999995</v>
          </cell>
          <cell r="AP134">
            <v>-360.50000000000011</v>
          </cell>
          <cell r="AQ134">
            <v>138.39999999999998</v>
          </cell>
          <cell r="AR134">
            <v>394.39999999999992</v>
          </cell>
          <cell r="AS134">
            <v>-79.500000000000114</v>
          </cell>
          <cell r="AT134">
            <v>712.8</v>
          </cell>
          <cell r="AU134">
            <v>665.50000000000011</v>
          </cell>
          <cell r="AV134">
            <v>-227.4000000000002</v>
          </cell>
          <cell r="AW134">
            <v>481.50000000000017</v>
          </cell>
          <cell r="AX134">
            <v>1632.4</v>
          </cell>
          <cell r="AY134">
            <v>-155.40000000000009</v>
          </cell>
          <cell r="AZ134">
            <v>173.20000000000016</v>
          </cell>
          <cell r="BA134">
            <v>-194.2</v>
          </cell>
          <cell r="BB134">
            <v>401.89999999999975</v>
          </cell>
          <cell r="BC134">
            <v>225.49999999999983</v>
          </cell>
          <cell r="BD134">
            <v>-405.8</v>
          </cell>
          <cell r="BE134">
            <v>30.00000000000005</v>
          </cell>
          <cell r="BF134">
            <v>-99.700000000000017</v>
          </cell>
          <cell r="BG134">
            <v>-471.89999999999981</v>
          </cell>
          <cell r="BH134">
            <v>-947.39999999999986</v>
          </cell>
          <cell r="BI134">
            <v>704.51202501497073</v>
          </cell>
          <cell r="BJ134">
            <v>-10.085466894246451</v>
          </cell>
          <cell r="BK134">
            <v>16.963357324112849</v>
          </cell>
          <cell r="BL134">
            <v>-112.82137526887936</v>
          </cell>
          <cell r="BM134">
            <v>598.56854017595776</v>
          </cell>
          <cell r="BN134">
            <v>536.03883775064241</v>
          </cell>
          <cell r="BO134">
            <v>-30.982006287130275</v>
          </cell>
          <cell r="BP134">
            <v>-22.530425981742496</v>
          </cell>
          <cell r="BQ134">
            <v>6.0017667017456233</v>
          </cell>
          <cell r="BR134">
            <v>488.52817218351527</v>
          </cell>
          <cell r="BS134">
            <v>4.4324614820949364</v>
          </cell>
          <cell r="BT134">
            <v>-15.041090366754702</v>
          </cell>
          <cell r="BU134">
            <v>-1.5806806031500855</v>
          </cell>
          <cell r="BV134">
            <v>6.9341767829455421</v>
          </cell>
          <cell r="BW134">
            <v>-5.2551327048643088</v>
          </cell>
          <cell r="BX134">
            <v>9.7172565915283258</v>
          </cell>
          <cell r="BY134">
            <v>-29.1986957013454</v>
          </cell>
          <cell r="BZ134">
            <v>-23.374954430076741</v>
          </cell>
          <cell r="CA134">
            <v>9.7881349631945795</v>
          </cell>
          <cell r="CB134">
            <v>-33.068258576699236</v>
          </cell>
        </row>
        <row r="135">
          <cell r="B135" t="str">
            <v>Cash from operations</v>
          </cell>
          <cell r="F135">
            <v>0</v>
          </cell>
          <cell r="G135">
            <v>0</v>
          </cell>
          <cell r="H135">
            <v>0</v>
          </cell>
          <cell r="I135">
            <v>0</v>
          </cell>
          <cell r="J135">
            <v>658.80000000000496</v>
          </cell>
          <cell r="K135">
            <v>59.600000000000186</v>
          </cell>
          <cell r="L135">
            <v>104.59999999999891</v>
          </cell>
          <cell r="M135">
            <v>153.40000000000038</v>
          </cell>
          <cell r="N135">
            <v>107.20000000000037</v>
          </cell>
          <cell r="O135">
            <v>470.29999999999939</v>
          </cell>
          <cell r="P135">
            <v>516.69999999999993</v>
          </cell>
          <cell r="Q135">
            <v>4.4999999999996589</v>
          </cell>
          <cell r="R135">
            <v>661.50000000000011</v>
          </cell>
          <cell r="S135">
            <v>-58.799999999998477</v>
          </cell>
          <cell r="T135">
            <v>1123.9000000000012</v>
          </cell>
          <cell r="U135">
            <v>120.49999999999888</v>
          </cell>
          <cell r="V135">
            <v>-51.199999999999307</v>
          </cell>
          <cell r="W135">
            <v>440.59999999999707</v>
          </cell>
          <cell r="X135">
            <v>201.39999999999969</v>
          </cell>
          <cell r="Y135">
            <v>711.29999999999632</v>
          </cell>
          <cell r="Z135">
            <v>516.80000000000007</v>
          </cell>
          <cell r="AA135">
            <v>-239.49999999999889</v>
          </cell>
          <cell r="AB135">
            <v>624.20000000000232</v>
          </cell>
          <cell r="AC135">
            <v>142.49999999999963</v>
          </cell>
          <cell r="AD135">
            <v>1044.0000000000032</v>
          </cell>
          <cell r="AE135">
            <v>-31.099999999999227</v>
          </cell>
          <cell r="AF135">
            <v>275.49999999999989</v>
          </cell>
          <cell r="AG135">
            <v>117.49999999999824</v>
          </cell>
          <cell r="AH135">
            <v>879.20000000000073</v>
          </cell>
          <cell r="AI135">
            <v>1241.0999999999997</v>
          </cell>
          <cell r="AJ135">
            <v>100.49999999999898</v>
          </cell>
          <cell r="AK135">
            <v>576.20000000000027</v>
          </cell>
          <cell r="AL135">
            <v>139.70000000000124</v>
          </cell>
          <cell r="AM135">
            <v>550.59999999999877</v>
          </cell>
          <cell r="AN135">
            <v>1366.9999999999991</v>
          </cell>
          <cell r="AO135">
            <v>165.5000000000008</v>
          </cell>
          <cell r="AP135">
            <v>34.699999999999875</v>
          </cell>
          <cell r="AQ135">
            <v>596.99999999999739</v>
          </cell>
          <cell r="AR135">
            <v>837.99999999999852</v>
          </cell>
          <cell r="AS135">
            <v>1635.1999999999971</v>
          </cell>
          <cell r="AT135">
            <v>1170.3000000000004</v>
          </cell>
          <cell r="AU135">
            <v>1095.1999999999994</v>
          </cell>
          <cell r="AV135">
            <v>278.19999999999976</v>
          </cell>
          <cell r="AW135">
            <v>957.70000000000061</v>
          </cell>
          <cell r="AX135">
            <v>3501.4000000000005</v>
          </cell>
          <cell r="AY135">
            <v>300.29999999999882</v>
          </cell>
          <cell r="AZ135">
            <v>690.5000000000008</v>
          </cell>
          <cell r="BA135">
            <v>374.50000000000006</v>
          </cell>
          <cell r="BB135">
            <v>979.40000000000043</v>
          </cell>
          <cell r="BC135">
            <v>2344.7000000000003</v>
          </cell>
          <cell r="BD135">
            <v>93.999999999999147</v>
          </cell>
          <cell r="BE135">
            <v>546.39999999999964</v>
          </cell>
          <cell r="BF135">
            <v>445.74000000000024</v>
          </cell>
          <cell r="BG135">
            <v>196.26000000000096</v>
          </cell>
          <cell r="BH135">
            <v>1282.4000000000003</v>
          </cell>
          <cell r="BI135">
            <v>1157.3670989389473</v>
          </cell>
          <cell r="BJ135">
            <v>473.35925470067571</v>
          </cell>
          <cell r="BK135">
            <v>538.52456799380298</v>
          </cell>
          <cell r="BL135">
            <v>435.61314949788493</v>
          </cell>
          <cell r="BM135">
            <v>2604.8640711313105</v>
          </cell>
          <cell r="BN135">
            <v>1020.1504245424085</v>
          </cell>
          <cell r="BO135">
            <v>458.94786201269517</v>
          </cell>
          <cell r="BP135">
            <v>498.53992268215779</v>
          </cell>
          <cell r="BQ135">
            <v>522.18326185048591</v>
          </cell>
          <cell r="BR135">
            <v>2499.8214710877473</v>
          </cell>
          <cell r="BS135">
            <v>515.0573246735396</v>
          </cell>
          <cell r="BT135">
            <v>503.54510278474083</v>
          </cell>
          <cell r="BU135">
            <v>554.09199038999998</v>
          </cell>
          <cell r="BV135">
            <v>558.22864712931687</v>
          </cell>
          <cell r="BW135">
            <v>2130.9230649775973</v>
          </cell>
          <cell r="BX135">
            <v>545.63260215670937</v>
          </cell>
          <cell r="BY135">
            <v>512.71950696445094</v>
          </cell>
          <cell r="BZ135">
            <v>554.81206767848221</v>
          </cell>
          <cell r="CA135">
            <v>582.46926753963612</v>
          </cell>
          <cell r="CB135">
            <v>2195.6334443392789</v>
          </cell>
        </row>
        <row r="137">
          <cell r="B137" t="str">
            <v>Capital expenditures</v>
          </cell>
          <cell r="J137">
            <v>-322</v>
          </cell>
          <cell r="O137">
            <v>-235.2</v>
          </cell>
          <cell r="P137">
            <v>-34.299999999999997</v>
          </cell>
          <cell r="Q137">
            <v>-32.400000000000006</v>
          </cell>
          <cell r="R137">
            <v>-33</v>
          </cell>
          <cell r="S137">
            <v>-25.200000000000003</v>
          </cell>
          <cell r="T137">
            <v>-124.9</v>
          </cell>
          <cell r="U137">
            <v>-22.7</v>
          </cell>
          <cell r="V137">
            <v>-20.400000000000002</v>
          </cell>
          <cell r="W137">
            <v>-21.899999999999995</v>
          </cell>
          <cell r="X137">
            <v>-33.099999999999994</v>
          </cell>
          <cell r="Y137">
            <v>-98.1</v>
          </cell>
          <cell r="Z137">
            <v>-23.7</v>
          </cell>
          <cell r="AA137">
            <v>-28.000000000000004</v>
          </cell>
          <cell r="AB137">
            <v>-25.700000000000006</v>
          </cell>
          <cell r="AC137">
            <v>-54.699999999999989</v>
          </cell>
          <cell r="AD137">
            <v>-132.1</v>
          </cell>
          <cell r="AE137">
            <v>-27.7</v>
          </cell>
          <cell r="AF137">
            <v>-28.599999999999998</v>
          </cell>
          <cell r="AG137">
            <v>-31.500000000000004</v>
          </cell>
          <cell r="AH137">
            <v>-63.2</v>
          </cell>
          <cell r="AI137">
            <v>-151</v>
          </cell>
          <cell r="AJ137">
            <v>-25</v>
          </cell>
          <cell r="AK137">
            <v>-34.4</v>
          </cell>
          <cell r="AL137">
            <v>-34.1</v>
          </cell>
          <cell r="AM137">
            <v>-84.199999999999989</v>
          </cell>
          <cell r="AN137">
            <v>-177.7</v>
          </cell>
          <cell r="AO137">
            <v>-39.1</v>
          </cell>
          <cell r="AP137">
            <v>-48.499999999999993</v>
          </cell>
          <cell r="AQ137">
            <v>-68.900000000000006</v>
          </cell>
          <cell r="AR137">
            <v>-130.39999999999998</v>
          </cell>
          <cell r="AS137">
            <v>-286.89999999999998</v>
          </cell>
          <cell r="AT137">
            <v>-35.4</v>
          </cell>
          <cell r="AU137">
            <v>-62.699999999999996</v>
          </cell>
          <cell r="AV137">
            <v>-56.200000000000024</v>
          </cell>
          <cell r="AW137">
            <v>-84.5</v>
          </cell>
          <cell r="AX137">
            <v>-238.8</v>
          </cell>
          <cell r="AY137">
            <v>-42.6</v>
          </cell>
          <cell r="AZ137">
            <v>-57.800000000000004</v>
          </cell>
          <cell r="BA137">
            <v>-63.699999999999982</v>
          </cell>
          <cell r="BB137">
            <v>-86</v>
          </cell>
          <cell r="BC137">
            <v>-250.1</v>
          </cell>
          <cell r="BD137">
            <v>-44.5</v>
          </cell>
          <cell r="BE137">
            <v>-66.599999999999994</v>
          </cell>
          <cell r="BF137">
            <v>-79.200000000000017</v>
          </cell>
          <cell r="BG137">
            <v>-134.30000000000001</v>
          </cell>
          <cell r="BH137">
            <v>-324.60000000000002</v>
          </cell>
          <cell r="BI137">
            <v>-43.75</v>
          </cell>
          <cell r="BJ137">
            <v>-43.75</v>
          </cell>
          <cell r="BK137">
            <v>-43.75</v>
          </cell>
          <cell r="BL137">
            <v>-43.75</v>
          </cell>
          <cell r="BM137">
            <v>-175</v>
          </cell>
          <cell r="BN137">
            <v>-50</v>
          </cell>
          <cell r="BO137">
            <v>-50</v>
          </cell>
          <cell r="BP137">
            <v>-50</v>
          </cell>
          <cell r="BQ137">
            <v>-50</v>
          </cell>
          <cell r="BR137">
            <v>-200</v>
          </cell>
          <cell r="BS137">
            <v>-50</v>
          </cell>
          <cell r="BT137">
            <v>-50</v>
          </cell>
          <cell r="BU137">
            <v>-50</v>
          </cell>
          <cell r="BV137">
            <v>-50</v>
          </cell>
          <cell r="BW137">
            <v>-200</v>
          </cell>
          <cell r="BX137">
            <v>-50</v>
          </cell>
          <cell r="BY137">
            <v>-50</v>
          </cell>
          <cell r="BZ137">
            <v>-50</v>
          </cell>
          <cell r="CA137">
            <v>-50</v>
          </cell>
          <cell r="CB137">
            <v>-200</v>
          </cell>
          <cell r="CI137" t="str">
            <v>mstag:capitalExpenditures</v>
          </cell>
          <cell r="CJ137">
            <v>6</v>
          </cell>
          <cell r="CK137" t="str">
            <v>ISO4217:USD</v>
          </cell>
          <cell r="CL137" t="b">
            <v>1</v>
          </cell>
        </row>
        <row r="138">
          <cell r="B138" t="str">
            <v>Purchase/Sale of securities and other investments</v>
          </cell>
          <cell r="J138">
            <v>-7.9000000000000057</v>
          </cell>
          <cell r="K138">
            <v>0</v>
          </cell>
          <cell r="L138">
            <v>0</v>
          </cell>
          <cell r="M138">
            <v>0</v>
          </cell>
          <cell r="N138">
            <v>0</v>
          </cell>
          <cell r="O138">
            <v>-5.2000000000000028</v>
          </cell>
          <cell r="P138">
            <v>-2.2999999999999989</v>
          </cell>
          <cell r="Q138">
            <v>-3.4000000000000039</v>
          </cell>
          <cell r="R138">
            <v>-1.5000000000000142</v>
          </cell>
          <cell r="S138">
            <v>13</v>
          </cell>
          <cell r="T138">
            <v>5.7999999999999829</v>
          </cell>
          <cell r="U138">
            <v>-0.89999999999999991</v>
          </cell>
          <cell r="V138">
            <v>-1.4000000000000008</v>
          </cell>
          <cell r="W138">
            <v>-1.3000000000000007</v>
          </cell>
          <cell r="X138">
            <v>-0.19999999999999574</v>
          </cell>
          <cell r="Y138">
            <v>-3.7999999999999972</v>
          </cell>
          <cell r="Z138">
            <v>-0.6</v>
          </cell>
          <cell r="AA138">
            <v>1.4000000000000044</v>
          </cell>
          <cell r="AB138">
            <v>-0.80000000000000437</v>
          </cell>
          <cell r="AC138">
            <v>7.7000000000000028</v>
          </cell>
          <cell r="AD138">
            <v>7.7000000000000028</v>
          </cell>
          <cell r="AE138">
            <v>-9.9999999999999645E-2</v>
          </cell>
          <cell r="AF138">
            <v>-1.9000000000000004</v>
          </cell>
          <cell r="AG138">
            <v>-0.80000000000001137</v>
          </cell>
          <cell r="AH138">
            <v>-1.6999999999999886</v>
          </cell>
          <cell r="AI138">
            <v>-4.5</v>
          </cell>
          <cell r="AJ138">
            <v>-3.3000000000000003</v>
          </cell>
          <cell r="AK138">
            <v>8.5000000000000036</v>
          </cell>
          <cell r="AL138">
            <v>-9.7999999999999972</v>
          </cell>
          <cell r="AM138">
            <v>-0.90000000000000568</v>
          </cell>
          <cell r="AN138">
            <v>-5.5</v>
          </cell>
          <cell r="AO138">
            <v>-6.5</v>
          </cell>
          <cell r="AP138">
            <v>-0.5</v>
          </cell>
          <cell r="AQ138">
            <v>3</v>
          </cell>
          <cell r="AR138">
            <v>1.2000000000000028</v>
          </cell>
          <cell r="AS138">
            <v>-2.7999999999999972</v>
          </cell>
          <cell r="AT138">
            <v>-61.499999999999993</v>
          </cell>
          <cell r="AU138">
            <v>0.39999999999999147</v>
          </cell>
          <cell r="AV138">
            <v>-1.7000000000000028</v>
          </cell>
          <cell r="AW138">
            <v>-3.3999999999999986</v>
          </cell>
          <cell r="AX138">
            <v>-66.2</v>
          </cell>
          <cell r="AY138">
            <v>-2.8000000000000007</v>
          </cell>
          <cell r="AZ138">
            <v>-1.8999999999999986</v>
          </cell>
          <cell r="BA138">
            <v>-9.0999999999999979</v>
          </cell>
          <cell r="BB138">
            <v>-3.1000000000000014</v>
          </cell>
          <cell r="BC138">
            <v>-16.899999999999999</v>
          </cell>
          <cell r="BD138">
            <v>10.199999999999999</v>
          </cell>
          <cell r="BE138">
            <v>24.2</v>
          </cell>
          <cell r="BF138">
            <v>-3.3000000000000007</v>
          </cell>
          <cell r="BG138">
            <v>-19.099999999999998</v>
          </cell>
          <cell r="BH138">
            <v>12</v>
          </cell>
          <cell r="BI138">
            <v>0</v>
          </cell>
          <cell r="BJ138">
            <v>0</v>
          </cell>
          <cell r="BK138">
            <v>0</v>
          </cell>
          <cell r="BL138">
            <v>0</v>
          </cell>
          <cell r="BM138">
            <v>0</v>
          </cell>
          <cell r="BN138">
            <v>0</v>
          </cell>
          <cell r="BO138">
            <v>0</v>
          </cell>
          <cell r="BP138">
            <v>0</v>
          </cell>
          <cell r="BQ138">
            <v>0</v>
          </cell>
          <cell r="BR138">
            <v>0</v>
          </cell>
          <cell r="BS138">
            <v>0</v>
          </cell>
          <cell r="BT138">
            <v>0</v>
          </cell>
          <cell r="BU138">
            <v>0</v>
          </cell>
          <cell r="BV138">
            <v>0</v>
          </cell>
          <cell r="BW138">
            <v>0</v>
          </cell>
          <cell r="BX138">
            <v>0</v>
          </cell>
          <cell r="BY138">
            <v>0</v>
          </cell>
          <cell r="BZ138">
            <v>0</v>
          </cell>
          <cell r="CA138">
            <v>0</v>
          </cell>
          <cell r="CB138">
            <v>0</v>
          </cell>
          <cell r="CI138" t="str">
            <v>mstag:proceedsFromSaleOfFundsUsedTopurchaseSecuritiesAndOtherInvestments</v>
          </cell>
          <cell r="CJ138">
            <v>6</v>
          </cell>
          <cell r="CK138" t="str">
            <v>ISO4217:USD</v>
          </cell>
          <cell r="CL138" t="b">
            <v>0</v>
          </cell>
        </row>
        <row r="139">
          <cell r="B139" t="str">
            <v>Acquisitions</v>
          </cell>
          <cell r="J139">
            <v>0</v>
          </cell>
          <cell r="K139">
            <v>0</v>
          </cell>
          <cell r="L139">
            <v>0</v>
          </cell>
          <cell r="M139">
            <v>0</v>
          </cell>
          <cell r="N139">
            <v>0</v>
          </cell>
          <cell r="O139">
            <v>0</v>
          </cell>
          <cell r="P139">
            <v>0</v>
          </cell>
          <cell r="Q139">
            <v>0</v>
          </cell>
          <cell r="R139">
            <v>0</v>
          </cell>
          <cell r="S139">
            <v>0</v>
          </cell>
          <cell r="T139">
            <v>0</v>
          </cell>
          <cell r="U139">
            <v>0</v>
          </cell>
          <cell r="V139">
            <v>0</v>
          </cell>
          <cell r="W139">
            <v>0</v>
          </cell>
          <cell r="X139">
            <v>0</v>
          </cell>
          <cell r="Y139">
            <v>0</v>
          </cell>
          <cell r="Z139">
            <v>0</v>
          </cell>
          <cell r="AA139">
            <v>0</v>
          </cell>
          <cell r="AB139">
            <v>-989.1</v>
          </cell>
          <cell r="AC139">
            <v>-72.800000000000068</v>
          </cell>
          <cell r="AD139">
            <v>-1061.9000000000001</v>
          </cell>
          <cell r="AE139">
            <v>0</v>
          </cell>
          <cell r="AF139">
            <v>0</v>
          </cell>
          <cell r="AG139">
            <v>0</v>
          </cell>
          <cell r="AH139">
            <v>0</v>
          </cell>
          <cell r="AI139">
            <v>0</v>
          </cell>
          <cell r="AJ139">
            <v>0</v>
          </cell>
          <cell r="AK139">
            <v>0</v>
          </cell>
          <cell r="AL139">
            <v>0</v>
          </cell>
          <cell r="AM139">
            <v>-1530.6</v>
          </cell>
          <cell r="AN139">
            <v>-1530.6</v>
          </cell>
          <cell r="AO139">
            <v>0</v>
          </cell>
          <cell r="AP139">
            <v>-126.2</v>
          </cell>
          <cell r="AQ139">
            <v>-0.29999999999999716</v>
          </cell>
          <cell r="AR139">
            <v>0</v>
          </cell>
          <cell r="AS139">
            <v>-126.5</v>
          </cell>
          <cell r="AT139">
            <v>0</v>
          </cell>
          <cell r="AU139">
            <v>0</v>
          </cell>
          <cell r="AV139">
            <v>0</v>
          </cell>
          <cell r="AW139">
            <v>0</v>
          </cell>
          <cell r="AX139">
            <v>0</v>
          </cell>
          <cell r="AY139">
            <v>-19.399999999999999</v>
          </cell>
          <cell r="AZ139">
            <v>-14.399999999999999</v>
          </cell>
          <cell r="BA139">
            <v>-667.30000000000007</v>
          </cell>
          <cell r="BB139">
            <v>-51.399999999999977</v>
          </cell>
          <cell r="BC139">
            <v>-752.5</v>
          </cell>
          <cell r="BD139">
            <v>0</v>
          </cell>
          <cell r="BE139">
            <v>-3.4</v>
          </cell>
          <cell r="BF139">
            <v>-11.7</v>
          </cell>
          <cell r="BG139">
            <v>9.9999999999999645E-2</v>
          </cell>
          <cell r="BH139">
            <v>-15</v>
          </cell>
          <cell r="BI139">
            <v>0</v>
          </cell>
          <cell r="BJ139">
            <v>0</v>
          </cell>
          <cell r="BK139">
            <v>0</v>
          </cell>
          <cell r="BL139">
            <v>0</v>
          </cell>
          <cell r="BM139">
            <v>0</v>
          </cell>
          <cell r="BN139">
            <v>0</v>
          </cell>
          <cell r="BO139">
            <v>0</v>
          </cell>
          <cell r="BP139">
            <v>0</v>
          </cell>
          <cell r="BQ139">
            <v>0</v>
          </cell>
          <cell r="BR139">
            <v>0</v>
          </cell>
          <cell r="BS139">
            <v>0</v>
          </cell>
          <cell r="BT139">
            <v>0</v>
          </cell>
          <cell r="BU139">
            <v>0</v>
          </cell>
          <cell r="BV139">
            <v>0</v>
          </cell>
          <cell r="BW139">
            <v>0</v>
          </cell>
          <cell r="BX139">
            <v>0</v>
          </cell>
          <cell r="BY139">
            <v>0</v>
          </cell>
          <cell r="BZ139">
            <v>0</v>
          </cell>
          <cell r="CA139">
            <v>0</v>
          </cell>
          <cell r="CB139">
            <v>0</v>
          </cell>
          <cell r="CI139" t="str">
            <v>mstag:netDisposalsAcquisitions</v>
          </cell>
          <cell r="CJ139">
            <v>6</v>
          </cell>
          <cell r="CK139" t="str">
            <v>ISO4217:USD</v>
          </cell>
          <cell r="CL139" t="b">
            <v>0</v>
          </cell>
        </row>
        <row r="140">
          <cell r="B140" t="str">
            <v>Other</v>
          </cell>
          <cell r="J140">
            <v>-0.3</v>
          </cell>
          <cell r="K140">
            <v>5.0000000000000001E-3</v>
          </cell>
          <cell r="L140">
            <v>5.0000000000000001E-3</v>
          </cell>
          <cell r="M140">
            <v>5.0000000000000001E-3</v>
          </cell>
          <cell r="N140">
            <v>5.0000000000000001E-3</v>
          </cell>
          <cell r="O140">
            <v>0</v>
          </cell>
          <cell r="P140">
            <v>0</v>
          </cell>
          <cell r="Q140">
            <v>0</v>
          </cell>
          <cell r="R140">
            <v>0</v>
          </cell>
          <cell r="S140">
            <v>0</v>
          </cell>
          <cell r="T140">
            <v>0</v>
          </cell>
          <cell r="U140">
            <v>0</v>
          </cell>
          <cell r="V140">
            <v>0</v>
          </cell>
          <cell r="W140">
            <v>0</v>
          </cell>
          <cell r="X140">
            <v>0</v>
          </cell>
          <cell r="Y140">
            <v>0</v>
          </cell>
          <cell r="Z140">
            <v>0</v>
          </cell>
          <cell r="AA140">
            <v>0</v>
          </cell>
          <cell r="AB140">
            <v>0</v>
          </cell>
          <cell r="AC140">
            <v>0</v>
          </cell>
          <cell r="AD140">
            <v>0</v>
          </cell>
          <cell r="AE140">
            <v>0</v>
          </cell>
          <cell r="AF140">
            <v>0</v>
          </cell>
          <cell r="AG140">
            <v>0</v>
          </cell>
          <cell r="AH140">
            <v>0</v>
          </cell>
          <cell r="AI140">
            <v>0</v>
          </cell>
          <cell r="AJ140">
            <v>0</v>
          </cell>
          <cell r="AK140">
            <v>0</v>
          </cell>
          <cell r="AL140">
            <v>0</v>
          </cell>
          <cell r="AM140">
            <v>0</v>
          </cell>
          <cell r="AN140">
            <v>0</v>
          </cell>
          <cell r="AO140">
            <v>0</v>
          </cell>
          <cell r="AP140">
            <v>0</v>
          </cell>
          <cell r="AQ140">
            <v>0</v>
          </cell>
          <cell r="AR140">
            <v>0</v>
          </cell>
          <cell r="AS140">
            <v>0</v>
          </cell>
          <cell r="AT140">
            <v>0</v>
          </cell>
          <cell r="AU140">
            <v>0</v>
          </cell>
          <cell r="AV140">
            <v>0</v>
          </cell>
          <cell r="AW140">
            <v>0</v>
          </cell>
          <cell r="AX140">
            <v>0</v>
          </cell>
          <cell r="AY140">
            <v>0</v>
          </cell>
          <cell r="AZ140">
            <v>0</v>
          </cell>
          <cell r="BA140">
            <v>0</v>
          </cell>
          <cell r="BB140">
            <v>0</v>
          </cell>
          <cell r="BC140">
            <v>0</v>
          </cell>
          <cell r="BD140">
            <v>0</v>
          </cell>
          <cell r="BF140">
            <v>0</v>
          </cell>
          <cell r="BG140">
            <v>0</v>
          </cell>
          <cell r="BH140">
            <v>0</v>
          </cell>
          <cell r="BI140">
            <v>0</v>
          </cell>
          <cell r="BJ140">
            <v>0</v>
          </cell>
          <cell r="BK140">
            <v>0</v>
          </cell>
          <cell r="BL140">
            <v>0</v>
          </cell>
          <cell r="BM140">
            <v>0</v>
          </cell>
          <cell r="BN140">
            <v>0</v>
          </cell>
          <cell r="BO140">
            <v>0</v>
          </cell>
          <cell r="BP140">
            <v>0</v>
          </cell>
          <cell r="BQ140">
            <v>0</v>
          </cell>
          <cell r="BR140">
            <v>0</v>
          </cell>
          <cell r="BS140">
            <v>0</v>
          </cell>
          <cell r="BT140">
            <v>0</v>
          </cell>
          <cell r="BU140">
            <v>0</v>
          </cell>
          <cell r="BV140">
            <v>0</v>
          </cell>
          <cell r="BW140">
            <v>0</v>
          </cell>
          <cell r="BX140">
            <v>0</v>
          </cell>
          <cell r="BY140">
            <v>0</v>
          </cell>
          <cell r="BZ140">
            <v>0</v>
          </cell>
          <cell r="CA140">
            <v>0</v>
          </cell>
          <cell r="CB140">
            <v>0</v>
          </cell>
          <cell r="CI140" t="str">
            <v>mstag:netDecreaseInInvestmentsNonOperating</v>
          </cell>
          <cell r="CJ140">
            <v>6</v>
          </cell>
          <cell r="CK140" t="str">
            <v>ISO4217:USD</v>
          </cell>
          <cell r="CL140" t="b">
            <v>0</v>
          </cell>
        </row>
        <row r="141">
          <cell r="B141" t="str">
            <v>Cash from investing</v>
          </cell>
          <cell r="F141">
            <v>0</v>
          </cell>
          <cell r="G141">
            <v>0</v>
          </cell>
          <cell r="H141">
            <v>0</v>
          </cell>
          <cell r="I141">
            <v>0</v>
          </cell>
          <cell r="J141">
            <v>-330.2</v>
          </cell>
          <cell r="K141">
            <v>5.0000000000000001E-3</v>
          </cell>
          <cell r="L141">
            <v>5.0000000000000001E-3</v>
          </cell>
          <cell r="M141">
            <v>5.0000000000000001E-3</v>
          </cell>
          <cell r="N141">
            <v>5.0000000000000001E-3</v>
          </cell>
          <cell r="O141">
            <v>-240.39999999999998</v>
          </cell>
          <cell r="P141">
            <v>-36.599999999999994</v>
          </cell>
          <cell r="Q141">
            <v>-35.800000000000011</v>
          </cell>
          <cell r="R141">
            <v>-34.500000000000014</v>
          </cell>
          <cell r="S141">
            <v>-12.200000000000003</v>
          </cell>
          <cell r="T141">
            <v>-119.10000000000002</v>
          </cell>
          <cell r="U141">
            <v>-23.599999999999998</v>
          </cell>
          <cell r="V141">
            <v>-21.800000000000004</v>
          </cell>
          <cell r="W141">
            <v>-23.199999999999996</v>
          </cell>
          <cell r="X141">
            <v>-33.29999999999999</v>
          </cell>
          <cell r="Y141">
            <v>-101.89999999999999</v>
          </cell>
          <cell r="Z141">
            <v>-24.3</v>
          </cell>
          <cell r="AA141">
            <v>-26.599999999999998</v>
          </cell>
          <cell r="AB141">
            <v>-1015.6</v>
          </cell>
          <cell r="AC141">
            <v>-119.80000000000005</v>
          </cell>
          <cell r="AD141">
            <v>-1186.3000000000002</v>
          </cell>
          <cell r="AE141">
            <v>-27.799999999999997</v>
          </cell>
          <cell r="AF141">
            <v>-30.5</v>
          </cell>
          <cell r="AG141">
            <v>-32.300000000000011</v>
          </cell>
          <cell r="AH141">
            <v>-64.899999999999991</v>
          </cell>
          <cell r="AI141">
            <v>-155.5</v>
          </cell>
          <cell r="AJ141">
            <v>-28.3</v>
          </cell>
          <cell r="AK141">
            <v>-25.899999999999995</v>
          </cell>
          <cell r="AL141">
            <v>-43.9</v>
          </cell>
          <cell r="AM141">
            <v>-1615.6999999999998</v>
          </cell>
          <cell r="AN141">
            <v>-1713.8</v>
          </cell>
          <cell r="AO141">
            <v>-45.6</v>
          </cell>
          <cell r="AP141">
            <v>-175.2</v>
          </cell>
          <cell r="AQ141">
            <v>-66.2</v>
          </cell>
          <cell r="AR141">
            <v>-129.19999999999999</v>
          </cell>
          <cell r="AS141">
            <v>-416.2</v>
          </cell>
          <cell r="AT141">
            <v>-96.899999999999991</v>
          </cell>
          <cell r="AU141">
            <v>-62.300000000000004</v>
          </cell>
          <cell r="AV141">
            <v>-57.900000000000027</v>
          </cell>
          <cell r="AW141">
            <v>-87.9</v>
          </cell>
          <cell r="AX141">
            <v>-305</v>
          </cell>
          <cell r="AY141">
            <v>-64.800000000000011</v>
          </cell>
          <cell r="AZ141">
            <v>-74.099999999999994</v>
          </cell>
          <cell r="BA141">
            <v>-740.1</v>
          </cell>
          <cell r="BC141">
            <v>-1019.5</v>
          </cell>
          <cell r="BD141">
            <v>-34.299999999999997</v>
          </cell>
          <cell r="BE141">
            <v>-45.79999999999999</v>
          </cell>
          <cell r="BF141">
            <v>-94.200000000000017</v>
          </cell>
          <cell r="BG141">
            <v>-153.30000000000001</v>
          </cell>
          <cell r="BH141">
            <v>-327.60000000000002</v>
          </cell>
          <cell r="BI141">
            <v>-43.75</v>
          </cell>
          <cell r="BJ141">
            <v>-43.75</v>
          </cell>
          <cell r="BK141">
            <v>-43.75</v>
          </cell>
          <cell r="BL141">
            <v>-43.75</v>
          </cell>
          <cell r="BM141">
            <v>-175</v>
          </cell>
          <cell r="BN141">
            <v>-50</v>
          </cell>
          <cell r="BO141">
            <v>-50</v>
          </cell>
          <cell r="BP141">
            <v>-50</v>
          </cell>
          <cell r="BQ141">
            <v>-50</v>
          </cell>
          <cell r="BR141">
            <v>-200</v>
          </cell>
          <cell r="BS141">
            <v>-50</v>
          </cell>
          <cell r="BT141">
            <v>-50</v>
          </cell>
          <cell r="BU141">
            <v>-50</v>
          </cell>
          <cell r="BV141">
            <v>-50</v>
          </cell>
          <cell r="BW141">
            <v>-200</v>
          </cell>
          <cell r="BX141">
            <v>-50</v>
          </cell>
          <cell r="BY141">
            <v>-50</v>
          </cell>
          <cell r="BZ141">
            <v>-50</v>
          </cell>
          <cell r="CA141">
            <v>-50</v>
          </cell>
          <cell r="CB141">
            <v>-200</v>
          </cell>
        </row>
        <row r="143">
          <cell r="B143" t="str">
            <v>Common stock</v>
          </cell>
          <cell r="J143">
            <v>0</v>
          </cell>
          <cell r="K143">
            <v>0</v>
          </cell>
          <cell r="L143">
            <v>0</v>
          </cell>
          <cell r="M143">
            <v>0</v>
          </cell>
          <cell r="N143">
            <v>0</v>
          </cell>
          <cell r="O143">
            <v>0</v>
          </cell>
          <cell r="P143">
            <v>0</v>
          </cell>
          <cell r="Q143">
            <v>0</v>
          </cell>
          <cell r="R143">
            <v>0</v>
          </cell>
          <cell r="S143">
            <v>0</v>
          </cell>
          <cell r="T143">
            <v>0</v>
          </cell>
          <cell r="U143">
            <v>0</v>
          </cell>
          <cell r="V143">
            <v>0</v>
          </cell>
          <cell r="W143">
            <v>0</v>
          </cell>
          <cell r="X143">
            <v>0</v>
          </cell>
          <cell r="Y143">
            <v>0</v>
          </cell>
          <cell r="Z143">
            <v>0</v>
          </cell>
          <cell r="AA143">
            <v>143.9</v>
          </cell>
          <cell r="AB143">
            <v>-213</v>
          </cell>
          <cell r="AC143">
            <v>-338.20000000000005</v>
          </cell>
          <cell r="AD143">
            <v>-407.30000000000007</v>
          </cell>
          <cell r="AE143">
            <v>-204.4</v>
          </cell>
          <cell r="AF143">
            <v>-549</v>
          </cell>
          <cell r="AG143">
            <v>-72.499999999999972</v>
          </cell>
          <cell r="AH143">
            <v>-323.10000000000002</v>
          </cell>
          <cell r="AI143">
            <v>-1149</v>
          </cell>
          <cell r="AJ143">
            <v>-781.9</v>
          </cell>
          <cell r="AK143">
            <v>-665.30000000000007</v>
          </cell>
          <cell r="AL143">
            <v>-513.39999999999986</v>
          </cell>
          <cell r="AM143">
            <v>0</v>
          </cell>
          <cell r="AN143">
            <v>-1960.6</v>
          </cell>
          <cell r="AO143">
            <v>-1000.8</v>
          </cell>
          <cell r="AP143">
            <v>-562.5</v>
          </cell>
          <cell r="AQ143">
            <v>-393</v>
          </cell>
          <cell r="AR143">
            <v>-229.79999999999995</v>
          </cell>
          <cell r="AS143">
            <v>-2186.1</v>
          </cell>
          <cell r="AT143">
            <v>-215.6</v>
          </cell>
          <cell r="AU143">
            <v>-791.5</v>
          </cell>
          <cell r="AV143">
            <v>0</v>
          </cell>
          <cell r="AW143">
            <v>-231.39999999999998</v>
          </cell>
          <cell r="AX143">
            <v>-1238.5</v>
          </cell>
          <cell r="AY143">
            <v>-1229.9000000000001</v>
          </cell>
          <cell r="AZ143">
            <v>-1028</v>
          </cell>
          <cell r="BA143">
            <v>-903.5</v>
          </cell>
          <cell r="BB143">
            <v>-963.40000000000009</v>
          </cell>
          <cell r="BC143">
            <v>-4124.8</v>
          </cell>
          <cell r="BD143">
            <v>-836.6</v>
          </cell>
          <cell r="BE143">
            <v>-599.99999999999989</v>
          </cell>
          <cell r="BF143">
            <v>-350</v>
          </cell>
          <cell r="BG143">
            <v>0</v>
          </cell>
          <cell r="BH143">
            <v>-1786.6</v>
          </cell>
          <cell r="BI143">
            <v>0</v>
          </cell>
          <cell r="BJ143">
            <v>0</v>
          </cell>
          <cell r="BK143">
            <v>-2000</v>
          </cell>
          <cell r="BL143">
            <v>-400</v>
          </cell>
          <cell r="BM143">
            <v>-2400</v>
          </cell>
          <cell r="BN143">
            <v>-900</v>
          </cell>
          <cell r="BO143">
            <v>-500</v>
          </cell>
          <cell r="BP143">
            <v>-100</v>
          </cell>
          <cell r="BQ143">
            <v>-100</v>
          </cell>
          <cell r="BR143">
            <v>-1600</v>
          </cell>
          <cell r="BS143">
            <v>-1200</v>
          </cell>
          <cell r="BT143">
            <v>-425</v>
          </cell>
          <cell r="BU143">
            <v>-300</v>
          </cell>
          <cell r="BV143">
            <v>-175</v>
          </cell>
          <cell r="BW143">
            <v>-2100</v>
          </cell>
          <cell r="BX143">
            <v>-1000</v>
          </cell>
          <cell r="BY143">
            <v>-450</v>
          </cell>
          <cell r="BZ143">
            <v>-400</v>
          </cell>
          <cell r="CA143">
            <v>-250</v>
          </cell>
          <cell r="CB143">
            <v>-2100</v>
          </cell>
          <cell r="CI143" t="str">
            <v>mstag:proceedsFromIssuanceFundsUsedToRepurchaseCommonStock</v>
          </cell>
          <cell r="CJ143">
            <v>6</v>
          </cell>
          <cell r="CK143" t="str">
            <v>ISO4217:USD</v>
          </cell>
          <cell r="CL143" t="b">
            <v>0</v>
          </cell>
        </row>
        <row r="144">
          <cell r="B144" t="str">
            <v>Options</v>
          </cell>
          <cell r="J144">
            <v>0</v>
          </cell>
          <cell r="K144">
            <v>0</v>
          </cell>
          <cell r="L144">
            <v>0</v>
          </cell>
          <cell r="M144">
            <v>0</v>
          </cell>
          <cell r="N144">
            <v>0</v>
          </cell>
          <cell r="O144">
            <v>0</v>
          </cell>
          <cell r="P144">
            <v>0</v>
          </cell>
          <cell r="Q144">
            <v>0</v>
          </cell>
          <cell r="R144">
            <v>0</v>
          </cell>
          <cell r="S144">
            <v>12.1</v>
          </cell>
          <cell r="T144">
            <v>12.1</v>
          </cell>
          <cell r="U144">
            <v>11.6</v>
          </cell>
          <cell r="V144">
            <v>24.699999999999996</v>
          </cell>
          <cell r="W144">
            <v>8.7000000000000046</v>
          </cell>
          <cell r="X144">
            <v>56.599999999999987</v>
          </cell>
          <cell r="Y144">
            <v>101.6</v>
          </cell>
          <cell r="Z144">
            <v>60.6</v>
          </cell>
          <cell r="AA144">
            <v>-60.6</v>
          </cell>
          <cell r="AB144">
            <v>263.7</v>
          </cell>
          <cell r="AC144">
            <v>99.5</v>
          </cell>
          <cell r="AD144">
            <v>363.2</v>
          </cell>
          <cell r="AE144">
            <v>104.80000000000001</v>
          </cell>
          <cell r="AF144">
            <v>-0.50000000000001421</v>
          </cell>
          <cell r="AG144">
            <v>78</v>
          </cell>
          <cell r="AH144">
            <v>12.499999999999986</v>
          </cell>
          <cell r="AI144">
            <v>194.79999999999998</v>
          </cell>
          <cell r="AJ144">
            <v>118.2</v>
          </cell>
          <cell r="AK144">
            <v>-118.2</v>
          </cell>
          <cell r="AL144">
            <v>0</v>
          </cell>
          <cell r="AM144">
            <v>0</v>
          </cell>
          <cell r="AN144">
            <v>0</v>
          </cell>
          <cell r="AO144">
            <v>0</v>
          </cell>
          <cell r="AP144">
            <v>0</v>
          </cell>
          <cell r="AQ144">
            <v>0</v>
          </cell>
          <cell r="AR144">
            <v>0</v>
          </cell>
          <cell r="AS144">
            <v>0</v>
          </cell>
          <cell r="AT144">
            <v>0</v>
          </cell>
          <cell r="AU144">
            <v>0</v>
          </cell>
          <cell r="AV144">
            <v>0</v>
          </cell>
          <cell r="AW144">
            <v>0</v>
          </cell>
          <cell r="AX144">
            <v>0</v>
          </cell>
          <cell r="AY144">
            <v>0</v>
          </cell>
          <cell r="AZ144">
            <v>0</v>
          </cell>
          <cell r="BA144">
            <v>0</v>
          </cell>
          <cell r="BB144">
            <v>0</v>
          </cell>
          <cell r="BC144">
            <v>0</v>
          </cell>
          <cell r="BD144">
            <v>0</v>
          </cell>
          <cell r="BE144">
            <v>107</v>
          </cell>
          <cell r="BF144">
            <v>63.400000000000006</v>
          </cell>
          <cell r="BG144">
            <v>18.300000000000011</v>
          </cell>
          <cell r="BH144">
            <v>188.70000000000002</v>
          </cell>
          <cell r="BI144">
            <v>0</v>
          </cell>
          <cell r="BJ144">
            <v>0</v>
          </cell>
          <cell r="BK144">
            <v>0</v>
          </cell>
          <cell r="BL144">
            <v>0</v>
          </cell>
          <cell r="BM144">
            <v>0</v>
          </cell>
          <cell r="BN144">
            <v>0</v>
          </cell>
          <cell r="BO144">
            <v>0</v>
          </cell>
          <cell r="BP144">
            <v>0</v>
          </cell>
          <cell r="BQ144">
            <v>0</v>
          </cell>
          <cell r="BR144">
            <v>0</v>
          </cell>
          <cell r="BS144">
            <v>0</v>
          </cell>
          <cell r="BT144">
            <v>0</v>
          </cell>
          <cell r="BU144">
            <v>0</v>
          </cell>
          <cell r="BV144">
            <v>0</v>
          </cell>
          <cell r="BW144">
            <v>0</v>
          </cell>
          <cell r="BX144">
            <v>0</v>
          </cell>
          <cell r="BY144">
            <v>0</v>
          </cell>
          <cell r="BZ144">
            <v>0</v>
          </cell>
          <cell r="CA144">
            <v>0</v>
          </cell>
          <cell r="CB144">
            <v>0</v>
          </cell>
          <cell r="CI144" t="str">
            <v>mstag:taxBenefitFromExerciseOfEsosCashFlowStatement</v>
          </cell>
          <cell r="CJ144">
            <v>6</v>
          </cell>
          <cell r="CK144" t="str">
            <v>ISO4217:USD</v>
          </cell>
          <cell r="CL144" t="b">
            <v>0</v>
          </cell>
        </row>
        <row r="145">
          <cell r="B145" t="str">
            <v>Long term debt</v>
          </cell>
          <cell r="J145">
            <v>0</v>
          </cell>
          <cell r="K145">
            <v>0</v>
          </cell>
          <cell r="L145">
            <v>0</v>
          </cell>
          <cell r="M145">
            <v>0</v>
          </cell>
          <cell r="N145">
            <v>0</v>
          </cell>
          <cell r="O145">
            <v>0</v>
          </cell>
          <cell r="P145">
            <v>0</v>
          </cell>
          <cell r="Q145">
            <v>0</v>
          </cell>
          <cell r="R145">
            <v>1376.9</v>
          </cell>
          <cell r="S145">
            <v>-1.5</v>
          </cell>
          <cell r="T145">
            <v>1375.4</v>
          </cell>
          <cell r="U145">
            <v>-103.8</v>
          </cell>
          <cell r="V145">
            <v>-0.40000000000000568</v>
          </cell>
          <cell r="W145">
            <v>-20</v>
          </cell>
          <cell r="X145">
            <v>-79.999999999999986</v>
          </cell>
          <cell r="Y145">
            <v>-204.2</v>
          </cell>
          <cell r="Z145">
            <v>-200</v>
          </cell>
          <cell r="AA145">
            <v>-20</v>
          </cell>
          <cell r="AB145">
            <v>373.59999999999991</v>
          </cell>
          <cell r="AC145">
            <v>-218.79999999999995</v>
          </cell>
          <cell r="AD145">
            <v>-65.200000000000045</v>
          </cell>
          <cell r="AE145">
            <v>-18.8</v>
          </cell>
          <cell r="AF145">
            <v>-18.900000000000002</v>
          </cell>
          <cell r="AG145">
            <v>-19.299999999999994</v>
          </cell>
          <cell r="AH145">
            <v>-144</v>
          </cell>
          <cell r="AI145">
            <v>-201</v>
          </cell>
          <cell r="AJ145">
            <v>256.10000000000002</v>
          </cell>
          <cell r="AK145">
            <v>560.79999999999995</v>
          </cell>
          <cell r="AL145">
            <v>-0.10000000000002274</v>
          </cell>
          <cell r="AM145">
            <v>1167.9999999999998</v>
          </cell>
          <cell r="AN145">
            <v>1984.7999999999997</v>
          </cell>
          <cell r="AO145">
            <v>675.6</v>
          </cell>
          <cell r="AP145">
            <v>510.0999999999998</v>
          </cell>
          <cell r="AQ145">
            <v>-100</v>
          </cell>
          <cell r="AR145">
            <v>0</v>
          </cell>
          <cell r="AS145">
            <v>1085.6999999999998</v>
          </cell>
          <cell r="AT145">
            <v>0</v>
          </cell>
          <cell r="AU145">
            <v>9.1</v>
          </cell>
          <cell r="AV145">
            <v>-397.70000000000005</v>
          </cell>
          <cell r="AW145">
            <v>-196</v>
          </cell>
          <cell r="AX145">
            <v>-584.6</v>
          </cell>
          <cell r="AY145">
            <v>5.3</v>
          </cell>
          <cell r="AZ145">
            <v>-2</v>
          </cell>
          <cell r="BA145">
            <v>965.59999999999991</v>
          </cell>
          <cell r="BB145">
            <v>3.7999999999999545</v>
          </cell>
          <cell r="BC145">
            <v>972.69999999999982</v>
          </cell>
          <cell r="BD145">
            <v>3.3000000000000114</v>
          </cell>
          <cell r="BE145">
            <v>4.9999999999999432</v>
          </cell>
          <cell r="BF145">
            <v>4.1999999999999993</v>
          </cell>
          <cell r="BG145">
            <v>6.2999999999999545</v>
          </cell>
          <cell r="BH145">
            <v>18.799999999999908</v>
          </cell>
          <cell r="BI145">
            <v>-12.400000000000091</v>
          </cell>
          <cell r="BJ145">
            <v>0.5</v>
          </cell>
          <cell r="BK145">
            <v>0.5</v>
          </cell>
          <cell r="BL145">
            <v>0.5</v>
          </cell>
          <cell r="BM145">
            <v>-10.900000000000091</v>
          </cell>
          <cell r="BN145">
            <v>0.3999999999996362</v>
          </cell>
          <cell r="BO145">
            <v>0.4000000000005457</v>
          </cell>
          <cell r="BP145">
            <v>0.3999999999996362</v>
          </cell>
          <cell r="BQ145">
            <v>0.4000000000005457</v>
          </cell>
          <cell r="BR145">
            <v>1.6000000000003638</v>
          </cell>
          <cell r="BS145">
            <v>0.2999999999992724</v>
          </cell>
          <cell r="BT145">
            <v>0.3000000000001819</v>
          </cell>
          <cell r="BU145">
            <v>0.3000000000001819</v>
          </cell>
          <cell r="BV145">
            <v>0.2999999999992724</v>
          </cell>
          <cell r="BW145">
            <v>1.1999999999989086</v>
          </cell>
          <cell r="BX145">
            <v>0.3000000000001819</v>
          </cell>
          <cell r="BY145">
            <v>0.3000000000001819</v>
          </cell>
          <cell r="BZ145">
            <v>0.3000000000001819</v>
          </cell>
          <cell r="CA145">
            <v>0.3000000000001819</v>
          </cell>
          <cell r="CB145">
            <v>1.2000000000007276</v>
          </cell>
          <cell r="CI145" t="str">
            <v>mstag:proceedsFromIssuanceAndCashUsedToRepayLongTermDebt</v>
          </cell>
          <cell r="CJ145">
            <v>6</v>
          </cell>
          <cell r="CK145" t="str">
            <v>ISO4217:USD</v>
          </cell>
          <cell r="CL145" t="b">
            <v>0</v>
          </cell>
        </row>
        <row r="146">
          <cell r="B146" t="str">
            <v>Other</v>
          </cell>
          <cell r="J146">
            <v>0</v>
          </cell>
          <cell r="K146">
            <v>0</v>
          </cell>
          <cell r="L146">
            <v>0</v>
          </cell>
          <cell r="M146">
            <v>0</v>
          </cell>
          <cell r="N146">
            <v>0</v>
          </cell>
          <cell r="O146">
            <v>0</v>
          </cell>
          <cell r="P146">
            <v>0</v>
          </cell>
          <cell r="Q146">
            <v>0</v>
          </cell>
          <cell r="R146">
            <v>-1900</v>
          </cell>
          <cell r="S146">
            <v>-100</v>
          </cell>
          <cell r="T146">
            <v>-2000</v>
          </cell>
          <cell r="U146">
            <v>0</v>
          </cell>
          <cell r="V146">
            <v>0</v>
          </cell>
          <cell r="W146">
            <v>0</v>
          </cell>
          <cell r="X146">
            <v>0</v>
          </cell>
          <cell r="Y146">
            <v>0</v>
          </cell>
          <cell r="Z146">
            <v>0</v>
          </cell>
          <cell r="AA146">
            <v>-0.3</v>
          </cell>
          <cell r="AB146">
            <v>-2.1</v>
          </cell>
          <cell r="AC146">
            <v>-9.9999999999999922E-2</v>
          </cell>
          <cell r="AD146">
            <v>-2.5</v>
          </cell>
          <cell r="AE146">
            <v>0</v>
          </cell>
          <cell r="AF146">
            <v>21.2</v>
          </cell>
          <cell r="AG146">
            <v>-21.2</v>
          </cell>
          <cell r="AH146">
            <v>0</v>
          </cell>
          <cell r="AI146">
            <v>0</v>
          </cell>
          <cell r="AJ146">
            <v>0</v>
          </cell>
          <cell r="AK146">
            <v>173</v>
          </cell>
          <cell r="AL146">
            <v>63.5</v>
          </cell>
          <cell r="AM146">
            <v>41.700000000000045</v>
          </cell>
          <cell r="AN146">
            <v>278.20000000000005</v>
          </cell>
          <cell r="AO146">
            <v>-28.2</v>
          </cell>
          <cell r="AP146">
            <v>23.999999999999996</v>
          </cell>
          <cell r="AQ146">
            <v>31.299999999999997</v>
          </cell>
          <cell r="AR146">
            <v>18.70000000000001</v>
          </cell>
          <cell r="AS146">
            <v>45.8</v>
          </cell>
          <cell r="AT146">
            <v>3.2999999999999989</v>
          </cell>
          <cell r="AU146">
            <v>35.5</v>
          </cell>
          <cell r="AV146">
            <v>112.3</v>
          </cell>
          <cell r="AW146">
            <v>65.400000000000006</v>
          </cell>
          <cell r="AX146">
            <v>216.5</v>
          </cell>
          <cell r="AY146">
            <v>23</v>
          </cell>
          <cell r="AZ146">
            <v>35.200000000000003</v>
          </cell>
          <cell r="BA146">
            <v>12.200000000000003</v>
          </cell>
          <cell r="BB146">
            <v>81.699999999999989</v>
          </cell>
          <cell r="BC146">
            <v>152.1</v>
          </cell>
          <cell r="BD146">
            <v>47.3</v>
          </cell>
          <cell r="BE146">
            <v>-47.3</v>
          </cell>
          <cell r="BF146">
            <v>0</v>
          </cell>
          <cell r="BG146">
            <v>0</v>
          </cell>
          <cell r="BH146">
            <v>0</v>
          </cell>
          <cell r="BI146">
            <v>0</v>
          </cell>
          <cell r="BJ146">
            <v>0</v>
          </cell>
          <cell r="BK146">
            <v>0</v>
          </cell>
          <cell r="BL146">
            <v>0</v>
          </cell>
          <cell r="BM146">
            <v>0</v>
          </cell>
          <cell r="BN146">
            <v>0</v>
          </cell>
          <cell r="BO146">
            <v>0</v>
          </cell>
          <cell r="BP146">
            <v>0</v>
          </cell>
          <cell r="BQ146">
            <v>0</v>
          </cell>
          <cell r="BR146">
            <v>0</v>
          </cell>
          <cell r="BS146">
            <v>0</v>
          </cell>
          <cell r="BT146">
            <v>0</v>
          </cell>
          <cell r="BU146">
            <v>0</v>
          </cell>
          <cell r="BV146">
            <v>0</v>
          </cell>
          <cell r="BW146">
            <v>0</v>
          </cell>
          <cell r="BX146">
            <v>0</v>
          </cell>
          <cell r="BY146">
            <v>0</v>
          </cell>
          <cell r="BZ146">
            <v>0</v>
          </cell>
          <cell r="CA146">
            <v>0</v>
          </cell>
          <cell r="CB146">
            <v>0</v>
          </cell>
          <cell r="CI146" t="str">
            <v>mstag:otherCashFlowsFromUsedInFinancingActivities</v>
          </cell>
          <cell r="CJ146">
            <v>6</v>
          </cell>
          <cell r="CK146" t="str">
            <v>ISO4217:USD</v>
          </cell>
          <cell r="CL146" t="b">
            <v>0</v>
          </cell>
        </row>
        <row r="147">
          <cell r="B147" t="str">
            <v>Intercompany transfer from (to) Merck, net</v>
          </cell>
          <cell r="J147">
            <v>-340.9</v>
          </cell>
          <cell r="K147">
            <v>0</v>
          </cell>
          <cell r="L147">
            <v>0</v>
          </cell>
          <cell r="M147">
            <v>0</v>
          </cell>
          <cell r="N147">
            <v>0</v>
          </cell>
          <cell r="O147">
            <v>-231.8</v>
          </cell>
          <cell r="P147">
            <v>-486.8</v>
          </cell>
          <cell r="Q147">
            <v>30.199999999999989</v>
          </cell>
          <cell r="R147">
            <v>688.40000000000009</v>
          </cell>
          <cell r="S147">
            <v>0</v>
          </cell>
          <cell r="T147">
            <v>231.8</v>
          </cell>
          <cell r="U147">
            <v>0</v>
          </cell>
          <cell r="V147">
            <v>0</v>
          </cell>
          <cell r="W147">
            <v>0</v>
          </cell>
          <cell r="X147">
            <v>0</v>
          </cell>
          <cell r="Y147">
            <v>0</v>
          </cell>
          <cell r="Z147">
            <v>0</v>
          </cell>
          <cell r="AA147">
            <v>0</v>
          </cell>
          <cell r="AB147">
            <v>0</v>
          </cell>
          <cell r="AC147">
            <v>0</v>
          </cell>
          <cell r="AD147">
            <v>0</v>
          </cell>
          <cell r="AE147">
            <v>0</v>
          </cell>
          <cell r="AF147">
            <v>0</v>
          </cell>
          <cell r="AG147">
            <v>0</v>
          </cell>
          <cell r="AH147">
            <v>0</v>
          </cell>
          <cell r="AI147">
            <v>0</v>
          </cell>
          <cell r="AJ147">
            <v>0</v>
          </cell>
          <cell r="AK147">
            <v>0</v>
          </cell>
          <cell r="AL147">
            <v>0</v>
          </cell>
          <cell r="AM147">
            <v>0</v>
          </cell>
          <cell r="AN147">
            <v>0</v>
          </cell>
          <cell r="AO147">
            <v>0</v>
          </cell>
          <cell r="AP147">
            <v>0</v>
          </cell>
          <cell r="AQ147">
            <v>0</v>
          </cell>
          <cell r="AR147">
            <v>0</v>
          </cell>
          <cell r="AS147">
            <v>0</v>
          </cell>
          <cell r="AT147">
            <v>0</v>
          </cell>
          <cell r="AU147">
            <v>0</v>
          </cell>
          <cell r="AV147">
            <v>0</v>
          </cell>
          <cell r="AW147">
            <v>0</v>
          </cell>
          <cell r="AX147">
            <v>0</v>
          </cell>
          <cell r="AY147">
            <v>0</v>
          </cell>
          <cell r="AZ147">
            <v>0</v>
          </cell>
          <cell r="BA147">
            <v>0</v>
          </cell>
          <cell r="BB147">
            <v>0</v>
          </cell>
          <cell r="BC147">
            <v>0</v>
          </cell>
          <cell r="BD147">
            <v>0</v>
          </cell>
          <cell r="BE147">
            <v>0</v>
          </cell>
          <cell r="BF147">
            <v>0</v>
          </cell>
          <cell r="BG147">
            <v>0</v>
          </cell>
          <cell r="BH147">
            <v>0</v>
          </cell>
          <cell r="BI147">
            <v>0</v>
          </cell>
          <cell r="BJ147">
            <v>0</v>
          </cell>
          <cell r="BK147">
            <v>0</v>
          </cell>
          <cell r="BL147">
            <v>0</v>
          </cell>
          <cell r="BM147">
            <v>0</v>
          </cell>
          <cell r="BN147">
            <v>0</v>
          </cell>
          <cell r="BO147">
            <v>0</v>
          </cell>
          <cell r="BP147">
            <v>0</v>
          </cell>
          <cell r="BQ147">
            <v>0</v>
          </cell>
          <cell r="BR147">
            <v>0</v>
          </cell>
          <cell r="BS147">
            <v>0</v>
          </cell>
          <cell r="BT147">
            <v>0</v>
          </cell>
          <cell r="BU147">
            <v>0</v>
          </cell>
          <cell r="BV147">
            <v>0</v>
          </cell>
          <cell r="BW147">
            <v>0</v>
          </cell>
          <cell r="BX147">
            <v>0</v>
          </cell>
          <cell r="BY147">
            <v>0</v>
          </cell>
          <cell r="BZ147">
            <v>0</v>
          </cell>
          <cell r="CA147">
            <v>0</v>
          </cell>
          <cell r="CB147">
            <v>0</v>
          </cell>
          <cell r="CI147" t="str">
            <v>mstag:otherCashFlowsFromUsedInFinancingActivities</v>
          </cell>
          <cell r="CJ147">
            <v>6</v>
          </cell>
          <cell r="CK147" t="str">
            <v>ISO4217:USD</v>
          </cell>
          <cell r="CL147" t="b">
            <v>0</v>
          </cell>
        </row>
        <row r="148">
          <cell r="B148" t="str">
            <v>Cash from financing</v>
          </cell>
          <cell r="F148">
            <v>0</v>
          </cell>
          <cell r="G148">
            <v>0</v>
          </cell>
          <cell r="H148">
            <v>0</v>
          </cell>
          <cell r="I148">
            <v>0</v>
          </cell>
          <cell r="J148">
            <v>-340.9</v>
          </cell>
          <cell r="K148">
            <v>0</v>
          </cell>
          <cell r="L148">
            <v>0</v>
          </cell>
          <cell r="M148">
            <v>0</v>
          </cell>
          <cell r="N148">
            <v>0</v>
          </cell>
          <cell r="O148">
            <v>-231.8</v>
          </cell>
          <cell r="P148">
            <v>-486.8</v>
          </cell>
          <cell r="Q148">
            <v>30.199999999999989</v>
          </cell>
          <cell r="R148">
            <v>165.30000000000018</v>
          </cell>
          <cell r="S148">
            <v>-89.4</v>
          </cell>
          <cell r="T148">
            <v>-380.7</v>
          </cell>
          <cell r="U148">
            <v>-92.2</v>
          </cell>
          <cell r="V148">
            <v>24.29999999999999</v>
          </cell>
          <cell r="W148">
            <v>-11.299999999999995</v>
          </cell>
          <cell r="X148">
            <v>-23.4</v>
          </cell>
          <cell r="Y148">
            <v>-102.6</v>
          </cell>
          <cell r="Z148">
            <v>-139.4</v>
          </cell>
          <cell r="AA148">
            <v>63.000000000000014</v>
          </cell>
          <cell r="AB148">
            <v>422.19999999999987</v>
          </cell>
          <cell r="AC148">
            <v>-457.6</v>
          </cell>
          <cell r="AD148">
            <v>-111.80000000000013</v>
          </cell>
          <cell r="AE148">
            <v>-118.39999999999999</v>
          </cell>
          <cell r="AF148">
            <v>-547.19999999999993</v>
          </cell>
          <cell r="AG148">
            <v>-34.999999999999964</v>
          </cell>
          <cell r="AH148">
            <v>-454.6</v>
          </cell>
          <cell r="AI148">
            <v>-1155.2</v>
          </cell>
          <cell r="AJ148">
            <v>-407.59999999999991</v>
          </cell>
          <cell r="AK148">
            <v>-49.700000000000159</v>
          </cell>
          <cell r="AL148">
            <v>-449.99999999999989</v>
          </cell>
          <cell r="AM148">
            <v>1209.6999999999998</v>
          </cell>
          <cell r="AN148">
            <v>302.39999999999986</v>
          </cell>
          <cell r="AO148">
            <v>-353.39999999999992</v>
          </cell>
          <cell r="AP148">
            <v>-28.400000000000208</v>
          </cell>
          <cell r="AQ148">
            <v>-461.7</v>
          </cell>
          <cell r="AR148">
            <v>-211.09999999999994</v>
          </cell>
          <cell r="AS148">
            <v>-1054.6000000000001</v>
          </cell>
          <cell r="AT148">
            <v>-212.29999999999998</v>
          </cell>
          <cell r="AU148">
            <v>-746.9</v>
          </cell>
          <cell r="AV148">
            <v>-285.40000000000003</v>
          </cell>
          <cell r="AW148">
            <v>-362</v>
          </cell>
          <cell r="AX148">
            <v>-1606.6</v>
          </cell>
          <cell r="AY148">
            <v>-1201.6000000000001</v>
          </cell>
          <cell r="AZ148">
            <v>-994.8</v>
          </cell>
          <cell r="BA148">
            <v>74.299999999999912</v>
          </cell>
          <cell r="BB148">
            <v>-877.90000000000009</v>
          </cell>
          <cell r="BC148">
            <v>-3000.0000000000005</v>
          </cell>
          <cell r="BD148">
            <v>-786</v>
          </cell>
          <cell r="BE148">
            <v>-535.29999999999995</v>
          </cell>
          <cell r="BF148">
            <v>-282.40000000000003</v>
          </cell>
          <cell r="BG148">
            <v>24.599999999999966</v>
          </cell>
          <cell r="BH148">
            <v>-1579.1</v>
          </cell>
          <cell r="BI148">
            <v>-12.400000000000091</v>
          </cell>
          <cell r="BJ148">
            <v>0.5</v>
          </cell>
          <cell r="BK148">
            <v>-1999.5</v>
          </cell>
          <cell r="BL148">
            <v>-399.5</v>
          </cell>
          <cell r="BM148">
            <v>-2410.9</v>
          </cell>
          <cell r="BN148">
            <v>-899.60000000000036</v>
          </cell>
          <cell r="BO148">
            <v>-499.59999999999945</v>
          </cell>
          <cell r="BP148">
            <v>-99.600000000000364</v>
          </cell>
          <cell r="BQ148">
            <v>-99.599999999999454</v>
          </cell>
          <cell r="BR148">
            <v>-1598.3999999999996</v>
          </cell>
          <cell r="BS148">
            <v>-1199.7000000000007</v>
          </cell>
          <cell r="BT148">
            <v>-424.69999999999982</v>
          </cell>
          <cell r="BU148">
            <v>-299.69999999999982</v>
          </cell>
          <cell r="BV148">
            <v>-174.70000000000073</v>
          </cell>
          <cell r="BW148">
            <v>-2098.8000000000011</v>
          </cell>
          <cell r="BX148">
            <v>-999.69999999999982</v>
          </cell>
          <cell r="BY148">
            <v>-449.69999999999982</v>
          </cell>
          <cell r="BZ148">
            <v>-399.69999999999982</v>
          </cell>
          <cell r="CA148">
            <v>-249.69999999999982</v>
          </cell>
          <cell r="CB148">
            <v>-2098.7999999999993</v>
          </cell>
        </row>
        <row r="149">
          <cell r="B149" t="str">
            <v>Net Increase (Decrease) in Cash and Cash Equivalents</v>
          </cell>
          <cell r="F149">
            <v>0</v>
          </cell>
          <cell r="G149">
            <v>0</v>
          </cell>
          <cell r="H149">
            <v>0</v>
          </cell>
          <cell r="I149">
            <v>0</v>
          </cell>
          <cell r="J149">
            <v>-12.299999999995009</v>
          </cell>
          <cell r="K149">
            <v>59.605000000000189</v>
          </cell>
          <cell r="L149">
            <v>104.60499999999891</v>
          </cell>
          <cell r="M149">
            <v>153.40500000000037</v>
          </cell>
          <cell r="N149">
            <v>107.20500000000037</v>
          </cell>
          <cell r="O149">
            <v>-1.9000000000006025</v>
          </cell>
          <cell r="P149">
            <v>-6.7000000000001023</v>
          </cell>
          <cell r="Q149">
            <v>-1.1000000000003638</v>
          </cell>
          <cell r="R149">
            <v>792.3000000000003</v>
          </cell>
          <cell r="S149">
            <v>-160.3999999999985</v>
          </cell>
          <cell r="T149">
            <v>624.10000000000127</v>
          </cell>
          <cell r="U149">
            <v>4.6999999999988802</v>
          </cell>
          <cell r="V149">
            <v>-48.699999999999328</v>
          </cell>
          <cell r="W149">
            <v>406.09999999999707</v>
          </cell>
          <cell r="X149">
            <v>144.6999999999997</v>
          </cell>
          <cell r="Y149">
            <v>506.79999999999632</v>
          </cell>
          <cell r="Z149">
            <v>353.1</v>
          </cell>
          <cell r="AA149">
            <v>-203.09999999999889</v>
          </cell>
          <cell r="AB149">
            <v>30.800000000002171</v>
          </cell>
          <cell r="AC149">
            <v>-434.90000000000043</v>
          </cell>
          <cell r="AD149">
            <v>-254.09999999999712</v>
          </cell>
          <cell r="AE149">
            <v>-177.29999999999922</v>
          </cell>
          <cell r="AF149">
            <v>-302.20000000000005</v>
          </cell>
          <cell r="AG149">
            <v>50.199999999998262</v>
          </cell>
          <cell r="AH149">
            <v>359.70000000000073</v>
          </cell>
          <cell r="AI149">
            <v>-69.600000000000364</v>
          </cell>
          <cell r="AJ149">
            <v>-335.40000000000094</v>
          </cell>
          <cell r="AK149">
            <v>500.60000000000014</v>
          </cell>
          <cell r="AL149">
            <v>-354.19999999999868</v>
          </cell>
          <cell r="AM149">
            <v>144.59999999999877</v>
          </cell>
          <cell r="AN149">
            <v>-44.400000000001</v>
          </cell>
          <cell r="AO149">
            <v>-233.49999999999912</v>
          </cell>
          <cell r="AP149">
            <v>-168.90000000000032</v>
          </cell>
          <cell r="AQ149">
            <v>69.099999999997351</v>
          </cell>
          <cell r="AR149">
            <v>497.69999999999868</v>
          </cell>
          <cell r="AS149">
            <v>164.39999999999691</v>
          </cell>
          <cell r="AT149">
            <v>861.10000000000036</v>
          </cell>
          <cell r="AU149">
            <v>285.99999999999943</v>
          </cell>
          <cell r="AV149">
            <v>-65.100000000000307</v>
          </cell>
          <cell r="AW149">
            <v>507.80000000000064</v>
          </cell>
          <cell r="AX149">
            <v>1589.8000000000006</v>
          </cell>
          <cell r="AY149">
            <v>-966.10000000000127</v>
          </cell>
          <cell r="AZ149">
            <v>-378.39999999999918</v>
          </cell>
          <cell r="BA149">
            <v>-291.30000000000007</v>
          </cell>
          <cell r="BB149">
            <v>101.50000000000034</v>
          </cell>
          <cell r="BC149">
            <v>-1674.8000000000002</v>
          </cell>
          <cell r="BD149">
            <v>-726.30000000000086</v>
          </cell>
          <cell r="BE149">
            <v>-34.70000000000033</v>
          </cell>
          <cell r="BF149">
            <v>69.140000000000157</v>
          </cell>
          <cell r="BG149">
            <v>67.560000000000912</v>
          </cell>
          <cell r="BH149">
            <v>-624.29999999999961</v>
          </cell>
          <cell r="BI149">
            <v>1101.2170989389472</v>
          </cell>
          <cell r="BJ149">
            <v>430.10925470067571</v>
          </cell>
          <cell r="BK149">
            <v>-1504.725432006197</v>
          </cell>
          <cell r="BL149">
            <v>-7.6368505021150668</v>
          </cell>
          <cell r="BM149">
            <v>18.964071131310448</v>
          </cell>
          <cell r="BN149">
            <v>70.550424542408109</v>
          </cell>
          <cell r="BO149">
            <v>-90.652137987304286</v>
          </cell>
          <cell r="BP149">
            <v>348.93992268215743</v>
          </cell>
          <cell r="BQ149">
            <v>372.58326185048645</v>
          </cell>
          <cell r="BR149">
            <v>701.4214710877477</v>
          </cell>
          <cell r="BS149">
            <v>-734.64267532646113</v>
          </cell>
          <cell r="BT149">
            <v>28.845102784741016</v>
          </cell>
          <cell r="BU149">
            <v>204.39199039000016</v>
          </cell>
          <cell r="BV149">
            <v>333.52864712931614</v>
          </cell>
          <cell r="BW149">
            <v>-167.87693502240381</v>
          </cell>
          <cell r="BX149">
            <v>-504.06739784329045</v>
          </cell>
          <cell r="BY149">
            <v>13.019506964451125</v>
          </cell>
          <cell r="BZ149">
            <v>105.11206767848239</v>
          </cell>
          <cell r="CA149">
            <v>282.7692675396363</v>
          </cell>
          <cell r="CB149">
            <v>-103.16655566072041</v>
          </cell>
        </row>
        <row r="153">
          <cell r="B153" t="str">
            <v>Free Cash Flow (MW Definition)</v>
          </cell>
        </row>
        <row r="154">
          <cell r="B154" t="str">
            <v>EBITDA</v>
          </cell>
          <cell r="T154">
            <v>1024.6999999999987</v>
          </cell>
          <cell r="U154">
            <v>303.99999999999892</v>
          </cell>
          <cell r="V154">
            <v>320.50000000000074</v>
          </cell>
          <cell r="W154">
            <v>300.49999999999704</v>
          </cell>
          <cell r="X154">
            <v>318.49999999999966</v>
          </cell>
          <cell r="Y154">
            <v>1243.4999999999925</v>
          </cell>
          <cell r="Z154">
            <v>314</v>
          </cell>
          <cell r="AA154">
            <v>319.30000000000109</v>
          </cell>
          <cell r="AB154">
            <v>317.30000000000223</v>
          </cell>
          <cell r="AC154">
            <v>399.69999999999959</v>
          </cell>
          <cell r="AD154">
            <v>1350.3000000000029</v>
          </cell>
          <cell r="AE154">
            <v>191.90000000000077</v>
          </cell>
          <cell r="AF154">
            <v>385.79999999999995</v>
          </cell>
          <cell r="AG154">
            <v>412.89999999999822</v>
          </cell>
          <cell r="AH154">
            <v>479.30000000000069</v>
          </cell>
          <cell r="AI154">
            <v>1469.9000000000012</v>
          </cell>
          <cell r="AJ154">
            <v>566.79999999999893</v>
          </cell>
          <cell r="AK154">
            <v>474.60000000000036</v>
          </cell>
          <cell r="AL154">
            <v>476.70000000000107</v>
          </cell>
          <cell r="AM154">
            <v>481.99999999999892</v>
          </cell>
          <cell r="AN154">
            <v>2000.0999999999992</v>
          </cell>
          <cell r="AO154">
            <v>611.90000000000077</v>
          </cell>
          <cell r="AP154">
            <v>604</v>
          </cell>
          <cell r="AQ154">
            <v>616.29999999999734</v>
          </cell>
          <cell r="AR154">
            <v>629.09999999999854</v>
          </cell>
          <cell r="AS154">
            <v>2461.299999999997</v>
          </cell>
          <cell r="AT154">
            <v>647.00000000000045</v>
          </cell>
          <cell r="AU154">
            <v>689.29999999999927</v>
          </cell>
          <cell r="AV154">
            <v>719.3</v>
          </cell>
          <cell r="AW154">
            <v>694.80000000000041</v>
          </cell>
          <cell r="AX154">
            <v>2750.4</v>
          </cell>
          <cell r="AY154">
            <v>686.49999999999886</v>
          </cell>
          <cell r="AZ154">
            <v>730.1000000000007</v>
          </cell>
          <cell r="BA154">
            <v>771</v>
          </cell>
          <cell r="BB154">
            <v>786.50000000000068</v>
          </cell>
          <cell r="BC154">
            <v>2974.1000000000004</v>
          </cell>
          <cell r="BD154">
            <v>734.19999999999925</v>
          </cell>
          <cell r="BE154">
            <v>735.99999999999977</v>
          </cell>
          <cell r="BF154">
            <v>801.00000000000034</v>
          </cell>
          <cell r="BG154">
            <v>899.5000000000008</v>
          </cell>
          <cell r="BH154">
            <v>3170.7</v>
          </cell>
          <cell r="BI154">
            <v>710.56184680398792</v>
          </cell>
          <cell r="BJ154">
            <v>758.89848515403378</v>
          </cell>
          <cell r="BK154">
            <v>822.6687645281379</v>
          </cell>
          <cell r="BL154">
            <v>868.5274330125086</v>
          </cell>
          <cell r="BM154">
            <v>3160.6565294986681</v>
          </cell>
          <cell r="BN154">
            <v>764.12074857335892</v>
          </cell>
          <cell r="BO154">
            <v>773.69445494309059</v>
          </cell>
          <cell r="BP154">
            <v>825.56371364345955</v>
          </cell>
          <cell r="BQ154">
            <v>817.11479051643005</v>
          </cell>
          <cell r="BR154">
            <v>3180.493707676339</v>
          </cell>
          <cell r="BS154">
            <v>809.56046353792772</v>
          </cell>
          <cell r="BT154">
            <v>825.13175693508015</v>
          </cell>
          <cell r="BU154">
            <v>886.38343031433783</v>
          </cell>
          <cell r="BV154">
            <v>878.58925636638651</v>
          </cell>
          <cell r="BW154">
            <v>3399.6649071537322</v>
          </cell>
          <cell r="BX154">
            <v>854.66177160460256</v>
          </cell>
          <cell r="BY154">
            <v>866.87401551415837</v>
          </cell>
          <cell r="BZ154">
            <v>925.86391367038004</v>
          </cell>
          <cell r="CA154">
            <v>916.27184391942149</v>
          </cell>
          <cell r="CB154">
            <v>3563.6715447085626</v>
          </cell>
        </row>
        <row r="155">
          <cell r="B155" t="str">
            <v>Less: Capex</v>
          </cell>
          <cell r="T155">
            <v>-124.9</v>
          </cell>
          <cell r="U155">
            <v>-22.7</v>
          </cell>
          <cell r="V155">
            <v>-20.400000000000002</v>
          </cell>
          <cell r="W155">
            <v>-21.899999999999995</v>
          </cell>
          <cell r="X155">
            <v>-33.099999999999994</v>
          </cell>
          <cell r="Y155">
            <v>-98.1</v>
          </cell>
          <cell r="Z155">
            <v>-23.7</v>
          </cell>
          <cell r="AA155">
            <v>-28.000000000000004</v>
          </cell>
          <cell r="AB155">
            <v>-25.700000000000006</v>
          </cell>
          <cell r="AC155">
            <v>-54.699999999999989</v>
          </cell>
          <cell r="AD155">
            <v>-132.1</v>
          </cell>
          <cell r="AE155">
            <v>-27.7</v>
          </cell>
          <cell r="AF155">
            <v>-28.599999999999998</v>
          </cell>
          <cell r="AG155">
            <v>-31.500000000000004</v>
          </cell>
          <cell r="AH155">
            <v>-63.2</v>
          </cell>
          <cell r="AI155">
            <v>-151</v>
          </cell>
          <cell r="AJ155">
            <v>-25</v>
          </cell>
          <cell r="AK155">
            <v>-34.4</v>
          </cell>
          <cell r="AL155">
            <v>-34.1</v>
          </cell>
          <cell r="AM155">
            <v>-84.199999999999989</v>
          </cell>
          <cell r="AN155">
            <v>-177.7</v>
          </cell>
          <cell r="AO155">
            <v>-39.1</v>
          </cell>
          <cell r="AP155">
            <v>-48.499999999999993</v>
          </cell>
          <cell r="AQ155">
            <v>-68.900000000000006</v>
          </cell>
          <cell r="AR155">
            <v>-130.39999999999998</v>
          </cell>
          <cell r="AS155">
            <v>-286.89999999999998</v>
          </cell>
          <cell r="AT155">
            <v>-35.4</v>
          </cell>
          <cell r="AU155">
            <v>-62.699999999999996</v>
          </cell>
          <cell r="AV155">
            <v>-56.200000000000024</v>
          </cell>
          <cell r="AW155">
            <v>-84.5</v>
          </cell>
          <cell r="AX155">
            <v>-238.8</v>
          </cell>
          <cell r="AY155">
            <v>-42.6</v>
          </cell>
          <cell r="AZ155">
            <v>-57.800000000000004</v>
          </cell>
          <cell r="BA155">
            <v>-63.699999999999982</v>
          </cell>
          <cell r="BB155">
            <v>-86</v>
          </cell>
          <cell r="BC155">
            <v>-250.1</v>
          </cell>
          <cell r="BD155">
            <v>-44.5</v>
          </cell>
          <cell r="BE155">
            <v>-66.599999999999994</v>
          </cell>
          <cell r="BF155">
            <v>-79.200000000000017</v>
          </cell>
          <cell r="BG155">
            <v>-134.30000000000001</v>
          </cell>
          <cell r="BH155">
            <v>-324.60000000000002</v>
          </cell>
          <cell r="BI155">
            <v>-43.75</v>
          </cell>
          <cell r="BJ155">
            <v>-43.75</v>
          </cell>
          <cell r="BK155">
            <v>-43.75</v>
          </cell>
          <cell r="BL155">
            <v>-43.75</v>
          </cell>
          <cell r="BM155">
            <v>-175</v>
          </cell>
          <cell r="BN155">
            <v>-50</v>
          </cell>
          <cell r="BO155">
            <v>-50</v>
          </cell>
          <cell r="BP155">
            <v>-50</v>
          </cell>
          <cell r="BQ155">
            <v>-50</v>
          </cell>
          <cell r="BR155">
            <v>-200</v>
          </cell>
          <cell r="BS155">
            <v>-50</v>
          </cell>
          <cell r="BT155">
            <v>-50</v>
          </cell>
          <cell r="BU155">
            <v>-50</v>
          </cell>
          <cell r="BV155">
            <v>-50</v>
          </cell>
          <cell r="BW155">
            <v>-200</v>
          </cell>
          <cell r="BX155">
            <v>-50</v>
          </cell>
          <cell r="BY155">
            <v>-50</v>
          </cell>
          <cell r="BZ155">
            <v>-50</v>
          </cell>
          <cell r="CA155">
            <v>-50</v>
          </cell>
          <cell r="CB155">
            <v>-200</v>
          </cell>
        </row>
        <row r="156">
          <cell r="B156" t="str">
            <v>Less: Increase in NWC</v>
          </cell>
          <cell r="T156">
            <v>414.79999999999995</v>
          </cell>
          <cell r="U156">
            <v>-90.300000000000011</v>
          </cell>
          <cell r="V156">
            <v>-273.09999999999997</v>
          </cell>
          <cell r="W156">
            <v>231.9</v>
          </cell>
          <cell r="X156">
            <v>-16.099999999999984</v>
          </cell>
          <cell r="Y156">
            <v>-147.60000000000002</v>
          </cell>
          <cell r="Z156">
            <v>299.20000000000005</v>
          </cell>
          <cell r="AA156">
            <v>-461.3</v>
          </cell>
          <cell r="AB156">
            <v>378.80000000000007</v>
          </cell>
          <cell r="AC156">
            <v>-132.40000000000003</v>
          </cell>
          <cell r="AD156">
            <v>84.299999999999955</v>
          </cell>
          <cell r="AE156">
            <v>-180.1</v>
          </cell>
          <cell r="AF156">
            <v>8.5999999999999801</v>
          </cell>
          <cell r="AG156">
            <v>-165.19999999999993</v>
          </cell>
          <cell r="AH156">
            <v>555.4</v>
          </cell>
          <cell r="AI156">
            <v>218.70000000000002</v>
          </cell>
          <cell r="AJ156">
            <v>-270.39999999999998</v>
          </cell>
          <cell r="AK156">
            <v>262.7</v>
          </cell>
          <cell r="AL156">
            <v>-168.6999999999999</v>
          </cell>
          <cell r="AM156">
            <v>234.39999999999989</v>
          </cell>
          <cell r="AN156">
            <v>57.999999999999943</v>
          </cell>
          <cell r="AO156">
            <v>-214.29999999999995</v>
          </cell>
          <cell r="AP156">
            <v>-337.50000000000011</v>
          </cell>
          <cell r="AQ156">
            <v>191.49999999999997</v>
          </cell>
          <cell r="AR156">
            <v>449.69999999999993</v>
          </cell>
          <cell r="AS156">
            <v>89.399999999999892</v>
          </cell>
          <cell r="AT156">
            <v>760.19999999999993</v>
          </cell>
          <cell r="AU156">
            <v>662.90000000000009</v>
          </cell>
          <cell r="AV156">
            <v>-184.10000000000019</v>
          </cell>
          <cell r="AW156">
            <v>497.50000000000017</v>
          </cell>
          <cell r="AX156">
            <v>1526</v>
          </cell>
          <cell r="AY156">
            <v>-135.10000000000011</v>
          </cell>
          <cell r="AZ156">
            <v>218.10000000000016</v>
          </cell>
          <cell r="BA156">
            <v>-114.69999999999993</v>
          </cell>
          <cell r="BB156">
            <v>472.09999999999968</v>
          </cell>
          <cell r="BC156">
            <v>419.5</v>
          </cell>
          <cell r="BD156">
            <v>-363.30000000000007</v>
          </cell>
          <cell r="BE156">
            <v>79.400000000000063</v>
          </cell>
          <cell r="BF156">
            <v>-35.760000000000048</v>
          </cell>
          <cell r="BG156">
            <v>-358.63999999999976</v>
          </cell>
          <cell r="BH156">
            <v>-850.79999999999927</v>
          </cell>
          <cell r="BI156">
            <v>704.51202501497073</v>
          </cell>
          <cell r="BJ156">
            <v>-10.085466894246451</v>
          </cell>
          <cell r="BK156">
            <v>16.963357324112849</v>
          </cell>
          <cell r="BL156">
            <v>-112.82137526887936</v>
          </cell>
          <cell r="BM156">
            <v>598.56854017595879</v>
          </cell>
          <cell r="BN156">
            <v>536.03883775064241</v>
          </cell>
          <cell r="BO156">
            <v>-30.982006287130275</v>
          </cell>
          <cell r="BP156">
            <v>-22.530425981742496</v>
          </cell>
          <cell r="BQ156">
            <v>6.0017667017456233</v>
          </cell>
          <cell r="BR156">
            <v>488.5281721835147</v>
          </cell>
          <cell r="BS156">
            <v>4.4324614820949364</v>
          </cell>
          <cell r="BT156">
            <v>-15.041090366754702</v>
          </cell>
          <cell r="BU156">
            <v>-1.5806806031500855</v>
          </cell>
          <cell r="BV156">
            <v>6.9341767829455421</v>
          </cell>
          <cell r="BW156">
            <v>-5.2551327048643088</v>
          </cell>
          <cell r="BX156">
            <v>9.7172565915283258</v>
          </cell>
          <cell r="BY156">
            <v>-29.1986957013454</v>
          </cell>
          <cell r="BZ156">
            <v>-23.374954430076741</v>
          </cell>
          <cell r="CA156">
            <v>9.7881349631945795</v>
          </cell>
          <cell r="CB156">
            <v>-33.068258576699236</v>
          </cell>
        </row>
        <row r="157">
          <cell r="B157" t="str">
            <v>Operating FCF - Pretax</v>
          </cell>
          <cell r="T157">
            <v>1314.5999999999985</v>
          </cell>
          <cell r="U157">
            <v>190.99999999999892</v>
          </cell>
          <cell r="V157">
            <v>27.000000000000796</v>
          </cell>
          <cell r="W157">
            <v>510.49999999999704</v>
          </cell>
          <cell r="X157">
            <v>269.29999999999967</v>
          </cell>
          <cell r="Y157">
            <v>997.79999999999256</v>
          </cell>
          <cell r="Z157">
            <v>589.5</v>
          </cell>
          <cell r="AA157">
            <v>-169.99999999999892</v>
          </cell>
          <cell r="AB157">
            <v>670.40000000000236</v>
          </cell>
          <cell r="AC157">
            <v>212.59999999999957</v>
          </cell>
          <cell r="AD157">
            <v>1302.500000000003</v>
          </cell>
          <cell r="AE157">
            <v>-15.89999999999921</v>
          </cell>
          <cell r="AF157">
            <v>365.7999999999999</v>
          </cell>
          <cell r="AG157">
            <v>216.19999999999828</v>
          </cell>
          <cell r="AH157">
            <v>971.50000000000068</v>
          </cell>
          <cell r="AI157">
            <v>1537.6000000000013</v>
          </cell>
          <cell r="AJ157">
            <v>271.39999999999895</v>
          </cell>
          <cell r="AK157">
            <v>702.90000000000032</v>
          </cell>
          <cell r="AL157">
            <v>273.90000000000111</v>
          </cell>
          <cell r="AM157">
            <v>632.19999999999879</v>
          </cell>
          <cell r="AN157">
            <v>1880.3999999999992</v>
          </cell>
          <cell r="AO157">
            <v>358.5000000000008</v>
          </cell>
          <cell r="AP157">
            <v>217.99999999999989</v>
          </cell>
          <cell r="AQ157">
            <v>738.89999999999736</v>
          </cell>
          <cell r="AR157">
            <v>948.3999999999985</v>
          </cell>
          <cell r="AS157">
            <v>2263.799999999997</v>
          </cell>
          <cell r="AT157">
            <v>1371.8000000000004</v>
          </cell>
          <cell r="AU157">
            <v>1289.4999999999993</v>
          </cell>
          <cell r="AV157">
            <v>478.99999999999972</v>
          </cell>
          <cell r="AW157">
            <v>1107.8000000000006</v>
          </cell>
          <cell r="AX157">
            <v>4037.6</v>
          </cell>
          <cell r="AY157">
            <v>508.7999999999987</v>
          </cell>
          <cell r="AZ157">
            <v>890.40000000000089</v>
          </cell>
          <cell r="BA157">
            <v>592.60000000000014</v>
          </cell>
          <cell r="BB157">
            <v>1172.6000000000004</v>
          </cell>
          <cell r="BC157">
            <v>3143.5000000000005</v>
          </cell>
          <cell r="BD157">
            <v>326.39999999999918</v>
          </cell>
          <cell r="BE157">
            <v>748.79999999999984</v>
          </cell>
          <cell r="BF157">
            <v>686.04000000000019</v>
          </cell>
          <cell r="BG157">
            <v>406.56000000000097</v>
          </cell>
          <cell r="BH157">
            <v>1995.3000000000006</v>
          </cell>
          <cell r="BI157">
            <v>1371.3238718189587</v>
          </cell>
          <cell r="BJ157">
            <v>705.06301825978733</v>
          </cell>
          <cell r="BK157">
            <v>795.88212185225075</v>
          </cell>
          <cell r="BL157">
            <v>711.95605774362923</v>
          </cell>
          <cell r="BM157">
            <v>3584.2250696746269</v>
          </cell>
          <cell r="BN157">
            <v>1250.1595863240013</v>
          </cell>
          <cell r="BO157">
            <v>692.71244865596032</v>
          </cell>
          <cell r="BP157">
            <v>753.03328766171705</v>
          </cell>
          <cell r="BQ157">
            <v>773.11655721817567</v>
          </cell>
          <cell r="BR157">
            <v>3469.0218798598535</v>
          </cell>
          <cell r="BS157">
            <v>763.99292502002265</v>
          </cell>
          <cell r="BT157">
            <v>760.09066656832545</v>
          </cell>
          <cell r="BU157">
            <v>834.80274971118774</v>
          </cell>
          <cell r="BV157">
            <v>835.52343314933205</v>
          </cell>
          <cell r="BW157">
            <v>3194.4097744488681</v>
          </cell>
          <cell r="BX157">
            <v>814.37902819613089</v>
          </cell>
          <cell r="BY157">
            <v>787.67531981281297</v>
          </cell>
          <cell r="BZ157">
            <v>852.4889592403033</v>
          </cell>
          <cell r="CA157">
            <v>876.05997888261606</v>
          </cell>
          <cell r="CB157">
            <v>3330.6032861318636</v>
          </cell>
        </row>
        <row r="158">
          <cell r="B158" t="str">
            <v>Taxes on EBIT</v>
          </cell>
          <cell r="T158">
            <v>0</v>
          </cell>
          <cell r="U158">
            <v>-78.326399999999552</v>
          </cell>
          <cell r="V158">
            <v>-89.908200000000278</v>
          </cell>
          <cell r="W158">
            <v>-83.540199999998833</v>
          </cell>
          <cell r="X158">
            <v>-92.972799999999836</v>
          </cell>
          <cell r="Y158">
            <v>-343.01519999999704</v>
          </cell>
          <cell r="Z158">
            <v>-90.584800000000001</v>
          </cell>
          <cell r="AA158">
            <v>-93.490200000000442</v>
          </cell>
          <cell r="AB158">
            <v>-90.982800000000879</v>
          </cell>
          <cell r="AC158">
            <v>-120.03679999999984</v>
          </cell>
          <cell r="AD158">
            <v>-372.26250000000107</v>
          </cell>
          <cell r="AE158">
            <v>-34.9046000000003</v>
          </cell>
          <cell r="AF158">
            <v>-115.34039999999997</v>
          </cell>
          <cell r="AG158">
            <v>-125.76799999999926</v>
          </cell>
          <cell r="AH158">
            <v>-152.95140000000026</v>
          </cell>
          <cell r="AI158">
            <v>-416.03080000000051</v>
          </cell>
          <cell r="AJ158">
            <v>-187.33859999999956</v>
          </cell>
          <cell r="AK158">
            <v>-149.64800000000011</v>
          </cell>
          <cell r="AL158">
            <v>-152.43400000000042</v>
          </cell>
          <cell r="AM158">
            <v>-148.61319999999955</v>
          </cell>
          <cell r="AN158">
            <v>-638.03379999999959</v>
          </cell>
          <cell r="AO158">
            <v>-191.87860000000029</v>
          </cell>
          <cell r="AP158">
            <v>-188.899</v>
          </cell>
          <cell r="AQ158">
            <v>-193.48299999999901</v>
          </cell>
          <cell r="AR158">
            <v>-196.80639999999946</v>
          </cell>
          <cell r="AS158">
            <v>-771.06699999999876</v>
          </cell>
          <cell r="AT158">
            <v>-205.35310000000018</v>
          </cell>
          <cell r="AU158">
            <v>-221.41879999999972</v>
          </cell>
          <cell r="AV158">
            <v>-230.52140000000003</v>
          </cell>
          <cell r="AW158">
            <v>-224.10290000000015</v>
          </cell>
          <cell r="AX158">
            <v>-881.39620000000014</v>
          </cell>
          <cell r="AY158">
            <v>-222.35239999999956</v>
          </cell>
          <cell r="AZ158">
            <v>-239.07940000000028</v>
          </cell>
          <cell r="BA158">
            <v>-254.1337</v>
          </cell>
          <cell r="BB158">
            <v>-255.84530000000029</v>
          </cell>
          <cell r="BC158">
            <v>-971.41080000000011</v>
          </cell>
          <cell r="BD158">
            <v>-237.28999999999971</v>
          </cell>
          <cell r="BE158">
            <v>-237.9901999999999</v>
          </cell>
          <cell r="BF158">
            <v>-262.53610000000015</v>
          </cell>
          <cell r="BG158">
            <v>-299.1410000000003</v>
          </cell>
          <cell r="BH158">
            <v>-1036.9573</v>
          </cell>
          <cell r="BI158">
            <v>-225.6440584067513</v>
          </cell>
          <cell r="BJ158">
            <v>-244.44701072491915</v>
          </cell>
          <cell r="BK158">
            <v>-269.25364940144567</v>
          </cell>
          <cell r="BL158">
            <v>-287.09267144186583</v>
          </cell>
          <cell r="BM158">
            <v>-1026.4373899749819</v>
          </cell>
          <cell r="BN158">
            <v>-246.47847119503663</v>
          </cell>
          <cell r="BO158">
            <v>-250.20264297286224</v>
          </cell>
          <cell r="BP158">
            <v>-270.37978460730579</v>
          </cell>
          <cell r="BQ158">
            <v>-267.09315351089128</v>
          </cell>
          <cell r="BR158">
            <v>-1034.154052286096</v>
          </cell>
          <cell r="BS158">
            <v>-264.15452031625387</v>
          </cell>
          <cell r="BT158">
            <v>-270.21175344774616</v>
          </cell>
          <cell r="BU158">
            <v>-294.03865439227741</v>
          </cell>
          <cell r="BV158">
            <v>-291.00672072652435</v>
          </cell>
          <cell r="BW158">
            <v>-1119.411648882802</v>
          </cell>
          <cell r="BX158">
            <v>-281.69892915419041</v>
          </cell>
          <cell r="BY158">
            <v>-286.44949203500761</v>
          </cell>
          <cell r="BZ158">
            <v>-309.39656241777783</v>
          </cell>
          <cell r="CA158">
            <v>-305.66524728465498</v>
          </cell>
          <cell r="CB158">
            <v>-1183.2102308916308</v>
          </cell>
        </row>
        <row r="159">
          <cell r="B159" t="str">
            <v>Operating FCF - After Tax</v>
          </cell>
          <cell r="T159">
            <v>1314.5999999999985</v>
          </cell>
          <cell r="U159">
            <v>112.67359999999937</v>
          </cell>
          <cell r="V159">
            <v>-62.908199999999482</v>
          </cell>
          <cell r="W159">
            <v>426.95979999999821</v>
          </cell>
          <cell r="X159">
            <v>176.32719999999983</v>
          </cell>
          <cell r="Y159">
            <v>654.78479999999558</v>
          </cell>
          <cell r="Z159">
            <v>498.91520000000003</v>
          </cell>
          <cell r="AA159">
            <v>-263.49019999999939</v>
          </cell>
          <cell r="AB159">
            <v>579.41720000000146</v>
          </cell>
          <cell r="AC159">
            <v>92.563199999999725</v>
          </cell>
          <cell r="AD159">
            <v>930.23750000000189</v>
          </cell>
          <cell r="AE159">
            <v>-50.80459999999951</v>
          </cell>
          <cell r="AF159">
            <v>250.45959999999991</v>
          </cell>
          <cell r="AG159">
            <v>90.431999999999022</v>
          </cell>
          <cell r="AH159">
            <v>818.54860000000042</v>
          </cell>
          <cell r="AI159">
            <v>1121.5692000000008</v>
          </cell>
          <cell r="AJ159">
            <v>84.061399999999395</v>
          </cell>
          <cell r="AK159">
            <v>553.25200000000018</v>
          </cell>
          <cell r="AL159">
            <v>121.46600000000069</v>
          </cell>
          <cell r="AM159">
            <v>483.58679999999924</v>
          </cell>
          <cell r="AN159">
            <v>1242.3661999999995</v>
          </cell>
          <cell r="AO159">
            <v>166.62140000000051</v>
          </cell>
          <cell r="AP159">
            <v>29.100999999999885</v>
          </cell>
          <cell r="AQ159">
            <v>545.41699999999832</v>
          </cell>
          <cell r="AR159">
            <v>751.59359999999901</v>
          </cell>
          <cell r="AS159">
            <v>1492.7329999999984</v>
          </cell>
          <cell r="AT159">
            <v>1166.4469000000001</v>
          </cell>
          <cell r="AU159">
            <v>1068.0811999999996</v>
          </cell>
          <cell r="AV159">
            <v>248.47859999999969</v>
          </cell>
          <cell r="AW159">
            <v>883.69710000000055</v>
          </cell>
          <cell r="AX159">
            <v>3156.2037999999998</v>
          </cell>
          <cell r="AY159">
            <v>286.44759999999917</v>
          </cell>
          <cell r="AZ159">
            <v>651.32060000000058</v>
          </cell>
          <cell r="BA159">
            <v>338.46630000000016</v>
          </cell>
          <cell r="BB159">
            <v>916.75470000000007</v>
          </cell>
          <cell r="BC159">
            <v>2172.0892000000003</v>
          </cell>
          <cell r="BD159">
            <v>89.109999999999474</v>
          </cell>
          <cell r="BE159">
            <v>510.80979999999994</v>
          </cell>
          <cell r="BF159">
            <v>423.50390000000004</v>
          </cell>
          <cell r="BG159">
            <v>107.41900000000066</v>
          </cell>
          <cell r="BH159">
            <v>958.3427000000006</v>
          </cell>
          <cell r="BI159">
            <v>1145.6798134122073</v>
          </cell>
          <cell r="BJ159">
            <v>460.61600753486817</v>
          </cell>
          <cell r="BK159">
            <v>526.62847245080502</v>
          </cell>
          <cell r="BL159">
            <v>424.8633863017634</v>
          </cell>
          <cell r="BM159">
            <v>2557.7876796996452</v>
          </cell>
          <cell r="BN159">
            <v>1003.6811151289647</v>
          </cell>
          <cell r="BO159">
            <v>442.50980568309808</v>
          </cell>
          <cell r="BP159">
            <v>482.65350305441126</v>
          </cell>
          <cell r="BQ159">
            <v>506.02340370728439</v>
          </cell>
          <cell r="BR159">
            <v>2434.8678275737575</v>
          </cell>
          <cell r="BS159">
            <v>499.83840470376879</v>
          </cell>
          <cell r="BT159">
            <v>489.87891312057928</v>
          </cell>
          <cell r="BU159">
            <v>540.76409531891034</v>
          </cell>
          <cell r="BV159">
            <v>544.5167124228077</v>
          </cell>
          <cell r="BW159">
            <v>2074.9981255660659</v>
          </cell>
          <cell r="BX159">
            <v>532.68009904194048</v>
          </cell>
          <cell r="BY159">
            <v>501.22582777780536</v>
          </cell>
          <cell r="BZ159">
            <v>543.09239682252542</v>
          </cell>
          <cell r="CA159">
            <v>570.39473159796103</v>
          </cell>
          <cell r="CB159">
            <v>2147.3930552402326</v>
          </cell>
        </row>
        <row r="161">
          <cell r="B161" t="str">
            <v>Free Cash Flow</v>
          </cell>
        </row>
        <row r="162">
          <cell r="B162" t="str">
            <v>Cash from Operations</v>
          </cell>
          <cell r="T162">
            <v>1123.9000000000012</v>
          </cell>
          <cell r="U162">
            <v>120.49999999999888</v>
          </cell>
          <cell r="V162">
            <v>-51.199999999999307</v>
          </cell>
          <cell r="W162">
            <v>440.59999999999707</v>
          </cell>
          <cell r="X162">
            <v>201.39999999999969</v>
          </cell>
          <cell r="Y162">
            <v>711.29999999999632</v>
          </cell>
          <cell r="Z162">
            <v>516.80000000000007</v>
          </cell>
          <cell r="AA162">
            <v>-239.49999999999889</v>
          </cell>
          <cell r="AB162">
            <v>624.20000000000232</v>
          </cell>
          <cell r="AC162">
            <v>142.49999999999963</v>
          </cell>
          <cell r="AD162">
            <v>1044.0000000000032</v>
          </cell>
          <cell r="AE162">
            <v>-31.099999999999227</v>
          </cell>
          <cell r="AF162">
            <v>275.49999999999989</v>
          </cell>
          <cell r="AG162">
            <v>117.49999999999824</v>
          </cell>
          <cell r="AH162">
            <v>879.20000000000073</v>
          </cell>
          <cell r="AI162">
            <v>1241.0999999999997</v>
          </cell>
          <cell r="AJ162">
            <v>100.49999999999898</v>
          </cell>
          <cell r="AK162">
            <v>576.20000000000027</v>
          </cell>
          <cell r="AL162">
            <v>139.70000000000124</v>
          </cell>
          <cell r="AM162">
            <v>550.59999999999877</v>
          </cell>
          <cell r="AN162">
            <v>1366.9999999999991</v>
          </cell>
          <cell r="AO162">
            <v>165.5000000000008</v>
          </cell>
          <cell r="AP162">
            <v>34.699999999999875</v>
          </cell>
          <cell r="AQ162">
            <v>596.99999999999739</v>
          </cell>
          <cell r="AR162">
            <v>837.99999999999852</v>
          </cell>
          <cell r="AS162">
            <v>1635.1999999999971</v>
          </cell>
          <cell r="AT162">
            <v>1170.3000000000004</v>
          </cell>
          <cell r="AU162">
            <v>1095.1999999999994</v>
          </cell>
          <cell r="AV162">
            <v>278.19999999999976</v>
          </cell>
          <cell r="AW162">
            <v>957.70000000000061</v>
          </cell>
          <cell r="AX162">
            <v>3501.4000000000005</v>
          </cell>
          <cell r="AY162">
            <v>300.29999999999882</v>
          </cell>
          <cell r="AZ162">
            <v>690.5000000000008</v>
          </cell>
          <cell r="BA162">
            <v>374.50000000000006</v>
          </cell>
          <cell r="BB162">
            <v>979.40000000000043</v>
          </cell>
          <cell r="BC162">
            <v>2344.7000000000003</v>
          </cell>
          <cell r="BD162">
            <v>93.999999999999147</v>
          </cell>
          <cell r="BE162">
            <v>546.39999999999964</v>
          </cell>
          <cell r="BF162">
            <v>445.74000000000024</v>
          </cell>
          <cell r="BG162">
            <v>196.26000000000096</v>
          </cell>
          <cell r="BH162">
            <v>1282.4000000000003</v>
          </cell>
          <cell r="BI162">
            <v>1157.3670989389473</v>
          </cell>
          <cell r="BJ162">
            <v>473.35925470067571</v>
          </cell>
          <cell r="BK162">
            <v>538.52456799380298</v>
          </cell>
          <cell r="BL162">
            <v>435.61314949788493</v>
          </cell>
          <cell r="BM162">
            <v>2604.8640711313105</v>
          </cell>
          <cell r="BN162">
            <v>1020.1504245424085</v>
          </cell>
          <cell r="BO162">
            <v>458.94786201269517</v>
          </cell>
          <cell r="BP162">
            <v>498.53992268215779</v>
          </cell>
          <cell r="BQ162">
            <v>522.18326185048591</v>
          </cell>
          <cell r="BR162">
            <v>2499.8214710877473</v>
          </cell>
          <cell r="BS162">
            <v>515.0573246735396</v>
          </cell>
          <cell r="BT162">
            <v>503.54510278474083</v>
          </cell>
          <cell r="BU162">
            <v>554.09199038999998</v>
          </cell>
          <cell r="BV162">
            <v>558.22864712931687</v>
          </cell>
          <cell r="BW162">
            <v>2130.9230649775973</v>
          </cell>
          <cell r="BX162">
            <v>545.63260215670937</v>
          </cell>
          <cell r="BY162">
            <v>512.71950696445094</v>
          </cell>
          <cell r="BZ162">
            <v>554.81206767848221</v>
          </cell>
          <cell r="CA162">
            <v>582.46926753963612</v>
          </cell>
          <cell r="CB162">
            <v>2195.6334443392789</v>
          </cell>
        </row>
        <row r="163">
          <cell r="B163" t="str">
            <v>Less: Capex</v>
          </cell>
          <cell r="T163">
            <v>-124.9</v>
          </cell>
          <cell r="U163">
            <v>-22.7</v>
          </cell>
          <cell r="V163">
            <v>-20.400000000000002</v>
          </cell>
          <cell r="W163">
            <v>-21.899999999999995</v>
          </cell>
          <cell r="X163">
            <v>-33.099999999999994</v>
          </cell>
          <cell r="Y163">
            <v>-98.1</v>
          </cell>
          <cell r="Z163">
            <v>-23.7</v>
          </cell>
          <cell r="AA163">
            <v>-28.000000000000004</v>
          </cell>
          <cell r="AB163">
            <v>-25.700000000000006</v>
          </cell>
          <cell r="AC163">
            <v>-54.699999999999989</v>
          </cell>
          <cell r="AD163">
            <v>-132.1</v>
          </cell>
          <cell r="AE163">
            <v>-27.7</v>
          </cell>
          <cell r="AF163">
            <v>-28.599999999999998</v>
          </cell>
          <cell r="AG163">
            <v>-31.500000000000004</v>
          </cell>
          <cell r="AH163">
            <v>-63.2</v>
          </cell>
          <cell r="AI163">
            <v>-151</v>
          </cell>
          <cell r="AJ163">
            <v>-25</v>
          </cell>
          <cell r="AK163">
            <v>-34.4</v>
          </cell>
          <cell r="AL163">
            <v>-34.1</v>
          </cell>
          <cell r="AM163">
            <v>-84.199999999999989</v>
          </cell>
          <cell r="AN163">
            <v>-177.7</v>
          </cell>
          <cell r="AO163">
            <v>-39.1</v>
          </cell>
          <cell r="AP163">
            <v>-48.499999999999993</v>
          </cell>
          <cell r="AQ163">
            <v>-68.900000000000006</v>
          </cell>
          <cell r="AR163">
            <v>-130.39999999999998</v>
          </cell>
          <cell r="AS163">
            <v>-286.89999999999998</v>
          </cell>
          <cell r="AT163">
            <v>-35.4</v>
          </cell>
          <cell r="AU163">
            <v>-62.699999999999996</v>
          </cell>
          <cell r="AV163">
            <v>-56.200000000000024</v>
          </cell>
          <cell r="AW163">
            <v>-84.5</v>
          </cell>
          <cell r="AX163">
            <v>-238.8</v>
          </cell>
          <cell r="AY163">
            <v>-42.6</v>
          </cell>
          <cell r="AZ163">
            <v>-57.800000000000004</v>
          </cell>
          <cell r="BA163">
            <v>-63.699999999999982</v>
          </cell>
          <cell r="BB163">
            <v>-86</v>
          </cell>
          <cell r="BC163">
            <v>-250.1</v>
          </cell>
          <cell r="BD163">
            <v>-44.5</v>
          </cell>
          <cell r="BE163">
            <v>-66.599999999999994</v>
          </cell>
          <cell r="BF163">
            <v>-79.200000000000017</v>
          </cell>
          <cell r="BG163">
            <v>-134.30000000000001</v>
          </cell>
          <cell r="BH163">
            <v>-324.60000000000002</v>
          </cell>
          <cell r="BI163">
            <v>-43.75</v>
          </cell>
          <cell r="BJ163">
            <v>-43.75</v>
          </cell>
          <cell r="BK163">
            <v>-43.75</v>
          </cell>
          <cell r="BL163">
            <v>-43.75</v>
          </cell>
          <cell r="BM163">
            <v>-175</v>
          </cell>
          <cell r="BN163">
            <v>-50</v>
          </cell>
          <cell r="BO163">
            <v>-50</v>
          </cell>
          <cell r="BP163">
            <v>-50</v>
          </cell>
          <cell r="BQ163">
            <v>-50</v>
          </cell>
          <cell r="BR163">
            <v>-200</v>
          </cell>
          <cell r="BS163">
            <v>-50</v>
          </cell>
          <cell r="BT163">
            <v>-50</v>
          </cell>
          <cell r="BU163">
            <v>-50</v>
          </cell>
          <cell r="BV163">
            <v>-50</v>
          </cell>
          <cell r="BW163">
            <v>-200</v>
          </cell>
          <cell r="BX163">
            <v>-50</v>
          </cell>
          <cell r="BY163">
            <v>-50</v>
          </cell>
          <cell r="BZ163">
            <v>-50</v>
          </cell>
          <cell r="CA163">
            <v>-50</v>
          </cell>
          <cell r="CB163">
            <v>-200</v>
          </cell>
        </row>
        <row r="164">
          <cell r="B164" t="str">
            <v>Free Cash Flow</v>
          </cell>
          <cell r="T164">
            <v>999.00000000000125</v>
          </cell>
          <cell r="U164">
            <v>97.799999999998875</v>
          </cell>
          <cell r="V164">
            <v>-71.599999999999312</v>
          </cell>
          <cell r="W164">
            <v>418.69999999999709</v>
          </cell>
          <cell r="X164">
            <v>168.2999999999997</v>
          </cell>
          <cell r="Y164">
            <v>613.19999999999629</v>
          </cell>
          <cell r="Z164">
            <v>493.10000000000008</v>
          </cell>
          <cell r="AA164">
            <v>-267.49999999999892</v>
          </cell>
          <cell r="AB164">
            <v>598.50000000000227</v>
          </cell>
          <cell r="AC164">
            <v>87.799999999999642</v>
          </cell>
          <cell r="AD164">
            <v>911.90000000000316</v>
          </cell>
          <cell r="AE164">
            <v>-58.79999999999923</v>
          </cell>
          <cell r="AF164">
            <v>246.89999999999989</v>
          </cell>
          <cell r="AG164">
            <v>85.999999999998238</v>
          </cell>
          <cell r="AH164">
            <v>816.00000000000068</v>
          </cell>
          <cell r="AI164">
            <v>1090.0999999999997</v>
          </cell>
          <cell r="AJ164">
            <v>75.499999999998977</v>
          </cell>
          <cell r="AK164">
            <v>541.8000000000003</v>
          </cell>
          <cell r="AL164">
            <v>105.60000000000124</v>
          </cell>
          <cell r="AM164">
            <v>466.39999999999878</v>
          </cell>
          <cell r="AN164">
            <v>1189.299999999999</v>
          </cell>
          <cell r="AO164">
            <v>126.4000000000008</v>
          </cell>
          <cell r="AP164">
            <v>-13.800000000000118</v>
          </cell>
          <cell r="AQ164">
            <v>528.09999999999741</v>
          </cell>
          <cell r="AR164">
            <v>707.59999999999854</v>
          </cell>
          <cell r="AS164">
            <v>1348.299999999997</v>
          </cell>
          <cell r="AT164">
            <v>1134.9000000000003</v>
          </cell>
          <cell r="AU164">
            <v>1032.4999999999993</v>
          </cell>
          <cell r="AV164">
            <v>221.99999999999974</v>
          </cell>
          <cell r="AW164">
            <v>873.20000000000061</v>
          </cell>
          <cell r="AX164">
            <v>3262.6000000000004</v>
          </cell>
          <cell r="AY164">
            <v>257.69999999999879</v>
          </cell>
          <cell r="AZ164">
            <v>632.70000000000084</v>
          </cell>
          <cell r="BA164">
            <v>310.80000000000007</v>
          </cell>
          <cell r="BB164">
            <v>893.40000000000043</v>
          </cell>
          <cell r="BC164">
            <v>2094.6000000000004</v>
          </cell>
          <cell r="BD164">
            <v>49.499999999999147</v>
          </cell>
          <cell r="BE164">
            <v>479.79999999999961</v>
          </cell>
          <cell r="BF164">
            <v>366.54000000000019</v>
          </cell>
          <cell r="BG164">
            <v>61.960000000000946</v>
          </cell>
          <cell r="BH164">
            <v>957.8000000000003</v>
          </cell>
          <cell r="BI164">
            <v>1113.6170989389473</v>
          </cell>
          <cell r="BJ164">
            <v>429.60925470067571</v>
          </cell>
          <cell r="BK164">
            <v>494.77456799380298</v>
          </cell>
          <cell r="BL164">
            <v>391.86314949788493</v>
          </cell>
          <cell r="BM164">
            <v>2429.8640711313105</v>
          </cell>
          <cell r="BN164">
            <v>970.15042454240847</v>
          </cell>
          <cell r="BO164">
            <v>408.94786201269517</v>
          </cell>
          <cell r="BP164">
            <v>448.53992268215779</v>
          </cell>
          <cell r="BQ164">
            <v>472.18326185048591</v>
          </cell>
          <cell r="BR164">
            <v>2299.8214710877473</v>
          </cell>
          <cell r="BS164">
            <v>465.0573246735396</v>
          </cell>
          <cell r="BT164">
            <v>453.54510278474083</v>
          </cell>
          <cell r="BU164">
            <v>504.09199038999998</v>
          </cell>
          <cell r="BV164">
            <v>508.22864712931687</v>
          </cell>
          <cell r="BW164">
            <v>1930.9230649775973</v>
          </cell>
          <cell r="BX164">
            <v>495.63260215670937</v>
          </cell>
          <cell r="BY164">
            <v>462.71950696445094</v>
          </cell>
          <cell r="BZ164">
            <v>504.81206767848221</v>
          </cell>
          <cell r="CA164">
            <v>532.46926753963612</v>
          </cell>
          <cell r="CB164">
            <v>1995.6334443392789</v>
          </cell>
        </row>
        <row r="166">
          <cell r="B166" t="str">
            <v>FCF Per Share</v>
          </cell>
          <cell r="T166">
            <v>1.8445347119645517</v>
          </cell>
          <cell r="U166">
            <v>0.17866276945560627</v>
          </cell>
          <cell r="V166">
            <v>-0.13037144938091644</v>
          </cell>
          <cell r="W166">
            <v>0.76349380014587365</v>
          </cell>
          <cell r="X166">
            <v>0.30433996383363415</v>
          </cell>
          <cell r="Y166">
            <v>1.1159235668789742</v>
          </cell>
          <cell r="Z166">
            <v>0.88022134951802933</v>
          </cell>
          <cell r="AA166">
            <v>-0.47128259337561473</v>
          </cell>
          <cell r="AB166">
            <v>1.0092748735244559</v>
          </cell>
          <cell r="AC166">
            <v>0.14075024046168588</v>
          </cell>
          <cell r="AD166">
            <v>1.5530954611257821</v>
          </cell>
          <cell r="AE166">
            <v>-9.5268956578093367E-2</v>
          </cell>
          <cell r="AF166">
            <v>0.40756025090789022</v>
          </cell>
          <cell r="AG166">
            <v>0.14395714763976941</v>
          </cell>
          <cell r="AH166">
            <v>1.3807106598984784</v>
          </cell>
          <cell r="AI166">
            <v>1.8071949602122008</v>
          </cell>
          <cell r="AJ166">
            <v>0.14438577808313188</v>
          </cell>
          <cell r="AK166">
            <v>0.9805955334987595</v>
          </cell>
          <cell r="AL166">
            <v>0.22165328467153411</v>
          </cell>
          <cell r="AM166">
            <v>0.88520373421197018</v>
          </cell>
          <cell r="AN166">
            <v>2.2149513282224986</v>
          </cell>
          <cell r="AO166">
            <v>0.30982037932316941</v>
          </cell>
          <cell r="AP166">
            <v>5.6222952086553098E-2</v>
          </cell>
          <cell r="AQ166">
            <v>1.062362680171403</v>
          </cell>
          <cell r="AR166">
            <v>1.4874205422521254</v>
          </cell>
          <cell r="AS166">
            <v>2.8783898958735024</v>
          </cell>
          <cell r="AT166">
            <v>2.3273082601755788</v>
          </cell>
          <cell r="AU166">
            <v>2.1886909836065565</v>
          </cell>
          <cell r="AV166">
            <v>0.51264410975861296</v>
          </cell>
          <cell r="AW166">
            <v>1.8138282019704446</v>
          </cell>
          <cell r="AX166">
            <v>6.4412322448979591</v>
          </cell>
          <cell r="AY166">
            <v>0.5990121288163931</v>
          </cell>
          <cell r="AZ166">
            <v>1.4097848484848496</v>
          </cell>
          <cell r="BA166">
            <v>0.77434522992450272</v>
          </cell>
          <cell r="BB166">
            <v>2.1309965132496513</v>
          </cell>
          <cell r="BC166">
            <v>4.8068364038727527</v>
          </cell>
          <cell r="BD166">
            <v>0.2151376146788978</v>
          </cell>
          <cell r="BE166">
            <v>1.2609474203900268</v>
          </cell>
          <cell r="BF166">
            <v>1.0724332742466449</v>
          </cell>
          <cell r="BG166">
            <v>0.27215353432987249</v>
          </cell>
          <cell r="BH166">
            <v>2.3826035179315075</v>
          </cell>
          <cell r="BI166">
            <v>2.9026597755566437</v>
          </cell>
          <cell r="BJ166">
            <v>1.1670028060168942</v>
          </cell>
          <cell r="BK166">
            <v>1.4215266094616228</v>
          </cell>
          <cell r="BL166">
            <v>1.2438828105581223</v>
          </cell>
          <cell r="BM166">
            <v>6.8142750916480388</v>
          </cell>
          <cell r="BN166">
            <v>3.0716163860374528</v>
          </cell>
          <cell r="BO166">
            <v>1.4219273416147191</v>
          </cell>
          <cell r="BP166">
            <v>1.5838536095222888</v>
          </cell>
          <cell r="BQ166">
            <v>1.6718100834844465</v>
          </cell>
          <cell r="BR166">
            <v>7.8204955986471747</v>
          </cell>
          <cell r="BS166">
            <v>1.7202066529527367</v>
          </cell>
          <cell r="BT166">
            <v>1.7770136928708142</v>
          </cell>
          <cell r="BU166">
            <v>2.0079885628968381</v>
          </cell>
          <cell r="BV166">
            <v>2.0526291237356702</v>
          </cell>
          <cell r="BW166">
            <v>7.5397707053074035</v>
          </cell>
          <cell r="BX166">
            <v>2.0820661759394579</v>
          </cell>
          <cell r="BY166">
            <v>2.0509038506674226</v>
          </cell>
          <cell r="BZ166">
            <v>2.2822708438172414</v>
          </cell>
          <cell r="CA166">
            <v>2.4458816768070979</v>
          </cell>
          <cell r="CB166">
            <v>8.8424457638404466</v>
          </cell>
        </row>
        <row r="167">
          <cell r="B167" t="str">
            <v>FCF Yield</v>
          </cell>
          <cell r="U167">
            <v>4.1874476048710259E-2</v>
          </cell>
          <cell r="V167">
            <v>-2.9546072536626118E-2</v>
          </cell>
          <cell r="W167">
            <v>0.19243131684963588</v>
          </cell>
          <cell r="X167">
            <v>6.6569572649171072E-2</v>
          </cell>
          <cell r="Y167">
            <v>6.4820215613905552E-2</v>
          </cell>
          <cell r="Z167">
            <v>0.15884252151516703</v>
          </cell>
          <cell r="AA167">
            <v>-7.2670094267119636E-2</v>
          </cell>
          <cell r="AB167">
            <v>0.15975364806332704</v>
          </cell>
          <cell r="AC167">
            <v>2.0711711856498748E-2</v>
          </cell>
          <cell r="AD167">
            <v>6.1741994238762657E-2</v>
          </cell>
          <cell r="AE167">
            <v>-1.3461424238234617E-2</v>
          </cell>
          <cell r="AF167">
            <v>6.1045212083444926E-2</v>
          </cell>
          <cell r="AG167">
            <v>1.9003704925747756E-2</v>
          </cell>
          <cell r="AH167">
            <v>0.2073771613750032</v>
          </cell>
          <cell r="AI167">
            <v>6.4606862823393799E-2</v>
          </cell>
          <cell r="AJ167">
            <v>1.8307236437202105E-2</v>
          </cell>
          <cell r="AK167">
            <v>0.10279410528509696</v>
          </cell>
          <cell r="AL167">
            <v>2.1215083337880716E-2</v>
          </cell>
          <cell r="AM167">
            <v>7.3875554716083161E-2</v>
          </cell>
          <cell r="AN167">
            <v>5.5456803360593332E-2</v>
          </cell>
          <cell r="AO167">
            <v>2.5938075787326934E-2</v>
          </cell>
          <cell r="AP167">
            <v>4.7358885656047225E-3</v>
          </cell>
          <cell r="AQ167">
            <v>8.9375391026431314E-2</v>
          </cell>
          <cell r="AR167">
            <v>0.14909090364428645</v>
          </cell>
          <cell r="AS167">
            <v>6.3035643661449953E-2</v>
          </cell>
          <cell r="AT167">
            <v>0.2183827285233656</v>
          </cell>
          <cell r="AU167">
            <v>0.19695123904416886</v>
          </cell>
          <cell r="AV167">
            <v>3.892364038325595E-2</v>
          </cell>
          <cell r="AW167">
            <v>0.12009652924418743</v>
          </cell>
          <cell r="AX167">
            <v>0.12850546373822366</v>
          </cell>
          <cell r="AY167">
            <v>3.7576138235679693E-2</v>
          </cell>
          <cell r="AZ167">
            <v>9.4552722762754948E-2</v>
          </cell>
          <cell r="BA167">
            <v>6.2942903048413254E-2</v>
          </cell>
          <cell r="BB167">
            <v>0.14640246342640514</v>
          </cell>
          <cell r="BC167">
            <v>8.3373983657411027E-2</v>
          </cell>
          <cell r="BD167">
            <v>1.4092441725772656E-2</v>
          </cell>
          <cell r="BE167">
            <v>8.5844331122428577E-2</v>
          </cell>
          <cell r="BF167">
            <v>7.8823564817724165E-2</v>
          </cell>
          <cell r="BG167">
            <v>2.0302625686145489E-2</v>
          </cell>
          <cell r="BH167">
            <v>4.1844311204733323E-2</v>
          </cell>
          <cell r="BI167">
            <v>0.18522107007508623</v>
          </cell>
          <cell r="BJ167">
            <v>7.2880750954513476E-2</v>
          </cell>
          <cell r="BK167">
            <v>8.8776073429498323E-2</v>
          </cell>
          <cell r="BL167">
            <v>7.7682001161849881E-2</v>
          </cell>
          <cell r="BM167">
            <v>0.10695087505819335</v>
          </cell>
          <cell r="BN167">
            <v>0.19182619587922145</v>
          </cell>
          <cell r="BO167">
            <v>8.8801099642030937E-2</v>
          </cell>
          <cell r="BP167">
            <v>9.8913592896991337E-2</v>
          </cell>
          <cell r="BQ167">
            <v>0.10440658215170666</v>
          </cell>
          <cell r="BR167">
            <v>0.12209987609439087</v>
          </cell>
          <cell r="BS167">
            <v>0.10742900704073508</v>
          </cell>
          <cell r="BT167">
            <v>0.11097667608436268</v>
          </cell>
          <cell r="BU167">
            <v>0.1254013388977907</v>
          </cell>
          <cell r="BV167">
            <v>0.12818919645922128</v>
          </cell>
          <cell r="BW167">
            <v>0.11771697295723897</v>
          </cell>
          <cell r="BX167">
            <v>0.13002757633237844</v>
          </cell>
          <cell r="BY167">
            <v>0.12808145104835592</v>
          </cell>
          <cell r="BZ167">
            <v>0.14253060242991886</v>
          </cell>
          <cell r="CA167">
            <v>0.1527482988322888</v>
          </cell>
          <cell r="CB167">
            <v>0.13805538517572485</v>
          </cell>
        </row>
        <row r="169">
          <cell r="B169" t="str">
            <v>Stock Price</v>
          </cell>
          <cell r="D169" t="str">
            <v/>
          </cell>
          <cell r="E169" t="e">
            <v>#N/A</v>
          </cell>
          <cell r="F169" t="e">
            <v>#N/A</v>
          </cell>
          <cell r="G169" t="e">
            <v>#N/A</v>
          </cell>
          <cell r="H169" t="e">
            <v>#N/A</v>
          </cell>
          <cell r="I169" t="e">
            <v>#N/A</v>
          </cell>
          <cell r="J169" t="e">
            <v>#N/A</v>
          </cell>
          <cell r="K169" t="e">
            <v>#N/A</v>
          </cell>
          <cell r="L169" t="e">
            <v>#N/A</v>
          </cell>
          <cell r="M169" t="e">
            <v>#N/A</v>
          </cell>
          <cell r="N169" t="e">
            <v>#N/A</v>
          </cell>
          <cell r="O169" t="e">
            <v>#N/A</v>
          </cell>
          <cell r="P169" t="e">
            <v>#N/A</v>
          </cell>
          <cell r="Q169" t="e">
            <v>#N/A</v>
          </cell>
          <cell r="R169">
            <v>12.620810810810809</v>
          </cell>
          <cell r="S169">
            <v>16.553593750000001</v>
          </cell>
          <cell r="T169">
            <v>15.112871287128714</v>
          </cell>
          <cell r="U169">
            <v>17.066507936507936</v>
          </cell>
          <cell r="V169">
            <v>17.649919354838708</v>
          </cell>
          <cell r="W169">
            <v>15.870468750000001</v>
          </cell>
          <cell r="X169">
            <v>18.287031249999998</v>
          </cell>
          <cell r="Y169">
            <v>17.215671936758888</v>
          </cell>
          <cell r="Z169">
            <v>22.165887096774188</v>
          </cell>
          <cell r="AA169">
            <v>25.9409375</v>
          </cell>
          <cell r="AB169">
            <v>25.270781249999999</v>
          </cell>
          <cell r="AC169">
            <v>27.182734374999999</v>
          </cell>
          <cell r="AD169">
            <v>25.154604743082995</v>
          </cell>
          <cell r="AE169">
            <v>28.30873015873016</v>
          </cell>
          <cell r="AF169">
            <v>26.705468750000001</v>
          </cell>
          <cell r="AG169">
            <v>30.300859375000002</v>
          </cell>
          <cell r="AH169">
            <v>26.631875000000001</v>
          </cell>
          <cell r="AI169">
            <v>27.972182539682535</v>
          </cell>
          <cell r="AJ169">
            <v>31.547258064516125</v>
          </cell>
          <cell r="AK169">
            <v>38.157656250000002</v>
          </cell>
          <cell r="AL169">
            <v>41.791640625000007</v>
          </cell>
          <cell r="AM169">
            <v>47.929453125000002</v>
          </cell>
          <cell r="AN169">
            <v>39.940119047619064</v>
          </cell>
          <cell r="AO169">
            <v>47.778467741935479</v>
          </cell>
          <cell r="AP169">
            <v>47.486718750000001</v>
          </cell>
          <cell r="AQ169">
            <v>47.546093749999997</v>
          </cell>
          <cell r="AR169">
            <v>39.906406250000003</v>
          </cell>
          <cell r="AS169">
            <v>45.6628937007874</v>
          </cell>
          <cell r="AT169">
            <v>42.628064516129008</v>
          </cell>
          <cell r="AU169">
            <v>44.451428571428572</v>
          </cell>
          <cell r="AV169">
            <v>52.682031250000001</v>
          </cell>
          <cell r="AW169">
            <v>60.412343749999998</v>
          </cell>
          <cell r="AX169">
            <v>50.124189723320136</v>
          </cell>
          <cell r="AY169">
            <v>63.765161290322567</v>
          </cell>
          <cell r="AZ169">
            <v>59.640158730158738</v>
          </cell>
          <cell r="BA169">
            <v>49.209375000000001</v>
          </cell>
          <cell r="BB169">
            <v>58.22296875</v>
          </cell>
          <cell r="BC169">
            <v>57.653913043478262</v>
          </cell>
          <cell r="BD169">
            <v>61.064681015625006</v>
          </cell>
          <cell r="BE169">
            <v>58.755069969230789</v>
          </cell>
          <cell r="BF169">
            <v>54.421962606060617</v>
          </cell>
          <cell r="BG169">
            <v>53.619376830769241</v>
          </cell>
          <cell r="BH169">
            <v>56.939723688461463</v>
          </cell>
          <cell r="BI169">
            <v>62.685304093750091</v>
          </cell>
          <cell r="BJ169">
            <v>64.049987999999999</v>
          </cell>
          <cell r="BK169">
            <v>64.049988000000056</v>
          </cell>
          <cell r="BL169">
            <v>64.049988000000241</v>
          </cell>
          <cell r="BM169">
            <v>63.714065807692585</v>
          </cell>
          <cell r="BN169">
            <v>64.049988000000141</v>
          </cell>
          <cell r="BO169">
            <v>64.0499879999999</v>
          </cell>
          <cell r="BP169">
            <v>64.049987999999743</v>
          </cell>
          <cell r="BQ169">
            <v>64.049987999999615</v>
          </cell>
          <cell r="BR169">
            <v>64.049987999999615</v>
          </cell>
          <cell r="BS169">
            <v>64.04998799999953</v>
          </cell>
          <cell r="BT169">
            <v>64.049987999999459</v>
          </cell>
          <cell r="BU169">
            <v>64.049987999999402</v>
          </cell>
          <cell r="BV169">
            <v>64.049987999999345</v>
          </cell>
          <cell r="BW169">
            <v>64.049987999999345</v>
          </cell>
          <cell r="BX169">
            <v>64.049987999999303</v>
          </cell>
          <cell r="BY169">
            <v>64.049987999999274</v>
          </cell>
          <cell r="BZ169">
            <v>64.049987999999246</v>
          </cell>
          <cell r="CA169">
            <v>64.049987999999217</v>
          </cell>
          <cell r="CB169">
            <v>64.049987999999217</v>
          </cell>
        </row>
        <row r="172">
          <cell r="B172" t="str">
            <v>Change in Shareholders' Equity</v>
          </cell>
        </row>
        <row r="173">
          <cell r="B173" t="str">
            <v>Other Changes</v>
          </cell>
          <cell r="U173">
            <v>14.200000000001054</v>
          </cell>
          <cell r="V173">
            <v>67.199999999999349</v>
          </cell>
          <cell r="W173">
            <v>10.700000000003101</v>
          </cell>
          <cell r="X173">
            <v>65.700000000000443</v>
          </cell>
          <cell r="Y173">
            <v>157.80000000000393</v>
          </cell>
          <cell r="Z173">
            <v>79.600000000000364</v>
          </cell>
          <cell r="AA173">
            <v>117.09999999999889</v>
          </cell>
          <cell r="AB173">
            <v>1403.699999999998</v>
          </cell>
          <cell r="AC173">
            <v>-197.69999999999928</v>
          </cell>
          <cell r="AD173">
            <v>1402.699999999998</v>
          </cell>
          <cell r="AE173">
            <v>-186.30000000000112</v>
          </cell>
          <cell r="AF173">
            <v>-503.3000000000003</v>
          </cell>
          <cell r="AG173">
            <v>19.30000000000112</v>
          </cell>
          <cell r="AH173">
            <v>-266.50000000000028</v>
          </cell>
          <cell r="AI173">
            <v>-936.80000000000064</v>
          </cell>
          <cell r="AJ173">
            <v>-604.69999999999879</v>
          </cell>
          <cell r="AK173">
            <v>-581.40000000000077</v>
          </cell>
          <cell r="AL173">
            <v>-418.50000000000034</v>
          </cell>
          <cell r="AM173">
            <v>64.399999999999721</v>
          </cell>
          <cell r="AN173">
            <v>-1540.2000000000003</v>
          </cell>
          <cell r="AO173">
            <v>-970.89999999999964</v>
          </cell>
          <cell r="AP173">
            <v>-492.39999999999935</v>
          </cell>
          <cell r="AQ173">
            <v>-336.89999999999816</v>
          </cell>
          <cell r="AR173">
            <v>-220.19999999999874</v>
          </cell>
          <cell r="AS173">
            <v>-2020.3999999999958</v>
          </cell>
          <cell r="AT173">
            <v>-181.90000000000003</v>
          </cell>
          <cell r="AU173">
            <v>-712.89999999999941</v>
          </cell>
          <cell r="AV173">
            <v>160.6000000000007</v>
          </cell>
          <cell r="AW173">
            <v>-116.70000000000022</v>
          </cell>
          <cell r="AX173">
            <v>-850.89999999999895</v>
          </cell>
          <cell r="AY173">
            <v>-1178.3999999999985</v>
          </cell>
          <cell r="AZ173">
            <v>-960.90000000000077</v>
          </cell>
          <cell r="BA173">
            <v>-842.79999999999927</v>
          </cell>
          <cell r="BB173">
            <v>-845.70000000000141</v>
          </cell>
          <cell r="BC173">
            <v>-3827.8</v>
          </cell>
          <cell r="BD173">
            <v>-722.50000000000068</v>
          </cell>
          <cell r="BE173">
            <v>-495.99999999999767</v>
          </cell>
          <cell r="BF173">
            <v>-271.20000000000141</v>
          </cell>
          <cell r="BG173">
            <v>7.1000000000001933</v>
          </cell>
          <cell r="BH173">
            <v>-1482.5999999999997</v>
          </cell>
          <cell r="BI173">
            <v>0</v>
          </cell>
          <cell r="BJ173">
            <v>0</v>
          </cell>
          <cell r="BK173">
            <v>-2000.0000000000002</v>
          </cell>
          <cell r="BL173">
            <v>-399.99999999999994</v>
          </cell>
          <cell r="BM173">
            <v>-2400</v>
          </cell>
          <cell r="BN173">
            <v>-900</v>
          </cell>
          <cell r="BO173">
            <v>-500.00000000000034</v>
          </cell>
          <cell r="BP173">
            <v>-99.999999999999886</v>
          </cell>
          <cell r="BQ173">
            <v>-99.999999999999886</v>
          </cell>
          <cell r="BR173">
            <v>-1600.0000000000005</v>
          </cell>
          <cell r="BS173">
            <v>-1199.9999999999995</v>
          </cell>
          <cell r="BT173">
            <v>-425</v>
          </cell>
          <cell r="BU173">
            <v>-300.00000000000011</v>
          </cell>
          <cell r="BV173">
            <v>-175.0000000000004</v>
          </cell>
          <cell r="BW173">
            <v>-2100</v>
          </cell>
          <cell r="BX173">
            <v>-999.99999999999977</v>
          </cell>
          <cell r="BY173">
            <v>-450</v>
          </cell>
          <cell r="BZ173">
            <v>-399.99999999999972</v>
          </cell>
          <cell r="CA173">
            <v>-249.9999999999996</v>
          </cell>
          <cell r="CB173">
            <v>-2099.9999999999991</v>
          </cell>
          <cell r="CI173" t="str">
            <v>mstag:otherChangeInAccumulatedOtherComprehensiveIncomeLoss</v>
          </cell>
          <cell r="CJ173">
            <v>6</v>
          </cell>
          <cell r="CK173" t="str">
            <v>ISO4217:USD</v>
          </cell>
          <cell r="CL173" t="b">
            <v>0</v>
          </cell>
        </row>
        <row r="177">
          <cell r="B177" t="str">
            <v>Statutory tax rate</v>
          </cell>
          <cell r="U177">
            <v>0.39799999999999996</v>
          </cell>
          <cell r="V177">
            <v>0.39799999999999996</v>
          </cell>
          <cell r="W177">
            <v>0.39799999999999996</v>
          </cell>
          <cell r="X177">
            <v>0.39799999999999996</v>
          </cell>
          <cell r="Y177">
            <v>0.39599999999999996</v>
          </cell>
          <cell r="Z177">
            <v>0.39799999999999996</v>
          </cell>
          <cell r="AA177">
            <v>0.39799999999999996</v>
          </cell>
          <cell r="AB177">
            <v>0.39799999999999996</v>
          </cell>
          <cell r="AC177">
            <v>0.39799999999999996</v>
          </cell>
          <cell r="AD177">
            <v>0.375</v>
          </cell>
          <cell r="AE177">
            <v>0.39799999999999996</v>
          </cell>
          <cell r="AF177">
            <v>0.39799999999999996</v>
          </cell>
          <cell r="AG177">
            <v>0.39799999999999996</v>
          </cell>
          <cell r="AH177">
            <v>0.39799999999999996</v>
          </cell>
          <cell r="AI177">
            <v>0.38600000000000001</v>
          </cell>
          <cell r="AJ177">
            <v>0.39799999999999996</v>
          </cell>
          <cell r="AK177">
            <v>0.39799999999999996</v>
          </cell>
          <cell r="AL177">
            <v>0.39799999999999996</v>
          </cell>
          <cell r="AM177">
            <v>0.39799999999999996</v>
          </cell>
          <cell r="AN177">
            <v>0.39799999999999996</v>
          </cell>
          <cell r="AO177">
            <v>0.38200000000000001</v>
          </cell>
          <cell r="AP177">
            <v>0.38200000000000001</v>
          </cell>
          <cell r="AQ177">
            <v>0.38200000000000001</v>
          </cell>
          <cell r="AR177">
            <v>0.38200000000000001</v>
          </cell>
          <cell r="AS177">
            <v>0.38200000000000001</v>
          </cell>
          <cell r="AT177">
            <v>0.38900000000000001</v>
          </cell>
          <cell r="AU177">
            <v>0.38900000000000001</v>
          </cell>
          <cell r="AV177">
            <v>0.38900000000000001</v>
          </cell>
          <cell r="AW177">
            <v>0.38900000000000001</v>
          </cell>
          <cell r="AX177">
            <v>0.38900000000000001</v>
          </cell>
          <cell r="AY177">
            <v>0.38900000000000001</v>
          </cell>
          <cell r="AZ177">
            <v>0.38900000000000001</v>
          </cell>
          <cell r="BA177">
            <v>0.38900000000000001</v>
          </cell>
          <cell r="BB177">
            <v>0.38900000000000001</v>
          </cell>
          <cell r="BC177">
            <v>0.38900000000000001</v>
          </cell>
          <cell r="BD177">
            <v>0.38900000000000001</v>
          </cell>
          <cell r="BE177">
            <v>0.38900000000000001</v>
          </cell>
          <cell r="BF177">
            <v>0.38900000000000001</v>
          </cell>
          <cell r="BG177">
            <v>0.38900000000000001</v>
          </cell>
          <cell r="BH177">
            <v>0.38900000000000001</v>
          </cell>
          <cell r="BI177">
            <v>0.38900000000000001</v>
          </cell>
          <cell r="BJ177">
            <v>0.38900000000000001</v>
          </cell>
          <cell r="BK177">
            <v>0.38900000000000001</v>
          </cell>
          <cell r="BL177">
            <v>0.38900000000000001</v>
          </cell>
          <cell r="BM177">
            <v>0.38900000000000001</v>
          </cell>
          <cell r="BN177">
            <v>0.38900000000000001</v>
          </cell>
          <cell r="BO177">
            <v>0.38900000000000001</v>
          </cell>
          <cell r="BP177">
            <v>0.38900000000000001</v>
          </cell>
          <cell r="BQ177">
            <v>0.38900000000000001</v>
          </cell>
          <cell r="BR177">
            <v>0.38900000000000001</v>
          </cell>
          <cell r="BS177">
            <v>0.38900000000000001</v>
          </cell>
          <cell r="BT177">
            <v>0.38900000000000001</v>
          </cell>
          <cell r="BU177">
            <v>0.38900000000000001</v>
          </cell>
          <cell r="BV177">
            <v>0.38900000000000001</v>
          </cell>
          <cell r="BW177">
            <v>0.38900000000000001</v>
          </cell>
          <cell r="BX177">
            <v>0.38900000000000001</v>
          </cell>
          <cell r="BY177">
            <v>0.38900000000000001</v>
          </cell>
          <cell r="BZ177">
            <v>0.38900000000000001</v>
          </cell>
          <cell r="CA177">
            <v>0.38900000000000001</v>
          </cell>
          <cell r="CB177">
            <v>0.38900000000000001</v>
          </cell>
          <cell r="CI177" t="str">
            <v>mstag:statutoryTaxRate</v>
          </cell>
          <cell r="CJ177">
            <v>0</v>
          </cell>
          <cell r="CK177" t="str">
            <v>ms_eqr_gcim_Decimal:ms_eqr_gcim_decimal</v>
          </cell>
          <cell r="CL177" t="b">
            <v>0</v>
          </cell>
        </row>
        <row r="178">
          <cell r="B178" t="str">
            <v>Unrecorded goodwill</v>
          </cell>
          <cell r="U178" t="str">
            <v>ND</v>
          </cell>
          <cell r="V178" t="str">
            <v>ND</v>
          </cell>
          <cell r="W178" t="str">
            <v>ND</v>
          </cell>
          <cell r="X178" t="str">
            <v>ND</v>
          </cell>
          <cell r="Z178" t="str">
            <v>ND</v>
          </cell>
          <cell r="AA178" t="str">
            <v>ND</v>
          </cell>
          <cell r="AB178" t="str">
            <v>ND</v>
          </cell>
          <cell r="AC178" t="str">
            <v>ND</v>
          </cell>
          <cell r="AE178" t="str">
            <v>ND</v>
          </cell>
          <cell r="AF178" t="str">
            <v>ND</v>
          </cell>
          <cell r="AG178" t="str">
            <v>ND</v>
          </cell>
          <cell r="AH178" t="str">
            <v>ND</v>
          </cell>
          <cell r="AJ178" t="str">
            <v>ND</v>
          </cell>
          <cell r="AK178" t="str">
            <v>ND</v>
          </cell>
          <cell r="AL178" t="str">
            <v>ND</v>
          </cell>
          <cell r="AM178" t="str">
            <v>ND</v>
          </cell>
          <cell r="AN178" t="str">
            <v>ND</v>
          </cell>
          <cell r="AO178" t="str">
            <v>ND</v>
          </cell>
          <cell r="AP178" t="str">
            <v>ND</v>
          </cell>
          <cell r="AQ178" t="str">
            <v>ND</v>
          </cell>
          <cell r="AR178" t="str">
            <v>ND</v>
          </cell>
          <cell r="AS178" t="str">
            <v>ND</v>
          </cell>
          <cell r="AT178" t="str">
            <v>ND</v>
          </cell>
          <cell r="AU178" t="str">
            <v>ND</v>
          </cell>
          <cell r="AV178" t="str">
            <v>ND</v>
          </cell>
          <cell r="AW178" t="str">
            <v>ND</v>
          </cell>
          <cell r="AX178" t="str">
            <v>ND</v>
          </cell>
          <cell r="AY178" t="str">
            <v>ND</v>
          </cell>
          <cell r="AZ178" t="str">
            <v>ND</v>
          </cell>
          <cell r="BA178" t="str">
            <v>ND</v>
          </cell>
          <cell r="BB178" t="str">
            <v>ND</v>
          </cell>
          <cell r="BC178" t="str">
            <v>ND</v>
          </cell>
          <cell r="BD178" t="str">
            <v>ND</v>
          </cell>
          <cell r="BE178" t="str">
            <v>ND</v>
          </cell>
          <cell r="BF178" t="str">
            <v>ND</v>
          </cell>
          <cell r="BG178" t="str">
            <v>ND</v>
          </cell>
          <cell r="BH178" t="str">
            <v>ND</v>
          </cell>
          <cell r="BI178" t="str">
            <v>ND</v>
          </cell>
          <cell r="BJ178" t="str">
            <v>ND</v>
          </cell>
          <cell r="BK178" t="str">
            <v>ND</v>
          </cell>
          <cell r="BL178" t="str">
            <v>ND</v>
          </cell>
          <cell r="BM178" t="str">
            <v>ND</v>
          </cell>
          <cell r="BN178" t="str">
            <v>ND</v>
          </cell>
          <cell r="BO178" t="str">
            <v>ND</v>
          </cell>
          <cell r="BP178" t="str">
            <v>ND</v>
          </cell>
          <cell r="BQ178" t="str">
            <v>ND</v>
          </cell>
          <cell r="BR178" t="str">
            <v>ND</v>
          </cell>
          <cell r="BS178" t="str">
            <v>ND</v>
          </cell>
          <cell r="BT178" t="str">
            <v>ND</v>
          </cell>
          <cell r="BU178" t="str">
            <v>ND</v>
          </cell>
          <cell r="BV178" t="str">
            <v>ND</v>
          </cell>
          <cell r="BW178" t="str">
            <v>ND</v>
          </cell>
          <cell r="BX178" t="str">
            <v>ND</v>
          </cell>
          <cell r="BY178" t="str">
            <v>ND</v>
          </cell>
          <cell r="BZ178" t="str">
            <v>ND</v>
          </cell>
          <cell r="CA178" t="str">
            <v>ND</v>
          </cell>
          <cell r="CB178" t="str">
            <v>ND</v>
          </cell>
          <cell r="CI178" t="str">
            <v>mstag:unrecordedGoodwillFromPoolingAndAmortizedOrWrittenOffGoodwill</v>
          </cell>
          <cell r="CJ178">
            <v>6</v>
          </cell>
          <cell r="CK178" t="str">
            <v>ISO4217:USD</v>
          </cell>
          <cell r="CL178" t="b">
            <v>0</v>
          </cell>
        </row>
        <row r="181">
          <cell r="U181" t="str">
            <v>2004-Q1</v>
          </cell>
          <cell r="V181" t="str">
            <v>2004-Q2</v>
          </cell>
          <cell r="W181" t="str">
            <v>2004-Q3</v>
          </cell>
          <cell r="X181" t="str">
            <v>2004-Q4</v>
          </cell>
          <cell r="Y181" t="str">
            <v>2004-FY</v>
          </cell>
          <cell r="Z181" t="str">
            <v>2005-Q1</v>
          </cell>
          <cell r="AA181" t="str">
            <v>2005-Q2</v>
          </cell>
          <cell r="AB181" t="str">
            <v>2005-Q3</v>
          </cell>
          <cell r="AC181" t="str">
            <v>2005-Q4</v>
          </cell>
          <cell r="AD181" t="str">
            <v>2005-FY</v>
          </cell>
          <cell r="AE181" t="str">
            <v>2006-Q1</v>
          </cell>
          <cell r="AF181" t="str">
            <v>2006-Q2</v>
          </cell>
          <cell r="AG181" t="str">
            <v>2006-Q3</v>
          </cell>
          <cell r="AH181" t="str">
            <v>2006-Q4</v>
          </cell>
          <cell r="AI181" t="str">
            <v>2006-FY</v>
          </cell>
          <cell r="AJ181" t="str">
            <v>2007-Q1</v>
          </cell>
          <cell r="AK181" t="str">
            <v>2007-Q2</v>
          </cell>
          <cell r="AL181" t="str">
            <v>2007-Q3</v>
          </cell>
          <cell r="AM181" t="str">
            <v>2007-Q4</v>
          </cell>
          <cell r="AN181" t="str">
            <v>2007-FY</v>
          </cell>
          <cell r="AO181" t="str">
            <v>2008-Q1</v>
          </cell>
          <cell r="AP181" t="str">
            <v>2008-Q2</v>
          </cell>
          <cell r="AQ181" t="str">
            <v>2008-Q3</v>
          </cell>
          <cell r="AR181" t="str">
            <v>2008-Q4</v>
          </cell>
          <cell r="AS181" t="str">
            <v>2008-FY</v>
          </cell>
          <cell r="AT181" t="str">
            <v>2009-Q1</v>
          </cell>
          <cell r="AU181" t="str">
            <v>2009-Q2</v>
          </cell>
          <cell r="AV181" t="str">
            <v>2009-Q3</v>
          </cell>
          <cell r="AW181" t="str">
            <v>2009-Q4</v>
          </cell>
          <cell r="AX181" t="str">
            <v>2009-FY</v>
          </cell>
          <cell r="AY181" t="str">
            <v>2010-Q1</v>
          </cell>
          <cell r="AZ181" t="str">
            <v>2010-Q2</v>
          </cell>
          <cell r="BA181" t="str">
            <v>2010-Q3</v>
          </cell>
          <cell r="BB181" t="str">
            <v>2010-Q4</v>
          </cell>
          <cell r="BC181" t="str">
            <v>2010-FY</v>
          </cell>
          <cell r="BD181" t="str">
            <v>2011-Q1</v>
          </cell>
          <cell r="BE181" t="str">
            <v>2011-Q2</v>
          </cell>
          <cell r="BF181" t="str">
            <v>2011-Q3</v>
          </cell>
          <cell r="BG181" t="str">
            <v>2011-Q4</v>
          </cell>
          <cell r="BH181" t="str">
            <v>2011-FY</v>
          </cell>
          <cell r="BI181" t="str">
            <v>2012-Q1</v>
          </cell>
          <cell r="BJ181" t="str">
            <v>2012-Q2</v>
          </cell>
          <cell r="BK181" t="str">
            <v>2012-Q3</v>
          </cell>
          <cell r="BL181" t="str">
            <v>2012-Q4</v>
          </cell>
          <cell r="BM181" t="str">
            <v>2012-FY</v>
          </cell>
          <cell r="BN181" t="str">
            <v>2013-Q1</v>
          </cell>
          <cell r="BO181" t="str">
            <v>2013-Q2</v>
          </cell>
          <cell r="BP181" t="str">
            <v>2013-Q3</v>
          </cell>
          <cell r="BQ181" t="str">
            <v>2013-Q4</v>
          </cell>
          <cell r="BR181" t="str">
            <v>2013-FY</v>
          </cell>
          <cell r="BS181" t="str">
            <v>2014-Q1</v>
          </cell>
          <cell r="BT181" t="str">
            <v>2014-Q2</v>
          </cell>
          <cell r="BU181" t="str">
            <v>2014-Q3</v>
          </cell>
          <cell r="BV181" t="str">
            <v>2014-Q4</v>
          </cell>
          <cell r="BW181" t="str">
            <v>2014-FY</v>
          </cell>
          <cell r="BX181" t="str">
            <v>2015-Q1</v>
          </cell>
          <cell r="BY181" t="str">
            <v>2015-Q2</v>
          </cell>
          <cell r="BZ181" t="str">
            <v>2015-Q3</v>
          </cell>
          <cell r="CA181" t="str">
            <v>2015-Q4</v>
          </cell>
          <cell r="CB181" t="str">
            <v>2015-FY</v>
          </cell>
        </row>
      </sheetData>
      <sheetData sheetId="3" refreshError="1"/>
      <sheetData sheetId="4" refreshError="1"/>
      <sheetData sheetId="5" refreshError="1">
        <row r="1">
          <cell r="B1" t="str">
            <v>EPS</v>
          </cell>
          <cell r="P1">
            <v>0.21442026218658519</v>
          </cell>
          <cell r="Q1">
            <v>0.22035720164608988</v>
          </cell>
          <cell r="R1">
            <v>0.21127062706270663</v>
          </cell>
          <cell r="S1">
            <v>0.24200041220892105</v>
          </cell>
          <cell r="T1">
            <v>0.88804850310430283</v>
          </cell>
          <cell r="U1">
            <v>0.23798041751771629</v>
          </cell>
          <cell r="V1">
            <v>0.28085390945797289</v>
          </cell>
          <cell r="W1">
            <v>0.26447144030109776</v>
          </cell>
          <cell r="X1">
            <v>0.28847539838491648</v>
          </cell>
          <cell r="Y1">
            <v>1.0717811656617033</v>
          </cell>
          <cell r="Z1">
            <v>0.28527794106784526</v>
          </cell>
          <cell r="AA1">
            <v>0.29233078922269568</v>
          </cell>
          <cell r="AB1">
            <v>0.3124247470489076</v>
          </cell>
          <cell r="AC1">
            <v>0.37577729240141017</v>
          </cell>
          <cell r="AD1">
            <v>1.2658107697408587</v>
          </cell>
          <cell r="AE1">
            <v>0.28824013499798384</v>
          </cell>
          <cell r="AF1">
            <v>0.33696269395840206</v>
          </cell>
          <cell r="AG1">
            <v>0.35749040601444759</v>
          </cell>
          <cell r="AH1">
            <v>0.43198419652571912</v>
          </cell>
          <cell r="AI1">
            <v>1.4146774314965527</v>
          </cell>
          <cell r="AJ1">
            <v>0.52904543112332336</v>
          </cell>
          <cell r="AK1">
            <v>0.44332018787664013</v>
          </cell>
          <cell r="AL1">
            <v>0.45389858544740136</v>
          </cell>
          <cell r="AM1">
            <v>0.4437393765853383</v>
          </cell>
          <cell r="AN1">
            <v>1.8700035810327031</v>
          </cell>
          <cell r="AO1">
            <v>0.58422299181852133</v>
          </cell>
          <cell r="AP1">
            <v>0.59236087212941957</v>
          </cell>
          <cell r="AQ1">
            <v>0.66660816614833462</v>
          </cell>
          <cell r="AR1">
            <v>0.62742819124275384</v>
          </cell>
          <cell r="AS1">
            <v>2.4683324526604458</v>
          </cell>
          <cell r="AT1">
            <v>0.66726855546688035</v>
          </cell>
          <cell r="AU1">
            <v>0.72720286885245744</v>
          </cell>
          <cell r="AV1">
            <v>0.79029709098411394</v>
          </cell>
          <cell r="AW1">
            <v>0.79865968801313714</v>
          </cell>
          <cell r="AX1">
            <v>2.9826000000000001</v>
          </cell>
          <cell r="AY1">
            <v>0.76235427122542643</v>
          </cell>
          <cell r="AZ1">
            <v>0.86787405303030463</v>
          </cell>
          <cell r="BA1">
            <v>0.95071565431251426</v>
          </cell>
          <cell r="BB1">
            <v>0.98782333798233546</v>
          </cell>
          <cell r="BC1">
            <v>3.5541577593360998</v>
          </cell>
          <cell r="BD1">
            <v>0.91011577310618563</v>
          </cell>
          <cell r="BE1">
            <v>0.95745050463123071</v>
          </cell>
          <cell r="BF1">
            <v>1.067561108272487</v>
          </cell>
          <cell r="BG1">
            <v>1.2527213093353113</v>
          </cell>
          <cell r="BH1">
            <v>4.1789101500357919</v>
          </cell>
          <cell r="BI1">
            <v>0.92844710900424765</v>
          </cell>
          <cell r="BJ1">
            <v>1.0059481165313457</v>
          </cell>
          <cell r="BK1">
            <v>1.1746374100768244</v>
          </cell>
          <cell r="BL1">
            <v>1.3527184347252739</v>
          </cell>
          <cell r="BM1">
            <v>4.4243382875431809</v>
          </cell>
          <cell r="BN1">
            <v>1.2171461865143636</v>
          </cell>
          <cell r="BO1">
            <v>1.2966818165531326</v>
          </cell>
          <cell r="BP1">
            <v>1.4264041344103668</v>
          </cell>
          <cell r="BQ1">
            <v>1.4199304764381451</v>
          </cell>
          <cell r="BR1">
            <v>5.3500402819418413</v>
          </cell>
          <cell r="BS1">
            <v>1.4599910406291037</v>
          </cell>
          <cell r="BT1">
            <v>1.5677468320665577</v>
          </cell>
          <cell r="BU1">
            <v>1.7425346622620581</v>
          </cell>
          <cell r="BV1">
            <v>1.7524936616509834</v>
          </cell>
          <cell r="BW1">
            <v>6.5063381751315079</v>
          </cell>
          <cell r="BX1">
            <v>1.7570150348189337</v>
          </cell>
          <cell r="BY1">
            <v>1.8638907590813212</v>
          </cell>
          <cell r="BZ1">
            <v>2.0666796944781822</v>
          </cell>
          <cell r="CA1">
            <v>2.0852111418677834</v>
          </cell>
          <cell r="CB1">
            <v>7.7542072442422398</v>
          </cell>
        </row>
        <row r="2">
          <cell r="B2" t="str">
            <v>Cover Page</v>
          </cell>
        </row>
        <row r="3">
          <cell r="B3" t="str">
            <v>MHS</v>
          </cell>
        </row>
        <row r="4">
          <cell r="B4" t="str">
            <v>Per Claim Analysis</v>
          </cell>
        </row>
        <row r="5">
          <cell r="F5" t="str">
            <v xml:space="preserve">Fiscal Year End, December 31 2001 </v>
          </cell>
          <cell r="K5" t="str">
            <v>Fiscal Year End, December 31 2002</v>
          </cell>
          <cell r="P5" t="str">
            <v>Fiscal Year End, Dec 31 2003</v>
          </cell>
          <cell r="U5" t="str">
            <v>Fiscal Year End, Dec 31 2004</v>
          </cell>
          <cell r="Z5" t="str">
            <v xml:space="preserve">Fiscal Year End, Dec 31 2005 </v>
          </cell>
          <cell r="AE5" t="str">
            <v xml:space="preserve">Fiscal Year End, Dec 31 2006 </v>
          </cell>
          <cell r="AJ5" t="str">
            <v xml:space="preserve">Fiscal Year End, Dec 31 2007 </v>
          </cell>
          <cell r="AO5" t="str">
            <v>Fiscal Year End, Dec 31 2008</v>
          </cell>
          <cell r="AT5" t="str">
            <v>Fiscal Year End, Dec 31 2009</v>
          </cell>
          <cell r="AY5" t="str">
            <v>Fiscal Year End, Dec 31 2010</v>
          </cell>
          <cell r="BD5" t="str">
            <v>Fiscal Year End, Dec 31 2011</v>
          </cell>
          <cell r="BI5" t="str">
            <v>Fiscal Year End, Dec 31 2012</v>
          </cell>
          <cell r="BN5" t="str">
            <v>Fiscal Year End, Dec 31 2013</v>
          </cell>
          <cell r="BS5" t="str">
            <v>Fiscal Year End, Dec 31 2014</v>
          </cell>
          <cell r="BX5" t="str">
            <v>Fiscal Year End, Dec 31 2015</v>
          </cell>
        </row>
        <row r="6">
          <cell r="D6" t="str">
            <v>1999A</v>
          </cell>
          <cell r="E6" t="str">
            <v>2000A</v>
          </cell>
          <cell r="F6" t="str">
            <v>1QA</v>
          </cell>
          <cell r="G6" t="str">
            <v>2QA</v>
          </cell>
          <cell r="H6" t="str">
            <v>3QA</v>
          </cell>
          <cell r="I6" t="str">
            <v>4QA</v>
          </cell>
          <cell r="J6" t="str">
            <v>2001A</v>
          </cell>
          <cell r="K6" t="str">
            <v>1QA</v>
          </cell>
          <cell r="L6" t="str">
            <v>2QA</v>
          </cell>
          <cell r="M6" t="str">
            <v>3QA</v>
          </cell>
          <cell r="N6" t="str">
            <v>4QA</v>
          </cell>
          <cell r="O6" t="str">
            <v>2002A</v>
          </cell>
          <cell r="P6" t="str">
            <v>1QA</v>
          </cell>
          <cell r="Q6" t="str">
            <v>2QA</v>
          </cell>
          <cell r="R6" t="str">
            <v>3QA</v>
          </cell>
          <cell r="S6" t="str">
            <v>4QA</v>
          </cell>
          <cell r="T6" t="str">
            <v>2003A</v>
          </cell>
          <cell r="U6" t="str">
            <v>1QA</v>
          </cell>
          <cell r="V6" t="str">
            <v>2QA</v>
          </cell>
          <cell r="W6" t="str">
            <v>3QA</v>
          </cell>
          <cell r="X6" t="str">
            <v>4QA</v>
          </cell>
          <cell r="Y6" t="str">
            <v>2004A</v>
          </cell>
          <cell r="Z6" t="str">
            <v>1QA</v>
          </cell>
          <cell r="AA6" t="str">
            <v>2QA</v>
          </cell>
          <cell r="AB6" t="str">
            <v>3QA</v>
          </cell>
          <cell r="AC6" t="str">
            <v>4QA</v>
          </cell>
          <cell r="AD6" t="str">
            <v>2005A</v>
          </cell>
          <cell r="AE6" t="str">
            <v>1QA</v>
          </cell>
          <cell r="AF6" t="str">
            <v>2QA</v>
          </cell>
          <cell r="AG6" t="str">
            <v>3QA</v>
          </cell>
          <cell r="AH6" t="str">
            <v>4QA</v>
          </cell>
          <cell r="AI6" t="str">
            <v>2006A</v>
          </cell>
          <cell r="AJ6" t="str">
            <v>1QA</v>
          </cell>
          <cell r="AK6" t="str">
            <v>2QA</v>
          </cell>
          <cell r="AL6" t="str">
            <v>3QA</v>
          </cell>
          <cell r="AM6" t="str">
            <v>4QA</v>
          </cell>
          <cell r="AN6" t="str">
            <v>2007A</v>
          </cell>
          <cell r="AO6" t="str">
            <v>1QA</v>
          </cell>
          <cell r="AP6" t="str">
            <v>2QA</v>
          </cell>
          <cell r="AQ6" t="str">
            <v>3QA</v>
          </cell>
          <cell r="AR6" t="str">
            <v>4QA</v>
          </cell>
          <cell r="AS6" t="str">
            <v>2008A</v>
          </cell>
          <cell r="AT6" t="str">
            <v>1QA</v>
          </cell>
          <cell r="AU6" t="str">
            <v>2QA</v>
          </cell>
          <cell r="AV6" t="str">
            <v>3QA</v>
          </cell>
          <cell r="AW6" t="str">
            <v>4QA</v>
          </cell>
          <cell r="AX6" t="str">
            <v>2009A</v>
          </cell>
          <cell r="AY6" t="str">
            <v>1QA</v>
          </cell>
          <cell r="AZ6" t="str">
            <v>2QA</v>
          </cell>
          <cell r="BA6" t="str">
            <v>3QA</v>
          </cell>
          <cell r="BB6" t="str">
            <v>4QA</v>
          </cell>
          <cell r="BC6" t="str">
            <v>2010A</v>
          </cell>
          <cell r="BD6" t="str">
            <v>1QA</v>
          </cell>
          <cell r="BE6" t="str">
            <v>2QA</v>
          </cell>
          <cell r="BF6" t="str">
            <v>3QA</v>
          </cell>
          <cell r="BG6" t="str">
            <v>4QA</v>
          </cell>
          <cell r="BH6" t="str">
            <v>2011A</v>
          </cell>
          <cell r="BI6" t="str">
            <v>1QE</v>
          </cell>
          <cell r="BJ6" t="str">
            <v>2QE</v>
          </cell>
          <cell r="BK6" t="str">
            <v>3QE</v>
          </cell>
          <cell r="BL6" t="str">
            <v>4QE</v>
          </cell>
          <cell r="BM6" t="str">
            <v>2012E</v>
          </cell>
          <cell r="BN6" t="str">
            <v>1QE</v>
          </cell>
          <cell r="BO6" t="str">
            <v>2QE</v>
          </cell>
          <cell r="BP6" t="str">
            <v>3QE</v>
          </cell>
          <cell r="BQ6" t="str">
            <v>4QE</v>
          </cell>
          <cell r="BR6" t="str">
            <v>2013E</v>
          </cell>
          <cell r="BS6" t="str">
            <v>1QE</v>
          </cell>
          <cell r="BT6" t="str">
            <v>2QE</v>
          </cell>
          <cell r="BU6" t="str">
            <v>3QE</v>
          </cell>
          <cell r="BV6" t="str">
            <v>4QE</v>
          </cell>
          <cell r="BW6" t="str">
            <v>2014E</v>
          </cell>
          <cell r="BX6" t="str">
            <v>1QE</v>
          </cell>
          <cell r="BY6" t="str">
            <v>2QE</v>
          </cell>
          <cell r="BZ6" t="str">
            <v>3QE</v>
          </cell>
          <cell r="CA6" t="str">
            <v>4QE</v>
          </cell>
          <cell r="CB6" t="str">
            <v>2015E</v>
          </cell>
        </row>
        <row r="8">
          <cell r="B8" t="str">
            <v>Analysis of Adjusted claims</v>
          </cell>
        </row>
        <row r="9">
          <cell r="B9" t="str">
            <v>Revenue/adj claim</v>
          </cell>
          <cell r="J9">
            <v>41.813719778619287</v>
          </cell>
          <cell r="K9">
            <v>43.830845771144276</v>
          </cell>
          <cell r="L9">
            <v>45.769656699889261</v>
          </cell>
          <cell r="M9">
            <v>46.498535442296429</v>
          </cell>
          <cell r="N9">
            <v>47.075292805354152</v>
          </cell>
          <cell r="O9">
            <v>45.774311410905</v>
          </cell>
          <cell r="P9">
            <v>47.562933025404156</v>
          </cell>
          <cell r="Q9">
            <v>49.043632075471699</v>
          </cell>
          <cell r="R9">
            <v>50.195484254307786</v>
          </cell>
          <cell r="S9">
            <v>50.307735742518354</v>
          </cell>
          <cell r="T9">
            <v>49.277971519907005</v>
          </cell>
          <cell r="U9">
            <v>51.105964099594679</v>
          </cell>
          <cell r="V9">
            <v>51.713105076741442</v>
          </cell>
          <cell r="W9">
            <v>51.930681133212779</v>
          </cell>
          <cell r="X9">
            <v>51.747214076246323</v>
          </cell>
          <cell r="Y9">
            <v>51.620338983050836</v>
          </cell>
          <cell r="Z9">
            <v>50.121019108280258</v>
          </cell>
          <cell r="AA9">
            <v>51.335446685878964</v>
          </cell>
          <cell r="AB9">
            <v>53.230737977226333</v>
          </cell>
          <cell r="AC9">
            <v>54.786413036770654</v>
          </cell>
          <cell r="AD9">
            <v>52.442531558769396</v>
          </cell>
          <cell r="AE9">
            <v>56.879991229249406</v>
          </cell>
          <cell r="AF9">
            <v>58.190296496063581</v>
          </cell>
          <cell r="AG9">
            <v>57.677926172731738</v>
          </cell>
          <cell r="AH9">
            <v>57.556738045164039</v>
          </cell>
          <cell r="AI9">
            <v>57.572268326097273</v>
          </cell>
          <cell r="AJ9">
            <v>58.262686296660625</v>
          </cell>
          <cell r="AK9">
            <v>58.687989429731758</v>
          </cell>
          <cell r="AL9">
            <v>59.138607487518364</v>
          </cell>
          <cell r="AM9">
            <v>59.219584976847898</v>
          </cell>
          <cell r="AN9">
            <v>58.825243824455825</v>
          </cell>
          <cell r="AO9">
            <v>62.046303373806353</v>
          </cell>
          <cell r="AP9">
            <v>63.710876401816144</v>
          </cell>
          <cell r="AQ9">
            <v>64.275173519608487</v>
          </cell>
          <cell r="AR9">
            <v>64.587170079110365</v>
          </cell>
          <cell r="AS9">
            <v>63.633475121411905</v>
          </cell>
          <cell r="AT9">
            <v>64.715266242855222</v>
          </cell>
          <cell r="AU9">
            <v>65.573326353992115</v>
          </cell>
          <cell r="AV9">
            <v>66.284669102843282</v>
          </cell>
          <cell r="AW9">
            <v>66.070368384760428</v>
          </cell>
          <cell r="AX9">
            <v>65.657753304395158</v>
          </cell>
          <cell r="AY9">
            <v>67.297309234684747</v>
          </cell>
          <cell r="AZ9">
            <v>67.782538023865214</v>
          </cell>
          <cell r="BA9">
            <v>68.307794183107589</v>
          </cell>
          <cell r="BB9">
            <v>67.862789387008206</v>
          </cell>
          <cell r="BC9">
            <v>67.81091010152457</v>
          </cell>
          <cell r="BD9">
            <v>68.386935938968051</v>
          </cell>
          <cell r="BE9">
            <v>69.770963704630788</v>
          </cell>
          <cell r="BF9">
            <v>71.07363013698631</v>
          </cell>
          <cell r="BG9">
            <v>70.599011782592157</v>
          </cell>
          <cell r="BH9">
            <v>69.959688291136075</v>
          </cell>
          <cell r="BI9">
            <v>68.976667046476962</v>
          </cell>
          <cell r="BJ9">
            <v>68.856830742084213</v>
          </cell>
          <cell r="BK9">
            <v>68.297412121667776</v>
          </cell>
          <cell r="BL9">
            <v>64.996475134217505</v>
          </cell>
          <cell r="BM9">
            <v>67.707183491943027</v>
          </cell>
          <cell r="BN9">
            <v>68.495765871159179</v>
          </cell>
          <cell r="BO9">
            <v>69.764909819281712</v>
          </cell>
          <cell r="BP9">
            <v>71.384521435051695</v>
          </cell>
          <cell r="BQ9">
            <v>69.881370922011527</v>
          </cell>
          <cell r="BR9">
            <v>69.878906168095085</v>
          </cell>
          <cell r="BS9">
            <v>69.548632457793673</v>
          </cell>
          <cell r="BT9">
            <v>69.706613855538507</v>
          </cell>
          <cell r="BU9">
            <v>69.849158850339933</v>
          </cell>
          <cell r="BV9">
            <v>68.300538705939132</v>
          </cell>
          <cell r="BW9">
            <v>69.349561109065263</v>
          </cell>
          <cell r="BX9">
            <v>67.818292557514482</v>
          </cell>
          <cell r="BY9">
            <v>68.905039327259715</v>
          </cell>
          <cell r="BZ9">
            <v>70.453494943170938</v>
          </cell>
          <cell r="CA9">
            <v>68.743056197360687</v>
          </cell>
          <cell r="CB9">
            <v>68.977078694710244</v>
          </cell>
        </row>
        <row r="10">
          <cell r="B10" t="str">
            <v>Y/Y growth</v>
          </cell>
          <cell r="O10">
            <v>9.4719906606130166E-2</v>
          </cell>
          <cell r="P10">
            <v>8.5147507163023439E-2</v>
          </cell>
          <cell r="Q10">
            <v>7.1531569420540508E-2</v>
          </cell>
          <cell r="R10">
            <v>7.9506779661892457E-2</v>
          </cell>
          <cell r="S10">
            <v>6.8665381446051388E-2</v>
          </cell>
          <cell r="T10">
            <v>7.6542060404808598E-2</v>
          </cell>
          <cell r="U10">
            <v>7.4491433745226265E-2</v>
          </cell>
          <cell r="V10">
            <v>5.4430573110119118E-2</v>
          </cell>
          <cell r="W10">
            <v>3.4568784516827877E-2</v>
          </cell>
          <cell r="X10">
            <v>2.8613458993571372E-2</v>
          </cell>
          <cell r="Y10">
            <v>4.7533763888750524E-2</v>
          </cell>
          <cell r="Z10">
            <v>-1.9272603670972166E-2</v>
          </cell>
          <cell r="AA10">
            <v>-7.3029532901194294E-3</v>
          </cell>
          <cell r="AB10">
            <v>2.5034465476750478E-2</v>
          </cell>
          <cell r="AC10">
            <v>5.8731644104478065E-2</v>
          </cell>
          <cell r="AD10">
            <v>1.5927686487849702E-2</v>
          </cell>
          <cell r="AE10">
            <v>0.13485304651063101</v>
          </cell>
          <cell r="AF10">
            <v>0.13353053791718938</v>
          </cell>
          <cell r="AG10">
            <v>8.3545492031465773E-2</v>
          </cell>
          <cell r="AH10">
            <v>5.05659132408256E-2</v>
          </cell>
          <cell r="AI10">
            <v>9.7816345146863659E-2</v>
          </cell>
          <cell r="AJ10">
            <v>2.4308988759129679E-2</v>
          </cell>
          <cell r="AK10">
            <v>8.5528509672028186E-3</v>
          </cell>
          <cell r="AL10">
            <v>2.532478907809943E-2</v>
          </cell>
          <cell r="AM10">
            <v>2.8890569343576145E-2</v>
          </cell>
          <cell r="AN10">
            <v>2.1763524953742008E-2</v>
          </cell>
          <cell r="AO10">
            <v>6.4940656149639064E-2</v>
          </cell>
          <cell r="AP10">
            <v>8.5586284704784132E-2</v>
          </cell>
          <cell r="AQ10">
            <v>8.6856391286761925E-2</v>
          </cell>
          <cell r="AR10">
            <v>9.0638681516612252E-2</v>
          </cell>
          <cell r="AS10">
            <v>8.1737549806077059E-2</v>
          </cell>
          <cell r="AT10">
            <v>4.3015662882756045E-2</v>
          </cell>
          <cell r="AU10">
            <v>2.9232841507778717E-2</v>
          </cell>
          <cell r="AV10">
            <v>3.1263946453940816E-2</v>
          </cell>
          <cell r="AW10">
            <v>2.2964286929328948E-2</v>
          </cell>
          <cell r="AX10">
            <v>3.1811529688123397E-2</v>
          </cell>
          <cell r="AY10">
            <v>3.9898514550491981E-2</v>
          </cell>
          <cell r="AZ10">
            <v>3.3690706156141115E-2</v>
          </cell>
          <cell r="BA10">
            <v>3.052176480092772E-2</v>
          </cell>
          <cell r="BB10">
            <v>2.7128969401375658E-2</v>
          </cell>
          <cell r="BC10">
            <v>3.2793641097452531E-2</v>
          </cell>
          <cell r="BD10">
            <v>1.6191237312081386E-2</v>
          </cell>
          <cell r="BE10">
            <v>2.9335367761907705E-2</v>
          </cell>
          <cell r="BF10">
            <v>4.0490781278408106E-2</v>
          </cell>
          <cell r="BG10">
            <v>4.0319922306461864E-2</v>
          </cell>
          <cell r="BH10">
            <v>3.1687794580465223E-2</v>
          </cell>
          <cell r="BI10">
            <v>8.6234468529957642E-3</v>
          </cell>
          <cell r="BJ10">
            <v>-1.3101911081757067E-2</v>
          </cell>
          <cell r="BK10">
            <v>-3.9061154045004987E-2</v>
          </cell>
          <cell r="BL10">
            <v>-7.9357153973026118E-2</v>
          </cell>
          <cell r="BM10">
            <v>-3.2197181751572268E-2</v>
          </cell>
          <cell r="BN10">
            <v>-6.9719398734321425E-3</v>
          </cell>
          <cell r="BO10">
            <v>1.3187930193866659E-2</v>
          </cell>
          <cell r="BP10">
            <v>4.5200970541671825E-2</v>
          </cell>
          <cell r="BQ10">
            <v>7.5156318518915466E-2</v>
          </cell>
          <cell r="BR10">
            <v>3.2075218080966028E-2</v>
          </cell>
          <cell r="BS10">
            <v>1.5371265263533829E-2</v>
          </cell>
          <cell r="BT10">
            <v>-8.3560580661845574E-4</v>
          </cell>
          <cell r="BU10">
            <v>-2.1508340377524138E-2</v>
          </cell>
          <cell r="BV10">
            <v>-2.2621654315234108E-2</v>
          </cell>
          <cell r="BW10">
            <v>-7.5751766599847503E-3</v>
          </cell>
          <cell r="BX10">
            <v>-2.4879567564887295E-2</v>
          </cell>
          <cell r="BY10">
            <v>-1.1499260743607409E-2</v>
          </cell>
          <cell r="BZ10">
            <v>8.6520167569357209E-3</v>
          </cell>
          <cell r="CA10">
            <v>6.4789751267815276E-3</v>
          </cell>
          <cell r="CB10">
            <v>-5.3710853882581455E-3</v>
          </cell>
        </row>
        <row r="12">
          <cell r="B12" t="str">
            <v>Gross profit/adj claim</v>
          </cell>
          <cell r="K12">
            <v>1.4278606965174139</v>
          </cell>
          <cell r="L12">
            <v>1.8754152823920205</v>
          </cell>
          <cell r="M12">
            <v>2.0099589923843024</v>
          </cell>
          <cell r="N12">
            <v>2.0111544896820988</v>
          </cell>
          <cell r="O12">
            <v>1.8279932546374358</v>
          </cell>
          <cell r="P12">
            <v>2.0178983833718247</v>
          </cell>
          <cell r="Q12">
            <v>2.1869103773584886</v>
          </cell>
          <cell r="R12">
            <v>2.3101604278074879</v>
          </cell>
          <cell r="S12">
            <v>2.3314511575381225</v>
          </cell>
          <cell r="T12">
            <v>2.2117117117117098</v>
          </cell>
          <cell r="U12">
            <v>2.4360162130862708</v>
          </cell>
          <cell r="V12">
            <v>2.5247933884297562</v>
          </cell>
          <cell r="W12">
            <v>2.566003616636511</v>
          </cell>
          <cell r="X12">
            <v>2.6299120234604083</v>
          </cell>
          <cell r="Y12">
            <v>2.5386882829771449</v>
          </cell>
          <cell r="Z12">
            <v>2.5911986103068907</v>
          </cell>
          <cell r="AA12">
            <v>2.6242074927953953</v>
          </cell>
          <cell r="AB12">
            <v>2.6725885227461466</v>
          </cell>
          <cell r="AC12">
            <v>2.962551945045552</v>
          </cell>
          <cell r="AD12">
            <v>2.7202141859243345</v>
          </cell>
          <cell r="AE12">
            <v>2.9313350453958109</v>
          </cell>
          <cell r="AF12">
            <v>3.2464253416184397</v>
          </cell>
          <cell r="AG12">
            <v>3.3122894669965732</v>
          </cell>
          <cell r="AH12">
            <v>3.6832470074426094</v>
          </cell>
          <cell r="AI12">
            <v>3.2954806170883328</v>
          </cell>
          <cell r="AJ12">
            <v>4.0882109490696124</v>
          </cell>
          <cell r="AK12">
            <v>3.789444695636027</v>
          </cell>
          <cell r="AL12">
            <v>3.8434528222174458</v>
          </cell>
          <cell r="AM12">
            <v>4.0367650050053197</v>
          </cell>
          <cell r="AN12">
            <v>3.9410942346934394</v>
          </cell>
          <cell r="AO12">
            <v>4.3612491935675708</v>
          </cell>
          <cell r="AP12">
            <v>4.7175086356969782</v>
          </cell>
          <cell r="AQ12">
            <v>4.7974367425271192</v>
          </cell>
          <cell r="AR12">
            <v>4.9057707697167103</v>
          </cell>
          <cell r="AS12">
            <v>4.6912139571121561</v>
          </cell>
          <cell r="AT12">
            <v>4.1801059679864023</v>
          </cell>
          <cell r="AU12">
            <v>4.5221448586781143</v>
          </cell>
          <cell r="AV12">
            <v>4.7246248229676917</v>
          </cell>
          <cell r="AW12">
            <v>4.5165608668268984</v>
          </cell>
          <cell r="AX12">
            <v>4.484338494152122</v>
          </cell>
          <cell r="AY12">
            <v>4.1536486553014216</v>
          </cell>
          <cell r="AZ12">
            <v>4.452353208808705</v>
          </cell>
          <cell r="BA12">
            <v>4.7609622455478116</v>
          </cell>
          <cell r="BB12">
            <v>4.7527077612975468</v>
          </cell>
          <cell r="BC12">
            <v>4.530271868039029</v>
          </cell>
          <cell r="BD12">
            <v>4.3929549949871838</v>
          </cell>
          <cell r="BE12">
            <v>4.6115978306216094</v>
          </cell>
          <cell r="BF12">
            <v>5.0004280821917826</v>
          </cell>
          <cell r="BG12">
            <v>4.8677309007981782</v>
          </cell>
          <cell r="BH12">
            <v>4.7186844638802219</v>
          </cell>
          <cell r="BI12">
            <v>5.1541383428840506</v>
          </cell>
          <cell r="BJ12">
            <v>5.3403282590886194</v>
          </cell>
          <cell r="BK12">
            <v>5.7113334178672845</v>
          </cell>
          <cell r="BL12">
            <v>5.554737902361957</v>
          </cell>
          <cell r="BM12">
            <v>5.4426743958644765</v>
          </cell>
          <cell r="BN12">
            <v>6.3702885548092576</v>
          </cell>
          <cell r="BO12">
            <v>6.5998683744780227</v>
          </cell>
          <cell r="BP12">
            <v>6.9906440294886645</v>
          </cell>
          <cell r="BQ12">
            <v>6.9446613202926955</v>
          </cell>
          <cell r="BR12">
            <v>6.7260176273045831</v>
          </cell>
          <cell r="BS12">
            <v>6.5831757806882925</v>
          </cell>
          <cell r="BT12">
            <v>6.8435368338397335</v>
          </cell>
          <cell r="BU12">
            <v>7.288660603846286</v>
          </cell>
          <cell r="BV12">
            <v>7.2399614011944813</v>
          </cell>
          <cell r="BW12">
            <v>6.9884428631915334</v>
          </cell>
          <cell r="BX12">
            <v>6.7861675492244453</v>
          </cell>
          <cell r="BY12">
            <v>7.0215230415496297</v>
          </cell>
          <cell r="BZ12">
            <v>7.4496027545703338</v>
          </cell>
          <cell r="CA12">
            <v>7.3838391056661381</v>
          </cell>
          <cell r="CB12">
            <v>7.1598878216097095</v>
          </cell>
        </row>
        <row r="13">
          <cell r="B13" t="str">
            <v>Y/Y growth</v>
          </cell>
          <cell r="T13">
            <v>0.20991240317808546</v>
          </cell>
          <cell r="U13">
            <v>0.20720460116321049</v>
          </cell>
          <cell r="V13">
            <v>0.15450244992636031</v>
          </cell>
          <cell r="W13">
            <v>0.11074693590515583</v>
          </cell>
          <cell r="X13">
            <v>0.1280150626176717</v>
          </cell>
          <cell r="Y13">
            <v>0.14783869413630679</v>
          </cell>
          <cell r="Z13">
            <v>6.3703351556931631E-2</v>
          </cell>
          <cell r="AA13">
            <v>3.9375144445965127E-2</v>
          </cell>
          <cell r="AB13">
            <v>4.1537317180147193E-2</v>
          </cell>
          <cell r="AC13">
            <v>0.12648328864912362</v>
          </cell>
          <cell r="AD13">
            <v>7.1503817213160348E-2</v>
          </cell>
          <cell r="AE13">
            <v>0.13126606109465144</v>
          </cell>
          <cell r="AF13">
            <v>0.23710695534987458</v>
          </cell>
          <cell r="AG13">
            <v>0.23935631647221145</v>
          </cell>
          <cell r="AH13">
            <v>0.2432683293882214</v>
          </cell>
          <cell r="AI13">
            <v>0.21147835863098474</v>
          </cell>
          <cell r="AJ13">
            <v>0.39465836752127093</v>
          </cell>
          <cell r="AK13">
            <v>0.16726685411680409</v>
          </cell>
          <cell r="AL13">
            <v>0.16036139368655666</v>
          </cell>
          <cell r="AM13">
            <v>9.5979986367563441E-2</v>
          </cell>
          <cell r="AN13">
            <v>0.19590878922405186</v>
          </cell>
          <cell r="AO13">
            <v>6.6786730895110891E-2</v>
          </cell>
          <cell r="AP13">
            <v>0.24490763544582705</v>
          </cell>
          <cell r="AQ13">
            <v>0.24821012887034244</v>
          </cell>
          <cell r="AR13">
            <v>0.21527281465081116</v>
          </cell>
          <cell r="AS13">
            <v>0.19033285624469864</v>
          </cell>
          <cell r="AT13">
            <v>-4.1534711166777094E-2</v>
          </cell>
          <cell r="AU13">
            <v>-4.141248953749932E-2</v>
          </cell>
          <cell r="AV13">
            <v>-1.5177254743972468E-2</v>
          </cell>
          <cell r="AW13">
            <v>-7.9337156414319598E-2</v>
          </cell>
          <cell r="AX13">
            <v>-4.4098492384129884E-2</v>
          </cell>
          <cell r="AY13">
            <v>-6.3293401860158305E-3</v>
          </cell>
          <cell r="AZ13">
            <v>-1.5433306992693407E-2</v>
          </cell>
          <cell r="BA13">
            <v>7.6910704958992326E-3</v>
          </cell>
          <cell r="BB13">
            <v>5.2284670003031053E-2</v>
          </cell>
          <cell r="BC13">
            <v>1.0243065715669575E-2</v>
          </cell>
          <cell r="BD13">
            <v>5.7613524769440705E-2</v>
          </cell>
          <cell r="BE13">
            <v>3.5766394610798002E-2</v>
          </cell>
          <cell r="BF13">
            <v>5.0297781056320323E-2</v>
          </cell>
          <cell r="BG13">
            <v>2.4201601545395413E-2</v>
          </cell>
          <cell r="BH13">
            <v>4.1589688506431521E-2</v>
          </cell>
          <cell r="BI13">
            <v>0.17327365037098175</v>
          </cell>
          <cell r="BJ13">
            <v>0.1580212445300726</v>
          </cell>
          <cell r="BK13">
            <v>0.14216889514065345</v>
          </cell>
          <cell r="BL13">
            <v>0.14113495909380025</v>
          </cell>
          <cell r="BM13">
            <v>0.15343046086809342</v>
          </cell>
          <cell r="BN13">
            <v>0.23595606695428706</v>
          </cell>
          <cell r="BO13">
            <v>0.2358544370836777</v>
          </cell>
          <cell r="BP13">
            <v>0.22399508451374883</v>
          </cell>
          <cell r="BQ13">
            <v>0.25022304244809157</v>
          </cell>
          <cell r="BR13">
            <v>0.23579276254615444</v>
          </cell>
          <cell r="BS13">
            <v>3.3418772799281626E-2</v>
          </cell>
          <cell r="BT13">
            <v>3.6920199848831547E-2</v>
          </cell>
          <cell r="BU13">
            <v>4.2630775233368556E-2</v>
          </cell>
          <cell r="BV13">
            <v>4.2521883686235773E-2</v>
          </cell>
          <cell r="BW13">
            <v>3.9016435939986716E-2</v>
          </cell>
          <cell r="BX13">
            <v>3.0834930632055668E-2</v>
          </cell>
          <cell r="BY13">
            <v>2.6007927191944891E-2</v>
          </cell>
          <cell r="BZ13">
            <v>2.20811695689489E-2</v>
          </cell>
          <cell r="CA13">
            <v>1.9872717062817458E-2</v>
          </cell>
          <cell r="CB13">
            <v>2.4532640786288029E-2</v>
          </cell>
        </row>
        <row r="15">
          <cell r="B15" t="str">
            <v>EBITDA per adj claim</v>
          </cell>
          <cell r="D15">
            <v>1.1993106244931107</v>
          </cell>
          <cell r="E15">
            <v>1.2556261810685423</v>
          </cell>
          <cell r="J15">
            <v>1.2184678124089789</v>
          </cell>
          <cell r="K15">
            <v>0.56329463792150458</v>
          </cell>
          <cell r="L15">
            <v>1.0459579180509353</v>
          </cell>
          <cell r="M15">
            <v>1.2782659636789713</v>
          </cell>
          <cell r="N15">
            <v>1.0178471834913572</v>
          </cell>
          <cell r="O15">
            <v>1.2445193929173681</v>
          </cell>
          <cell r="P15">
            <v>1.342956120092379</v>
          </cell>
          <cell r="Q15">
            <v>1.4681603773584886</v>
          </cell>
          <cell r="R15">
            <v>1.4919786096256691</v>
          </cell>
          <cell r="S15">
            <v>1.6487859966120919</v>
          </cell>
          <cell r="T15">
            <v>1.4889566986341161</v>
          </cell>
          <cell r="U15">
            <v>1.7602779386218814</v>
          </cell>
          <cell r="V15">
            <v>1.8919716646989417</v>
          </cell>
          <cell r="W15">
            <v>1.8113321277878061</v>
          </cell>
          <cell r="X15">
            <v>1.8680351906158337</v>
          </cell>
          <cell r="Y15">
            <v>1.8332596196373177</v>
          </cell>
          <cell r="Z15">
            <v>1.8181818181818183</v>
          </cell>
          <cell r="AA15">
            <v>1.8403458213256547</v>
          </cell>
          <cell r="AB15">
            <v>1.8298731257208893</v>
          </cell>
          <cell r="AC15">
            <v>2.053956834532372</v>
          </cell>
          <cell r="AD15">
            <v>1.8906244673942925</v>
          </cell>
          <cell r="AE15">
            <v>1.9340599455040914</v>
          </cell>
          <cell r="AF15">
            <v>2.1481069042316259</v>
          </cell>
          <cell r="AG15">
            <v>2.3041294642857046</v>
          </cell>
          <cell r="AH15">
            <v>2.5562666666666702</v>
          </cell>
          <cell r="AI15">
            <v>2.2371290844115466</v>
          </cell>
          <cell r="AJ15">
            <v>2.9910290237466963</v>
          </cell>
          <cell r="AK15">
            <v>2.5488721804511298</v>
          </cell>
          <cell r="AL15">
            <v>2.6091954022988566</v>
          </cell>
          <cell r="AM15">
            <v>2.536842105263152</v>
          </cell>
          <cell r="AN15">
            <v>2.6763258679286852</v>
          </cell>
          <cell r="AO15">
            <v>2.9603289791969076</v>
          </cell>
          <cell r="AP15">
            <v>3.0489651691065118</v>
          </cell>
          <cell r="AQ15">
            <v>3.1932642487046494</v>
          </cell>
          <cell r="AR15">
            <v>3.1756688541140767</v>
          </cell>
          <cell r="AS15">
            <v>3.0967346759213012</v>
          </cell>
          <cell r="AT15">
            <v>2.8615656789031423</v>
          </cell>
          <cell r="AU15">
            <v>3.0653623832814554</v>
          </cell>
          <cell r="AV15">
            <v>3.2665758401453222</v>
          </cell>
          <cell r="AW15">
            <v>3.0554089709762549</v>
          </cell>
          <cell r="AX15">
            <v>3.0607611840640998</v>
          </cell>
          <cell r="AY15">
            <v>2.8699832775919685</v>
          </cell>
          <cell r="AZ15">
            <v>3.0625000000000027</v>
          </cell>
          <cell r="BA15">
            <v>3.2780612244897962</v>
          </cell>
          <cell r="BB15">
            <v>3.2194023741301705</v>
          </cell>
          <cell r="BC15">
            <v>3.1079978691921535</v>
          </cell>
          <cell r="BD15">
            <v>3.0053213262382283</v>
          </cell>
          <cell r="BE15">
            <v>3.0705047976637454</v>
          </cell>
          <cell r="BF15">
            <v>3.4285102739726043</v>
          </cell>
          <cell r="BG15">
            <v>3.4188521474724465</v>
          </cell>
          <cell r="BH15">
            <v>3.2352757767596536</v>
          </cell>
          <cell r="BI15">
            <v>3.469786235190758</v>
          </cell>
          <cell r="BJ15">
            <v>3.6896634136845372</v>
          </cell>
          <cell r="BK15">
            <v>4.0440872591674166</v>
          </cell>
          <cell r="BL15">
            <v>3.8188482835286646</v>
          </cell>
          <cell r="BM15">
            <v>3.7567621120061316</v>
          </cell>
          <cell r="BN15">
            <v>4.6331334816540544</v>
          </cell>
          <cell r="BO15">
            <v>4.6700245879340612</v>
          </cell>
          <cell r="BP15">
            <v>5.0406302504370437</v>
          </cell>
          <cell r="BQ15">
            <v>4.931575111965488</v>
          </cell>
          <cell r="BR15">
            <v>4.818418883730117</v>
          </cell>
          <cell r="BS15">
            <v>4.8347863133828648</v>
          </cell>
          <cell r="BT15">
            <v>4.9055219319482717</v>
          </cell>
          <cell r="BU15">
            <v>5.330391614071285</v>
          </cell>
          <cell r="BV15">
            <v>5.2227904527016928</v>
          </cell>
          <cell r="BW15">
            <v>5.0729121153535655</v>
          </cell>
          <cell r="BX15">
            <v>5.0272835845416761</v>
          </cell>
          <cell r="BY15">
            <v>5.0760510370151772</v>
          </cell>
          <cell r="BZ15">
            <v>5.4838229161399639</v>
          </cell>
          <cell r="CA15">
            <v>5.3647697872321887</v>
          </cell>
          <cell r="CB15">
            <v>5.2375226518291891</v>
          </cell>
        </row>
        <row r="16">
          <cell r="B16" t="str">
            <v>EBITDA per adj rx - as reported</v>
          </cell>
          <cell r="N16">
            <v>1.45</v>
          </cell>
          <cell r="O16">
            <v>1.24</v>
          </cell>
          <cell r="P16">
            <v>1.41</v>
          </cell>
          <cell r="Q16">
            <v>1.47</v>
          </cell>
          <cell r="R16">
            <v>1.49</v>
          </cell>
          <cell r="S16">
            <v>1.65</v>
          </cell>
          <cell r="T16">
            <v>1.5</v>
          </cell>
          <cell r="U16">
            <v>1.76</v>
          </cell>
          <cell r="V16">
            <v>1.89</v>
          </cell>
          <cell r="W16">
            <v>1.81</v>
          </cell>
          <cell r="X16">
            <v>1.87</v>
          </cell>
          <cell r="Y16">
            <v>1.83</v>
          </cell>
          <cell r="Z16">
            <v>1.82</v>
          </cell>
          <cell r="AA16">
            <v>1.84</v>
          </cell>
          <cell r="AB16">
            <v>1.83</v>
          </cell>
          <cell r="AC16">
            <v>2.0499999999999998</v>
          </cell>
          <cell r="AE16">
            <v>1.93</v>
          </cell>
          <cell r="AF16">
            <v>2.15</v>
          </cell>
          <cell r="AG16">
            <v>2.2999999999999998</v>
          </cell>
          <cell r="AH16">
            <v>2.56</v>
          </cell>
          <cell r="AJ16">
            <v>2.99</v>
          </cell>
          <cell r="AK16">
            <v>2.5499999999999998</v>
          </cell>
          <cell r="AL16">
            <v>2.61</v>
          </cell>
          <cell r="AM16">
            <v>2.54</v>
          </cell>
          <cell r="AN16">
            <v>2.67</v>
          </cell>
          <cell r="AO16">
            <v>2.96</v>
          </cell>
          <cell r="AP16">
            <v>3.05</v>
          </cell>
          <cell r="AQ16">
            <v>3.19</v>
          </cell>
          <cell r="AR16">
            <v>3.18</v>
          </cell>
          <cell r="AS16">
            <v>3.09</v>
          </cell>
          <cell r="AT16">
            <v>2.86</v>
          </cell>
          <cell r="AU16">
            <v>3.07</v>
          </cell>
          <cell r="AV16">
            <v>3.27</v>
          </cell>
          <cell r="AW16">
            <v>3.06</v>
          </cell>
          <cell r="AX16">
            <v>3.06</v>
          </cell>
          <cell r="AY16">
            <v>2.87</v>
          </cell>
          <cell r="AZ16">
            <v>3.06</v>
          </cell>
          <cell r="BA16">
            <v>3.28</v>
          </cell>
          <cell r="BB16">
            <v>3.22</v>
          </cell>
          <cell r="BD16">
            <v>3.01</v>
          </cell>
          <cell r="BE16">
            <v>3.07</v>
          </cell>
          <cell r="BF16">
            <v>3.43</v>
          </cell>
          <cell r="BG16">
            <v>3.42</v>
          </cell>
        </row>
        <row r="17">
          <cell r="B17" t="str">
            <v>Y/Y growth</v>
          </cell>
          <cell r="T17">
            <v>0.19641100581305104</v>
          </cell>
          <cell r="U17">
            <v>0.24822695035460995</v>
          </cell>
          <cell r="V17">
            <v>0.28571428571428559</v>
          </cell>
          <cell r="W17">
            <v>0.21476510067114107</v>
          </cell>
          <cell r="X17">
            <v>0.13333333333333353</v>
          </cell>
          <cell r="Y17">
            <v>0.23123769906743785</v>
          </cell>
          <cell r="Z17">
            <v>3.4090909090909172E-2</v>
          </cell>
          <cell r="AA17">
            <v>-2.6455026455026398E-2</v>
          </cell>
          <cell r="AB17">
            <v>1.1049723756906049E-2</v>
          </cell>
          <cell r="AC17">
            <v>9.625668449197855E-2</v>
          </cell>
          <cell r="AD17">
            <v>3.1291175097351243E-2</v>
          </cell>
          <cell r="AE17">
            <v>6.0439560439560447E-2</v>
          </cell>
          <cell r="AF17">
            <v>0.16847826086956519</v>
          </cell>
          <cell r="AG17">
            <v>0.25683060109289602</v>
          </cell>
          <cell r="AH17">
            <v>0.24878048780487827</v>
          </cell>
          <cell r="AI17">
            <v>0.18327522096168347</v>
          </cell>
          <cell r="AJ17">
            <v>0.54922279792746131</v>
          </cell>
          <cell r="AK17">
            <v>0.18604651162790686</v>
          </cell>
          <cell r="AL17">
            <v>0.13478260869565228</v>
          </cell>
          <cell r="AM17">
            <v>-7.8125E-3</v>
          </cell>
          <cell r="AN17">
            <v>0.19632160994977399</v>
          </cell>
          <cell r="AO17">
            <v>-1.0033444816053616E-2</v>
          </cell>
          <cell r="AP17">
            <v>0.19607843137254899</v>
          </cell>
          <cell r="AQ17">
            <v>0.22222222222222232</v>
          </cell>
          <cell r="AR17">
            <v>0.25196850393700787</v>
          </cell>
          <cell r="AS17">
            <v>0.15708431212750162</v>
          </cell>
          <cell r="AT17">
            <v>-3.3783783783783772E-2</v>
          </cell>
          <cell r="AU17">
            <v>6.5573770491802463E-3</v>
          </cell>
          <cell r="AV17">
            <v>2.2958197546730341E-2</v>
          </cell>
          <cell r="AW17">
            <v>-3.7735849056603765E-2</v>
          </cell>
          <cell r="AX17">
            <v>-1.161658831701462E-2</v>
          </cell>
          <cell r="AY17">
            <v>2.9416059714739706E-3</v>
          </cell>
          <cell r="AZ17">
            <v>-9.3378299970803269E-4</v>
          </cell>
          <cell r="BA17">
            <v>3.0581039755350758E-3</v>
          </cell>
          <cell r="BB17">
            <v>5.3673143173863513E-2</v>
          </cell>
          <cell r="BC17">
            <v>1.5432986204213517E-2</v>
          </cell>
          <cell r="BD17">
            <v>4.7156389273394606E-2</v>
          </cell>
          <cell r="BE17">
            <v>2.6138114820384306E-3</v>
          </cell>
          <cell r="BF17">
            <v>4.5895741165183468E-2</v>
          </cell>
          <cell r="BG17">
            <v>6.1952421649736689E-2</v>
          </cell>
          <cell r="BH17">
            <v>4.095173578757394E-2</v>
          </cell>
          <cell r="BI17">
            <v>0.15454750375524795</v>
          </cell>
          <cell r="BJ17">
            <v>0.20164717426655421</v>
          </cell>
          <cell r="BK17">
            <v>0.17954648987577482</v>
          </cell>
          <cell r="BL17">
            <v>0.11699720221944521</v>
          </cell>
          <cell r="BM17">
            <v>0.1611875992125722</v>
          </cell>
          <cell r="BN17">
            <v>0.335279226905844</v>
          </cell>
          <cell r="BO17">
            <v>0.26570477150123706</v>
          </cell>
          <cell r="BP17">
            <v>0.24641975491765034</v>
          </cell>
          <cell r="BQ17">
            <v>0.2913775949770514</v>
          </cell>
          <cell r="BR17">
            <v>0.28259888171547143</v>
          </cell>
          <cell r="BS17">
            <v>4.3524071241914486E-2</v>
          </cell>
          <cell r="BT17">
            <v>5.042743128647853E-2</v>
          </cell>
          <cell r="BU17">
            <v>5.7485145554788009E-2</v>
          </cell>
          <cell r="BV17">
            <v>5.9051182254048706E-2</v>
          </cell>
          <cell r="BW17">
            <v>5.2816751254809002E-2</v>
          </cell>
          <cell r="BX17">
            <v>3.9815052554850627E-2</v>
          </cell>
          <cell r="BY17">
            <v>3.4762683244018877E-2</v>
          </cell>
          <cell r="BZ17">
            <v>2.8784245732273783E-2</v>
          </cell>
          <cell r="CA17">
            <v>2.7184574188124255E-2</v>
          </cell>
          <cell r="CB17">
            <v>3.2448923366406701E-2</v>
          </cell>
        </row>
        <row r="18">
          <cell r="B18" t="str">
            <v>Q/Q growth</v>
          </cell>
          <cell r="P18">
            <v>-2.7586206896551779E-2</v>
          </cell>
          <cell r="Q18">
            <v>4.2553191489361764E-2</v>
          </cell>
          <cell r="R18">
            <v>1.3605442176870763E-2</v>
          </cell>
          <cell r="S18">
            <v>0.10738255033557031</v>
          </cell>
          <cell r="U18">
            <v>6.6666666666666652E-2</v>
          </cell>
          <cell r="V18">
            <v>7.3863636363636243E-2</v>
          </cell>
          <cell r="W18">
            <v>-4.2328042328042215E-2</v>
          </cell>
          <cell r="X18">
            <v>3.3149171270718369E-2</v>
          </cell>
          <cell r="Z18">
            <v>-2.6737967914438499E-2</v>
          </cell>
          <cell r="AA18">
            <v>1.098901098901095E-2</v>
          </cell>
          <cell r="AB18">
            <v>-5.4347826086956763E-3</v>
          </cell>
          <cell r="AC18">
            <v>0.12021857923497259</v>
          </cell>
          <cell r="AE18">
            <v>-5.85365853658536E-2</v>
          </cell>
          <cell r="AF18">
            <v>0.11398963730569944</v>
          </cell>
          <cell r="AG18">
            <v>6.9767441860465018E-2</v>
          </cell>
          <cell r="AH18">
            <v>0.11304347826086958</v>
          </cell>
          <cell r="AJ18">
            <v>0.16796875</v>
          </cell>
          <cell r="AK18">
            <v>-0.14715719063545163</v>
          </cell>
          <cell r="AL18">
            <v>2.3529411764705799E-2</v>
          </cell>
          <cell r="AM18">
            <v>-2.6819923371647403E-2</v>
          </cell>
          <cell r="AO18">
            <v>0.16535433070866135</v>
          </cell>
          <cell r="AP18">
            <v>3.0405405405405261E-2</v>
          </cell>
          <cell r="AQ18">
            <v>4.590163934426239E-2</v>
          </cell>
          <cell r="AR18">
            <v>-3.1347962382444194E-3</v>
          </cell>
          <cell r="AT18">
            <v>-0.10062893081761015</v>
          </cell>
          <cell r="AU18">
            <v>7.3426573426573327E-2</v>
          </cell>
          <cell r="AV18">
            <v>6.5641001521154152E-2</v>
          </cell>
          <cell r="AW18">
            <v>-6.422018348623848E-2</v>
          </cell>
          <cell r="AY18">
            <v>-6.209696810719989E-2</v>
          </cell>
          <cell r="AZ18">
            <v>6.7079388201022327E-2</v>
          </cell>
          <cell r="BA18">
            <v>7.1895424836601274E-2</v>
          </cell>
          <cell r="BB18">
            <v>-1.7894373027994792E-2</v>
          </cell>
          <cell r="BD18">
            <v>-6.6497139224413804E-2</v>
          </cell>
          <cell r="BE18">
            <v>2.1689351769618392E-2</v>
          </cell>
          <cell r="BF18">
            <v>0.11659499004243679</v>
          </cell>
          <cell r="BG18">
            <v>-2.8170038087612648E-3</v>
          </cell>
          <cell r="BI18">
            <v>1.4898008314272015E-2</v>
          </cell>
          <cell r="BJ18">
            <v>6.336908489167814E-2</v>
          </cell>
          <cell r="BK18">
            <v>9.6058584685085879E-2</v>
          </cell>
          <cell r="BL18">
            <v>-5.5695874298499537E-2</v>
          </cell>
          <cell r="BN18">
            <v>0.21322795190307486</v>
          </cell>
          <cell r="BO18">
            <v>7.9624527171697768E-3</v>
          </cell>
          <cell r="BP18">
            <v>7.9358396411983723E-2</v>
          </cell>
          <cell r="BQ18">
            <v>-2.1635218822507407E-2</v>
          </cell>
          <cell r="BS18">
            <v>-1.962634581957079E-2</v>
          </cell>
          <cell r="BT18">
            <v>1.4630557377398157E-2</v>
          </cell>
          <cell r="BU18">
            <v>8.661049487027217E-2</v>
          </cell>
          <cell r="BV18">
            <v>-2.0186351990638784E-2</v>
          </cell>
          <cell r="BX18">
            <v>-3.7433412259318843E-2</v>
          </cell>
          <cell r="BY18">
            <v>9.7005572996629041E-3</v>
          </cell>
          <cell r="BZ18">
            <v>8.0332501811204216E-2</v>
          </cell>
          <cell r="CA18">
            <v>-2.1709878442168207E-2</v>
          </cell>
        </row>
        <row r="20">
          <cell r="B20" t="str">
            <v>FCF per adj claim</v>
          </cell>
          <cell r="T20">
            <v>1.9102005231037469</v>
          </cell>
          <cell r="U20">
            <v>0.65242385639837508</v>
          </cell>
          <cell r="V20">
            <v>-0.3713589138134562</v>
          </cell>
          <cell r="W20">
            <v>2.5735973477998688</v>
          </cell>
          <cell r="X20">
            <v>1.0341771260997057</v>
          </cell>
          <cell r="Y20">
            <v>0.96504760501104725</v>
          </cell>
          <cell r="Z20">
            <v>2.8889125651418648</v>
          </cell>
          <cell r="AA20">
            <v>-1.5186755043227631</v>
          </cell>
          <cell r="AB20">
            <v>3.343864734618236</v>
          </cell>
          <cell r="AC20">
            <v>0.47533937978790047</v>
          </cell>
          <cell r="AD20">
            <v>1.3024733599849647</v>
          </cell>
          <cell r="AE20">
            <v>-0.27670996738631437</v>
          </cell>
          <cell r="AF20">
            <v>1.3934848200370478</v>
          </cell>
          <cell r="AG20">
            <v>0.50469580636804012</v>
          </cell>
          <cell r="AH20">
            <v>4.3681783271462411</v>
          </cell>
          <cell r="AI20">
            <v>1.5365883259845632</v>
          </cell>
          <cell r="AJ20">
            <v>0.44417828082476191</v>
          </cell>
          <cell r="AK20">
            <v>2.9754724052654313</v>
          </cell>
          <cell r="AL20">
            <v>0.66616558291019723</v>
          </cell>
          <cell r="AM20">
            <v>2.5478024942867474</v>
          </cell>
          <cell r="AN20">
            <v>1.6624052789861818</v>
          </cell>
          <cell r="AO20">
            <v>0.80723999820162318</v>
          </cell>
          <cell r="AP20">
            <v>0.14706397301276616</v>
          </cell>
          <cell r="AQ20">
            <v>2.8293723570489977</v>
          </cell>
          <cell r="AR20">
            <v>3.8007895202413713</v>
          </cell>
          <cell r="AS20">
            <v>1.8781123971039826</v>
          </cell>
          <cell r="AT20">
            <v>5.1645711768130882</v>
          </cell>
          <cell r="AU20">
            <v>4.754890635194676</v>
          </cell>
          <cell r="AV20">
            <v>1.1288155399387101</v>
          </cell>
          <cell r="AW20">
            <v>3.8859621653085554</v>
          </cell>
          <cell r="AX20">
            <v>3.5146476771117903</v>
          </cell>
          <cell r="AY20">
            <v>1.1985521190231865</v>
          </cell>
          <cell r="AZ20">
            <v>2.7313830303976752</v>
          </cell>
          <cell r="BA20">
            <v>1.4394151636357839</v>
          </cell>
          <cell r="BB20">
            <v>3.7522107973613519</v>
          </cell>
          <cell r="BC20">
            <v>2.2698794947363199</v>
          </cell>
          <cell r="BD20">
            <v>0.36574438905288792</v>
          </cell>
          <cell r="BE20">
            <v>2.1310379641218189</v>
          </cell>
          <cell r="BF20">
            <v>1.8129447773972605</v>
          </cell>
          <cell r="BG20">
            <v>0.40828202204485237</v>
          </cell>
          <cell r="BH20">
            <v>0.97786070052179197</v>
          </cell>
          <cell r="BI20">
            <v>5.5945363016517113</v>
          </cell>
          <cell r="BJ20">
            <v>2.2394537135146511</v>
          </cell>
          <cell r="BK20">
            <v>2.5888080204122734</v>
          </cell>
          <cell r="BL20">
            <v>1.8680916132781473</v>
          </cell>
          <cell r="BM20">
            <v>3.0401910982639566</v>
          </cell>
          <cell r="BN20">
            <v>6.085672438668829</v>
          </cell>
          <cell r="BO20">
            <v>2.670991965547945</v>
          </cell>
          <cell r="BP20">
            <v>2.9469292409164352</v>
          </cell>
          <cell r="BQ20">
            <v>3.0540291924194833</v>
          </cell>
          <cell r="BR20">
            <v>3.6888024936040025</v>
          </cell>
          <cell r="BS20">
            <v>2.9850912770664086</v>
          </cell>
          <cell r="BT20">
            <v>2.9123976045210629</v>
          </cell>
          <cell r="BU20">
            <v>3.2519610591733992</v>
          </cell>
          <cell r="BV20">
            <v>3.2368898963549362</v>
          </cell>
          <cell r="BW20">
            <v>3.096270784914755</v>
          </cell>
          <cell r="BX20">
            <v>3.1333259620327216</v>
          </cell>
          <cell r="BY20">
            <v>2.9349684467832171</v>
          </cell>
          <cell r="BZ20">
            <v>3.2166957663035465</v>
          </cell>
          <cell r="CA20">
            <v>3.3396599962993729</v>
          </cell>
          <cell r="CB20">
            <v>3.1560203088585115</v>
          </cell>
        </row>
        <row r="21">
          <cell r="B21" t="str">
            <v>Y/Y growth</v>
          </cell>
          <cell r="Y21">
            <v>-0.49479251348805464</v>
          </cell>
          <cell r="Z21">
            <v>3.4279689297226925</v>
          </cell>
          <cell r="AA21">
            <v>3.0895086877748561</v>
          </cell>
          <cell r="AB21">
            <v>0.29929599806156837</v>
          </cell>
          <cell r="AC21">
            <v>-0.54036947076890507</v>
          </cell>
          <cell r="AD21">
            <v>0.34964674615202518</v>
          </cell>
          <cell r="AE21">
            <v>-1.0957834344746693</v>
          </cell>
          <cell r="AF21">
            <v>-1.9175658763643897</v>
          </cell>
          <cell r="AG21">
            <v>-0.84906811536272842</v>
          </cell>
          <cell r="AH21">
            <v>8.1895990799149665</v>
          </cell>
          <cell r="AI21">
            <v>0.17974645255109167</v>
          </cell>
          <cell r="AJ21">
            <v>-2.6052124360400986</v>
          </cell>
          <cell r="AK21">
            <v>1.1352743585583691</v>
          </cell>
          <cell r="AL21">
            <v>0.31993484888283041</v>
          </cell>
          <cell r="AM21">
            <v>-0.41673569541487943</v>
          </cell>
          <cell r="AN21">
            <v>8.1880716437827905E-2</v>
          </cell>
          <cell r="AO21">
            <v>0.81737836596314151</v>
          </cell>
          <cell r="AP21">
            <v>-0.95057458010616402</v>
          </cell>
          <cell r="AQ21">
            <v>3.2472508782105791</v>
          </cell>
          <cell r="AR21">
            <v>0.49179127062021166</v>
          </cell>
          <cell r="AS21">
            <v>0.12975603533294233</v>
          </cell>
          <cell r="AT21">
            <v>5.3978137707729648</v>
          </cell>
          <cell r="AU21">
            <v>31.332124161924547</v>
          </cell>
          <cell r="AV21">
            <v>-0.60103676805690875</v>
          </cell>
          <cell r="AW21">
            <v>2.2409198039931244E-2</v>
          </cell>
          <cell r="AX21">
            <v>0.8713723856630291</v>
          </cell>
          <cell r="AY21">
            <v>-0.76792804707499851</v>
          </cell>
          <cell r="AZ21">
            <v>-0.42556343774122452</v>
          </cell>
          <cell r="BA21">
            <v>0.27515534000704678</v>
          </cell>
          <cell r="BB21">
            <v>-3.4419112244903571E-2</v>
          </cell>
          <cell r="BC21">
            <v>-0.3541658501026127</v>
          </cell>
          <cell r="BD21">
            <v>-0.69484481880440241</v>
          </cell>
          <cell r="BE21">
            <v>-0.21979526840234087</v>
          </cell>
          <cell r="BF21">
            <v>0.2595009578876375</v>
          </cell>
          <cell r="BG21">
            <v>-0.89118894324061793</v>
          </cell>
          <cell r="BH21">
            <v>-0.56920149162571076</v>
          </cell>
          <cell r="BI21">
            <v>14.296301102906931</v>
          </cell>
          <cell r="BJ21">
            <v>5.0874621296345346E-2</v>
          </cell>
          <cell r="BK21">
            <v>0.42795746052942363</v>
          </cell>
          <cell r="BL21">
            <v>3.5754931944393222</v>
          </cell>
          <cell r="BM21">
            <v>2.1090226825167364</v>
          </cell>
          <cell r="BN21">
            <v>8.7788533407517022E-2</v>
          </cell>
          <cell r="BO21">
            <v>0.19269800015470184</v>
          </cell>
          <cell r="BP21">
            <v>0.13833440629063332</v>
          </cell>
          <cell r="BQ21">
            <v>0.63483908964199021</v>
          </cell>
          <cell r="BR21">
            <v>0.21334560044940032</v>
          </cell>
          <cell r="BS21">
            <v>-0.50948867078370674</v>
          </cell>
          <cell r="BT21">
            <v>9.0380518581453018E-2</v>
          </cell>
          <cell r="BU21">
            <v>0.10350836186419787</v>
          </cell>
          <cell r="BV21">
            <v>5.987523118290361E-2</v>
          </cell>
          <cell r="BW21">
            <v>-0.16062982762471978</v>
          </cell>
          <cell r="BX21">
            <v>4.9658342478555717E-2</v>
          </cell>
          <cell r="BY21">
            <v>7.7499178776676558E-3</v>
          </cell>
          <cell r="BZ21">
            <v>-1.0844315853774877E-2</v>
          </cell>
          <cell r="CA21">
            <v>3.1749643403121697E-2</v>
          </cell>
          <cell r="CB21">
            <v>1.9297254049891244E-2</v>
          </cell>
        </row>
        <row r="23">
          <cell r="B23" t="str">
            <v>Revenue per claim</v>
          </cell>
        </row>
        <row r="24">
          <cell r="B24" t="str">
            <v>Rev per claim - Retail - core</v>
          </cell>
          <cell r="P24">
            <v>47.048114481144808</v>
          </cell>
          <cell r="Q24">
            <v>47.583356090811435</v>
          </cell>
          <cell r="R24">
            <v>47.976453753089636</v>
          </cell>
          <cell r="S24">
            <v>46.55510239500174</v>
          </cell>
          <cell r="T24">
            <v>47.277687901906617</v>
          </cell>
          <cell r="U24">
            <v>45.448257655755015</v>
          </cell>
          <cell r="V24">
            <v>45.838427340928035</v>
          </cell>
          <cell r="W24">
            <v>45.743597163941544</v>
          </cell>
          <cell r="X24">
            <v>45.46117581808096</v>
          </cell>
          <cell r="Y24">
            <v>45.619303041838251</v>
          </cell>
          <cell r="Z24">
            <v>44.144778067885113</v>
          </cell>
          <cell r="AA24">
            <v>45.620658372213583</v>
          </cell>
          <cell r="AB24">
            <v>46.431614939505522</v>
          </cell>
          <cell r="AC24">
            <v>45.74241676025094</v>
          </cell>
          <cell r="AD24">
            <v>45.490677110051713</v>
          </cell>
          <cell r="AE24">
            <v>48.104423085452609</v>
          </cell>
          <cell r="AF24">
            <v>50.197310048569449</v>
          </cell>
          <cell r="AG24">
            <v>49.25453449740197</v>
          </cell>
          <cell r="AH24">
            <v>49.187122636223776</v>
          </cell>
          <cell r="AI24">
            <v>49.175646468396792</v>
          </cell>
          <cell r="AJ24">
            <v>49.951657459261895</v>
          </cell>
          <cell r="AK24">
            <v>50.365156776971403</v>
          </cell>
          <cell r="AL24">
            <v>50.542952709246251</v>
          </cell>
          <cell r="AM24">
            <v>49.847945176561076</v>
          </cell>
          <cell r="AN24">
            <v>50.171611324982109</v>
          </cell>
          <cell r="AO24">
            <v>51.529131227245585</v>
          </cell>
          <cell r="AP24">
            <v>52.291500363830515</v>
          </cell>
          <cell r="AQ24">
            <v>52.375065782064397</v>
          </cell>
          <cell r="AR24">
            <v>51.934697757410909</v>
          </cell>
          <cell r="AS24">
            <v>52.021608293695394</v>
          </cell>
          <cell r="AT24">
            <v>54.089372416833328</v>
          </cell>
          <cell r="AU24">
            <v>54.516378357798231</v>
          </cell>
          <cell r="AV24">
            <v>54.92987580807187</v>
          </cell>
          <cell r="AW24">
            <v>54.593397948967088</v>
          </cell>
          <cell r="AX24">
            <v>54.52891149203419</v>
          </cell>
          <cell r="AY24">
            <v>56.063995260373574</v>
          </cell>
          <cell r="AZ24">
            <v>56.046666299847679</v>
          </cell>
          <cell r="BA24">
            <v>56.105954246735294</v>
          </cell>
          <cell r="BB24">
            <v>55.465775576237142</v>
          </cell>
          <cell r="BC24">
            <v>55.916738337424924</v>
          </cell>
          <cell r="BD24">
            <v>55.230000519624376</v>
          </cell>
          <cell r="BE24">
            <v>56.238238332812841</v>
          </cell>
          <cell r="BF24">
            <v>56.637388887654382</v>
          </cell>
          <cell r="BG24">
            <v>55.463982281897451</v>
          </cell>
          <cell r="BH24">
            <v>55.871368243566437</v>
          </cell>
          <cell r="BI24">
            <v>54.408848407243674</v>
          </cell>
          <cell r="BJ24">
            <v>54.39130587205134</v>
          </cell>
          <cell r="BK24">
            <v>53.53891460185887</v>
          </cell>
          <cell r="BL24">
            <v>51.991144143396888</v>
          </cell>
          <cell r="BM24">
            <v>53.535969848766413</v>
          </cell>
          <cell r="BN24">
            <v>50.313888316909441</v>
          </cell>
          <cell r="BO24">
            <v>51.378647281936786</v>
          </cell>
          <cell r="BP24">
            <v>51.719062260864249</v>
          </cell>
          <cell r="BQ24">
            <v>51.615740104996341</v>
          </cell>
          <cell r="BR24">
            <v>51.257613619951279</v>
          </cell>
          <cell r="BS24">
            <v>50.158326708239272</v>
          </cell>
          <cell r="BT24">
            <v>50.479154052708211</v>
          </cell>
          <cell r="BU24">
            <v>49.740372530924148</v>
          </cell>
          <cell r="BV24">
            <v>49.826823676732459</v>
          </cell>
          <cell r="BW24">
            <v>50.051573226307362</v>
          </cell>
          <cell r="BX24">
            <v>47.917940315969084</v>
          </cell>
          <cell r="BY24">
            <v>48.76026877397355</v>
          </cell>
          <cell r="BZ24">
            <v>48.784267935324564</v>
          </cell>
          <cell r="CA24">
            <v>48.85355657686506</v>
          </cell>
          <cell r="CB24">
            <v>48.579897178338733</v>
          </cell>
        </row>
        <row r="25">
          <cell r="B25" t="str">
            <v>Rev/claim retail - y/y growth</v>
          </cell>
          <cell r="U25">
            <v>-3.4004695895538117E-2</v>
          </cell>
          <cell r="V25">
            <v>-3.6670989464325565E-2</v>
          </cell>
          <cell r="W25">
            <v>-4.6540675987422286E-2</v>
          </cell>
          <cell r="X25">
            <v>-2.349745829445804E-2</v>
          </cell>
          <cell r="Y25">
            <v>-3.507753728374452E-2</v>
          </cell>
          <cell r="Z25">
            <v>-2.8680518354367468E-2</v>
          </cell>
          <cell r="AA25">
            <v>-4.7507949409950623E-3</v>
          </cell>
          <cell r="AB25">
            <v>1.5040744895906899E-2</v>
          </cell>
          <cell r="AC25">
            <v>6.1863983302017367E-3</v>
          </cell>
          <cell r="AD25">
            <v>-2.8195505676308352E-3</v>
          </cell>
          <cell r="AE25">
            <v>8.9696792936152514E-2</v>
          </cell>
          <cell r="AF25">
            <v>0.10031972004909484</v>
          </cell>
          <cell r="AG25">
            <v>6.0797358902427767E-2</v>
          </cell>
          <cell r="AH25">
            <v>7.5306599868291135E-2</v>
          </cell>
          <cell r="AI25">
            <v>8.1004935350387219E-2</v>
          </cell>
          <cell r="AJ25">
            <v>3.8400509876770794E-2</v>
          </cell>
          <cell r="AK25">
            <v>3.3437394999762393E-3</v>
          </cell>
          <cell r="AL25">
            <v>2.6158367447615127E-2</v>
          </cell>
          <cell r="AM25">
            <v>1.3434868821756263E-2</v>
          </cell>
          <cell r="AN25">
            <v>2.0253213289740613E-2</v>
          </cell>
          <cell r="AO25">
            <v>3.1580008516638225E-2</v>
          </cell>
          <cell r="AP25">
            <v>3.8247544733939876E-2</v>
          </cell>
          <cell r="AQ25">
            <v>3.6248635558701281E-2</v>
          </cell>
          <cell r="AR25">
            <v>4.186235908939806E-2</v>
          </cell>
          <cell r="AS25">
            <v>3.6873381576886022E-2</v>
          </cell>
          <cell r="AT25">
            <v>4.9685316414456393E-2</v>
          </cell>
          <cell r="AU25">
            <v>4.2547602927580863E-2</v>
          </cell>
          <cell r="AV25">
            <v>4.8779127775002262E-2</v>
          </cell>
          <cell r="AW25">
            <v>5.1193138813959704E-2</v>
          </cell>
          <cell r="AX25">
            <v>4.8197341077643285E-2</v>
          </cell>
          <cell r="AY25">
            <v>3.6506669523229895E-2</v>
          </cell>
          <cell r="AZ25">
            <v>2.8070242157429481E-2</v>
          </cell>
          <cell r="BA25">
            <v>2.1410542466411275E-2</v>
          </cell>
          <cell r="BB25">
            <v>1.5979544414611135E-2</v>
          </cell>
          <cell r="BC25">
            <v>2.5451211245863137E-2</v>
          </cell>
          <cell r="BD25">
            <v>-1.4875763613990456E-2</v>
          </cell>
          <cell r="BE25">
            <v>3.4180807818302572E-3</v>
          </cell>
          <cell r="BF25">
            <v>9.4719829304037439E-3</v>
          </cell>
          <cell r="BG25">
            <v>-3.2331547175856734E-5</v>
          </cell>
          <cell r="BH25">
            <v>-8.1138662961177666E-4</v>
          </cell>
          <cell r="BI25">
            <v>-1.4867863564276607E-2</v>
          </cell>
          <cell r="BJ25">
            <v>-3.2841221836137913E-2</v>
          </cell>
          <cell r="BK25">
            <v>-5.4707223384567127E-2</v>
          </cell>
          <cell r="BL25">
            <v>-6.2614294820190763E-2</v>
          </cell>
          <cell r="BM25">
            <v>-4.1799556162989471E-2</v>
          </cell>
          <cell r="BN25">
            <v>-7.5262759830606041E-2</v>
          </cell>
          <cell r="BO25">
            <v>-5.5388605620196985E-2</v>
          </cell>
          <cell r="BP25">
            <v>-3.3991207228011966E-2</v>
          </cell>
          <cell r="BQ25">
            <v>-7.2205381240533217E-3</v>
          </cell>
          <cell r="BR25">
            <v>-4.2557484906900034E-2</v>
          </cell>
          <cell r="BS25">
            <v>-3.0918224345998224E-3</v>
          </cell>
          <cell r="BT25">
            <v>-1.7507141133799586E-2</v>
          </cell>
          <cell r="BU25">
            <v>-3.8258422396752811E-2</v>
          </cell>
          <cell r="BV25">
            <v>-3.4658350817500239E-2</v>
          </cell>
          <cell r="BW25">
            <v>-2.3529000054237525E-2</v>
          </cell>
          <cell r="BX25">
            <v>-4.4666290510488094E-2</v>
          </cell>
          <cell r="BY25">
            <v>-3.4051388360032186E-2</v>
          </cell>
          <cell r="BZ25">
            <v>-1.922190259039902E-2</v>
          </cell>
          <cell r="CA25">
            <v>-1.9532995042625734E-2</v>
          </cell>
          <cell r="CB25">
            <v>-2.9403192609240625E-2</v>
          </cell>
        </row>
        <row r="27">
          <cell r="B27" t="str">
            <v>Rev per claim - Retail - as reported</v>
          </cell>
          <cell r="P27">
            <v>48.318942731277531</v>
          </cell>
          <cell r="Q27">
            <v>49.723063223508454</v>
          </cell>
          <cell r="R27">
            <v>51.030881017257045</v>
          </cell>
          <cell r="S27">
            <v>50.631355932203391</v>
          </cell>
          <cell r="T27">
            <v>49.92531394580304</v>
          </cell>
          <cell r="U27">
            <v>51.643382352941181</v>
          </cell>
          <cell r="V27">
            <v>52.35493230174081</v>
          </cell>
          <cell r="W27">
            <v>52.52970795568983</v>
          </cell>
          <cell r="X27">
            <v>51.967181467181454</v>
          </cell>
          <cell r="Y27">
            <v>52.113466634545887</v>
          </cell>
          <cell r="Z27">
            <v>50.279090909090904</v>
          </cell>
          <cell r="AA27">
            <v>51.703068592057761</v>
          </cell>
          <cell r="AB27">
            <v>52.598901098901102</v>
          </cell>
          <cell r="AC27">
            <v>52.387622149837135</v>
          </cell>
          <cell r="AD27">
            <v>51.758833922261488</v>
          </cell>
          <cell r="AE27">
            <v>54.414406779661014</v>
          </cell>
          <cell r="AF27">
            <v>56.755496921723839</v>
          </cell>
          <cell r="AG27">
            <v>56.20674356699201</v>
          </cell>
          <cell r="AH27">
            <v>55.594999999999999</v>
          </cell>
          <cell r="AI27">
            <v>55.790051679586561</v>
          </cell>
          <cell r="AJ27">
            <v>56.169874476987452</v>
          </cell>
          <cell r="AK27">
            <v>56.974115616911128</v>
          </cell>
          <cell r="AL27">
            <v>57.375722543352595</v>
          </cell>
          <cell r="AM27">
            <v>56.845431255337324</v>
          </cell>
          <cell r="AN27">
            <v>56.832132487364234</v>
          </cell>
          <cell r="AO27">
            <v>58.29874213836478</v>
          </cell>
          <cell r="AP27">
            <v>59.839464882943147</v>
          </cell>
          <cell r="AQ27">
            <v>60.347523892267596</v>
          </cell>
          <cell r="AR27">
            <v>59.975486052409131</v>
          </cell>
          <cell r="AS27">
            <v>59.586630570595588</v>
          </cell>
          <cell r="AT27">
            <v>61.074966532797859</v>
          </cell>
          <cell r="AU27">
            <v>61.88821138211383</v>
          </cell>
          <cell r="AV27">
            <v>62.520443520443521</v>
          </cell>
          <cell r="AW27">
            <v>62.061958694203867</v>
          </cell>
          <cell r="AX27">
            <v>61.881129523165363</v>
          </cell>
          <cell r="AY27">
            <v>63.476913345983561</v>
          </cell>
          <cell r="AZ27">
            <v>63.913209955328661</v>
          </cell>
          <cell r="BA27">
            <v>64.289610389610388</v>
          </cell>
          <cell r="BB27">
            <v>63.556381660470876</v>
          </cell>
          <cell r="BC27">
            <v>63.804347826086961</v>
          </cell>
          <cell r="BD27">
            <v>63.566666666666663</v>
          </cell>
          <cell r="BE27">
            <v>65.125794155019051</v>
          </cell>
          <cell r="BF27">
            <v>66.328515111695154</v>
          </cell>
          <cell r="BG27">
            <v>65.220034742327741</v>
          </cell>
          <cell r="BH27">
            <v>65.043147602048748</v>
          </cell>
          <cell r="BI27">
            <v>64.663578141926266</v>
          </cell>
          <cell r="BJ27">
            <v>64.873663227165792</v>
          </cell>
          <cell r="BK27">
            <v>64.787839363832234</v>
          </cell>
          <cell r="BL27">
            <v>61.968636857333138</v>
          </cell>
          <cell r="BM27">
            <v>64.010816472777293</v>
          </cell>
          <cell r="BN27">
            <v>65.228052629485177</v>
          </cell>
          <cell r="BO27">
            <v>66.616836499725608</v>
          </cell>
          <cell r="BP27">
            <v>68.061698678848941</v>
          </cell>
          <cell r="BQ27">
            <v>66.554166976757571</v>
          </cell>
          <cell r="BR27">
            <v>66.613851690371249</v>
          </cell>
          <cell r="BS27">
            <v>66.017266785033101</v>
          </cell>
          <cell r="BT27">
            <v>66.687451057933416</v>
          </cell>
          <cell r="BU27">
            <v>67.130458308604432</v>
          </cell>
          <cell r="BV27">
            <v>65.721645413400523</v>
          </cell>
          <cell r="BW27">
            <v>66.387256910385588</v>
          </cell>
          <cell r="BX27">
            <v>64.572930680643495</v>
          </cell>
          <cell r="BY27">
            <v>65.779105038721084</v>
          </cell>
          <cell r="BZ27">
            <v>67.038813123404964</v>
          </cell>
          <cell r="CA27">
            <v>65.538622192199526</v>
          </cell>
          <cell r="CB27">
            <v>65.730852183607894</v>
          </cell>
        </row>
        <row r="28">
          <cell r="B28" t="str">
            <v>Rev/claim retail - y/y growth</v>
          </cell>
          <cell r="U28">
            <v>6.8801994285187407E-2</v>
          </cell>
          <cell r="V28">
            <v>5.2930549881891498E-2</v>
          </cell>
          <cell r="W28">
            <v>2.9370979072964154E-2</v>
          </cell>
          <cell r="X28">
            <v>2.638336482172754E-2</v>
          </cell>
          <cell r="Y28">
            <v>4.3828521361292117E-2</v>
          </cell>
          <cell r="Z28">
            <v>-2.641754628940518E-2</v>
          </cell>
          <cell r="AA28">
            <v>-1.2450855746047318E-2</v>
          </cell>
          <cell r="AB28">
            <v>1.3172192632335822E-3</v>
          </cell>
          <cell r="AC28">
            <v>8.0905038677381302E-3</v>
          </cell>
          <cell r="AD28">
            <v>-6.8050109729087538E-3</v>
          </cell>
          <cell r="AE28">
            <v>8.2247228336867373E-2</v>
          </cell>
          <cell r="AF28">
            <v>9.7720086394295747E-2</v>
          </cell>
          <cell r="AG28">
            <v>6.8591593982298749E-2</v>
          </cell>
          <cell r="AH28">
            <v>6.1223963190946806E-2</v>
          </cell>
          <cell r="AI28">
            <v>7.7884632474134019E-2</v>
          </cell>
          <cell r="AJ28">
            <v>3.2261083070055596E-2</v>
          </cell>
          <cell r="AK28">
            <v>3.8519387027622365E-3</v>
          </cell>
          <cell r="AL28">
            <v>2.0797842076855089E-2</v>
          </cell>
          <cell r="AM28">
            <v>2.2491793422741768E-2</v>
          </cell>
          <cell r="AN28">
            <v>1.8678613415928469E-2</v>
          </cell>
          <cell r="AO28">
            <v>3.790052374515307E-2</v>
          </cell>
          <cell r="AP28">
            <v>5.0292123625022445E-2</v>
          </cell>
          <cell r="AQ28">
            <v>5.1795449663741167E-2</v>
          </cell>
          <cell r="AR28">
            <v>5.5062556971593457E-2</v>
          </cell>
          <cell r="AS28">
            <v>4.846726601089224E-2</v>
          </cell>
          <cell r="AT28">
            <v>4.7620656854723498E-2</v>
          </cell>
          <cell r="AU28">
            <v>3.4237380016322039E-2</v>
          </cell>
          <cell r="AV28">
            <v>3.6006773567959893E-2</v>
          </cell>
          <cell r="AW28">
            <v>3.4788757526224678E-2</v>
          </cell>
          <cell r="AX28">
            <v>3.8506942423122137E-2</v>
          </cell>
          <cell r="AY28">
            <v>3.9327844934566425E-2</v>
          </cell>
          <cell r="AZ28">
            <v>3.2720263326273313E-2</v>
          </cell>
          <cell r="BA28">
            <v>2.8297413926508197E-2</v>
          </cell>
          <cell r="BB28">
            <v>2.4079532739700316E-2</v>
          </cell>
          <cell r="BC28">
            <v>3.1079237204318266E-2</v>
          </cell>
          <cell r="BD28">
            <v>1.4139521906790797E-3</v>
          </cell>
          <cell r="BE28">
            <v>1.8972356427378712E-2</v>
          </cell>
          <cell r="BF28">
            <v>3.1714373593626055E-2</v>
          </cell>
          <cell r="BG28">
            <v>2.617601943962744E-2</v>
          </cell>
          <cell r="BH28">
            <v>1.9415601258685689E-2</v>
          </cell>
          <cell r="BI28">
            <v>1.7256079841524885E-2</v>
          </cell>
          <cell r="BJ28">
            <v>-3.8714449646957139E-3</v>
          </cell>
          <cell r="BK28">
            <v>-2.3227954753222924E-2</v>
          </cell>
          <cell r="BL28">
            <v>-4.9852746902700584E-2</v>
          </cell>
          <cell r="BM28">
            <v>-1.5871481736823845E-2</v>
          </cell>
          <cell r="BN28">
            <v>8.7294038433811671E-3</v>
          </cell>
          <cell r="BO28">
            <v>2.6870276562860562E-2</v>
          </cell>
          <cell r="BP28">
            <v>5.0532003338335407E-2</v>
          </cell>
          <cell r="BQ28">
            <v>7.3997595428497709E-2</v>
          </cell>
          <cell r="BR28">
            <v>4.0665552496131463E-2</v>
          </cell>
          <cell r="BS28">
            <v>1.2099305800694404E-2</v>
          </cell>
          <cell r="BT28">
            <v>1.060010680754786E-3</v>
          </cell>
          <cell r="BU28">
            <v>-1.36822969206013E-2</v>
          </cell>
          <cell r="BV28">
            <v>-1.2508932215285373E-2</v>
          </cell>
          <cell r="BW28">
            <v>-3.4016165442422031E-3</v>
          </cell>
          <cell r="BX28">
            <v>-2.1878156650936287E-2</v>
          </cell>
          <cell r="BY28">
            <v>-1.3620943742822411E-2</v>
          </cell>
          <cell r="BZ28">
            <v>-1.3651803891784331E-3</v>
          </cell>
          <cell r="CA28">
            <v>-2.7848240872508923E-3</v>
          </cell>
          <cell r="CB28">
            <v>-9.887510906856134E-3</v>
          </cell>
        </row>
        <row r="30">
          <cell r="B30" t="str">
            <v>Rev/claim - Mail - core</v>
          </cell>
          <cell r="P30">
            <v>138.37688442211055</v>
          </cell>
          <cell r="Q30">
            <v>143.13612565445027</v>
          </cell>
          <cell r="R30">
            <v>145.84536082474227</v>
          </cell>
          <cell r="S30">
            <v>148.98477157360406</v>
          </cell>
          <cell r="T30">
            <v>144.07170294494239</v>
          </cell>
          <cell r="U30">
            <v>150.57276995305162</v>
          </cell>
          <cell r="V30">
            <v>152.12272727272727</v>
          </cell>
          <cell r="W30">
            <v>153.11261261261262</v>
          </cell>
          <cell r="X30">
            <v>154.21973094170406</v>
          </cell>
          <cell r="Y30">
            <v>152.52961275626424</v>
          </cell>
          <cell r="Z30">
            <v>149.53110047846891</v>
          </cell>
          <cell r="AA30">
            <v>152.05741626794259</v>
          </cell>
          <cell r="AB30">
            <v>156.50590013463969</v>
          </cell>
          <cell r="AC30">
            <v>159.4168897270126</v>
          </cell>
          <cell r="AD30">
            <v>154.55140617029363</v>
          </cell>
          <cell r="AE30">
            <v>160.35728347070156</v>
          </cell>
          <cell r="AF30">
            <v>158.45626088179438</v>
          </cell>
          <cell r="AG30">
            <v>155.94666051113583</v>
          </cell>
          <cell r="AH30">
            <v>159.40605039201265</v>
          </cell>
          <cell r="AI30">
            <v>158.53894768068204</v>
          </cell>
          <cell r="AJ30">
            <v>158.27475795350134</v>
          </cell>
          <cell r="AK30">
            <v>156.54644633301911</v>
          </cell>
          <cell r="AL30">
            <v>157.76474186856589</v>
          </cell>
          <cell r="AM30">
            <v>160.31093048883599</v>
          </cell>
          <cell r="AN30">
            <v>158.24392619544088</v>
          </cell>
          <cell r="AO30">
            <v>168.78211319197263</v>
          </cell>
          <cell r="AP30">
            <v>171.33625826698753</v>
          </cell>
          <cell r="AQ30">
            <v>171.83260179643639</v>
          </cell>
          <cell r="AR30">
            <v>175.46223930708874</v>
          </cell>
          <cell r="AS30">
            <v>171.85638609070421</v>
          </cell>
          <cell r="AT30">
            <v>170.8190964820362</v>
          </cell>
          <cell r="AU30">
            <v>171.68572577040302</v>
          </cell>
          <cell r="AV30">
            <v>173.09472419912839</v>
          </cell>
          <cell r="AW30">
            <v>174.15579883301302</v>
          </cell>
          <cell r="AX30">
            <v>172.44033575452886</v>
          </cell>
          <cell r="AY30">
            <v>172.71513146968502</v>
          </cell>
          <cell r="AZ30">
            <v>171.9065592645776</v>
          </cell>
          <cell r="BA30">
            <v>172.50317025582399</v>
          </cell>
          <cell r="BB30">
            <v>172.66869736610684</v>
          </cell>
          <cell r="BC30">
            <v>172.44837483061136</v>
          </cell>
          <cell r="BD30">
            <v>173.26719405714442</v>
          </cell>
          <cell r="BE30">
            <v>175.19548218636055</v>
          </cell>
          <cell r="BF30">
            <v>175.1599149182949</v>
          </cell>
          <cell r="BG30">
            <v>175.91780407515427</v>
          </cell>
          <cell r="BH30">
            <v>174.90880504561213</v>
          </cell>
          <cell r="BI30">
            <v>162.84727167849363</v>
          </cell>
          <cell r="BJ30">
            <v>158.7511823838253</v>
          </cell>
          <cell r="BK30">
            <v>149.12713927568299</v>
          </cell>
          <cell r="BL30">
            <v>143.72358176763515</v>
          </cell>
          <cell r="BM30">
            <v>153.41952280975877</v>
          </cell>
          <cell r="BN30">
            <v>134.78136287538811</v>
          </cell>
          <cell r="BO30">
            <v>135.61795752368798</v>
          </cell>
          <cell r="BP30">
            <v>134.60204600198389</v>
          </cell>
          <cell r="BQ30">
            <v>137.84311876011571</v>
          </cell>
          <cell r="BR30">
            <v>135.7116692975662</v>
          </cell>
          <cell r="BS30">
            <v>129.94195774074359</v>
          </cell>
          <cell r="BT30">
            <v>125.20678310228469</v>
          </cell>
          <cell r="BU30">
            <v>116.60883994646633</v>
          </cell>
          <cell r="BV30">
            <v>119.8010329499887</v>
          </cell>
          <cell r="BW30">
            <v>122.91686223798057</v>
          </cell>
          <cell r="BX30">
            <v>111.95859903127345</v>
          </cell>
          <cell r="BY30">
            <v>111.64145474289258</v>
          </cell>
          <cell r="BZ30">
            <v>109.34260285453745</v>
          </cell>
          <cell r="CA30">
            <v>112.712010694835</v>
          </cell>
          <cell r="CB30">
            <v>111.41895257605537</v>
          </cell>
        </row>
        <row r="31">
          <cell r="B31" t="str">
            <v>Rev/claim - mail - y/y growth</v>
          </cell>
          <cell r="U31">
            <v>8.8135280555517115E-2</v>
          </cell>
          <cell r="V31">
            <v>6.278360251256121E-2</v>
          </cell>
          <cell r="W31">
            <v>4.9828474123377653E-2</v>
          </cell>
          <cell r="X31">
            <v>3.5137546695594546E-2</v>
          </cell>
          <cell r="Y31">
            <v>5.870625277854935E-2</v>
          </cell>
          <cell r="Z31">
            <v>-6.9180468348127855E-3</v>
          </cell>
          <cell r="AA31">
            <v>-4.293310142119422E-4</v>
          </cell>
          <cell r="AB31">
            <v>2.216203788914739E-2</v>
          </cell>
          <cell r="AC31">
            <v>3.3699700768334839E-2</v>
          </cell>
          <cell r="AD31">
            <v>1.3255087831764989E-2</v>
          </cell>
          <cell r="AE31">
            <v>7.2400878195847396E-2</v>
          </cell>
          <cell r="AF31">
            <v>4.2081766025645839E-2</v>
          </cell>
          <cell r="AG31">
            <v>-3.5732814099835863E-3</v>
          </cell>
          <cell r="AH31">
            <v>-6.7993642446029234E-5</v>
          </cell>
          <cell r="AI31">
            <v>2.5800745584900753E-2</v>
          </cell>
          <cell r="AJ31">
            <v>-1.2986784710534938E-2</v>
          </cell>
          <cell r="AK31">
            <v>-1.2052629149188143E-2</v>
          </cell>
          <cell r="AL31">
            <v>1.1658353897871621E-2</v>
          </cell>
          <cell r="AM31">
            <v>5.6765730949237536E-3</v>
          </cell>
          <cell r="AN31">
            <v>-1.8608770245869266E-3</v>
          </cell>
          <cell r="AO31">
            <v>6.6386803393869043E-2</v>
          </cell>
          <cell r="AP31">
            <v>9.4475552019279041E-2</v>
          </cell>
          <cell r="AQ31">
            <v>8.9169859889166148E-2</v>
          </cell>
          <cell r="AR31">
            <v>9.4512013448190046E-2</v>
          </cell>
          <cell r="AS31">
            <v>8.6022005536257495E-2</v>
          </cell>
          <cell r="AT31">
            <v>1.206871540793375E-2</v>
          </cell>
          <cell r="AU31">
            <v>2.0396587794682119E-3</v>
          </cell>
          <cell r="AV31">
            <v>7.3450695007644118E-3</v>
          </cell>
          <cell r="AW31">
            <v>-7.4457072885592002E-3</v>
          </cell>
          <cell r="AX31">
            <v>3.3978933056142413E-3</v>
          </cell>
          <cell r="AY31">
            <v>1.1099666411408471E-2</v>
          </cell>
          <cell r="AZ31">
            <v>1.2862658976664498E-3</v>
          </cell>
          <cell r="BA31">
            <v>-3.4175157333153905E-3</v>
          </cell>
          <cell r="BB31">
            <v>-8.5389144482754809E-3</v>
          </cell>
          <cell r="BC31">
            <v>4.6619464334263228E-5</v>
          </cell>
          <cell r="BD31">
            <v>3.1963765002043232E-3</v>
          </cell>
          <cell r="BE31">
            <v>1.913203856707435E-2</v>
          </cell>
          <cell r="BF31">
            <v>1.5401135286562839E-2</v>
          </cell>
          <cell r="BG31">
            <v>1.8816999019563907E-2</v>
          </cell>
          <cell r="BH31">
            <v>1.4267633530426371E-2</v>
          </cell>
          <cell r="BI31">
            <v>-6.0137883777434786E-2</v>
          </cell>
          <cell r="BJ31">
            <v>-9.3862579087758524E-2</v>
          </cell>
          <cell r="BK31">
            <v>-0.14862290641529008</v>
          </cell>
          <cell r="BL31">
            <v>-0.18300718609337197</v>
          </cell>
          <cell r="BM31">
            <v>-0.12285992251933486</v>
          </cell>
          <cell r="BN31">
            <v>-0.17234497399818605</v>
          </cell>
          <cell r="BO31">
            <v>-0.14572001614580921</v>
          </cell>
          <cell r="BP31">
            <v>-9.7400737010366556E-2</v>
          </cell>
          <cell r="BQ31">
            <v>-4.0915088082251305E-2</v>
          </cell>
          <cell r="BR31">
            <v>-0.11542112234406066</v>
          </cell>
          <cell r="BS31">
            <v>-3.5905595784179622E-2</v>
          </cell>
          <cell r="BT31">
            <v>-7.6768405980342291E-2</v>
          </cell>
          <cell r="BU31">
            <v>-0.13367706205039676</v>
          </cell>
          <cell r="BV31">
            <v>-0.13088854904338842</v>
          </cell>
          <cell r="BW31">
            <v>-9.4279343300473939E-2</v>
          </cell>
          <cell r="BX31">
            <v>-0.13839531912663661</v>
          </cell>
          <cell r="BY31">
            <v>-0.10834339820319672</v>
          </cell>
          <cell r="BZ31">
            <v>-6.2312918088068825E-2</v>
          </cell>
          <cell r="CA31">
            <v>-5.9173298264573626E-2</v>
          </cell>
          <cell r="CB31">
            <v>-9.3542167059747827E-2</v>
          </cell>
        </row>
        <row r="33">
          <cell r="B33" t="str">
            <v>Rev/adj claim - Mail - core</v>
          </cell>
          <cell r="P33">
            <v>46.125628140703519</v>
          </cell>
          <cell r="Q33">
            <v>47.712041884816749</v>
          </cell>
          <cell r="R33">
            <v>48.615120274914098</v>
          </cell>
          <cell r="S33">
            <v>49.661590524534695</v>
          </cell>
          <cell r="T33">
            <v>48.023900981647465</v>
          </cell>
          <cell r="U33">
            <v>50.190923317683875</v>
          </cell>
          <cell r="V33">
            <v>50.707575757575754</v>
          </cell>
          <cell r="W33">
            <v>51.037537537537538</v>
          </cell>
          <cell r="X33">
            <v>51.406576980568012</v>
          </cell>
          <cell r="Y33">
            <v>50.843204252088086</v>
          </cell>
          <cell r="Z33">
            <v>49.843700159489636</v>
          </cell>
          <cell r="AA33">
            <v>50.685805422647533</v>
          </cell>
          <cell r="AB33">
            <v>52.168633378213237</v>
          </cell>
          <cell r="AC33">
            <v>53.138963242337539</v>
          </cell>
          <cell r="AD33">
            <v>51.517135390097863</v>
          </cell>
          <cell r="AE33">
            <v>53.452427823567184</v>
          </cell>
          <cell r="AF33">
            <v>53.217887785657219</v>
          </cell>
          <cell r="AG33">
            <v>52.375032917258046</v>
          </cell>
          <cell r="AH33">
            <v>53.536876705965618</v>
          </cell>
          <cell r="AI33">
            <v>53.146415003840957</v>
          </cell>
          <cell r="AJ33">
            <v>52.758252651167112</v>
          </cell>
          <cell r="AK33">
            <v>52.182148777673035</v>
          </cell>
          <cell r="AL33">
            <v>52.588247289521966</v>
          </cell>
          <cell r="AM33">
            <v>53.436976829611993</v>
          </cell>
          <cell r="AN33">
            <v>52.747975398480293</v>
          </cell>
          <cell r="AO33">
            <v>56.260704397324204</v>
          </cell>
          <cell r="AP33">
            <v>57.112086088995838</v>
          </cell>
          <cell r="AQ33">
            <v>57.277533932145467</v>
          </cell>
          <cell r="AR33">
            <v>58.487413102362908</v>
          </cell>
          <cell r="AS33">
            <v>57.285462030234733</v>
          </cell>
          <cell r="AT33">
            <v>56.939698827345403</v>
          </cell>
          <cell r="AU33">
            <v>57.228575256801008</v>
          </cell>
          <cell r="AV33">
            <v>57.698241399709467</v>
          </cell>
          <cell r="AW33">
            <v>58.051932944337679</v>
          </cell>
          <cell r="AX33">
            <v>57.480111918176284</v>
          </cell>
          <cell r="AY33">
            <v>57.571710489895011</v>
          </cell>
          <cell r="AZ33">
            <v>57.302186421525867</v>
          </cell>
          <cell r="BA33">
            <v>57.50105675194132</v>
          </cell>
          <cell r="BB33">
            <v>57.556232455368949</v>
          </cell>
          <cell r="BC33">
            <v>57.48279161020379</v>
          </cell>
          <cell r="BD33">
            <v>57.755731352381481</v>
          </cell>
          <cell r="BE33">
            <v>58.398494062120186</v>
          </cell>
          <cell r="BF33">
            <v>58.386638306098298</v>
          </cell>
          <cell r="BG33">
            <v>58.639268025051415</v>
          </cell>
          <cell r="BH33">
            <v>58.302935015204042</v>
          </cell>
          <cell r="BI33">
            <v>54.282423892831197</v>
          </cell>
          <cell r="BJ33">
            <v>52.917060794608432</v>
          </cell>
          <cell r="BK33">
            <v>49.709046425227669</v>
          </cell>
          <cell r="BL33">
            <v>47.907860589211722</v>
          </cell>
          <cell r="BM33">
            <v>51.139840936586246</v>
          </cell>
          <cell r="BN33">
            <v>44.927120958462702</v>
          </cell>
          <cell r="BO33">
            <v>45.205985841229335</v>
          </cell>
          <cell r="BP33">
            <v>44.86734866732796</v>
          </cell>
          <cell r="BQ33">
            <v>45.947706253371905</v>
          </cell>
          <cell r="BR33">
            <v>45.237223099188732</v>
          </cell>
          <cell r="BS33">
            <v>43.313985913581199</v>
          </cell>
          <cell r="BT33">
            <v>41.735594367428227</v>
          </cell>
          <cell r="BU33">
            <v>38.869613315488778</v>
          </cell>
          <cell r="BV33">
            <v>39.933677649996234</v>
          </cell>
          <cell r="BW33">
            <v>40.972287412660194</v>
          </cell>
          <cell r="BX33">
            <v>37.319533010424486</v>
          </cell>
          <cell r="BY33">
            <v>37.213818247630854</v>
          </cell>
          <cell r="BZ33">
            <v>36.447534284845815</v>
          </cell>
          <cell r="CA33">
            <v>37.570670231611665</v>
          </cell>
          <cell r="CB33">
            <v>37.13965085868513</v>
          </cell>
        </row>
        <row r="34">
          <cell r="B34" t="str">
            <v>Rev/adj claim - mail - y/y growth</v>
          </cell>
          <cell r="U34">
            <v>8.8135280555517115E-2</v>
          </cell>
          <cell r="V34">
            <v>6.278360251256121E-2</v>
          </cell>
          <cell r="W34">
            <v>4.9828474123377431E-2</v>
          </cell>
          <cell r="X34">
            <v>3.5137546695594102E-2</v>
          </cell>
          <cell r="Y34">
            <v>5.870625277854935E-2</v>
          </cell>
          <cell r="Z34">
            <v>-6.9180468348128965E-3</v>
          </cell>
          <cell r="AA34">
            <v>-4.2933101421172015E-4</v>
          </cell>
          <cell r="AB34">
            <v>2.2162037889147612E-2</v>
          </cell>
          <cell r="AC34">
            <v>3.3699700768335061E-2</v>
          </cell>
          <cell r="AD34">
            <v>1.3255087831764545E-2</v>
          </cell>
          <cell r="AE34">
            <v>7.2400878195847396E-2</v>
          </cell>
          <cell r="AF34">
            <v>4.9956439320549828E-2</v>
          </cell>
          <cell r="AG34">
            <v>3.9563915264648752E-3</v>
          </cell>
          <cell r="AH34">
            <v>7.4881676146636433E-3</v>
          </cell>
          <cell r="AI34">
            <v>3.1625974569545967E-2</v>
          </cell>
          <cell r="AJ34">
            <v>-1.2986784710534938E-2</v>
          </cell>
          <cell r="AK34">
            <v>-1.9462234430569159E-2</v>
          </cell>
          <cell r="AL34">
            <v>4.0709162436376456E-3</v>
          </cell>
          <cell r="AM34">
            <v>-1.8660012032881701E-3</v>
          </cell>
          <cell r="AN34">
            <v>-7.4970175379067694E-3</v>
          </cell>
          <cell r="AO34">
            <v>6.6386803393868821E-2</v>
          </cell>
          <cell r="AP34">
            <v>9.4475552019279041E-2</v>
          </cell>
          <cell r="AQ34">
            <v>8.9169859889166148E-2</v>
          </cell>
          <cell r="AR34">
            <v>9.4512013448190269E-2</v>
          </cell>
          <cell r="AS34">
            <v>8.6022005536257495E-2</v>
          </cell>
          <cell r="AT34">
            <v>1.206871540793375E-2</v>
          </cell>
          <cell r="AU34">
            <v>2.0396587794682119E-3</v>
          </cell>
          <cell r="AV34">
            <v>7.3450695007644118E-3</v>
          </cell>
          <cell r="AW34">
            <v>-7.4457072885590891E-3</v>
          </cell>
          <cell r="AX34">
            <v>3.3978933056142413E-3</v>
          </cell>
          <cell r="AY34">
            <v>1.1099666411408693E-2</v>
          </cell>
          <cell r="AZ34">
            <v>1.2862658976664498E-3</v>
          </cell>
          <cell r="BA34">
            <v>-3.4175157333156125E-3</v>
          </cell>
          <cell r="BB34">
            <v>-8.5389144482755919E-3</v>
          </cell>
          <cell r="BC34">
            <v>4.6619464334485272E-5</v>
          </cell>
          <cell r="BD34">
            <v>3.1963765002043232E-3</v>
          </cell>
          <cell r="BE34">
            <v>1.913203856707435E-2</v>
          </cell>
          <cell r="BF34">
            <v>1.5401135286562839E-2</v>
          </cell>
          <cell r="BG34">
            <v>1.8816999019563907E-2</v>
          </cell>
          <cell r="BH34">
            <v>1.4267633530426371E-2</v>
          </cell>
          <cell r="BI34">
            <v>-6.0137883777435119E-2</v>
          </cell>
          <cell r="BJ34">
            <v>-9.3862579087758524E-2</v>
          </cell>
          <cell r="BK34">
            <v>-0.14862290641528997</v>
          </cell>
          <cell r="BL34">
            <v>-0.18300718609337185</v>
          </cell>
          <cell r="BM34">
            <v>-0.12285992251933509</v>
          </cell>
          <cell r="BN34">
            <v>-0.17234497399818582</v>
          </cell>
          <cell r="BO34">
            <v>-0.14572001614580898</v>
          </cell>
          <cell r="BP34">
            <v>-9.7400737010366667E-2</v>
          </cell>
          <cell r="BQ34">
            <v>-4.0915088082251416E-2</v>
          </cell>
          <cell r="BR34">
            <v>-0.11542112234406054</v>
          </cell>
          <cell r="BS34">
            <v>-3.5905595784179511E-2</v>
          </cell>
          <cell r="BT34">
            <v>-7.6768405980342513E-2</v>
          </cell>
          <cell r="BU34">
            <v>-0.13367706205039664</v>
          </cell>
          <cell r="BV34">
            <v>-0.13088854904338831</v>
          </cell>
          <cell r="BW34">
            <v>-9.4279343300473828E-2</v>
          </cell>
          <cell r="BX34">
            <v>-0.13839531912663661</v>
          </cell>
          <cell r="BY34">
            <v>-0.10834339820319683</v>
          </cell>
          <cell r="BZ34">
            <v>-6.2312918088068825E-2</v>
          </cell>
          <cell r="CA34">
            <v>-5.9173298264573737E-2</v>
          </cell>
          <cell r="CB34">
            <v>-9.3542167059747827E-2</v>
          </cell>
        </row>
        <row r="36">
          <cell r="B36" t="str">
            <v>Rev/adj claim - Mail - as reported</v>
          </cell>
          <cell r="P36">
            <v>46.125628140703526</v>
          </cell>
          <cell r="Q36">
            <v>47.712041884816756</v>
          </cell>
          <cell r="R36">
            <v>48.615120274914077</v>
          </cell>
          <cell r="S36">
            <v>49.661590524534695</v>
          </cell>
          <cell r="T36">
            <v>48.023900981647444</v>
          </cell>
          <cell r="U36">
            <v>50.190923317683882</v>
          </cell>
          <cell r="V36">
            <v>50.707575757575754</v>
          </cell>
          <cell r="W36">
            <v>51.037537537537531</v>
          </cell>
          <cell r="X36">
            <v>51.406576980568012</v>
          </cell>
          <cell r="Y36">
            <v>50.881838905775091</v>
          </cell>
          <cell r="Z36">
            <v>49.843700159489636</v>
          </cell>
          <cell r="AA36">
            <v>50.685805422647526</v>
          </cell>
          <cell r="AB36">
            <v>54.204049844236756</v>
          </cell>
          <cell r="AC36">
            <v>58.98885793871866</v>
          </cell>
          <cell r="AD36">
            <v>53.628538638102519</v>
          </cell>
          <cell r="AE36">
            <v>61.410687022900767</v>
          </cell>
          <cell r="AF36">
            <v>60.786039453717763</v>
          </cell>
          <cell r="AG36">
            <v>60.154887218045126</v>
          </cell>
          <cell r="AH36">
            <v>60.949629629629634</v>
          </cell>
          <cell r="AI36">
            <v>60.823662396382836</v>
          </cell>
          <cell r="AJ36">
            <v>61.628571428571426</v>
          </cell>
          <cell r="AK36">
            <v>61.29445234708394</v>
          </cell>
          <cell r="AL36">
            <v>61.654092526690398</v>
          </cell>
          <cell r="AM36">
            <v>62.875171467764062</v>
          </cell>
          <cell r="AN36">
            <v>61.872640677368153</v>
          </cell>
          <cell r="AO36">
            <v>67.815094339622661</v>
          </cell>
          <cell r="AP36">
            <v>69.43057324840764</v>
          </cell>
          <cell r="AQ36">
            <v>69.888318356867771</v>
          </cell>
          <cell r="AR36">
            <v>71.13784461152882</v>
          </cell>
          <cell r="AS36">
            <v>69.5682610072854</v>
          </cell>
          <cell r="AT36">
            <v>71.599739243807051</v>
          </cell>
          <cell r="AU36">
            <v>72.379042690814998</v>
          </cell>
          <cell r="AV36">
            <v>73.374176548089622</v>
          </cell>
          <cell r="AW36">
            <v>73.860284605433364</v>
          </cell>
          <cell r="AX36">
            <v>72.942134550053666</v>
          </cell>
          <cell r="AY36">
            <v>74.76386286145798</v>
          </cell>
          <cell r="AZ36">
            <v>75.198600609638078</v>
          </cell>
          <cell r="BA36">
            <v>75.933977948761679</v>
          </cell>
          <cell r="BB36">
            <v>76.244623526695648</v>
          </cell>
          <cell r="BC36">
            <v>75.539083390119302</v>
          </cell>
          <cell r="BD36">
            <v>77.951887594413975</v>
          </cell>
          <cell r="BE36">
            <v>78.654921020656161</v>
          </cell>
          <cell r="BF36">
            <v>79.945945945945951</v>
          </cell>
          <cell r="BG36">
            <v>80.874999999999972</v>
          </cell>
          <cell r="BH36">
            <v>79.394745806402284</v>
          </cell>
          <cell r="BI36">
            <v>76.952727137189143</v>
          </cell>
          <cell r="BJ36">
            <v>76.278328095904072</v>
          </cell>
          <cell r="BK36">
            <v>74.84829377290238</v>
          </cell>
          <cell r="BL36">
            <v>70.797587356970908</v>
          </cell>
          <cell r="BM36">
            <v>74.636585885492025</v>
          </cell>
          <cell r="BN36">
            <v>73.771439655414227</v>
          </cell>
          <cell r="BO36">
            <v>74.881039941082022</v>
          </cell>
          <cell r="BP36">
            <v>76.801594464754061</v>
          </cell>
          <cell r="BQ36">
            <v>75.346932255258594</v>
          </cell>
          <cell r="BR36">
            <v>75.194807574074318</v>
          </cell>
          <cell r="BS36">
            <v>75.246920216778108</v>
          </cell>
          <cell r="BT36">
            <v>74.610541436819432</v>
          </cell>
          <cell r="BU36">
            <v>74.278726995629938</v>
          </cell>
          <cell r="BV36">
            <v>72.534543319422298</v>
          </cell>
          <cell r="BW36">
            <v>74.1698667624526</v>
          </cell>
          <cell r="BX36">
            <v>73.05108714457441</v>
          </cell>
          <cell r="BY36">
            <v>73.978411161987268</v>
          </cell>
          <cell r="BZ36">
            <v>76.012329425549595</v>
          </cell>
          <cell r="CA36">
            <v>73.999980530662313</v>
          </cell>
          <cell r="CB36">
            <v>74.255205734283393</v>
          </cell>
        </row>
        <row r="37">
          <cell r="B37" t="str">
            <v>Rev/adj claim - mail - y/y growth</v>
          </cell>
          <cell r="U37">
            <v>8.8135280555517115E-2</v>
          </cell>
          <cell r="V37">
            <v>6.2783602512560988E-2</v>
          </cell>
          <cell r="W37">
            <v>4.9828474123377875E-2</v>
          </cell>
          <cell r="X37">
            <v>3.5137546695594102E-2</v>
          </cell>
          <cell r="Y37">
            <v>5.9510740812576346E-2</v>
          </cell>
          <cell r="Z37">
            <v>-6.9180468348130075E-3</v>
          </cell>
          <cell r="AA37">
            <v>-4.293310142119422E-4</v>
          </cell>
          <cell r="AB37">
            <v>6.2042811222432048E-2</v>
          </cell>
          <cell r="AC37">
            <v>0.14749632057813922</v>
          </cell>
          <cell r="AD37">
            <v>5.3981927371254512E-2</v>
          </cell>
          <cell r="AE37">
            <v>0.2320651722564564</v>
          </cell>
          <cell r="AF37">
            <v>0.19927145177725114</v>
          </cell>
          <cell r="AG37">
            <v>0.10978584424796622</v>
          </cell>
          <cell r="AH37">
            <v>3.3239695756577481E-2</v>
          </cell>
          <cell r="AI37">
            <v>0.13416594859753017</v>
          </cell>
          <cell r="AJ37">
            <v>3.5479884077735946E-3</v>
          </cell>
          <cell r="AK37">
            <v>8.363974654957973E-3</v>
          </cell>
          <cell r="AL37">
            <v>2.4922419074796975E-2</v>
          </cell>
          <cell r="AM37">
            <v>3.1592346825326079E-2</v>
          </cell>
          <cell r="AN37">
            <v>1.7246220297443049E-2</v>
          </cell>
          <cell r="AO37">
            <v>0.1003840064380126</v>
          </cell>
          <cell r="AP37">
            <v>0.13273829179927032</v>
          </cell>
          <cell r="AQ37">
            <v>0.13355521900857958</v>
          </cell>
          <cell r="AR37">
            <v>0.13141392621093706</v>
          </cell>
          <cell r="AS37">
            <v>0.12437840450427329</v>
          </cell>
          <cell r="AT37">
            <v>5.5808296678474312E-2</v>
          </cell>
          <cell r="AU37">
            <v>4.246644243967812E-2</v>
          </cell>
          <cell r="AV37">
            <v>4.9877551401682929E-2</v>
          </cell>
          <cell r="AW37">
            <v>3.8269925224348578E-2</v>
          </cell>
          <cell r="AX37">
            <v>4.8497310323955656E-2</v>
          </cell>
          <cell r="AY37">
            <v>4.4191831577439888E-2</v>
          </cell>
          <cell r="AZ37">
            <v>3.8955446411021555E-2</v>
          </cell>
          <cell r="BA37">
            <v>3.4886952346161682E-2</v>
          </cell>
          <cell r="BB37">
            <v>3.2281745649906268E-2</v>
          </cell>
          <cell r="BC37">
            <v>3.5602863229668547E-2</v>
          </cell>
          <cell r="BD37">
            <v>4.264125221651005E-2</v>
          </cell>
          <cell r="BE37">
            <v>4.5962562906723736E-2</v>
          </cell>
          <cell r="BF37">
            <v>5.2834950908161815E-2</v>
          </cell>
          <cell r="BG37">
            <v>6.0730531008302391E-2</v>
          </cell>
          <cell r="BH37">
            <v>5.1041953956080244E-2</v>
          </cell>
          <cell r="BI37">
            <v>-1.2817655711218845E-2</v>
          </cell>
          <cell r="BJ37">
            <v>-3.0215438448256249E-2</v>
          </cell>
          <cell r="BK37">
            <v>-6.3763735768293528E-2</v>
          </cell>
          <cell r="BL37">
            <v>-0.12460479311318784</v>
          </cell>
          <cell r="BM37">
            <v>-5.9930413185182885E-2</v>
          </cell>
          <cell r="BN37">
            <v>-4.1340802335743221E-2</v>
          </cell>
          <cell r="BO37">
            <v>-1.8318285018849023E-2</v>
          </cell>
          <cell r="BP37">
            <v>2.6096796511864362E-2</v>
          </cell>
          <cell r="BQ37">
            <v>6.4258473602345711E-2</v>
          </cell>
          <cell r="BR37">
            <v>7.4791964551905732E-3</v>
          </cell>
          <cell r="BS37">
            <v>2.0000701738448257E-2</v>
          </cell>
          <cell r="BT37">
            <v>-3.6123764370182831E-3</v>
          </cell>
          <cell r="BU37">
            <v>-3.2849154847715112E-2</v>
          </cell>
          <cell r="BV37">
            <v>-3.7325858553982627E-2</v>
          </cell>
          <cell r="BW37">
            <v>-1.3630473229312434E-2</v>
          </cell>
          <cell r="BX37">
            <v>-2.9181700272619016E-2</v>
          </cell>
          <cell r="BY37">
            <v>-8.4723989755182139E-3</v>
          </cell>
          <cell r="BZ37">
            <v>2.3339151060325136E-2</v>
          </cell>
          <cell r="CA37">
            <v>2.0203300995315088E-2</v>
          </cell>
          <cell r="CB37">
            <v>1.150588177596612E-3</v>
          </cell>
        </row>
        <row r="39">
          <cell r="B39" t="str">
            <v>Rev/claim Specialty - MS Estimates</v>
          </cell>
          <cell r="P39">
            <v>1225</v>
          </cell>
          <cell r="Q39">
            <v>1225</v>
          </cell>
          <cell r="R39">
            <v>1225</v>
          </cell>
          <cell r="S39">
            <v>1225</v>
          </cell>
          <cell r="T39">
            <v>1225</v>
          </cell>
          <cell r="U39">
            <v>1225</v>
          </cell>
          <cell r="V39">
            <v>1225</v>
          </cell>
          <cell r="W39">
            <v>1225</v>
          </cell>
          <cell r="X39">
            <v>1225</v>
          </cell>
          <cell r="Y39">
            <v>1225</v>
          </cell>
          <cell r="Z39">
            <v>1225</v>
          </cell>
          <cell r="AA39">
            <v>1225</v>
          </cell>
          <cell r="AB39">
            <v>1225</v>
          </cell>
          <cell r="AC39">
            <v>1225</v>
          </cell>
          <cell r="AD39">
            <v>1225.0000000000002</v>
          </cell>
          <cell r="AE39">
            <v>1404.01</v>
          </cell>
          <cell r="AF39">
            <v>1404.01</v>
          </cell>
          <cell r="AG39">
            <v>1404.01</v>
          </cell>
          <cell r="AH39">
            <v>1404.01</v>
          </cell>
          <cell r="AI39">
            <v>1404.01</v>
          </cell>
          <cell r="AJ39">
            <v>1519.15</v>
          </cell>
          <cell r="AK39">
            <v>1519.15</v>
          </cell>
          <cell r="AL39">
            <v>1519.15</v>
          </cell>
          <cell r="AM39">
            <v>1519.15</v>
          </cell>
          <cell r="AN39">
            <v>1519.15</v>
          </cell>
          <cell r="AO39">
            <v>1693.8522500000001</v>
          </cell>
          <cell r="AP39">
            <v>1693.8522500000001</v>
          </cell>
          <cell r="AQ39">
            <v>1693.8522500000001</v>
          </cell>
          <cell r="AR39">
            <v>1693.8522500000001</v>
          </cell>
          <cell r="AS39">
            <v>1693.8522500000001</v>
          </cell>
          <cell r="AT39">
            <v>1880.1759975000002</v>
          </cell>
          <cell r="AU39">
            <v>1880.1759975000002</v>
          </cell>
          <cell r="AV39">
            <v>1880.1759975000002</v>
          </cell>
          <cell r="AW39">
            <v>1880.1759975000002</v>
          </cell>
          <cell r="AX39">
            <v>1880.1759975000004</v>
          </cell>
          <cell r="AY39">
            <v>2086.9953572250006</v>
          </cell>
          <cell r="AZ39">
            <v>2086.9953572250006</v>
          </cell>
          <cell r="BA39">
            <v>2086.9953572250006</v>
          </cell>
          <cell r="BB39">
            <v>2086.9953572250006</v>
          </cell>
          <cell r="BC39">
            <v>2093.4667519896911</v>
          </cell>
          <cell r="BD39">
            <v>2316.564846519751</v>
          </cell>
          <cell r="BE39">
            <v>2316.564846519751</v>
          </cell>
          <cell r="BF39">
            <v>2316.564846519751</v>
          </cell>
          <cell r="BG39">
            <v>2316.564846519751</v>
          </cell>
          <cell r="BH39">
            <v>2403.3348055833189</v>
          </cell>
          <cell r="BI39">
            <v>2478.7243857761337</v>
          </cell>
          <cell r="BJ39">
            <v>2478.7243857761337</v>
          </cell>
          <cell r="BK39">
            <v>2478.7243857761337</v>
          </cell>
          <cell r="BL39">
            <v>2478.7243857761337</v>
          </cell>
          <cell r="BM39">
            <v>2478.7243857761337</v>
          </cell>
          <cell r="BN39">
            <v>2599.0639218162837</v>
          </cell>
          <cell r="BO39">
            <v>2599.0639218162837</v>
          </cell>
          <cell r="BP39">
            <v>2599.0639218162837</v>
          </cell>
          <cell r="BQ39">
            <v>2599.0639218162837</v>
          </cell>
          <cell r="BR39">
            <v>2599.0639218162837</v>
          </cell>
          <cell r="BS39">
            <v>2729.0171179070981</v>
          </cell>
          <cell r="BT39">
            <v>2729.0171179070981</v>
          </cell>
          <cell r="BU39">
            <v>2729.0171179070981</v>
          </cell>
          <cell r="BV39">
            <v>2729.0171179070981</v>
          </cell>
          <cell r="BW39">
            <v>2729.0171179070985</v>
          </cell>
          <cell r="BX39">
            <v>2865.4679738024529</v>
          </cell>
          <cell r="BY39">
            <v>2865.4679738024529</v>
          </cell>
          <cell r="BZ39">
            <v>2865.4679738024529</v>
          </cell>
          <cell r="CA39">
            <v>2865.4679738024529</v>
          </cell>
          <cell r="CB39">
            <v>2865.4679738024529</v>
          </cell>
        </row>
        <row r="40">
          <cell r="B40" t="str">
            <v>Rev/claim - specialty - y/y growth</v>
          </cell>
          <cell r="U40">
            <v>0</v>
          </cell>
          <cell r="V40">
            <v>0</v>
          </cell>
          <cell r="W40">
            <v>0</v>
          </cell>
          <cell r="X40">
            <v>0</v>
          </cell>
          <cell r="Y40">
            <v>0</v>
          </cell>
          <cell r="Z40">
            <v>0</v>
          </cell>
          <cell r="AA40">
            <v>0</v>
          </cell>
          <cell r="AB40">
            <v>0</v>
          </cell>
          <cell r="AC40">
            <v>0</v>
          </cell>
          <cell r="AD40">
            <v>0</v>
          </cell>
          <cell r="AE40">
            <v>0.14613061224489798</v>
          </cell>
          <cell r="AF40">
            <v>0.14613061224489798</v>
          </cell>
          <cell r="AG40">
            <v>0.14613061224489798</v>
          </cell>
          <cell r="AH40">
            <v>0.14613061224489798</v>
          </cell>
          <cell r="AI40">
            <v>0.14613061224489776</v>
          </cell>
          <cell r="AJ40">
            <v>8.2007962906247123E-2</v>
          </cell>
          <cell r="AK40">
            <v>8.2007962906247123E-2</v>
          </cell>
          <cell r="AL40">
            <v>8.2007962906247123E-2</v>
          </cell>
          <cell r="AM40">
            <v>8.2007962906247123E-2</v>
          </cell>
          <cell r="AN40">
            <v>8.2007962906247123E-2</v>
          </cell>
          <cell r="AO40">
            <v>0.11499999999999999</v>
          </cell>
          <cell r="AP40">
            <v>0.11499999999999999</v>
          </cell>
          <cell r="AQ40">
            <v>0.11499999999999999</v>
          </cell>
          <cell r="AR40">
            <v>0.11499999999999999</v>
          </cell>
          <cell r="AS40">
            <v>0.11499999999999999</v>
          </cell>
          <cell r="AT40">
            <v>0.1100000000000001</v>
          </cell>
          <cell r="AU40">
            <v>0.1100000000000001</v>
          </cell>
          <cell r="AV40">
            <v>0.1100000000000001</v>
          </cell>
          <cell r="AW40">
            <v>0.1100000000000001</v>
          </cell>
          <cell r="AX40">
            <v>0.1100000000000001</v>
          </cell>
          <cell r="AY40">
            <v>0.1100000000000001</v>
          </cell>
          <cell r="AZ40">
            <v>0.1100000000000001</v>
          </cell>
          <cell r="BA40">
            <v>0.1100000000000001</v>
          </cell>
          <cell r="BB40">
            <v>0.1100000000000001</v>
          </cell>
          <cell r="BC40">
            <v>0.11344190904111917</v>
          </cell>
          <cell r="BD40">
            <v>0.1100000000000001</v>
          </cell>
          <cell r="BE40">
            <v>0.1100000000000001</v>
          </cell>
          <cell r="BF40">
            <v>0.1100000000000001</v>
          </cell>
          <cell r="BG40">
            <v>0.1100000000000001</v>
          </cell>
          <cell r="BH40">
            <v>0.14801670640296538</v>
          </cell>
          <cell r="BI40">
            <v>7.0000000000000062E-2</v>
          </cell>
          <cell r="BJ40">
            <v>7.0000000000000062E-2</v>
          </cell>
          <cell r="BK40">
            <v>7.0000000000000062E-2</v>
          </cell>
          <cell r="BL40">
            <v>7.0000000000000062E-2</v>
          </cell>
          <cell r="BM40">
            <v>3.1368738145710395E-2</v>
          </cell>
          <cell r="BN40">
            <v>4.8548978148076571E-2</v>
          </cell>
          <cell r="BO40">
            <v>4.8548978148076571E-2</v>
          </cell>
          <cell r="BP40">
            <v>4.8548978148076571E-2</v>
          </cell>
          <cell r="BQ40">
            <v>4.8548978148076571E-2</v>
          </cell>
          <cell r="BR40">
            <v>4.8548978148076571E-2</v>
          </cell>
          <cell r="BS40">
            <v>5.0000000000000044E-2</v>
          </cell>
          <cell r="BT40">
            <v>5.0000000000000044E-2</v>
          </cell>
          <cell r="BU40">
            <v>5.0000000000000044E-2</v>
          </cell>
          <cell r="BV40">
            <v>5.0000000000000044E-2</v>
          </cell>
          <cell r="BW40">
            <v>5.0000000000000266E-2</v>
          </cell>
          <cell r="BX40">
            <v>5.0000000000000044E-2</v>
          </cell>
          <cell r="BY40">
            <v>5.0000000000000044E-2</v>
          </cell>
          <cell r="BZ40">
            <v>5.0000000000000044E-2</v>
          </cell>
          <cell r="CA40">
            <v>5.0000000000000044E-2</v>
          </cell>
          <cell r="CB40">
            <v>4.9999999999999822E-2</v>
          </cell>
        </row>
        <row r="42">
          <cell r="B42" t="str">
            <v>Gross profit ($) per claim</v>
          </cell>
        </row>
        <row r="43">
          <cell r="B43" t="str">
            <v>Retail - generics - core</v>
          </cell>
          <cell r="P43">
            <v>4.0721361075181521</v>
          </cell>
          <cell r="Q43">
            <v>5.3690596939284143</v>
          </cell>
          <cell r="R43">
            <v>6.3835231985861167</v>
          </cell>
          <cell r="S43">
            <v>6.3050946446519109</v>
          </cell>
          <cell r="T43">
            <v>0</v>
          </cell>
          <cell r="U43">
            <v>0</v>
          </cell>
          <cell r="V43">
            <v>0</v>
          </cell>
          <cell r="W43">
            <v>0</v>
          </cell>
          <cell r="X43">
            <v>0</v>
          </cell>
          <cell r="Y43">
            <v>0</v>
          </cell>
          <cell r="Z43">
            <v>0</v>
          </cell>
          <cell r="AA43">
            <v>0</v>
          </cell>
          <cell r="AB43">
            <v>0</v>
          </cell>
          <cell r="AC43">
            <v>0</v>
          </cell>
          <cell r="AD43">
            <v>0</v>
          </cell>
          <cell r="AE43">
            <v>0</v>
          </cell>
          <cell r="AF43">
            <v>0</v>
          </cell>
          <cell r="AG43">
            <v>0</v>
          </cell>
          <cell r="AH43">
            <v>0</v>
          </cell>
          <cell r="AI43">
            <v>0</v>
          </cell>
          <cell r="AJ43">
            <v>0.19254871465329254</v>
          </cell>
          <cell r="AK43">
            <v>4.8556643605514219E-2</v>
          </cell>
          <cell r="AL43">
            <v>0.1869194731290533</v>
          </cell>
          <cell r="AM43">
            <v>0.18279242808820073</v>
          </cell>
          <cell r="AN43">
            <v>0.15326682857790813</v>
          </cell>
          <cell r="AO43">
            <v>0.15403687027642646</v>
          </cell>
          <cell r="AP43">
            <v>0.19355495751761539</v>
          </cell>
          <cell r="AQ43">
            <v>0.15348810643452601</v>
          </cell>
          <cell r="AR43">
            <v>0.20413040839892901</v>
          </cell>
          <cell r="AS43">
            <v>0.17619598727391442</v>
          </cell>
          <cell r="AT43">
            <v>0.15692773825227918</v>
          </cell>
          <cell r="AU43">
            <v>0.2073877072483267</v>
          </cell>
          <cell r="AV43">
            <v>0.27070678700517631</v>
          </cell>
          <cell r="AW43">
            <v>0.21855505953565485</v>
          </cell>
          <cell r="AX43">
            <v>0.21312875658801189</v>
          </cell>
          <cell r="AY43">
            <v>0.2223588447617115</v>
          </cell>
          <cell r="AZ43">
            <v>0.22597781559174682</v>
          </cell>
          <cell r="BA43">
            <v>0.22960605315785651</v>
          </cell>
          <cell r="BB43">
            <v>0.22982383018842581</v>
          </cell>
          <cell r="BC43">
            <v>0.22697818663985159</v>
          </cell>
          <cell r="BD43">
            <v>0.20373714064741755</v>
          </cell>
          <cell r="BE43">
            <v>0.21105860718239133</v>
          </cell>
          <cell r="BF43">
            <v>0.20236795425789136</v>
          </cell>
          <cell r="BG43">
            <v>0.21521025428667526</v>
          </cell>
          <cell r="BH43">
            <v>0.20830432772007368</v>
          </cell>
          <cell r="BI43">
            <v>0.28862761591717495</v>
          </cell>
          <cell r="BJ43">
            <v>0.29899969350838773</v>
          </cell>
          <cell r="BK43">
            <v>0.28668793519867947</v>
          </cell>
          <cell r="BL43">
            <v>0.30488119357279003</v>
          </cell>
          <cell r="BM43">
            <v>0.29518541273651022</v>
          </cell>
          <cell r="BN43">
            <v>0.46180418546747992</v>
          </cell>
          <cell r="BO43">
            <v>0.47839950961342043</v>
          </cell>
          <cell r="BP43">
            <v>0.45870069631788718</v>
          </cell>
          <cell r="BQ43">
            <v>0.48780990971646399</v>
          </cell>
          <cell r="BR43">
            <v>0.47176453139317964</v>
          </cell>
          <cell r="BS43">
            <v>0.47334929010416682</v>
          </cell>
          <cell r="BT43">
            <v>0.49035949735375589</v>
          </cell>
          <cell r="BU43">
            <v>0.47016821372583428</v>
          </cell>
          <cell r="BV43">
            <v>0.50000515745937557</v>
          </cell>
          <cell r="BW43">
            <v>0.48357806765141331</v>
          </cell>
          <cell r="BX43">
            <v>0.46861579720312518</v>
          </cell>
          <cell r="BY43">
            <v>0.48545590238021835</v>
          </cell>
          <cell r="BZ43">
            <v>0.46546653158857587</v>
          </cell>
          <cell r="CA43">
            <v>0.4950051058847818</v>
          </cell>
          <cell r="CB43">
            <v>0.47872611890968064</v>
          </cell>
        </row>
        <row r="44">
          <cell r="B44" t="str">
            <v>Retail - brand - core</v>
          </cell>
          <cell r="P44">
            <v>0.21797075957003142</v>
          </cell>
          <cell r="Q44">
            <v>0.28247461273144142</v>
          </cell>
          <cell r="R44">
            <v>0.31821827615556375</v>
          </cell>
          <cell r="S44">
            <v>0.30908566882573796</v>
          </cell>
          <cell r="T44">
            <v>1.9718365234907331</v>
          </cell>
          <cell r="U44">
            <v>1.6998089553926454</v>
          </cell>
          <cell r="V44">
            <v>1.6925471824837088</v>
          </cell>
          <cell r="W44">
            <v>1.7834004242993</v>
          </cell>
          <cell r="X44">
            <v>1.692686834177791</v>
          </cell>
          <cell r="Y44">
            <v>1.716049890413625</v>
          </cell>
          <cell r="Z44">
            <v>1.9081932740520648</v>
          </cell>
          <cell r="AA44">
            <v>1.8223574293912883</v>
          </cell>
          <cell r="AB44">
            <v>0.97858673828399723</v>
          </cell>
          <cell r="AC44">
            <v>0.79396091790583789</v>
          </cell>
          <cell r="AD44">
            <v>1.3694928782464861</v>
          </cell>
          <cell r="AE44">
            <v>1.1662647895382465</v>
          </cell>
          <cell r="AF44">
            <v>1.6786256041814818</v>
          </cell>
          <cell r="AG44">
            <v>1.9599833614780426</v>
          </cell>
          <cell r="AH44">
            <v>1.8345727760919195</v>
          </cell>
          <cell r="AI44">
            <v>1.6495548434206124</v>
          </cell>
          <cell r="AJ44">
            <v>3.4877352000587174</v>
          </cell>
          <cell r="AK44">
            <v>3.1175102591521862</v>
          </cell>
          <cell r="AL44">
            <v>2.7241625407476149</v>
          </cell>
          <cell r="AM44">
            <v>3.1977601658115278</v>
          </cell>
          <cell r="AN44">
            <v>3.1418431591399307</v>
          </cell>
          <cell r="AO44">
            <v>4.7685319925846894</v>
          </cell>
          <cell r="AP44">
            <v>4.9049322620069464</v>
          </cell>
          <cell r="AQ44">
            <v>5.2362080523932102</v>
          </cell>
          <cell r="AR44">
            <v>5.1434792837237193</v>
          </cell>
          <cell r="AS44">
            <v>5.0035255066224984</v>
          </cell>
          <cell r="AT44">
            <v>3.8796681443818906</v>
          </cell>
          <cell r="AU44">
            <v>4.5088397421897772</v>
          </cell>
          <cell r="AV44">
            <v>4.7338450585413829</v>
          </cell>
          <cell r="AW44">
            <v>4.6213269234889767</v>
          </cell>
          <cell r="AX44">
            <v>4.428373866377675</v>
          </cell>
          <cell r="AY44">
            <v>4.1774278657665844</v>
          </cell>
          <cell r="AZ44">
            <v>4.5710729368436764</v>
          </cell>
          <cell r="BA44">
            <v>4.6624946080337191</v>
          </cell>
          <cell r="BB44">
            <v>4.6881683109039889</v>
          </cell>
          <cell r="BC44">
            <v>4.5183088149206618</v>
          </cell>
          <cell r="BD44">
            <v>4.1278873134607883</v>
          </cell>
          <cell r="BE44">
            <v>4.216352378652978</v>
          </cell>
          <cell r="BF44">
            <v>4.568814386318536</v>
          </cell>
          <cell r="BG44">
            <v>4.4271504367724459</v>
          </cell>
          <cell r="BH44">
            <v>4.3309600077371178</v>
          </cell>
          <cell r="BI44">
            <v>4.4145461546733431</v>
          </cell>
          <cell r="BJ44">
            <v>4.591139256755465</v>
          </cell>
          <cell r="BK44">
            <v>4.8829203753779362</v>
          </cell>
          <cell r="BL44">
            <v>4.7315170293005524</v>
          </cell>
          <cell r="BM44">
            <v>4.6490439035345776</v>
          </cell>
          <cell r="BN44">
            <v>4.9603445883420481</v>
          </cell>
          <cell r="BO44">
            <v>5.4888709507103286</v>
          </cell>
          <cell r="BP44">
            <v>5.7352898093254874</v>
          </cell>
          <cell r="BQ44">
            <v>5.5574572826609128</v>
          </cell>
          <cell r="BR44">
            <v>5.4330404420846516</v>
          </cell>
          <cell r="BS44">
            <v>5.1091549259923097</v>
          </cell>
          <cell r="BT44">
            <v>5.6535370792316391</v>
          </cell>
          <cell r="BU44">
            <v>5.9073485036052524</v>
          </cell>
          <cell r="BV44">
            <v>5.7241810011407397</v>
          </cell>
          <cell r="BW44">
            <v>5.5884574169551327</v>
          </cell>
          <cell r="BX44">
            <v>5.2368837991421167</v>
          </cell>
          <cell r="BY44">
            <v>5.7948755062124278</v>
          </cell>
          <cell r="BZ44">
            <v>6.0550322161953822</v>
          </cell>
          <cell r="CA44">
            <v>5.8672855261692574</v>
          </cell>
          <cell r="CB44">
            <v>5.7341525966021711</v>
          </cell>
        </row>
        <row r="45">
          <cell r="B45" t="str">
            <v>Mail - generics - core</v>
          </cell>
          <cell r="P45">
            <v>157.40599999999981</v>
          </cell>
          <cell r="Q45">
            <v>199.37999999999957</v>
          </cell>
          <cell r="R45">
            <v>216.23999999999981</v>
          </cell>
          <cell r="S45">
            <v>221.57999999999942</v>
          </cell>
          <cell r="T45">
            <v>9.6007086987038139</v>
          </cell>
          <cell r="U45">
            <v>10.660176293695196</v>
          </cell>
          <cell r="V45">
            <v>10.84011918650155</v>
          </cell>
          <cell r="W45">
            <v>10.163366852653059</v>
          </cell>
          <cell r="X45">
            <v>10.824651682455164</v>
          </cell>
          <cell r="Y45">
            <v>10.619660019034768</v>
          </cell>
          <cell r="Z45">
            <v>9.9155969430522948</v>
          </cell>
          <cell r="AA45">
            <v>9.9989270697404677</v>
          </cell>
          <cell r="AB45">
            <v>10.275552658679015</v>
          </cell>
          <cell r="AC45">
            <v>10.248704392658452</v>
          </cell>
          <cell r="AD45">
            <v>10.116621831573887</v>
          </cell>
          <cell r="AE45">
            <v>9.9761142488716956</v>
          </cell>
          <cell r="AF45">
            <v>9.5744182672839173</v>
          </cell>
          <cell r="AG45">
            <v>9.2537845402861034</v>
          </cell>
          <cell r="AH45">
            <v>11.505295607829474</v>
          </cell>
          <cell r="AI45">
            <v>10.103703028691166</v>
          </cell>
          <cell r="AJ45">
            <v>11.078047834890507</v>
          </cell>
          <cell r="AK45">
            <v>8.8717135404760015</v>
          </cell>
          <cell r="AL45">
            <v>9.7589767915239847</v>
          </cell>
          <cell r="AM45">
            <v>10.755979881763386</v>
          </cell>
          <cell r="AN45">
            <v>10.1158205159124</v>
          </cell>
          <cell r="AO45">
            <v>9.7454464752044192</v>
          </cell>
          <cell r="AP45">
            <v>10.00922027684109</v>
          </cell>
          <cell r="AQ45">
            <v>9.7931169924053076</v>
          </cell>
          <cell r="AR45">
            <v>10.477500642892871</v>
          </cell>
          <cell r="AS45">
            <v>10.010615104054651</v>
          </cell>
          <cell r="AT45">
            <v>9.1447346093329358</v>
          </cell>
          <cell r="AU45">
            <v>10.385701807574083</v>
          </cell>
          <cell r="AV45">
            <v>10.718507677858625</v>
          </cell>
          <cell r="AW45">
            <v>10.553480337779268</v>
          </cell>
          <cell r="AX45">
            <v>10.20507170017444</v>
          </cell>
          <cell r="AY45">
            <v>8.7179529437032173</v>
          </cell>
          <cell r="AZ45">
            <v>8.9904620477348232</v>
          </cell>
          <cell r="BA45">
            <v>9.9891799724072179</v>
          </cell>
          <cell r="BB45">
            <v>9.8355231793879874</v>
          </cell>
          <cell r="BC45">
            <v>9.3977903009687438</v>
          </cell>
          <cell r="BD45">
            <v>8.1922063927464386</v>
          </cell>
          <cell r="BE45">
            <v>8.8354503379848257</v>
          </cell>
          <cell r="BF45">
            <v>9.1241119750056363</v>
          </cell>
          <cell r="BG45">
            <v>9.4077250708635436</v>
          </cell>
          <cell r="BH45">
            <v>8.9071363188880444</v>
          </cell>
          <cell r="BI45">
            <v>8.6095471822867555</v>
          </cell>
          <cell r="BJ45">
            <v>9.2079132556543541</v>
          </cell>
          <cell r="BK45">
            <v>9.5542053082979894</v>
          </cell>
          <cell r="BL45">
            <v>9.9120787310955123</v>
          </cell>
          <cell r="BM45">
            <v>9.3504789680005267</v>
          </cell>
          <cell r="BN45">
            <v>8.6095471822867573</v>
          </cell>
          <cell r="BO45">
            <v>9.2079132556543524</v>
          </cell>
          <cell r="BP45">
            <v>9.5542053082979894</v>
          </cell>
          <cell r="BQ45">
            <v>9.9120787310955123</v>
          </cell>
          <cell r="BR45">
            <v>9.3220790375271765</v>
          </cell>
          <cell r="BS45">
            <v>8.6120037876678879</v>
          </cell>
          <cell r="BT45">
            <v>9.2163470283586193</v>
          </cell>
          <cell r="BU45">
            <v>9.5682792934596534</v>
          </cell>
          <cell r="BV45">
            <v>9.9259261006311501</v>
          </cell>
          <cell r="BW45">
            <v>9.3384889270441462</v>
          </cell>
          <cell r="BX45">
            <v>8.3061651126807394</v>
          </cell>
          <cell r="BY45">
            <v>8.90414016807126</v>
          </cell>
          <cell r="BZ45">
            <v>9.2579791888028815</v>
          </cell>
          <cell r="CA45">
            <v>9.6020703241404028</v>
          </cell>
          <cell r="CB45">
            <v>9.0185704954567285</v>
          </cell>
        </row>
        <row r="46">
          <cell r="B46" t="str">
            <v>Mail - brand - core</v>
          </cell>
          <cell r="P46">
            <v>1.7764450051446487E-2</v>
          </cell>
          <cell r="Q46">
            <v>1.4457008389111776E-2</v>
          </cell>
          <cell r="R46">
            <v>1.3789315175838472E-2</v>
          </cell>
          <cell r="S46">
            <v>1.3927079870995925E-2</v>
          </cell>
          <cell r="T46">
            <v>0.32874558837446355</v>
          </cell>
          <cell r="U46">
            <v>0.34576002295611197</v>
          </cell>
          <cell r="V46">
            <v>0.35021259444223563</v>
          </cell>
          <cell r="W46">
            <v>0.36237056076816565</v>
          </cell>
          <cell r="X46">
            <v>0.36414213711686971</v>
          </cell>
          <cell r="Y46">
            <v>0.35562959037473046</v>
          </cell>
          <cell r="Z46">
            <v>0.36732274159714495</v>
          </cell>
          <cell r="AA46">
            <v>0.3775308702872458</v>
          </cell>
          <cell r="AB46">
            <v>0.38887331173748152</v>
          </cell>
          <cell r="AC46">
            <v>0.4024065255602649</v>
          </cell>
          <cell r="AD46">
            <v>0.38452280808359474</v>
          </cell>
          <cell r="AE46">
            <v>0.36595074774471725</v>
          </cell>
          <cell r="AF46">
            <v>0.36599740450665363</v>
          </cell>
          <cell r="AG46">
            <v>0.38090627329118193</v>
          </cell>
          <cell r="AH46">
            <v>0.3796872337584441</v>
          </cell>
          <cell r="AI46">
            <v>0.37291564817345713</v>
          </cell>
          <cell r="AJ46">
            <v>0.17017886149047826</v>
          </cell>
          <cell r="AK46">
            <v>0.17577168404482585</v>
          </cell>
          <cell r="AL46">
            <v>0.18120420771917337</v>
          </cell>
          <cell r="AM46">
            <v>0.18609131220889713</v>
          </cell>
          <cell r="AN46">
            <v>0.17826850939188446</v>
          </cell>
          <cell r="AO46">
            <v>0.20963217088765126</v>
          </cell>
          <cell r="AP46">
            <v>0.21796129945258461</v>
          </cell>
          <cell r="AQ46">
            <v>0.22063565769039362</v>
          </cell>
          <cell r="AR46">
            <v>0.22672266393126811</v>
          </cell>
          <cell r="AS46">
            <v>0.21859941936350288</v>
          </cell>
          <cell r="AT46">
            <v>0.2279920978777249</v>
          </cell>
          <cell r="AU46">
            <v>0.2313857020447796</v>
          </cell>
          <cell r="AV46">
            <v>0.23662108587803896</v>
          </cell>
          <cell r="AW46">
            <v>0.23866134974055939</v>
          </cell>
          <cell r="AX46">
            <v>0.23361871020177646</v>
          </cell>
          <cell r="AY46">
            <v>0.24343445218539922</v>
          </cell>
          <cell r="AZ46">
            <v>0.18910848734912003</v>
          </cell>
          <cell r="BA46">
            <v>0.33065658290534738</v>
          </cell>
          <cell r="BB46">
            <v>0.3321431813673742</v>
          </cell>
          <cell r="BC46">
            <v>0.27220415517527852</v>
          </cell>
          <cell r="BD46">
            <v>0.20406692832586637</v>
          </cell>
          <cell r="BE46">
            <v>0.20997301656885556</v>
          </cell>
          <cell r="BF46">
            <v>0.28616704964281298</v>
          </cell>
          <cell r="BG46">
            <v>0.29355262120755526</v>
          </cell>
          <cell r="BH46">
            <v>0.24840334766040481</v>
          </cell>
          <cell r="BI46">
            <v>0.35711712457026612</v>
          </cell>
          <cell r="BJ46">
            <v>0.36745277899549722</v>
          </cell>
          <cell r="BK46">
            <v>0.37559425265619206</v>
          </cell>
          <cell r="BL46">
            <v>0.38528781533491624</v>
          </cell>
          <cell r="BM46">
            <v>0.37052343940075089</v>
          </cell>
          <cell r="BN46">
            <v>0.36783063830737411</v>
          </cell>
          <cell r="BO46">
            <v>0.37847636236536214</v>
          </cell>
          <cell r="BP46">
            <v>0.38686208023587793</v>
          </cell>
          <cell r="BQ46">
            <v>0.39684644979496375</v>
          </cell>
          <cell r="BR46">
            <v>0.38222072973607341</v>
          </cell>
          <cell r="BS46">
            <v>0.37886555745659539</v>
          </cell>
          <cell r="BT46">
            <v>0.38983065323632304</v>
          </cell>
          <cell r="BU46">
            <v>0.39846794264295421</v>
          </cell>
          <cell r="BV46">
            <v>0.40875184328881264</v>
          </cell>
          <cell r="BW46">
            <v>0.39289263601437135</v>
          </cell>
          <cell r="BX46">
            <v>0.38833719639301018</v>
          </cell>
          <cell r="BY46">
            <v>0.39957641956723106</v>
          </cell>
          <cell r="BZ46">
            <v>0.40842964120902803</v>
          </cell>
          <cell r="CA46">
            <v>0.41897063937103296</v>
          </cell>
          <cell r="CB46">
            <v>0.40339577485065825</v>
          </cell>
        </row>
        <row r="47">
          <cell r="B47" t="str">
            <v xml:space="preserve">Specialty </v>
          </cell>
          <cell r="P47">
            <v>0</v>
          </cell>
          <cell r="Q47">
            <v>0</v>
          </cell>
          <cell r="R47">
            <v>0</v>
          </cell>
          <cell r="S47">
            <v>0</v>
          </cell>
          <cell r="T47">
            <v>12.25</v>
          </cell>
          <cell r="U47">
            <v>18.375</v>
          </cell>
          <cell r="V47">
            <v>18.375</v>
          </cell>
          <cell r="W47">
            <v>18.375</v>
          </cell>
          <cell r="X47">
            <v>18.375</v>
          </cell>
          <cell r="Y47">
            <v>18.375</v>
          </cell>
          <cell r="Z47">
            <v>30.625</v>
          </cell>
          <cell r="AA47">
            <v>30.625</v>
          </cell>
          <cell r="AB47">
            <v>66.596929370504199</v>
          </cell>
          <cell r="AC47">
            <v>92.188154439823734</v>
          </cell>
          <cell r="AD47">
            <v>61.781998576702946</v>
          </cell>
          <cell r="AE47">
            <v>105.83149281878434</v>
          </cell>
          <cell r="AF47">
            <v>116.57084557414686</v>
          </cell>
          <cell r="AG47">
            <v>102.59301642857145</v>
          </cell>
          <cell r="AH47">
            <v>113.12606958293908</v>
          </cell>
          <cell r="AI47">
            <v>109.47481685055092</v>
          </cell>
          <cell r="AJ47">
            <v>121.66194040146246</v>
          </cell>
          <cell r="AK47">
            <v>120.83685777361505</v>
          </cell>
          <cell r="AL47">
            <v>118.42400408052134</v>
          </cell>
          <cell r="AM47">
            <v>121.0758282884893</v>
          </cell>
          <cell r="AN47">
            <v>120.49922186447884</v>
          </cell>
          <cell r="AO47">
            <v>130.06877813762284</v>
          </cell>
          <cell r="AP47">
            <v>134.9509411549524</v>
          </cell>
          <cell r="AQ47">
            <v>137.20985035297952</v>
          </cell>
          <cell r="AR47">
            <v>133.61629655395382</v>
          </cell>
          <cell r="AS47">
            <v>134.01529759157776</v>
          </cell>
          <cell r="AT47">
            <v>145.97001249015878</v>
          </cell>
          <cell r="AU47">
            <v>138.79329567989262</v>
          </cell>
          <cell r="AV47">
            <v>139.01992816639591</v>
          </cell>
          <cell r="AW47">
            <v>130.80483532373304</v>
          </cell>
          <cell r="AX47">
            <v>138.51290279243989</v>
          </cell>
          <cell r="AY47">
            <v>147.46135412743277</v>
          </cell>
          <cell r="AZ47">
            <v>146.79920449413837</v>
          </cell>
          <cell r="BA47">
            <v>141.84026819777966</v>
          </cell>
          <cell r="BB47">
            <v>137.05352069028319</v>
          </cell>
          <cell r="BC47">
            <v>143.15768780622594</v>
          </cell>
          <cell r="BD47">
            <v>151.82560304886317</v>
          </cell>
          <cell r="BE47">
            <v>155.17939442055965</v>
          </cell>
          <cell r="BF47">
            <v>156.37278109190149</v>
          </cell>
          <cell r="BG47">
            <v>166.16331676873116</v>
          </cell>
          <cell r="BH47">
            <v>157.54092485109743</v>
          </cell>
          <cell r="BI47">
            <v>166.07453384700094</v>
          </cell>
          <cell r="BJ47">
            <v>166.07453384700096</v>
          </cell>
          <cell r="BK47">
            <v>166.07453384700096</v>
          </cell>
          <cell r="BL47">
            <v>166.07453384700096</v>
          </cell>
          <cell r="BM47">
            <v>166.07453384700096</v>
          </cell>
          <cell r="BN47">
            <v>172.83775080078289</v>
          </cell>
          <cell r="BO47">
            <v>172.83775080078289</v>
          </cell>
          <cell r="BP47">
            <v>172.83775080078289</v>
          </cell>
          <cell r="BQ47">
            <v>172.83775080078289</v>
          </cell>
          <cell r="BR47">
            <v>172.83775080078291</v>
          </cell>
          <cell r="BS47">
            <v>177.65901437575209</v>
          </cell>
          <cell r="BT47">
            <v>177.65901437575209</v>
          </cell>
          <cell r="BU47">
            <v>177.65901437575209</v>
          </cell>
          <cell r="BV47">
            <v>177.65901437575209</v>
          </cell>
          <cell r="BW47">
            <v>177.65901437575209</v>
          </cell>
          <cell r="BX47">
            <v>186.25541829715942</v>
          </cell>
          <cell r="BY47">
            <v>186.25541829715948</v>
          </cell>
          <cell r="BZ47">
            <v>186.25541829715948</v>
          </cell>
          <cell r="CA47">
            <v>186.25541829715948</v>
          </cell>
          <cell r="CB47">
            <v>186.25541829715948</v>
          </cell>
        </row>
      </sheetData>
      <sheetData sheetId="6" refreshError="1">
        <row r="1">
          <cell r="B1" t="str">
            <v>Cover Page</v>
          </cell>
        </row>
        <row r="2">
          <cell r="B2" t="str">
            <v>MHS</v>
          </cell>
        </row>
        <row r="4">
          <cell r="D4" t="str">
            <v>CY08</v>
          </cell>
          <cell r="I4" t="str">
            <v>CY09</v>
          </cell>
          <cell r="P4" t="str">
            <v>CY10</v>
          </cell>
          <cell r="W4" t="str">
            <v>CY11</v>
          </cell>
        </row>
        <row r="5">
          <cell r="B5" t="str">
            <v>Guidance</v>
          </cell>
          <cell r="D5" t="str">
            <v>On 4Q07 CC</v>
          </cell>
          <cell r="E5" t="str">
            <v>On 1Q08 CC</v>
          </cell>
          <cell r="F5" t="str">
            <v>On 2Q08 CC</v>
          </cell>
          <cell r="G5" t="str">
            <v>On 3Q08 CC</v>
          </cell>
          <cell r="I5" t="str">
            <v>On 3Q08 CC</v>
          </cell>
          <cell r="J5" t="str">
            <v>On 4Q08 CC</v>
          </cell>
          <cell r="K5" t="str">
            <v>On 1Q09 CC</v>
          </cell>
          <cell r="L5" t="str">
            <v>On 2Q09 CC</v>
          </cell>
          <cell r="M5" t="str">
            <v>On 3Q09 CC</v>
          </cell>
          <cell r="O5" t="str">
            <v>On 2Q09 CC</v>
          </cell>
          <cell r="P5" t="str">
            <v>On 3Q09 CC</v>
          </cell>
          <cell r="Q5" t="str">
            <v>On 4Q09 CC</v>
          </cell>
          <cell r="R5" t="str">
            <v>On 1Q10 CC</v>
          </cell>
          <cell r="S5" t="str">
            <v>On 2Q10 CC</v>
          </cell>
          <cell r="T5" t="str">
            <v>On 3Q10 CC</v>
          </cell>
          <cell r="U5" t="str">
            <v>MS Estimate</v>
          </cell>
          <cell r="W5" t="str">
            <v>On 3Q10 CC</v>
          </cell>
          <cell r="X5" t="str">
            <v>On 4Q10 CC</v>
          </cell>
          <cell r="Y5" t="str">
            <v>On 1Q11 CC</v>
          </cell>
          <cell r="Z5" t="str">
            <v>On 3Q11 CC</v>
          </cell>
          <cell r="AA5" t="str">
            <v>MS Estimate</v>
          </cell>
        </row>
        <row r="6">
          <cell r="B6" t="str">
            <v xml:space="preserve">Revenue </v>
          </cell>
          <cell r="Q6" t="str">
            <v>Increase</v>
          </cell>
          <cell r="U6">
            <v>0.10307118384463987</v>
          </cell>
          <cell r="AA6">
            <v>6.2073659509704893E-2</v>
          </cell>
        </row>
        <row r="7">
          <cell r="B7" t="str">
            <v xml:space="preserve">EPS </v>
          </cell>
          <cell r="G7" t="str">
            <v>$2.10 - $2.13</v>
          </cell>
          <cell r="I7" t="str">
            <v>$2.45 - $2.55</v>
          </cell>
          <cell r="J7" t="str">
            <v>$2.45 - $2.55</v>
          </cell>
          <cell r="K7" t="str">
            <v>$2.45 - $2.55</v>
          </cell>
          <cell r="L7" t="str">
            <v>$2.54 - $2.59</v>
          </cell>
          <cell r="M7" t="str">
            <v>$2.58 - $2.60</v>
          </cell>
          <cell r="P7" t="str">
            <v>$3.05–$3.15</v>
          </cell>
          <cell r="Q7" t="str">
            <v>$3.05–$3.15</v>
          </cell>
          <cell r="S7" t="str">
            <v>$3.10–$3.15</v>
          </cell>
          <cell r="T7">
            <v>3.14</v>
          </cell>
          <cell r="U7">
            <v>3.1588381742738592</v>
          </cell>
          <cell r="W7" t="str">
            <v>$3.53–$3.66</v>
          </cell>
          <cell r="X7" t="str">
            <v>$3.53–$3.66</v>
          </cell>
          <cell r="Y7" t="str">
            <v>$3.59-$3.69</v>
          </cell>
          <cell r="Z7" t="str">
            <v>$3.59-$3.69</v>
          </cell>
          <cell r="AA7">
            <v>3.7421841009385299</v>
          </cell>
        </row>
        <row r="8">
          <cell r="B8" t="str">
            <v>Non-GAAP EPS</v>
          </cell>
          <cell r="G8" t="str">
            <v>$2.30 - $2.33</v>
          </cell>
          <cell r="I8" t="str">
            <v>$2.67 - $2.77</v>
          </cell>
          <cell r="J8" t="str">
            <v>$2.67 - $2.77</v>
          </cell>
          <cell r="K8" t="str">
            <v>$2.67 - $2.77</v>
          </cell>
          <cell r="L8" t="str">
            <v>$2.76 - $2.81</v>
          </cell>
          <cell r="M8" t="str">
            <v>$2.80 - $2.82</v>
          </cell>
          <cell r="P8" t="str">
            <v>$3.28–$3.38</v>
          </cell>
          <cell r="Q8" t="str">
            <v>$3.28–$3.38</v>
          </cell>
          <cell r="S8" t="str">
            <v>$3.34–$3.39</v>
          </cell>
          <cell r="U8">
            <v>3.5541577593360998</v>
          </cell>
          <cell r="W8" t="str">
            <v>$3.99-$4.12</v>
          </cell>
          <cell r="X8" t="str">
            <v>$3.99-$4.12</v>
          </cell>
          <cell r="Y8" t="str">
            <v>$4.02-$4.12</v>
          </cell>
          <cell r="Z8" t="str">
            <v>$4.08-$4.12</v>
          </cell>
          <cell r="AA8">
            <v>4.1789101500357919</v>
          </cell>
        </row>
        <row r="9">
          <cell r="B9" t="str">
            <v>Net interest expense</v>
          </cell>
          <cell r="I9" t="str">
            <v>$220-230M</v>
          </cell>
          <cell r="K9" t="str">
            <v>$170 - $190</v>
          </cell>
          <cell r="L9">
            <v>170</v>
          </cell>
          <cell r="M9" t="str">
            <v>$165 - $170M</v>
          </cell>
          <cell r="P9" t="str">
            <v>$170 - $180M</v>
          </cell>
          <cell r="Q9" t="str">
            <v>$170M</v>
          </cell>
          <cell r="S9" t="str">
            <v>$160M</v>
          </cell>
          <cell r="U9">
            <v>163</v>
          </cell>
          <cell r="W9" t="str">
            <v>$225 - $240M</v>
          </cell>
          <cell r="X9" t="str">
            <v>$225 - $240M</v>
          </cell>
          <cell r="Y9" t="str">
            <v>$225 - $240M</v>
          </cell>
          <cell r="AA9">
            <v>209.7</v>
          </cell>
        </row>
        <row r="10">
          <cell r="B10" t="str">
            <v>Intangible amortization</v>
          </cell>
          <cell r="M10" t="str">
            <v>$305 - $310M</v>
          </cell>
          <cell r="P10" t="str">
            <v>$280 - $290M</v>
          </cell>
          <cell r="Q10" t="str">
            <v>$280 - $290M</v>
          </cell>
          <cell r="S10" t="str">
            <v>$280 - $290M</v>
          </cell>
          <cell r="U10">
            <v>287.39999999999998</v>
          </cell>
          <cell r="W10" t="str">
            <v>$300 - $320M</v>
          </cell>
          <cell r="X10" t="str">
            <v>$300 - $320M</v>
          </cell>
          <cell r="Y10" t="str">
            <v>$280 - $300M</v>
          </cell>
          <cell r="AA10">
            <v>292</v>
          </cell>
        </row>
        <row r="11">
          <cell r="B11" t="str">
            <v>Share Outstanding</v>
          </cell>
          <cell r="I11" t="str">
            <v>485-500M</v>
          </cell>
          <cell r="L11" t="str">
            <v>490M</v>
          </cell>
          <cell r="M11" t="str">
            <v>~490M</v>
          </cell>
          <cell r="P11" t="str">
            <v>465M-480M</v>
          </cell>
          <cell r="Q11" t="str">
            <v>465M-480M</v>
          </cell>
          <cell r="U11">
            <v>451.87500000000006</v>
          </cell>
          <cell r="W11" t="str">
            <v>395M-410M</v>
          </cell>
          <cell r="X11" t="str">
            <v>395M-410M</v>
          </cell>
          <cell r="Y11" t="str">
            <v>395M-410M</v>
          </cell>
          <cell r="AA11">
            <v>402.22499999999997</v>
          </cell>
        </row>
        <row r="12">
          <cell r="B12" t="str">
            <v>Specialty revenue</v>
          </cell>
          <cell r="I12" t="str">
            <v>$9B</v>
          </cell>
          <cell r="K12" t="str">
            <v>$9.2 B</v>
          </cell>
          <cell r="L12" t="str">
            <v>$9.3B</v>
          </cell>
          <cell r="M12" t="str">
            <v>~$9.5B</v>
          </cell>
          <cell r="P12" t="str">
            <v>&gt;$11B</v>
          </cell>
          <cell r="Q12" t="str">
            <v>&gt;$11B (11%)</v>
          </cell>
          <cell r="U12">
            <v>11.349300000000001</v>
          </cell>
          <cell r="W12" t="str">
            <v>$13 B</v>
          </cell>
          <cell r="X12" t="str">
            <v>$13 B</v>
          </cell>
          <cell r="Y12" t="str">
            <v>$13 B</v>
          </cell>
          <cell r="AA12">
            <v>13.4445</v>
          </cell>
        </row>
        <row r="13">
          <cell r="B13" t="str">
            <v>Specialty Operating Income</v>
          </cell>
          <cell r="I13" t="str">
            <v>$300+M</v>
          </cell>
          <cell r="K13">
            <v>325</v>
          </cell>
          <cell r="L13" t="str">
            <v>$350M</v>
          </cell>
          <cell r="M13" t="str">
            <v>~$355M</v>
          </cell>
          <cell r="P13" t="str">
            <v>&gt;$450M</v>
          </cell>
          <cell r="Q13" t="str">
            <v>$450M (26%)</v>
          </cell>
          <cell r="U13">
            <v>438.00000000000034</v>
          </cell>
          <cell r="W13" t="str">
            <v>Approach $500 M</v>
          </cell>
          <cell r="X13" t="str">
            <v>Approach $500 M</v>
          </cell>
          <cell r="Y13" t="str">
            <v>Approach $500 M</v>
          </cell>
          <cell r="AA13">
            <v>560.60000000000025</v>
          </cell>
        </row>
        <row r="14">
          <cell r="B14" t="str">
            <v>CAPEX</v>
          </cell>
          <cell r="G14">
            <v>285</v>
          </cell>
          <cell r="I14" t="str">
            <v>$225M</v>
          </cell>
          <cell r="J14" t="str">
            <v>$225M</v>
          </cell>
          <cell r="K14" t="str">
            <v>$225M</v>
          </cell>
          <cell r="L14" t="str">
            <v>$235M</v>
          </cell>
          <cell r="M14" t="str">
            <v>~$235M</v>
          </cell>
          <cell r="P14" t="str">
            <v>$215M</v>
          </cell>
          <cell r="Q14" t="str">
            <v>$225M</v>
          </cell>
          <cell r="R14" t="str">
            <v>$245M</v>
          </cell>
          <cell r="S14" t="str">
            <v>~$245 million</v>
          </cell>
          <cell r="U14">
            <v>-250.1</v>
          </cell>
          <cell r="W14" t="str">
            <v>~$325 M</v>
          </cell>
          <cell r="X14" t="str">
            <v>~$325 M</v>
          </cell>
          <cell r="Y14" t="str">
            <v>~$325 M</v>
          </cell>
          <cell r="AA14">
            <v>-324.60000000000002</v>
          </cell>
        </row>
        <row r="15">
          <cell r="B15" t="str">
            <v>CFO</v>
          </cell>
          <cell r="I15" t="str">
            <v>$2B</v>
          </cell>
          <cell r="K15" t="str">
            <v>&gt;$2.5B</v>
          </cell>
          <cell r="L15" t="str">
            <v>&gt;$3B</v>
          </cell>
          <cell r="M15" t="str">
            <v>~$3.2B</v>
          </cell>
          <cell r="P15" t="str">
            <v>$2.3B</v>
          </cell>
          <cell r="Q15" t="str">
            <v>~$2.3 billion</v>
          </cell>
          <cell r="S15" t="str">
            <v>$2.4 billion</v>
          </cell>
          <cell r="U15">
            <v>2.3447000000000005</v>
          </cell>
          <cell r="W15" t="str">
            <v>$1.9-$2.1 B</v>
          </cell>
          <cell r="X15" t="str">
            <v>$1.9-$2.1 B</v>
          </cell>
          <cell r="Y15" t="str">
            <v>$1.9-$2.1 B</v>
          </cell>
          <cell r="AA15">
            <v>1.2824000000000004</v>
          </cell>
        </row>
        <row r="16">
          <cell r="B16" t="str">
            <v>Mail Order Volume</v>
          </cell>
          <cell r="I16" t="str">
            <v>105-107</v>
          </cell>
          <cell r="J16" t="str">
            <v>105-108</v>
          </cell>
          <cell r="K16" t="str">
            <v>105-107</v>
          </cell>
          <cell r="L16" t="str">
            <v>103M</v>
          </cell>
          <cell r="M16" t="str">
            <v>~103M</v>
          </cell>
          <cell r="P16" t="str">
            <v>107-109M</v>
          </cell>
          <cell r="Q16" t="str">
            <v>107-109M</v>
          </cell>
          <cell r="S16" t="str">
            <v>107-109M</v>
          </cell>
          <cell r="U16">
            <v>109.9</v>
          </cell>
          <cell r="W16" t="str">
            <v>107-109M</v>
          </cell>
          <cell r="X16" t="str">
            <v>107-109M</v>
          </cell>
          <cell r="Y16" t="str">
            <v>108-110M</v>
          </cell>
          <cell r="Z16" t="str">
            <v>112M</v>
          </cell>
          <cell r="AA16">
            <v>113.19999999999999</v>
          </cell>
        </row>
        <row r="17">
          <cell r="B17" t="str">
            <v>Mail Penetration</v>
          </cell>
          <cell r="K17">
            <v>0.34</v>
          </cell>
          <cell r="L17">
            <v>0.34399999999999997</v>
          </cell>
          <cell r="M17" t="str">
            <v>~34.5%</v>
          </cell>
          <cell r="Q17" t="str">
            <v>Up slightly from 34.2%</v>
          </cell>
          <cell r="U17">
            <v>0.34142757231939258</v>
          </cell>
          <cell r="AA17">
            <v>0.3425779219206343</v>
          </cell>
        </row>
        <row r="18">
          <cell r="B18" t="str">
            <v>Generic Introductions</v>
          </cell>
          <cell r="I18" t="str">
            <v>11¢ Eps</v>
          </cell>
          <cell r="J18" t="str">
            <v>11¢ Eps</v>
          </cell>
          <cell r="K18" t="str">
            <v>11¢ Eps</v>
          </cell>
          <cell r="L18" t="str">
            <v>13¢ EPS</v>
          </cell>
          <cell r="M18" t="str">
            <v>13¢</v>
          </cell>
          <cell r="P18" t="str">
            <v>25¢</v>
          </cell>
          <cell r="Q18" t="str">
            <v>25¢</v>
          </cell>
          <cell r="S18" t="str">
            <v>25¢</v>
          </cell>
          <cell r="U18" t="str">
            <v>25¢</v>
          </cell>
          <cell r="W18" t="str">
            <v>9¢</v>
          </cell>
          <cell r="X18" t="str">
            <v>9¢</v>
          </cell>
          <cell r="Y18" t="str">
            <v>9¢</v>
          </cell>
          <cell r="AA18" t="str">
            <v>9¢</v>
          </cell>
        </row>
        <row r="19">
          <cell r="B19" t="str">
            <v>SG&amp;A</v>
          </cell>
          <cell r="I19">
            <v>1400</v>
          </cell>
          <cell r="K19" t="str">
            <v>$1,400M</v>
          </cell>
          <cell r="L19" t="str">
            <v>$1,400M</v>
          </cell>
          <cell r="M19" t="str">
            <v>$1.45-$1.46B</v>
          </cell>
          <cell r="P19" t="str">
            <v>~$1.5B (3% growth)</v>
          </cell>
          <cell r="Q19" t="str">
            <v>~$1.5B (3-4% growth)</v>
          </cell>
          <cell r="S19" t="str">
            <v>~$1.5B (3-4% growth)</v>
          </cell>
          <cell r="U19">
            <v>1.5505</v>
          </cell>
          <cell r="W19" t="str">
            <v>$1.7 to $1.8 B</v>
          </cell>
          <cell r="X19" t="str">
            <v>$1.7 to $1.75 B</v>
          </cell>
          <cell r="Y19" t="str">
            <v>$1.7 B</v>
          </cell>
          <cell r="AA19">
            <v>1.6668000000000003</v>
          </cell>
        </row>
        <row r="20">
          <cell r="B20" t="str">
            <v>Operating Margins</v>
          </cell>
        </row>
        <row r="21">
          <cell r="B21" t="str">
            <v>Tax rate</v>
          </cell>
          <cell r="G21" t="str">
            <v>38% - 38.5%</v>
          </cell>
          <cell r="I21" t="str">
            <v>38.5% - 39.5%</v>
          </cell>
          <cell r="J21" t="str">
            <v>38.5% - 39.5%</v>
          </cell>
          <cell r="K21" t="str">
            <v>38.5% - 39.5%</v>
          </cell>
          <cell r="L21" t="str">
            <v>39%-39.5%</v>
          </cell>
          <cell r="M21" t="str">
            <v>39%-39.5%</v>
          </cell>
          <cell r="P21" t="str">
            <v>38.5% - 39.5%</v>
          </cell>
          <cell r="Q21" t="str">
            <v>38.5% - 39.5%</v>
          </cell>
          <cell r="S21" t="str">
            <v>~39.0%</v>
          </cell>
          <cell r="U21">
            <v>0.38848427726844309</v>
          </cell>
          <cell r="W21" t="str">
            <v>38.5% - 39.5%</v>
          </cell>
          <cell r="X21" t="str">
            <v>38.5% - 39.5%</v>
          </cell>
          <cell r="Y21">
            <v>0.39</v>
          </cell>
          <cell r="Z21">
            <v>0.38500000000000001</v>
          </cell>
          <cell r="AA21">
            <v>0.38713355048859932</v>
          </cell>
        </row>
        <row r="22">
          <cell r="B22" t="str">
            <v>Gross Margin</v>
          </cell>
          <cell r="K22">
            <v>6.4000000000000001E-2</v>
          </cell>
          <cell r="L22">
            <v>6.6000000000000003E-2</v>
          </cell>
          <cell r="Q22" t="str">
            <v>Increase slighlty over 6.7% in 2009</v>
          </cell>
          <cell r="R22" t="str">
            <v>equal to 6.7%</v>
          </cell>
          <cell r="S22">
            <v>6.7000000000000004E-2</v>
          </cell>
          <cell r="U22">
            <v>6.5714796781489199E-2</v>
          </cell>
          <cell r="W22" t="str">
            <v>At least in-line w/ 2010</v>
          </cell>
          <cell r="X22" t="str">
            <v>At least in-line w/ 2010</v>
          </cell>
          <cell r="Y22" t="str">
            <v>At least in-line w/ 2010</v>
          </cell>
          <cell r="AA22">
            <v>6.6004598698605407E-2</v>
          </cell>
        </row>
        <row r="23">
          <cell r="B23" t="str">
            <v>Annualized New Named Sales</v>
          </cell>
          <cell r="I23" t="str">
            <v>$6.4B</v>
          </cell>
          <cell r="J23" t="str">
            <v>$8B</v>
          </cell>
          <cell r="K23" t="str">
            <v>$8.6B</v>
          </cell>
          <cell r="L23" t="str">
            <v>$10.1B</v>
          </cell>
          <cell r="O23" t="str">
            <v>$2.8 B</v>
          </cell>
          <cell r="P23" t="str">
            <v>$4.1B</v>
          </cell>
          <cell r="Q23" t="str">
            <v>$4.3B</v>
          </cell>
          <cell r="R23" t="str">
            <v>$4.4B</v>
          </cell>
          <cell r="S23" t="str">
            <v>$5.1 B</v>
          </cell>
          <cell r="W23" t="str">
            <v>$1.7B</v>
          </cell>
          <cell r="X23" t="str">
            <v>$1.7B</v>
          </cell>
          <cell r="Y23" t="str">
            <v>$1.7B</v>
          </cell>
        </row>
        <row r="24">
          <cell r="B24" t="str">
            <v>Net New Name Sales</v>
          </cell>
          <cell r="I24" t="str">
            <v>$4.9B</v>
          </cell>
          <cell r="J24" t="str">
            <v>$6.1B</v>
          </cell>
          <cell r="K24" t="str">
            <v>$7B</v>
          </cell>
          <cell r="L24" t="str">
            <v>$8B</v>
          </cell>
          <cell r="P24" t="str">
            <v>$4.0B</v>
          </cell>
          <cell r="Q24" t="str">
            <v>$4.2B</v>
          </cell>
          <cell r="R24" t="str">
            <v>$4.3B</v>
          </cell>
          <cell r="S24" t="str">
            <v>&gt;$5.0 B</v>
          </cell>
        </row>
        <row r="25">
          <cell r="B25" t="str">
            <v>Annualized New Named Sales</v>
          </cell>
          <cell r="I25" t="str">
            <v>$6.4B</v>
          </cell>
          <cell r="J25" t="str">
            <v>$8B</v>
          </cell>
          <cell r="K25" t="str">
            <v>$8.6B</v>
          </cell>
          <cell r="L25" t="str">
            <v>$10.1B</v>
          </cell>
          <cell r="R25" t="str">
            <v>$500 M</v>
          </cell>
          <cell r="S25" t="str">
            <v>~$1.0 B</v>
          </cell>
        </row>
        <row r="26">
          <cell r="B26" t="str">
            <v>Net New Name Sales</v>
          </cell>
          <cell r="I26" t="str">
            <v>$4.9B</v>
          </cell>
          <cell r="J26" t="str">
            <v>$6.1B</v>
          </cell>
          <cell r="K26" t="str">
            <v>$7B</v>
          </cell>
          <cell r="L26" t="str">
            <v>$8B</v>
          </cell>
          <cell r="R26" t="str">
            <v>$500 M</v>
          </cell>
          <cell r="S26" t="str">
            <v>~$1.0 B</v>
          </cell>
          <cell r="W26" t="str">
            <v>$1.4B</v>
          </cell>
          <cell r="X26" t="str">
            <v>$1.5B</v>
          </cell>
          <cell r="Y26" t="str">
            <v>$1.5B</v>
          </cell>
        </row>
        <row r="27">
          <cell r="B27" t="str">
            <v>ROIC</v>
          </cell>
          <cell r="K27" t="str">
            <v>3% improvement</v>
          </cell>
          <cell r="L27" t="str">
            <v>4% improvement</v>
          </cell>
          <cell r="M27">
            <v>0.25</v>
          </cell>
          <cell r="P27" t="str">
            <v>well over 30%</v>
          </cell>
          <cell r="Q27" t="str">
            <v>well over 30%</v>
          </cell>
          <cell r="S27" t="str">
            <v>~35%</v>
          </cell>
          <cell r="W27" t="str">
            <v>&gt;30%</v>
          </cell>
          <cell r="X27" t="str">
            <v>&gt;30%</v>
          </cell>
          <cell r="Y27" t="str">
            <v>&gt;30%</v>
          </cell>
        </row>
        <row r="28">
          <cell r="B28" t="str">
            <v>EBITDA per adjusted Rx</v>
          </cell>
          <cell r="M28">
            <v>3.09</v>
          </cell>
          <cell r="P28" t="str">
            <v>5%-10% y-o-y growth</v>
          </cell>
          <cell r="Q28" t="str">
            <v>5%-10% y-o-y growth</v>
          </cell>
          <cell r="S28" t="str">
            <v>low single digit % over 2009</v>
          </cell>
          <cell r="U28">
            <v>1.5432986204213517E-2</v>
          </cell>
          <cell r="W28" t="str">
            <v>At least in-line w/ 2010</v>
          </cell>
          <cell r="X28" t="str">
            <v>At least in-line w/ 2010</v>
          </cell>
          <cell r="Y28" t="str">
            <v>At least in-line w/ 2010</v>
          </cell>
          <cell r="AA28">
            <v>3.2352757767596536</v>
          </cell>
        </row>
        <row r="37">
          <cell r="AC37" t="str">
            <v>MHS 2012 Guidance</v>
          </cell>
          <cell r="AD37" t="str">
            <v>Low</v>
          </cell>
          <cell r="AE37" t="str">
            <v>High</v>
          </cell>
        </row>
        <row r="38">
          <cell r="AC38" t="str">
            <v>Revenue  ($ Mils)</v>
          </cell>
          <cell r="AD38">
            <v>56573.759999999995</v>
          </cell>
          <cell r="AE38">
            <v>58931</v>
          </cell>
        </row>
        <row r="39">
          <cell r="AC39" t="str">
            <v>Adj EBITDA</v>
          </cell>
          <cell r="AD39">
            <v>3271.68</v>
          </cell>
          <cell r="AE39">
            <v>3408</v>
          </cell>
        </row>
        <row r="40">
          <cell r="AC40" t="str">
            <v>EBITDA Margin</v>
          </cell>
          <cell r="AD40">
            <v>5.7830343961582195E-2</v>
          </cell>
          <cell r="AE40">
            <v>5.7830343961582188E-2</v>
          </cell>
        </row>
        <row r="42">
          <cell r="AC42" t="str">
            <v>Net Income (GAAP)</v>
          </cell>
          <cell r="AD42">
            <v>1561.0559999999998</v>
          </cell>
          <cell r="AE42">
            <v>1626.1</v>
          </cell>
        </row>
        <row r="43">
          <cell r="AC43" t="str">
            <v>Low end of guidance:</v>
          </cell>
          <cell r="AD43">
            <v>-0.04</v>
          </cell>
        </row>
      </sheetData>
      <sheetData sheetId="7" refreshError="1"/>
      <sheetData sheetId="8" refreshError="1"/>
      <sheetData sheetId="9" refreshError="1"/>
      <sheetData sheetId="10" refreshError="1">
        <row r="28">
          <cell r="C28">
            <v>2</v>
          </cell>
        </row>
      </sheetData>
      <sheetData sheetId="11" refreshError="1">
        <row r="1">
          <cell r="B1" t="str">
            <v>Cover Page</v>
          </cell>
        </row>
        <row r="2">
          <cell r="A2" t="str">
            <v>((TF.PR.ConsolidatedMarketCap(sdate=0D,scale=6,Curn=#1)@TF.PR.MarketCap(sdate=0D,scale=6,Curn=#1))+TF.FN.NetDebt(period=FI0,sdate=0D,scale=6,Curn=#1)+ZAV(TF.FN.PreferredStock(period=FI0,sdate=0D,scale=6,Curn=#1))+ZAV(TF.FN.MinorityInterestBalSht(period=FI</v>
          </cell>
          <cell r="B2" t="str">
            <v>MHS</v>
          </cell>
        </row>
        <row r="3">
          <cell r="B3" t="str">
            <v>Valuation</v>
          </cell>
        </row>
        <row r="4">
          <cell r="B4" t="str">
            <v>Current Price</v>
          </cell>
          <cell r="C4">
            <v>64.049987999999999</v>
          </cell>
        </row>
        <row r="5">
          <cell r="B5" t="str">
            <v>Enterprise Value</v>
          </cell>
          <cell r="C5" t="str">
            <v>Manual Calculation</v>
          </cell>
        </row>
        <row r="6">
          <cell r="B6" t="str">
            <v>1-yr Price Target</v>
          </cell>
          <cell r="C6" t="str">
            <v>NA</v>
          </cell>
        </row>
        <row r="7">
          <cell r="B7" t="str">
            <v>% upside</v>
          </cell>
          <cell r="C7" t="str">
            <v>N/A</v>
          </cell>
        </row>
        <row r="9">
          <cell r="B9" t="str">
            <v>Multiples</v>
          </cell>
          <cell r="C9">
            <v>2009</v>
          </cell>
          <cell r="D9">
            <v>2010</v>
          </cell>
          <cell r="E9">
            <v>2011</v>
          </cell>
          <cell r="F9">
            <v>2012</v>
          </cell>
        </row>
        <row r="10">
          <cell r="B10" t="str">
            <v>EPS (MS estimate)</v>
          </cell>
          <cell r="C10">
            <v>2.9826000000000001</v>
          </cell>
          <cell r="D10">
            <v>3.5541577593360998</v>
          </cell>
          <cell r="E10">
            <v>4.1789101500357919</v>
          </cell>
          <cell r="F10">
            <v>4.4243382875431809</v>
          </cell>
        </row>
        <row r="11">
          <cell r="B11" t="str">
            <v>Y/Y growth rate</v>
          </cell>
          <cell r="D11">
            <v>0.19163071123720909</v>
          </cell>
          <cell r="E11">
            <v>0.175780714589437</v>
          </cell>
          <cell r="F11">
            <v>5.8730178131560784E-2</v>
          </cell>
        </row>
        <row r="12">
          <cell r="B12" t="str">
            <v>P/E</v>
          </cell>
          <cell r="C12">
            <v>21.474548380607523</v>
          </cell>
          <cell r="D12">
            <v>18.021143780619418</v>
          </cell>
          <cell r="E12">
            <v>15.326959829335268</v>
          </cell>
          <cell r="F12">
            <v>14.476738404098555</v>
          </cell>
        </row>
        <row r="13">
          <cell r="B13" t="str">
            <v>Target P/E</v>
          </cell>
          <cell r="C13" t="e">
            <v>#VALUE!</v>
          </cell>
          <cell r="D13" t="e">
            <v>#VALUE!</v>
          </cell>
          <cell r="E13" t="e">
            <v>#VALUE!</v>
          </cell>
          <cell r="F13" t="e">
            <v>#VALUE!</v>
          </cell>
        </row>
        <row r="14">
          <cell r="B14" t="str">
            <v>FCF yield</v>
          </cell>
          <cell r="C14">
            <v>0.10056570572500277</v>
          </cell>
          <cell r="D14">
            <v>7.5048201474647469E-2</v>
          </cell>
          <cell r="E14">
            <v>3.7199125126011069E-2</v>
          </cell>
          <cell r="F14">
            <v>0.10638995110581502</v>
          </cell>
        </row>
        <row r="15">
          <cell r="B15" t="str">
            <v>EV/EBITDA</v>
          </cell>
          <cell r="C15" t="e">
            <v>#VALUE!</v>
          </cell>
          <cell r="D15" t="e">
            <v>#VALUE!</v>
          </cell>
          <cell r="E15" t="e">
            <v>#VALUE!</v>
          </cell>
          <cell r="F15" t="e">
            <v>#VALUE!</v>
          </cell>
        </row>
        <row r="17">
          <cell r="B17" t="str">
            <v>DCF Valuation</v>
          </cell>
          <cell r="C17">
            <v>2009</v>
          </cell>
          <cell r="D17">
            <v>2010</v>
          </cell>
          <cell r="E17">
            <v>2011</v>
          </cell>
          <cell r="F17">
            <v>2012</v>
          </cell>
          <cell r="G17">
            <v>2013</v>
          </cell>
          <cell r="H17">
            <v>2014</v>
          </cell>
          <cell r="I17">
            <v>2015</v>
          </cell>
        </row>
        <row r="18">
          <cell r="B18" t="str">
            <v>EBITDA</v>
          </cell>
          <cell r="C18">
            <v>2750.4</v>
          </cell>
          <cell r="D18">
            <v>2974.1000000000004</v>
          </cell>
          <cell r="E18">
            <v>3170.7</v>
          </cell>
          <cell r="F18">
            <v>3160.6565294986681</v>
          </cell>
          <cell r="G18">
            <v>3180.493707676339</v>
          </cell>
          <cell r="H18">
            <v>3399.6649071537322</v>
          </cell>
          <cell r="I18">
            <v>3563.6715447085626</v>
          </cell>
        </row>
        <row r="19">
          <cell r="B19" t="str">
            <v>Less: Capex</v>
          </cell>
          <cell r="C19">
            <v>-238.8</v>
          </cell>
          <cell r="D19">
            <v>-250.1</v>
          </cell>
          <cell r="E19">
            <v>-324.60000000000002</v>
          </cell>
          <cell r="F19">
            <v>-175</v>
          </cell>
          <cell r="G19">
            <v>-200</v>
          </cell>
          <cell r="H19">
            <v>-200</v>
          </cell>
          <cell r="I19">
            <v>-200</v>
          </cell>
        </row>
        <row r="20">
          <cell r="B20" t="str">
            <v>Less: Increase in NWC</v>
          </cell>
          <cell r="C20">
            <v>1526</v>
          </cell>
          <cell r="D20">
            <v>419.5</v>
          </cell>
          <cell r="E20">
            <v>-850.79999999999927</v>
          </cell>
          <cell r="F20">
            <v>598.56854017595879</v>
          </cell>
          <cell r="G20">
            <v>488.5281721835147</v>
          </cell>
          <cell r="H20">
            <v>-5.2551327048643088</v>
          </cell>
          <cell r="I20">
            <v>-33.068258576699236</v>
          </cell>
        </row>
        <row r="21">
          <cell r="B21" t="str">
            <v>Operating FCF - Pretax</v>
          </cell>
          <cell r="C21">
            <v>4037.6</v>
          </cell>
          <cell r="D21">
            <v>3143.5000000000005</v>
          </cell>
          <cell r="E21">
            <v>1995.3000000000006</v>
          </cell>
          <cell r="F21">
            <v>3584.2250696746269</v>
          </cell>
          <cell r="G21">
            <v>3469.0218798598535</v>
          </cell>
          <cell r="H21">
            <v>3194.4097744488681</v>
          </cell>
          <cell r="I21">
            <v>3330.6032861318636</v>
          </cell>
        </row>
        <row r="22">
          <cell r="B22" t="str">
            <v>Taxes on EBIT</v>
          </cell>
          <cell r="C22">
            <v>-881.39620000000014</v>
          </cell>
          <cell r="D22">
            <v>-971.41080000000011</v>
          </cell>
          <cell r="E22">
            <v>-1036.9573</v>
          </cell>
          <cell r="F22">
            <v>-1026.4373899749819</v>
          </cell>
          <cell r="G22">
            <v>-1034.154052286096</v>
          </cell>
          <cell r="H22">
            <v>-1119.411648882802</v>
          </cell>
          <cell r="I22">
            <v>-1183.2102308916308</v>
          </cell>
        </row>
        <row r="23">
          <cell r="B23" t="str">
            <v>Free Cash Flow</v>
          </cell>
          <cell r="C23">
            <v>3156.2037999999998</v>
          </cell>
          <cell r="D23">
            <v>2172.0892000000003</v>
          </cell>
          <cell r="E23">
            <v>958.3427000000006</v>
          </cell>
          <cell r="F23">
            <v>2557.7876796996452</v>
          </cell>
          <cell r="G23">
            <v>2434.8678275737575</v>
          </cell>
          <cell r="H23">
            <v>2074.9981255660659</v>
          </cell>
          <cell r="I23">
            <v>2147.3930552402326</v>
          </cell>
        </row>
        <row r="24">
          <cell r="B24" t="str">
            <v>PV of FCF</v>
          </cell>
          <cell r="C24">
            <v>3522.1414773573565</v>
          </cell>
          <cell r="D24">
            <v>2252.984699417404</v>
          </cell>
          <cell r="E24">
            <v>923.93251898564654</v>
          </cell>
          <cell r="F24">
            <v>2292.042851248058</v>
          </cell>
          <cell r="G24">
            <v>2028.0210604874699</v>
          </cell>
          <cell r="H24">
            <v>1606.3996688287898</v>
          </cell>
          <cell r="I24">
            <v>1545.205585102831</v>
          </cell>
        </row>
        <row r="26">
          <cell r="B26" t="str">
            <v>Discounted Cash Flow (DCF)</v>
          </cell>
        </row>
        <row r="27">
          <cell r="B27" t="str">
            <v>WACC Applied (%)</v>
          </cell>
          <cell r="D27">
            <v>7.587340525517533E-2</v>
          </cell>
        </row>
        <row r="28">
          <cell r="B28" t="str">
            <v>Intermediate Growth rate (%)</v>
          </cell>
        </row>
        <row r="29">
          <cell r="B29" t="str">
            <v>Terminal Growth Rate (%)</v>
          </cell>
          <cell r="D29">
            <v>0.01</v>
          </cell>
        </row>
        <row r="30">
          <cell r="B30" t="str">
            <v>Discounted Net Cash Flow</v>
          </cell>
          <cell r="D30">
            <v>10648.586384070199</v>
          </cell>
        </row>
        <row r="31">
          <cell r="B31" t="str">
            <v>Terminal Value</v>
          </cell>
          <cell r="D31">
            <v>32924.774078264891</v>
          </cell>
        </row>
        <row r="32">
          <cell r="B32" t="str">
            <v>Discounted Value of Terminal Value</v>
          </cell>
          <cell r="D32">
            <v>25489.34648370287</v>
          </cell>
        </row>
        <row r="33">
          <cell r="B33" t="str">
            <v>Terminal Value as % of total</v>
          </cell>
          <cell r="D33">
            <v>0.70533493370988165</v>
          </cell>
        </row>
        <row r="34">
          <cell r="B34" t="str">
            <v>Firm Value</v>
          </cell>
          <cell r="D34">
            <v>36137.932867773066</v>
          </cell>
        </row>
        <row r="35">
          <cell r="B35" t="str">
            <v>Gross Debt</v>
          </cell>
          <cell r="D35">
            <v>5036.1000000000004</v>
          </cell>
        </row>
        <row r="36">
          <cell r="B36" t="str">
            <v>Cash/Marketable Securities</v>
          </cell>
          <cell r="D36">
            <v>92.4</v>
          </cell>
        </row>
        <row r="37">
          <cell r="B37" t="str">
            <v>Equity Value</v>
          </cell>
          <cell r="D37">
            <v>31194.232867773069</v>
          </cell>
        </row>
        <row r="38">
          <cell r="B38" t="str">
            <v>Shares Outstanding  (millions)</v>
          </cell>
          <cell r="D38">
            <v>391.54067099999997</v>
          </cell>
        </row>
        <row r="39">
          <cell r="B39" t="str">
            <v>Equity Value per Share ($)</v>
          </cell>
          <cell r="D39">
            <v>79.670479156360926</v>
          </cell>
        </row>
        <row r="41">
          <cell r="B41" t="str">
            <v>Time of Valuation</v>
          </cell>
          <cell r="D41">
            <v>2011.5</v>
          </cell>
        </row>
        <row r="42">
          <cell r="B42" t="str">
            <v>Year of Terminal Value</v>
          </cell>
          <cell r="D42">
            <v>2015</v>
          </cell>
        </row>
        <row r="44">
          <cell r="B44" t="str">
            <v>WACC Calculation</v>
          </cell>
        </row>
        <row r="45">
          <cell r="B45" t="str">
            <v>Beta</v>
          </cell>
          <cell r="C45">
            <v>0.78300000000000003</v>
          </cell>
        </row>
        <row r="46">
          <cell r="B46" t="str">
            <v>10-year Bond yield (risk-free rate)</v>
          </cell>
          <cell r="C46">
            <v>3.508E-2</v>
          </cell>
        </row>
        <row r="47">
          <cell r="B47" t="str">
            <v>Equity Risk Premium</v>
          </cell>
          <cell r="C47">
            <v>6.25E-2</v>
          </cell>
        </row>
        <row r="48">
          <cell r="B48" t="str">
            <v>Cost of Equity</v>
          </cell>
          <cell r="C48">
            <v>8.4017499999999995E-2</v>
          </cell>
        </row>
        <row r="50">
          <cell r="B50" t="str">
            <v>Cost of Debt (before tax)</v>
          </cell>
          <cell r="C50">
            <v>7.1249999999999994E-2</v>
          </cell>
        </row>
        <row r="51">
          <cell r="B51" t="str">
            <v>Cost of debt (after tax 39.0%)</v>
          </cell>
          <cell r="C51">
            <v>4.3462499999999994E-2</v>
          </cell>
        </row>
        <row r="53">
          <cell r="B53" t="str">
            <v>Total Equity Market Value</v>
          </cell>
          <cell r="C53">
            <v>0.79918395401739228</v>
          </cell>
        </row>
        <row r="54">
          <cell r="B54" t="str">
            <v>Total Debt</v>
          </cell>
          <cell r="C54">
            <v>0.20081604598260774</v>
          </cell>
        </row>
        <row r="56">
          <cell r="B56" t="str">
            <v>WACC</v>
          </cell>
          <cell r="C56">
            <v>7.587340525517533E-2</v>
          </cell>
        </row>
      </sheetData>
      <sheetData sheetId="12" refreshError="1"/>
      <sheetData sheetId="13" refreshError="1"/>
      <sheetData sheetId="14" refreshError="1">
        <row r="2">
          <cell r="B2" t="str">
            <v>Earnings Snapshot</v>
          </cell>
        </row>
        <row r="3">
          <cell r="C3" t="str">
            <v>4Q11</v>
          </cell>
          <cell r="D3" t="str">
            <v>4Q11</v>
          </cell>
          <cell r="E3" t="str">
            <v>Variance</v>
          </cell>
          <cell r="F3" t="str">
            <v>4Q10</v>
          </cell>
          <cell r="G3" t="str">
            <v>Y/Y</v>
          </cell>
          <cell r="H3" t="str">
            <v>3Q11</v>
          </cell>
          <cell r="I3" t="str">
            <v>Q/Q</v>
          </cell>
          <cell r="J3" t="str">
            <v>4Q09</v>
          </cell>
          <cell r="N3" t="str">
            <v>EPS</v>
          </cell>
        </row>
        <row r="4">
          <cell r="C4" t="str">
            <v>Actual</v>
          </cell>
          <cell r="D4" t="str">
            <v>MS Est</v>
          </cell>
          <cell r="E4" t="str">
            <v>% chg</v>
          </cell>
          <cell r="F4" t="str">
            <v>Actual</v>
          </cell>
          <cell r="G4" t="str">
            <v>% chg</v>
          </cell>
          <cell r="H4" t="str">
            <v>Actual</v>
          </cell>
          <cell r="I4" t="str">
            <v>% chg</v>
          </cell>
          <cell r="J4" t="str">
            <v>Consensus</v>
          </cell>
          <cell r="K4" t="str">
            <v>Comments</v>
          </cell>
          <cell r="N4" t="str">
            <v>Impact</v>
          </cell>
        </row>
        <row r="5">
          <cell r="B5" t="str">
            <v>Retail Revenue</v>
          </cell>
          <cell r="C5">
            <v>11263.5</v>
          </cell>
          <cell r="D5">
            <v>10222.711466218636</v>
          </cell>
          <cell r="E5">
            <v>0.10181139683152485</v>
          </cell>
          <cell r="F5">
            <v>10258</v>
          </cell>
          <cell r="G5">
            <v>9.8021056736205869E-2</v>
          </cell>
          <cell r="H5">
            <v>10095.200000000001</v>
          </cell>
          <cell r="I5">
            <v>0.11572826689912019</v>
          </cell>
          <cell r="N5">
            <v>6.7278984164240052E-2</v>
          </cell>
        </row>
        <row r="6">
          <cell r="B6" t="str">
            <v>Mail Revenue</v>
          </cell>
          <cell r="C6">
            <v>7311.1</v>
          </cell>
          <cell r="D6">
            <v>6584.4683459800963</v>
          </cell>
          <cell r="E6">
            <v>0.11035540241658581</v>
          </cell>
          <cell r="F6">
            <v>6322.5</v>
          </cell>
          <cell r="G6">
            <v>0.15636219849742994</v>
          </cell>
          <cell r="H6">
            <v>6507.6</v>
          </cell>
          <cell r="I6">
            <v>0.12347101850144448</v>
          </cell>
          <cell r="N6">
            <v>4.6971155001511826E-2</v>
          </cell>
        </row>
        <row r="7">
          <cell r="B7" t="str">
            <v>Service Revenue</v>
          </cell>
          <cell r="C7">
            <v>413.6</v>
          </cell>
          <cell r="D7">
            <v>374.17900000000003</v>
          </cell>
          <cell r="E7">
            <v>0.1053533202023631</v>
          </cell>
          <cell r="F7">
            <v>349.7</v>
          </cell>
          <cell r="G7">
            <v>0.18272805261652847</v>
          </cell>
          <cell r="H7">
            <v>378.7</v>
          </cell>
          <cell r="I7">
            <v>9.2157380512278841E-2</v>
          </cell>
          <cell r="N7">
            <v>2.5482648479058364E-3</v>
          </cell>
        </row>
        <row r="8">
          <cell r="B8" t="str">
            <v>Net Revenues</v>
          </cell>
          <cell r="C8">
            <v>18988.2</v>
          </cell>
          <cell r="D8">
            <v>17181.35881219873</v>
          </cell>
          <cell r="E8">
            <v>0.10516288074482305</v>
          </cell>
          <cell r="F8">
            <v>16930.2</v>
          </cell>
          <cell r="G8">
            <v>0.1215579260729347</v>
          </cell>
          <cell r="H8">
            <v>16981.5</v>
          </cell>
          <cell r="I8">
            <v>0.11816977298825204</v>
          </cell>
          <cell r="N8">
            <v>0.11679840401365785</v>
          </cell>
        </row>
        <row r="9">
          <cell r="B9" t="str">
            <v>Cost of Revenues</v>
          </cell>
          <cell r="C9">
            <v>17707.5</v>
          </cell>
          <cell r="D9">
            <v>15947.098657192844</v>
          </cell>
          <cell r="E9">
            <v>0.11039007036011128</v>
          </cell>
          <cell r="F9">
            <v>15769</v>
          </cell>
          <cell r="G9">
            <v>0.12293106728391145</v>
          </cell>
          <cell r="H9">
            <v>15813.4</v>
          </cell>
          <cell r="I9">
            <v>0.11977816282393405</v>
          </cell>
        </row>
        <row r="10">
          <cell r="B10" t="str">
            <v>Gross Profit</v>
          </cell>
          <cell r="C10">
            <v>1280.7000000000007</v>
          </cell>
          <cell r="D10">
            <v>1234.2601550058862</v>
          </cell>
          <cell r="E10">
            <v>3.7625653559150152E-2</v>
          </cell>
          <cell r="F10">
            <v>1161.2000000000007</v>
          </cell>
          <cell r="G10">
            <v>0.10291078194970704</v>
          </cell>
          <cell r="H10">
            <v>1168.1000000000004</v>
          </cell>
          <cell r="I10">
            <v>9.6395856519133849E-2</v>
          </cell>
          <cell r="N10">
            <v>7.4125074965445958E-2</v>
          </cell>
        </row>
        <row r="11">
          <cell r="B11" t="str">
            <v>Total SG&amp;A*</v>
          </cell>
          <cell r="C11">
            <v>439.4</v>
          </cell>
          <cell r="D11">
            <v>443.27905735472723</v>
          </cell>
          <cell r="E11">
            <v>-8.7508247691094887E-3</v>
          </cell>
          <cell r="F11">
            <v>428.5</v>
          </cell>
          <cell r="G11">
            <v>2.5437572928821428E-2</v>
          </cell>
          <cell r="H11">
            <v>420</v>
          </cell>
          <cell r="I11">
            <v>4.6190476190476115E-2</v>
          </cell>
          <cell r="N11">
            <v>6.1915671176521435E-3</v>
          </cell>
        </row>
        <row r="12">
          <cell r="B12" t="str">
            <v>Amortization of intangibles</v>
          </cell>
          <cell r="C12">
            <v>72.3</v>
          </cell>
          <cell r="D12">
            <v>73.2</v>
          </cell>
          <cell r="E12">
            <v>-1.2295081967213184E-2</v>
          </cell>
          <cell r="F12">
            <v>75</v>
          </cell>
          <cell r="G12">
            <v>-3.6000000000000032E-2</v>
          </cell>
          <cell r="H12">
            <v>73.2</v>
          </cell>
          <cell r="I12">
            <v>-1.2295081967213184E-2</v>
          </cell>
          <cell r="N12">
            <v>1.4365372553968791E-3</v>
          </cell>
        </row>
        <row r="13">
          <cell r="B13" t="str">
            <v xml:space="preserve">EBIT </v>
          </cell>
          <cell r="C13">
            <v>769.0000000000008</v>
          </cell>
          <cell r="D13">
            <v>717.78109765115892</v>
          </cell>
          <cell r="E13">
            <v>7.1357273849156577E-2</v>
          </cell>
          <cell r="F13">
            <v>657.70000000000073</v>
          </cell>
          <cell r="G13">
            <v>0.16922609092291307</v>
          </cell>
          <cell r="H13">
            <v>674.90000000000032</v>
          </cell>
          <cell r="I13">
            <v>0.13942806341680303</v>
          </cell>
          <cell r="N13">
            <v>8.1753179338495116E-2</v>
          </cell>
        </row>
        <row r="14">
          <cell r="B14" t="str">
            <v>Interest &amp; other (income) expense, net</v>
          </cell>
          <cell r="C14">
            <v>51.7</v>
          </cell>
          <cell r="D14">
            <v>51.781668094674167</v>
          </cell>
          <cell r="E14">
            <v>-1.5771622985348843E-3</v>
          </cell>
          <cell r="F14">
            <v>50.4</v>
          </cell>
          <cell r="G14">
            <v>2.5793650793650924E-2</v>
          </cell>
          <cell r="H14">
            <v>49.6</v>
          </cell>
          <cell r="I14">
            <v>4.2338709677419484E-2</v>
          </cell>
          <cell r="N14">
            <v>1.3035473397412831E-4</v>
          </cell>
          <cell r="P14">
            <v>9</v>
          </cell>
        </row>
        <row r="15">
          <cell r="B15" t="str">
            <v>Pre-tax income</v>
          </cell>
          <cell r="C15">
            <v>717.30000000000075</v>
          </cell>
          <cell r="D15">
            <v>665.99942955648476</v>
          </cell>
          <cell r="E15">
            <v>7.7027949524940409E-2</v>
          </cell>
          <cell r="F15">
            <v>607.30000000000075</v>
          </cell>
          <cell r="G15">
            <v>0.18112958998847328</v>
          </cell>
          <cell r="H15">
            <v>625.3000000000003</v>
          </cell>
          <cell r="I15">
            <v>0.14712937789860936</v>
          </cell>
          <cell r="N15">
            <v>8.1883534072469177E-2</v>
          </cell>
          <cell r="P15">
            <v>3.3299874529485542</v>
          </cell>
        </row>
        <row r="16">
          <cell r="B16" t="str">
            <v>Income tax provision (benefit)</v>
          </cell>
          <cell r="C16">
            <v>265.40000000000003</v>
          </cell>
          <cell r="D16">
            <v>244.75479036200815</v>
          </cell>
          <cell r="E16">
            <v>8.4350584548136043E-2</v>
          </cell>
          <cell r="F16">
            <v>228.8</v>
          </cell>
          <cell r="G16">
            <v>0.159965034965035</v>
          </cell>
          <cell r="H16">
            <v>247.9</v>
          </cell>
          <cell r="I16">
            <v>7.0592981040742409E-2</v>
          </cell>
          <cell r="N16">
            <v>5.2306079650346803E-2</v>
          </cell>
          <cell r="P16">
            <v>5.6700125470514458</v>
          </cell>
        </row>
        <row r="17">
          <cell r="B17" t="str">
            <v>NI avail to common stockholders - cont. ops</v>
          </cell>
          <cell r="C17">
            <v>451.90000000000072</v>
          </cell>
          <cell r="D17">
            <v>421.24463919447658</v>
          </cell>
          <cell r="E17">
            <v>7.2773295973913799E-2</v>
          </cell>
          <cell r="F17">
            <v>378.50000000000074</v>
          </cell>
          <cell r="G17">
            <v>0.1939233817701449</v>
          </cell>
          <cell r="H17">
            <v>377.40000000000032</v>
          </cell>
          <cell r="I17">
            <v>0.19740328563858056</v>
          </cell>
          <cell r="N17">
            <v>7.7667496340319581E-2</v>
          </cell>
        </row>
        <row r="18">
          <cell r="B18" t="str">
            <v>Extraordinary / One Time Items</v>
          </cell>
          <cell r="C18">
            <v>0</v>
          </cell>
          <cell r="D18">
            <v>0</v>
          </cell>
          <cell r="E18" t="str">
            <v>NA</v>
          </cell>
          <cell r="F18">
            <v>0</v>
          </cell>
          <cell r="G18" t="str">
            <v>NA</v>
          </cell>
          <cell r="H18">
            <v>0</v>
          </cell>
          <cell r="I18" t="str">
            <v>NA</v>
          </cell>
          <cell r="N18">
            <v>0</v>
          </cell>
        </row>
        <row r="19">
          <cell r="B19" t="str">
            <v>Net income*</v>
          </cell>
          <cell r="C19">
            <v>451.90000000000072</v>
          </cell>
          <cell r="D19">
            <v>421.24463919447658</v>
          </cell>
          <cell r="E19">
            <v>7.2773295973913799E-2</v>
          </cell>
          <cell r="F19">
            <v>378.50000000000074</v>
          </cell>
          <cell r="G19">
            <v>0.1939233817701449</v>
          </cell>
          <cell r="H19">
            <v>377.40000000000032</v>
          </cell>
          <cell r="I19">
            <v>0.19740328563858056</v>
          </cell>
          <cell r="N19">
            <v>7.7667496340319581E-2</v>
          </cell>
        </row>
        <row r="20">
          <cell r="B20" t="str">
            <v>Net Income (pro forma)*</v>
          </cell>
          <cell r="C20">
            <v>494.44910079464734</v>
          </cell>
          <cell r="D20">
            <v>467.54363919447655</v>
          </cell>
          <cell r="E20">
            <v>5.7546417798616023E-2</v>
          </cell>
          <cell r="F20">
            <v>424.96160000000071</v>
          </cell>
          <cell r="G20">
            <v>0.16351477591068586</v>
          </cell>
          <cell r="H20">
            <v>421.57988165680507</v>
          </cell>
          <cell r="I20">
            <v>0.17284795197405267</v>
          </cell>
          <cell r="N20">
            <v>6.8166864961162352E-2</v>
          </cell>
        </row>
        <row r="21">
          <cell r="B21" t="str">
            <v>EPS (GAAP)</v>
          </cell>
          <cell r="C21">
            <v>1.1449201925513066</v>
          </cell>
          <cell r="D21">
            <v>1.0698230333880518</v>
          </cell>
          <cell r="E21">
            <v>7.0195870550129769E-2</v>
          </cell>
          <cell r="F21">
            <v>0.87982333798233558</v>
          </cell>
          <cell r="G21">
            <v>0.30130691370031992</v>
          </cell>
          <cell r="H21">
            <v>0.95568498354013764</v>
          </cell>
          <cell r="I21">
            <v>0.19801002659912714</v>
          </cell>
          <cell r="N21">
            <v>7.5097159163254767E-2</v>
          </cell>
        </row>
        <row r="22">
          <cell r="B22" t="str">
            <v>EPS (Non-GAAP)  - (Pro forma)*</v>
          </cell>
          <cell r="C22">
            <v>1.2527213093353113</v>
          </cell>
          <cell r="D22">
            <v>1.1874072873207553</v>
          </cell>
          <cell r="E22">
            <v>5.5005576192756367E-2</v>
          </cell>
          <cell r="F22">
            <v>0.98782333798233546</v>
          </cell>
          <cell r="G22">
            <v>0.26816330528699539</v>
          </cell>
          <cell r="H22">
            <v>1.067561108272487</v>
          </cell>
          <cell r="I22">
            <v>0.17344225040423966</v>
          </cell>
          <cell r="N22">
            <v>6.531402201455605E-2</v>
          </cell>
        </row>
        <row r="23">
          <cell r="B23" t="str">
            <v>EPS Consensus</v>
          </cell>
          <cell r="C23">
            <v>1.17</v>
          </cell>
        </row>
        <row r="24">
          <cell r="B24" t="str">
            <v>Diluted Shares Outstanding</v>
          </cell>
          <cell r="C24">
            <v>394.7</v>
          </cell>
          <cell r="D24">
            <v>393.75170102706181</v>
          </cell>
          <cell r="E24">
            <v>2.4083679396549318E-3</v>
          </cell>
          <cell r="F24">
            <v>430.2</v>
          </cell>
          <cell r="G24">
            <v>-8.2519758251975772E-2</v>
          </cell>
          <cell r="H24">
            <v>394.9</v>
          </cell>
          <cell r="I24">
            <v>-5.0645733096987833E-4</v>
          </cell>
          <cell r="N24">
            <v>-3.0170138387255463E-3</v>
          </cell>
        </row>
        <row r="25">
          <cell r="B25" t="str">
            <v>Tax rate</v>
          </cell>
          <cell r="C25">
            <v>0.36999860588317268</v>
          </cell>
          <cell r="D25">
            <v>0.36749999999999999</v>
          </cell>
          <cell r="E25">
            <v>24.986058831726886</v>
          </cell>
          <cell r="F25">
            <v>0.3767495471760246</v>
          </cell>
          <cell r="G25">
            <v>-67.509412928519197</v>
          </cell>
          <cell r="H25">
            <v>0.39644970414201164</v>
          </cell>
          <cell r="I25">
            <v>-264.51098258838954</v>
          </cell>
          <cell r="N25">
            <v>-4.5407904737769737E-3</v>
          </cell>
        </row>
        <row r="27">
          <cell r="B27" t="str">
            <v>Margins*</v>
          </cell>
        </row>
        <row r="28">
          <cell r="B28" t="str">
            <v>Gross Profit</v>
          </cell>
          <cell r="C28">
            <v>6.7447151388757259E-2</v>
          </cell>
          <cell r="D28">
            <v>7.1837167740747249E-2</v>
          </cell>
          <cell r="E28">
            <v>-43.900163519899891</v>
          </cell>
          <cell r="F28">
            <v>6.8587494536390625E-2</v>
          </cell>
          <cell r="G28">
            <v>-11.403431476333658</v>
          </cell>
          <cell r="H28">
            <v>6.8786620734328549E-2</v>
          </cell>
          <cell r="I28">
            <v>-13.394693455712897</v>
          </cell>
          <cell r="N28">
            <v>-0.13305289223019731</v>
          </cell>
        </row>
        <row r="29">
          <cell r="B29" t="str">
            <v>SG&amp;A</v>
          </cell>
          <cell r="C29">
            <v>2.3140687374264016E-2</v>
          </cell>
          <cell r="D29">
            <v>2.58E-2</v>
          </cell>
          <cell r="E29">
            <v>-26.593126257359842</v>
          </cell>
          <cell r="F29">
            <v>2.5309801419947785E-2</v>
          </cell>
          <cell r="G29">
            <v>-21.69114045683769</v>
          </cell>
          <cell r="H29">
            <v>2.4732797456055118E-2</v>
          </cell>
          <cell r="I29">
            <v>-15.921100817911023</v>
          </cell>
          <cell r="N29">
            <v>8.0598614635697785E-2</v>
          </cell>
        </row>
        <row r="30">
          <cell r="B30" t="str">
            <v>EBIT</v>
          </cell>
          <cell r="C30">
            <v>4.0498836119274115E-2</v>
          </cell>
          <cell r="D30">
            <v>4.177673637439757E-2</v>
          </cell>
          <cell r="E30">
            <v>-12.779002551234555</v>
          </cell>
          <cell r="F30">
            <v>3.8847739542356305E-2</v>
          </cell>
          <cell r="G30">
            <v>16.5109657691781</v>
          </cell>
          <cell r="H30">
            <v>3.9743250007360974E-2</v>
          </cell>
          <cell r="I30">
            <v>7.5558611191314098</v>
          </cell>
          <cell r="N30">
            <v>-3.8730681458352456E-2</v>
          </cell>
        </row>
        <row r="31">
          <cell r="B31" t="str">
            <v>EBITDA</v>
          </cell>
          <cell r="C31">
            <v>4.7371525473715294E-2</v>
          </cell>
          <cell r="D31">
            <v>4.9116086036920727E-2</v>
          </cell>
          <cell r="E31">
            <v>-17.445605632054328</v>
          </cell>
          <cell r="F31">
            <v>4.6455446480254257E-2</v>
          </cell>
          <cell r="G31">
            <v>9.1607899346103636</v>
          </cell>
          <cell r="H31">
            <v>4.7163089244177503E-2</v>
          </cell>
          <cell r="I31">
            <v>2.0843622953779088</v>
          </cell>
          <cell r="N31">
            <v>-5.287425148200315E-2</v>
          </cell>
        </row>
        <row r="33">
          <cell r="B33" t="str">
            <v>Retail Scripts</v>
          </cell>
          <cell r="C33">
            <v>172.7</v>
          </cell>
          <cell r="D33">
            <v>154.99480059209668</v>
          </cell>
          <cell r="E33">
            <v>0.11423092478113817</v>
          </cell>
          <cell r="F33">
            <v>161.4</v>
          </cell>
          <cell r="G33">
            <v>7.0012391573729849E-2</v>
          </cell>
          <cell r="H33">
            <v>152.19999999999999</v>
          </cell>
          <cell r="I33">
            <v>0.13469119579500655</v>
          </cell>
        </row>
        <row r="34">
          <cell r="B34" t="str">
            <v>Mail Scripts</v>
          </cell>
          <cell r="C34">
            <v>30.4</v>
          </cell>
          <cell r="D34">
            <v>28.74476120157032</v>
          </cell>
          <cell r="E34">
            <v>5.7584016329878418E-2</v>
          </cell>
          <cell r="F34">
            <v>27.9</v>
          </cell>
          <cell r="G34">
            <v>8.9605734767025158E-2</v>
          </cell>
          <cell r="H34">
            <v>27.4</v>
          </cell>
          <cell r="I34">
            <v>0.10948905109489049</v>
          </cell>
        </row>
        <row r="35">
          <cell r="B35" t="str">
            <v>Adjusted Scripts</v>
          </cell>
          <cell r="C35">
            <v>263.10000000000002</v>
          </cell>
          <cell r="D35">
            <v>239.61475427018004</v>
          </cell>
          <cell r="E35">
            <v>9.8012519309804036E-2</v>
          </cell>
          <cell r="F35">
            <v>244.3</v>
          </cell>
          <cell r="G35">
            <v>7.6954564060581321E-2</v>
          </cell>
          <cell r="H35">
            <v>233.6</v>
          </cell>
          <cell r="I35">
            <v>0.12628424657534265</v>
          </cell>
        </row>
        <row r="36">
          <cell r="B36" t="str">
            <v>Adjusted Mail penetrations</v>
          </cell>
          <cell r="C36">
            <v>0.34359559103002668</v>
          </cell>
          <cell r="D36">
            <v>0.35315001338635965</v>
          </cell>
          <cell r="E36">
            <v>-2.7054854861013555E-2</v>
          </cell>
          <cell r="F36">
            <v>0.33933688088415881</v>
          </cell>
          <cell r="G36">
            <v>1.2550095158450292E-2</v>
          </cell>
          <cell r="H36">
            <v>0.34845890410958907</v>
          </cell>
          <cell r="I36">
            <v>-1.3956633112847339E-2</v>
          </cell>
        </row>
        <row r="38">
          <cell r="B38" t="str">
            <v>Retail GDR</v>
          </cell>
          <cell r="C38">
            <v>0.76200000000000001</v>
          </cell>
          <cell r="D38">
            <v>0.75895554613775351</v>
          </cell>
          <cell r="E38">
            <v>30.444538622464989</v>
          </cell>
          <cell r="F38">
            <v>0.73799999999999999</v>
          </cell>
          <cell r="G38">
            <v>240.00000000000023</v>
          </cell>
          <cell r="H38">
            <v>0.754</v>
          </cell>
          <cell r="I38">
            <v>80.000000000000071</v>
          </cell>
        </row>
        <row r="39">
          <cell r="B39" t="str">
            <v>Mail GDR</v>
          </cell>
          <cell r="C39">
            <v>0.66100000000000003</v>
          </cell>
          <cell r="D39">
            <v>0.66665728410438818</v>
          </cell>
          <cell r="E39">
            <v>-56.572841043881496</v>
          </cell>
          <cell r="F39">
            <v>0.629</v>
          </cell>
          <cell r="G39">
            <v>320.00000000000028</v>
          </cell>
          <cell r="H39">
            <v>0.64800000000000002</v>
          </cell>
          <cell r="I39">
            <v>130.00000000000011</v>
          </cell>
        </row>
        <row r="40">
          <cell r="B40" t="str">
            <v>Total GDR</v>
          </cell>
          <cell r="C40">
            <v>0.747</v>
          </cell>
          <cell r="D40">
            <v>0.74451613267899963</v>
          </cell>
          <cell r="E40">
            <v>24.838673210003659</v>
          </cell>
          <cell r="F40">
            <v>0.72193502377179097</v>
          </cell>
          <cell r="G40">
            <v>250.64976228209025</v>
          </cell>
          <cell r="H40">
            <v>0.73782850779510012</v>
          </cell>
          <cell r="I40">
            <v>91.714922048998787</v>
          </cell>
        </row>
        <row r="42">
          <cell r="B42" t="str">
            <v>EBITDA/ adjusted script</v>
          </cell>
          <cell r="C42">
            <v>3.4188521474724465</v>
          </cell>
          <cell r="D42">
            <v>3.5218244394902003</v>
          </cell>
          <cell r="E42">
            <v>-2.9238337624989508E-2</v>
          </cell>
          <cell r="F42">
            <v>3.22</v>
          </cell>
          <cell r="G42">
            <v>6.1755325302002007E-2</v>
          </cell>
          <cell r="H42">
            <v>3.43</v>
          </cell>
          <cell r="I42">
            <v>-3.2501027777124269E-3</v>
          </cell>
        </row>
        <row r="44">
          <cell r="B44" t="str">
            <v>Specialty Revenue</v>
          </cell>
          <cell r="C44">
            <v>3824.6</v>
          </cell>
          <cell r="D44">
            <v>3399.7272351912029</v>
          </cell>
          <cell r="E44">
            <v>0.12497260380505248</v>
          </cell>
          <cell r="F44">
            <v>2980.1</v>
          </cell>
          <cell r="G44">
            <v>0.28337975235730339</v>
          </cell>
          <cell r="H44">
            <v>3359.9</v>
          </cell>
          <cell r="I44">
            <v>0.13830768772880142</v>
          </cell>
        </row>
        <row r="45">
          <cell r="B45" t="str">
            <v>Specialty Gross Profits</v>
          </cell>
          <cell r="C45">
            <v>241</v>
          </cell>
          <cell r="D45">
            <v>220.98227028742821</v>
          </cell>
          <cell r="E45">
            <v>9.0585229695282932E-2</v>
          </cell>
          <cell r="F45">
            <v>193.40000000000009</v>
          </cell>
          <cell r="G45">
            <v>0.24612202688727969</v>
          </cell>
          <cell r="H45">
            <v>226.80000000000018</v>
          </cell>
          <cell r="I45">
            <v>6.261022927689508E-2</v>
          </cell>
        </row>
        <row r="46">
          <cell r="B46" t="str">
            <v>Gross Profit Margin</v>
          </cell>
          <cell r="C46">
            <v>6.3013125555613655E-2</v>
          </cell>
          <cell r="D46">
            <v>6.5000000000000002E-2</v>
          </cell>
          <cell r="E46">
            <v>-3.0567299144405369E-2</v>
          </cell>
          <cell r="F46">
            <v>6.4897151102312034E-2</v>
          </cell>
          <cell r="G46">
            <v>-2.9030943804114973E-2</v>
          </cell>
          <cell r="H46">
            <v>6.7502008988362797E-2</v>
          </cell>
          <cell r="I46">
            <v>-6.6499997555969248E-2</v>
          </cell>
        </row>
        <row r="48">
          <cell r="B48" t="str">
            <v>Source: Company data and Morgan Stanley Research</v>
          </cell>
          <cell r="P48">
            <v>3.34</v>
          </cell>
        </row>
        <row r="49">
          <cell r="O49">
            <v>2.5809439785682451</v>
          </cell>
          <cell r="P49">
            <v>3.4</v>
          </cell>
          <cell r="R49">
            <v>0.81905602143175482</v>
          </cell>
        </row>
        <row r="52">
          <cell r="B52" t="str">
            <v>EBITDA</v>
          </cell>
          <cell r="C52">
            <v>899.5000000000008</v>
          </cell>
          <cell r="D52">
            <v>843.88109765115894</v>
          </cell>
        </row>
        <row r="53">
          <cell r="B53" t="str">
            <v>Adj EBITDA / Adj Script</v>
          </cell>
          <cell r="C53">
            <v>3.4188521474724465</v>
          </cell>
          <cell r="D53">
            <v>3.2074538109128046</v>
          </cell>
        </row>
        <row r="54">
          <cell r="R54">
            <v>2010</v>
          </cell>
        </row>
        <row r="56">
          <cell r="S56" t="str">
            <v>Previous</v>
          </cell>
          <cell r="T56" t="str">
            <v>Current</v>
          </cell>
        </row>
        <row r="57">
          <cell r="F57" t="str">
            <v>Seq</v>
          </cell>
          <cell r="G57" t="str">
            <v>Y/Y</v>
          </cell>
          <cell r="R57" t="str">
            <v>Revenue growth</v>
          </cell>
          <cell r="S57">
            <v>9.4766204238465379E-2</v>
          </cell>
          <cell r="T57">
            <v>0.10307118384463987</v>
          </cell>
        </row>
        <row r="58">
          <cell r="C58">
            <v>244.30714285714288</v>
          </cell>
          <cell r="D58">
            <v>263.10000000000002</v>
          </cell>
          <cell r="E58">
            <v>18.792857142857144</v>
          </cell>
          <cell r="F58">
            <v>8.0448874755381608E-2</v>
          </cell>
          <cell r="G58">
            <v>7.6925326004327235E-2</v>
          </cell>
          <cell r="R58" t="str">
            <v>Total adjusted claims growth</v>
          </cell>
          <cell r="S58">
            <v>6.1157587932891166E-2</v>
          </cell>
          <cell r="T58">
            <v>6.5593621678536218E-2</v>
          </cell>
        </row>
        <row r="59">
          <cell r="F59">
            <v>4.5835371819960891E-2</v>
          </cell>
          <cell r="G59">
            <v>2.9238056254099476E-5</v>
          </cell>
          <cell r="R59" t="str">
            <v>Generic dispensing rate</v>
          </cell>
          <cell r="S59">
            <v>0.70925029658197536</v>
          </cell>
          <cell r="T59">
            <v>0.7100632346980138</v>
          </cell>
        </row>
        <row r="60">
          <cell r="D60">
            <v>45.25</v>
          </cell>
          <cell r="E60">
            <v>55</v>
          </cell>
          <cell r="F60">
            <v>73.350000000000009</v>
          </cell>
          <cell r="H60">
            <v>-0.26680299931833684</v>
          </cell>
          <cell r="R60" t="str">
            <v>Gross profit margin</v>
          </cell>
          <cell r="S60">
            <v>6.5783472623921813E-2</v>
          </cell>
          <cell r="T60">
            <v>6.5714796781489199E-2</v>
          </cell>
        </row>
        <row r="61">
          <cell r="E61">
            <v>0.48405126360426182</v>
          </cell>
          <cell r="F61">
            <v>42.075457114535652</v>
          </cell>
          <cell r="G61">
            <v>63.9676371343607</v>
          </cell>
          <cell r="H61">
            <v>53.78</v>
          </cell>
          <cell r="I61">
            <v>0.18943170573374291</v>
          </cell>
          <cell r="R61" t="str">
            <v>SG&amp;A</v>
          </cell>
          <cell r="S61">
            <v>2.3286714445507624E-2</v>
          </cell>
          <cell r="T61">
            <v>2.3503677518326958E-2</v>
          </cell>
        </row>
        <row r="62">
          <cell r="R62" t="str">
            <v>Tax Rate</v>
          </cell>
          <cell r="S62">
            <v>0.39193223841562624</v>
          </cell>
          <cell r="T62">
            <v>0.38848427726844309</v>
          </cell>
        </row>
        <row r="63">
          <cell r="R63" t="str">
            <v>EPS</v>
          </cell>
          <cell r="S63">
            <v>3.5290352623089536</v>
          </cell>
          <cell r="T63">
            <v>3.5541577593360998</v>
          </cell>
        </row>
        <row r="66">
          <cell r="X66" t="str">
            <v>Previous</v>
          </cell>
          <cell r="Y66" t="str">
            <v>Current</v>
          </cell>
        </row>
        <row r="67">
          <cell r="W67" t="str">
            <v>Revenue growth</v>
          </cell>
          <cell r="X67">
            <v>5.3565491349299554E-2</v>
          </cell>
          <cell r="Y67">
            <v>6.2073659509704893E-2</v>
          </cell>
        </row>
        <row r="68">
          <cell r="W68" t="str">
            <v>Total adjusted claims growth</v>
          </cell>
          <cell r="X68">
            <v>1.3606977608937809E-2</v>
          </cell>
          <cell r="Y68">
            <v>2.41627875908208E-2</v>
          </cell>
        </row>
        <row r="69">
          <cell r="W69" t="str">
            <v>Generic dispensing rate</v>
          </cell>
          <cell r="X69">
            <v>0.73490735859850975</v>
          </cell>
          <cell r="Y69">
            <v>0.73762838283828391</v>
          </cell>
        </row>
        <row r="70">
          <cell r="W70" t="str">
            <v>Gross profit margin</v>
          </cell>
          <cell r="X70">
            <v>6.5771496585824929E-2</v>
          </cell>
          <cell r="Y70">
            <v>6.6004598698605407E-2</v>
          </cell>
        </row>
        <row r="71">
          <cell r="W71" t="str">
            <v>SG&amp;A</v>
          </cell>
          <cell r="X71">
            <v>2.4404067768306895E-2</v>
          </cell>
          <cell r="Y71">
            <v>2.3789915690525569E-2</v>
          </cell>
        </row>
        <row r="72">
          <cell r="W72" t="str">
            <v>Tax Rate</v>
          </cell>
          <cell r="X72">
            <v>0.39250206656955078</v>
          </cell>
          <cell r="Y72">
            <v>0.38713355048859932</v>
          </cell>
        </row>
        <row r="73">
          <cell r="W73" t="str">
            <v>EPS</v>
          </cell>
          <cell r="X73">
            <v>4.0356673029245309</v>
          </cell>
          <cell r="Y73">
            <v>4.1789101500357919</v>
          </cell>
          <cell r="AB73">
            <v>2012</v>
          </cell>
        </row>
        <row r="75">
          <cell r="AC75" t="str">
            <v>Previous</v>
          </cell>
          <cell r="AD75" t="str">
            <v>Current</v>
          </cell>
        </row>
        <row r="76">
          <cell r="AB76" t="str">
            <v>Revenue growth</v>
          </cell>
          <cell r="AC76">
            <v>-0.15820145593204471</v>
          </cell>
          <cell r="AD76">
            <v>-0.16463934411283809</v>
          </cell>
        </row>
        <row r="77">
          <cell r="AB77" t="str">
            <v>Total adjusted claims growth</v>
          </cell>
          <cell r="AC77">
            <v>-0.14100683189242147</v>
          </cell>
          <cell r="AD77">
            <v>-0.14154059781648709</v>
          </cell>
        </row>
        <row r="78">
          <cell r="AB78" t="str">
            <v>Generic dispensing rate</v>
          </cell>
          <cell r="AC78">
            <v>0.7728403128836423</v>
          </cell>
          <cell r="AD78">
            <v>0.77513421584529862</v>
          </cell>
        </row>
        <row r="79">
          <cell r="AB79" t="str">
            <v>Gross profit margin</v>
          </cell>
          <cell r="AC79">
            <v>8.0802559968972079E-2</v>
          </cell>
          <cell r="AD79">
            <v>7.8236849945993905E-2</v>
          </cell>
          <cell r="AG79">
            <v>5.0024779837667871E-2</v>
          </cell>
        </row>
        <row r="80">
          <cell r="AB80" t="str">
            <v>SG&amp;A</v>
          </cell>
          <cell r="AC80">
            <v>2.7510075099240871E-2</v>
          </cell>
          <cell r="AD80">
            <v>2.8212070108326031E-2</v>
          </cell>
          <cell r="AG80">
            <v>5.0024779837667975E-2</v>
          </cell>
        </row>
        <row r="81">
          <cell r="AB81" t="str">
            <v>Tax Rate</v>
          </cell>
          <cell r="AC81">
            <v>0.39</v>
          </cell>
          <cell r="AD81">
            <v>0.39000000000000007</v>
          </cell>
        </row>
        <row r="82">
          <cell r="AB82" t="str">
            <v>Share Count</v>
          </cell>
          <cell r="AC82">
            <v>372.5785341326802</v>
          </cell>
          <cell r="AD82">
            <v>375.35726769155747</v>
          </cell>
        </row>
        <row r="83">
          <cell r="AB83" t="str">
            <v>EBITDA/Adj Script</v>
          </cell>
          <cell r="AC83">
            <v>3.9841704300964893</v>
          </cell>
          <cell r="AD83">
            <v>3.7567621120061316</v>
          </cell>
        </row>
        <row r="84">
          <cell r="AB84" t="str">
            <v>EPS</v>
          </cell>
          <cell r="AC84">
            <v>4.6796019716043409</v>
          </cell>
          <cell r="AD84">
            <v>4.4243382875431809</v>
          </cell>
        </row>
        <row r="86">
          <cell r="AH86" t="str">
            <v>Previous</v>
          </cell>
          <cell r="AI86" t="str">
            <v>Current</v>
          </cell>
        </row>
        <row r="87">
          <cell r="AG87" t="str">
            <v>Revenue growth</v>
          </cell>
          <cell r="AH87">
            <v>-0.1637258542097646</v>
          </cell>
          <cell r="AI87">
            <v>-0.18358505056738883</v>
          </cell>
        </row>
        <row r="88">
          <cell r="AG88" t="str">
            <v>Total adjusted claims growth</v>
          </cell>
          <cell r="AH88">
            <v>-0.19425679028009435</v>
          </cell>
          <cell r="AI88">
            <v>-0.21543960594402334</v>
          </cell>
        </row>
        <row r="89">
          <cell r="AG89" t="str">
            <v>Generic dispensing rate</v>
          </cell>
          <cell r="AH89">
            <v>0.79773742455841068</v>
          </cell>
          <cell r="AI89">
            <v>0.79931207224437573</v>
          </cell>
        </row>
        <row r="90">
          <cell r="AG90" t="str">
            <v>Gross profit margin</v>
          </cell>
          <cell r="AH90">
            <v>9.4471620245398444E-2</v>
          </cell>
          <cell r="AI90">
            <v>9.2912134087656237E-2</v>
          </cell>
          <cell r="AK90">
            <v>6.1688867886157961E-2</v>
          </cell>
        </row>
        <row r="91">
          <cell r="AG91" t="str">
            <v>SG&amp;A</v>
          </cell>
          <cell r="AH91">
            <v>3.1231096202242892E-2</v>
          </cell>
          <cell r="AI91">
            <v>3.1223266201498279E-2</v>
          </cell>
          <cell r="AK91">
            <v>6.168886788615803E-2</v>
          </cell>
        </row>
        <row r="92">
          <cell r="AG92" t="str">
            <v>Tax Rate</v>
          </cell>
          <cell r="AH92">
            <v>0.39</v>
          </cell>
          <cell r="AI92">
            <v>0.39</v>
          </cell>
        </row>
        <row r="93">
          <cell r="AG93" t="str">
            <v>Share Count</v>
          </cell>
          <cell r="AH93">
            <v>309.08690695139876</v>
          </cell>
          <cell r="AI93">
            <v>311.34444062534249</v>
          </cell>
        </row>
        <row r="94">
          <cell r="AG94" t="str">
            <v>EBITDA/Adj Script</v>
          </cell>
          <cell r="AH94">
            <v>4.9094732217530348</v>
          </cell>
          <cell r="AI94">
            <v>4.818418883730117</v>
          </cell>
        </row>
        <row r="95">
          <cell r="AG95" t="str">
            <v>EPS</v>
          </cell>
          <cell r="AH95">
            <v>5.5679605252484734</v>
          </cell>
          <cell r="AI95">
            <v>5.3500402819418413</v>
          </cell>
        </row>
        <row r="97">
          <cell r="AK97" t="str">
            <v>Crosswalk from 3Q10 to 4Q10</v>
          </cell>
        </row>
        <row r="98">
          <cell r="AK98" t="str">
            <v>3Q09 EBITDA/Adj Script</v>
          </cell>
          <cell r="AL98">
            <v>3.2665758401453222</v>
          </cell>
          <cell r="AO98" t="str">
            <v>Lipitor</v>
          </cell>
          <cell r="AP98">
            <v>7634.1886469999999</v>
          </cell>
        </row>
        <row r="99">
          <cell r="AK99" t="str">
            <v>1/1/10 Start up costs</v>
          </cell>
          <cell r="AL99">
            <v>-7.0000000000000007E-2</v>
          </cell>
          <cell r="AO99" t="str">
            <v>MHS Lipitor Mail Pen</v>
          </cell>
          <cell r="AP99">
            <v>0.6</v>
          </cell>
        </row>
        <row r="100">
          <cell r="AK100" t="str">
            <v>Lower Specialy Margins</v>
          </cell>
          <cell r="AL100">
            <v>-0.04</v>
          </cell>
          <cell r="AO100" t="str">
            <v>Going Generic</v>
          </cell>
          <cell r="AP100">
            <v>4580.5131881999996</v>
          </cell>
        </row>
        <row r="101">
          <cell r="AK101" t="str">
            <v>Lower Mail Pen</v>
          </cell>
          <cell r="AL101">
            <v>-0.05</v>
          </cell>
          <cell r="AO101" t="str">
            <v>Incremental in 2012</v>
          </cell>
          <cell r="AP101">
            <v>4198.8037558499991</v>
          </cell>
        </row>
        <row r="102">
          <cell r="AK102" t="str">
            <v>Other Gross Margin Pressures</v>
          </cell>
          <cell r="AL102">
            <v>-5.1166869169067236E-2</v>
          </cell>
          <cell r="AO102" t="str">
            <v>Reported Rolling Mail Generics</v>
          </cell>
          <cell r="AP102">
            <v>6016.2198565883864</v>
          </cell>
        </row>
        <row r="103">
          <cell r="AK103" t="str">
            <v>4Q09 EBITDA/Adj Script</v>
          </cell>
          <cell r="AL103">
            <v>3.0554089709762553</v>
          </cell>
          <cell r="AO103" t="str">
            <v>Reported Lipitor</v>
          </cell>
          <cell r="AP103">
            <v>2072.8233331666665</v>
          </cell>
        </row>
        <row r="105">
          <cell r="AO105" t="str">
            <v>Unaccounted Lipitor</v>
          </cell>
          <cell r="AP105">
            <v>2125.9804226833326</v>
          </cell>
        </row>
        <row r="106">
          <cell r="AO106" t="str">
            <v>Gross up on Total</v>
          </cell>
          <cell r="AP106">
            <v>8142.2002792717194</v>
          </cell>
        </row>
        <row r="108">
          <cell r="AO108" t="str">
            <v>Incremental Rolling New Generic Sales</v>
          </cell>
        </row>
        <row r="109">
          <cell r="AO109" t="str">
            <v>Lipitor Mail Sales</v>
          </cell>
          <cell r="AP109">
            <v>4198.8037558499991</v>
          </cell>
          <cell r="AT109">
            <v>3.4000000000000002E-2</v>
          </cell>
        </row>
        <row r="110">
          <cell r="AO110" t="str">
            <v>Total Generic Mail Sales</v>
          </cell>
          <cell r="AP110">
            <v>8142.21985658839</v>
          </cell>
          <cell r="AT110">
            <v>102.89439031638682</v>
          </cell>
        </row>
        <row r="111">
          <cell r="AO111" t="str">
            <v>% of Total</v>
          </cell>
          <cell r="AP111">
            <v>0.51568292551723216</v>
          </cell>
          <cell r="AT111">
            <v>0.16721556632965567</v>
          </cell>
        </row>
        <row r="113">
          <cell r="AO113" t="str">
            <v>Lipitor Contribution</v>
          </cell>
          <cell r="AP113">
            <v>0.36</v>
          </cell>
          <cell r="AT113">
            <v>0.15</v>
          </cell>
        </row>
        <row r="114">
          <cell r="AO114" t="str">
            <v>Implied Total Contribution</v>
          </cell>
          <cell r="AP114">
            <v>0.69810339296946566</v>
          </cell>
          <cell r="AT114">
            <v>0.42</v>
          </cell>
        </row>
        <row r="115">
          <cell r="AO115" t="str">
            <v>% of Total</v>
          </cell>
          <cell r="AP115">
            <v>0.51568292551723216</v>
          </cell>
          <cell r="AT115">
            <v>0.56999999999999995</v>
          </cell>
          <cell r="AU115">
            <v>0.16</v>
          </cell>
          <cell r="AV115">
            <v>0.40999999999999992</v>
          </cell>
        </row>
        <row r="116">
          <cell r="AT116">
            <v>0.36</v>
          </cell>
          <cell r="AV116">
            <v>0.85999999999999988</v>
          </cell>
        </row>
        <row r="117">
          <cell r="AT117">
            <v>0.20999999999999996</v>
          </cell>
        </row>
        <row r="119">
          <cell r="AO119" t="str">
            <v>MS Lipitor Assumption 2012</v>
          </cell>
          <cell r="AP119">
            <v>0.16</v>
          </cell>
        </row>
        <row r="120">
          <cell r="AO120" t="str">
            <v>MHS' Minimum 2012 Lipitor Guidance</v>
          </cell>
          <cell r="AP120">
            <v>0.312</v>
          </cell>
        </row>
        <row r="121">
          <cell r="AO121" t="str">
            <v>Difference</v>
          </cell>
          <cell r="AP121">
            <v>0.152</v>
          </cell>
        </row>
        <row r="123">
          <cell r="AO123" t="str">
            <v>MS' 2012 New Generic Contribution</v>
          </cell>
          <cell r="AP123">
            <v>0.45</v>
          </cell>
        </row>
        <row r="124">
          <cell r="AO124" t="str">
            <v>Upside From MHS Lipitor Guidance</v>
          </cell>
          <cell r="AP124">
            <v>0.152</v>
          </cell>
          <cell r="AS124" t="str">
            <v>Monthly EPS Contribution</v>
          </cell>
          <cell r="AT124">
            <v>0.03</v>
          </cell>
        </row>
        <row r="125">
          <cell r="AO125" t="str">
            <v>Updated 2012 New Generic Contribution</v>
          </cell>
          <cell r="AP125">
            <v>0.60199999999999998</v>
          </cell>
          <cell r="AS125" t="str">
            <v>2011 Share Guidance</v>
          </cell>
          <cell r="AT125">
            <v>402.5</v>
          </cell>
        </row>
        <row r="126">
          <cell r="AS126" t="str">
            <v>Implied Net Income</v>
          </cell>
          <cell r="AT126">
            <v>12.074999999999999</v>
          </cell>
          <cell r="AU126">
            <v>125.58</v>
          </cell>
          <cell r="AV126">
            <v>144.89999999999998</v>
          </cell>
        </row>
        <row r="127">
          <cell r="AS127" t="str">
            <v>2011 Tax Rate Guidance</v>
          </cell>
          <cell r="AT127">
            <v>0.39</v>
          </cell>
        </row>
        <row r="128">
          <cell r="AS128" t="str">
            <v>Implied Operating Profit</v>
          </cell>
          <cell r="AT128">
            <v>19.795081967213115</v>
          </cell>
          <cell r="AU128">
            <v>237.54098360655738</v>
          </cell>
        </row>
        <row r="129">
          <cell r="AS129" t="str">
            <v>Annual (52 weeks)</v>
          </cell>
          <cell r="AT129">
            <v>205.86885245901641</v>
          </cell>
        </row>
        <row r="131">
          <cell r="AS131" t="str">
            <v xml:space="preserve">Lipitor Annual </v>
          </cell>
          <cell r="AT131">
            <v>6107.2000000000007</v>
          </cell>
        </row>
        <row r="132">
          <cell r="AT132">
            <v>6107.2000000000007</v>
          </cell>
        </row>
        <row r="133">
          <cell r="AS133" t="str">
            <v>IMS Mail Pen (Sales)</v>
          </cell>
          <cell r="AT133">
            <v>0.3</v>
          </cell>
        </row>
        <row r="134">
          <cell r="AS134" t="str">
            <v>Lipitor Mail</v>
          </cell>
          <cell r="AT134">
            <v>1832.16</v>
          </cell>
        </row>
        <row r="135">
          <cell r="AS135" t="str">
            <v>MHS share</v>
          </cell>
          <cell r="AT135">
            <v>0.6</v>
          </cell>
          <cell r="BG135">
            <v>0.53125</v>
          </cell>
        </row>
        <row r="136">
          <cell r="AS136" t="str">
            <v>MHS Mail Revenue</v>
          </cell>
          <cell r="AT136">
            <v>1099.296</v>
          </cell>
          <cell r="BG136">
            <v>0.46875</v>
          </cell>
        </row>
        <row r="137">
          <cell r="AS137" t="str">
            <v>Pricing Decline</v>
          </cell>
          <cell r="AT137">
            <v>0.3</v>
          </cell>
        </row>
        <row r="138">
          <cell r="AS138" t="str">
            <v>MHS Generic Lipitor Rev</v>
          </cell>
          <cell r="AT138">
            <v>769.50720000000001</v>
          </cell>
        </row>
        <row r="139">
          <cell r="AS139" t="str">
            <v>Implied Operating Profit</v>
          </cell>
          <cell r="AT139">
            <v>205.86885245901641</v>
          </cell>
        </row>
        <row r="140">
          <cell r="AS140" t="str">
            <v>Implied Margin</v>
          </cell>
          <cell r="AT140">
            <v>0.26753336740581035</v>
          </cell>
        </row>
        <row r="143">
          <cell r="AS143" t="str">
            <v>MHS' share</v>
          </cell>
          <cell r="AU143">
            <v>0.3</v>
          </cell>
          <cell r="AV143">
            <v>0.35</v>
          </cell>
          <cell r="AW143">
            <v>0.4</v>
          </cell>
          <cell r="AX143">
            <v>0.45</v>
          </cell>
          <cell r="AY143">
            <v>0.5</v>
          </cell>
          <cell r="AZ143">
            <v>0.55000000000000004</v>
          </cell>
          <cell r="BA143">
            <v>0.6</v>
          </cell>
          <cell r="BB143">
            <v>0.65</v>
          </cell>
        </row>
        <row r="144">
          <cell r="AS144" t="str">
            <v>Implied Operating Profit</v>
          </cell>
          <cell r="AT144">
            <v>0.26753336740581035</v>
          </cell>
          <cell r="AU144">
            <v>0.5350667348116207</v>
          </cell>
          <cell r="AV144">
            <v>0.45862862983853209</v>
          </cell>
          <cell r="AW144">
            <v>0.40130005110871553</v>
          </cell>
          <cell r="AX144">
            <v>0.35671115654108049</v>
          </cell>
          <cell r="AY144">
            <v>0.32104004088697247</v>
          </cell>
          <cell r="AZ144">
            <v>0.29185458262452041</v>
          </cell>
          <cell r="BA144">
            <v>0.26753336740581035</v>
          </cell>
          <cell r="BB144">
            <v>0.24695387760536344</v>
          </cell>
        </row>
        <row r="151">
          <cell r="BM151" t="str">
            <v>Implied Growth</v>
          </cell>
        </row>
        <row r="152">
          <cell r="AU152">
            <v>2003</v>
          </cell>
          <cell r="AV152">
            <v>2004</v>
          </cell>
          <cell r="AW152">
            <v>2005</v>
          </cell>
          <cell r="AX152">
            <v>2006</v>
          </cell>
          <cell r="AY152">
            <v>2007</v>
          </cell>
          <cell r="AZ152">
            <v>2008</v>
          </cell>
          <cell r="BA152">
            <v>2009</v>
          </cell>
          <cell r="BB152">
            <v>2010</v>
          </cell>
          <cell r="BC152">
            <v>2011</v>
          </cell>
          <cell r="BD152">
            <v>2012</v>
          </cell>
          <cell r="BE152">
            <v>2013</v>
          </cell>
          <cell r="BF152">
            <v>2014</v>
          </cell>
          <cell r="BG152">
            <v>2015</v>
          </cell>
          <cell r="BH152">
            <v>2016</v>
          </cell>
          <cell r="BI152">
            <v>2017</v>
          </cell>
          <cell r="BJ152">
            <v>2018</v>
          </cell>
          <cell r="BK152">
            <v>2019</v>
          </cell>
          <cell r="BL152">
            <v>2020</v>
          </cell>
          <cell r="BM152" t="str">
            <v>Rates</v>
          </cell>
        </row>
        <row r="153">
          <cell r="AS153">
            <v>0.2</v>
          </cell>
          <cell r="AT153" t="str">
            <v>Gaap EPS</v>
          </cell>
          <cell r="AU153">
            <v>0.78626995764092789</v>
          </cell>
          <cell r="AV153">
            <v>0.94352394916911342</v>
          </cell>
          <cell r="AW153">
            <v>1.132228739002936</v>
          </cell>
          <cell r="AX153">
            <v>1.3586744868035232</v>
          </cell>
          <cell r="AY153">
            <v>1.6304093841642278</v>
          </cell>
          <cell r="AZ153">
            <v>1.9564912609970733</v>
          </cell>
          <cell r="BA153">
            <v>2.3477895131964877</v>
          </cell>
          <cell r="BB153">
            <v>2.8173474158357852</v>
          </cell>
          <cell r="BC153">
            <v>3.3808168990029421</v>
          </cell>
          <cell r="BD153">
            <v>4.0569802788035307</v>
          </cell>
          <cell r="BE153">
            <v>4.8683763345642364</v>
          </cell>
          <cell r="BF153">
            <v>5.8420516014770838</v>
          </cell>
          <cell r="BG153">
            <v>7.0104619217725004</v>
          </cell>
          <cell r="BH153">
            <v>8.4125543061269994</v>
          </cell>
          <cell r="BI153">
            <v>10.095065167352399</v>
          </cell>
          <cell r="BJ153">
            <v>12.114078200822878</v>
          </cell>
          <cell r="BK153">
            <v>14.536893840987453</v>
          </cell>
          <cell r="BL153">
            <v>17.444272609184942</v>
          </cell>
          <cell r="BM153">
            <v>0.2</v>
          </cell>
        </row>
        <row r="154">
          <cell r="AS154">
            <v>0.16</v>
          </cell>
          <cell r="AT154" t="str">
            <v>Gaap EPS</v>
          </cell>
          <cell r="AU154">
            <v>0.78626995764092789</v>
          </cell>
          <cell r="AV154">
            <v>0.91207315086347629</v>
          </cell>
          <cell r="AW154">
            <v>1.0580048550016323</v>
          </cell>
          <cell r="AX154">
            <v>1.2272856318018934</v>
          </cell>
          <cell r="AY154">
            <v>1.4236513328901963</v>
          </cell>
          <cell r="AZ154">
            <v>1.6514355461526276</v>
          </cell>
          <cell r="BA154">
            <v>1.9156652335370479</v>
          </cell>
          <cell r="BB154">
            <v>2.2221716709029753</v>
          </cell>
          <cell r="BC154">
            <v>2.5777191382474514</v>
          </cell>
          <cell r="BD154">
            <v>2.9901542003670434</v>
          </cell>
          <cell r="BE154">
            <v>3.4685788724257702</v>
          </cell>
          <cell r="BF154">
            <v>4.0235514920138931</v>
          </cell>
          <cell r="BG154">
            <v>4.6673197307361161</v>
          </cell>
          <cell r="BH154">
            <v>5.4140908876538942</v>
          </cell>
          <cell r="BI154">
            <v>6.2803454296785173</v>
          </cell>
          <cell r="BJ154">
            <v>7.2852006984270794</v>
          </cell>
          <cell r="BK154">
            <v>8.4508328101754113</v>
          </cell>
          <cell r="BL154">
            <v>9.8029660598034756</v>
          </cell>
          <cell r="BM154">
            <v>0.16</v>
          </cell>
        </row>
        <row r="155">
          <cell r="BB155">
            <v>3.14</v>
          </cell>
          <cell r="BC155">
            <v>3.7273654024978287</v>
          </cell>
          <cell r="BD155">
            <v>4.4246028164770062</v>
          </cell>
          <cell r="BE155">
            <v>5.252264795519376</v>
          </cell>
          <cell r="BF155">
            <v>6.2347484342599531</v>
          </cell>
          <cell r="BG155">
            <v>7.4010145245662597</v>
          </cell>
          <cell r="BH155">
            <v>8.7854412363860472</v>
          </cell>
          <cell r="BI155">
            <v>10.428837487319457</v>
          </cell>
          <cell r="BJ155">
            <v>12.379645872135965</v>
          </cell>
          <cell r="BK155">
            <v>14.695370611138424</v>
          </cell>
          <cell r="BL155">
            <v>17.444272609184946</v>
          </cell>
          <cell r="BM155">
            <v>0.187059045381474</v>
          </cell>
        </row>
        <row r="156">
          <cell r="BB156">
            <v>3.16</v>
          </cell>
          <cell r="BC156">
            <v>3.5387845642008831</v>
          </cell>
          <cell r="BD156">
            <v>3.9629734784260862</v>
          </cell>
          <cell r="BE156">
            <v>4.4380092955037069</v>
          </cell>
          <cell r="BF156">
            <v>4.9699869590849852</v>
          </cell>
          <cell r="BG156">
            <v>5.5657320047751995</v>
          </cell>
          <cell r="BH156">
            <v>6.2328881351194019</v>
          </cell>
          <cell r="BI156">
            <v>6.980015292073217</v>
          </cell>
          <cell r="BJ156">
            <v>7.8166994852768408</v>
          </cell>
          <cell r="BK156">
            <v>8.7536757852831233</v>
          </cell>
          <cell r="BL156">
            <v>9.8029660598034685</v>
          </cell>
          <cell r="BM156">
            <v>0.11986853297496292</v>
          </cell>
        </row>
        <row r="157">
          <cell r="BC157">
            <v>3.53</v>
          </cell>
          <cell r="BD157">
            <v>4.2157250526625614</v>
          </cell>
          <cell r="BE157">
            <v>5.0346565778036139</v>
          </cell>
          <cell r="BF157">
            <v>6.0126707837391091</v>
          </cell>
          <cell r="BG157">
            <v>7.1806704975697464</v>
          </cell>
          <cell r="BH157">
            <v>8.5755616179942553</v>
          </cell>
          <cell r="BI157">
            <v>10.241419250320078</v>
          </cell>
          <cell r="BJ157">
            <v>12.230880370650137</v>
          </cell>
          <cell r="BK157">
            <v>14.606807023985423</v>
          </cell>
          <cell r="BL157">
            <v>17.444272609184939</v>
          </cell>
          <cell r="BM157">
            <v>0.19425638885624985</v>
          </cell>
        </row>
        <row r="158">
          <cell r="BC158">
            <v>3.66</v>
          </cell>
          <cell r="BD158">
            <v>4.0834092583825523</v>
          </cell>
          <cell r="BE158">
            <v>4.5558008665148488</v>
          </cell>
          <cell r="BF158">
            <v>5.0828413764136577</v>
          </cell>
          <cell r="BG158">
            <v>5.6708528785074988</v>
          </cell>
          <cell r="BH158">
            <v>6.3268888379843897</v>
          </cell>
          <cell r="BI158">
            <v>7.058818704312209</v>
          </cell>
          <cell r="BJ158">
            <v>7.8754223088613129</v>
          </cell>
          <cell r="BK158">
            <v>8.7864951829717981</v>
          </cell>
          <cell r="BL158">
            <v>9.8029660598034809</v>
          </cell>
          <cell r="BM158">
            <v>0.11568558972200882</v>
          </cell>
        </row>
        <row r="159">
          <cell r="BD159">
            <v>3.9543540480346944</v>
          </cell>
          <cell r="BE159">
            <v>4.7604467879848489</v>
          </cell>
          <cell r="BF159">
            <v>5.7308610574458196</v>
          </cell>
          <cell r="BG159">
            <v>6.8990937032722792</v>
          </cell>
          <cell r="BH159">
            <v>8.3054698847898578</v>
          </cell>
          <cell r="BI159">
            <v>9.9985350212642068</v>
          </cell>
          <cell r="BJ159">
            <v>12.036730487040499</v>
          </cell>
          <cell r="BK159">
            <v>14.490410896148598</v>
          </cell>
          <cell r="BL159">
            <v>17.444272609184953</v>
          </cell>
          <cell r="BM159">
            <v>0.20384941008273683</v>
          </cell>
        </row>
        <row r="160">
          <cell r="BD160">
            <v>3.9543540480346944</v>
          </cell>
          <cell r="BE160">
            <v>4.4295620961770936</v>
          </cell>
          <cell r="BF160">
            <v>4.9618774964372285</v>
          </cell>
          <cell r="BG160">
            <v>5.5581630317133417</v>
          </cell>
          <cell r="BH160">
            <v>6.2261062086452235</v>
          </cell>
          <cell r="BI160">
            <v>6.974318367444722</v>
          </cell>
          <cell r="BJ160">
            <v>7.8124457020884854</v>
          </cell>
          <cell r="BK160">
            <v>8.7512936221812936</v>
          </cell>
          <cell r="BL160">
            <v>9.8029660598034791</v>
          </cell>
          <cell r="BM160">
            <v>0.12017336899273778</v>
          </cell>
        </row>
        <row r="161">
          <cell r="BD161">
            <v>3.7373175288044092</v>
          </cell>
          <cell r="BE161">
            <v>4.5310265419154172</v>
          </cell>
          <cell r="BF161">
            <v>5.4932987002872409</v>
          </cell>
          <cell r="BG161">
            <v>6.6599324306365553</v>
          </cell>
          <cell r="BH161">
            <v>8.0743288141832252</v>
          </cell>
          <cell r="BI161">
            <v>9.7891061926762202</v>
          </cell>
          <cell r="BJ161">
            <v>11.868057674733853</v>
          </cell>
          <cell r="BK161">
            <v>14.388524365604237</v>
          </cell>
          <cell r="BL161">
            <v>17.444272609184935</v>
          </cell>
          <cell r="BM161">
            <v>0.21237398401224961</v>
          </cell>
        </row>
        <row r="162">
          <cell r="BD162">
            <v>3.8749524519615126</v>
          </cell>
          <cell r="BE162">
            <v>4.3516380747133274</v>
          </cell>
          <cell r="BF162">
            <v>4.8869642061566134</v>
          </cell>
          <cell r="BG162">
            <v>5.4881446347831302</v>
          </cell>
          <cell r="BH162">
            <v>6.1632805688148729</v>
          </cell>
          <cell r="BI162">
            <v>6.921469804053741</v>
          </cell>
          <cell r="BJ162">
            <v>7.7729293212493884</v>
          </cell>
          <cell r="BK162">
            <v>8.7291329650463592</v>
          </cell>
          <cell r="BL162">
            <v>9.8029660598034791</v>
          </cell>
          <cell r="BM162">
            <v>0.12301715405837177</v>
          </cell>
        </row>
        <row r="164">
          <cell r="BC164">
            <v>13</v>
          </cell>
          <cell r="BD164">
            <v>14.3</v>
          </cell>
          <cell r="BE164">
            <v>15.730000000000002</v>
          </cell>
          <cell r="BF164">
            <v>17.303000000000004</v>
          </cell>
          <cell r="BG164">
            <v>19.033300000000008</v>
          </cell>
          <cell r="BH164">
            <v>20.936630000000012</v>
          </cell>
          <cell r="BI164">
            <v>23.030293000000015</v>
          </cell>
          <cell r="BJ164">
            <v>25.333322300000017</v>
          </cell>
          <cell r="BK164">
            <v>27.866654530000019</v>
          </cell>
          <cell r="BL164">
            <v>30.653319983000024</v>
          </cell>
          <cell r="BM164">
            <v>0.1</v>
          </cell>
        </row>
      </sheetData>
      <sheetData sheetId="15" refreshError="1"/>
      <sheetData sheetId="16" refreshError="1">
        <row r="1">
          <cell r="A1" t="str">
            <v>RRST-5.15</v>
          </cell>
          <cell r="D1" t="str">
            <v>RISK-REWARD SNAPSHOT
(You must upload your model to ModelWare to capture changes to your scenario values and NOT delete this worksheet.)</v>
          </cell>
          <cell r="I1" t="str">
            <v>Select Language</v>
          </cell>
          <cell r="N1" t="str">
            <v>http://ChartGallery</v>
          </cell>
          <cell r="O1" t="str">
            <v>http://ChartGallery</v>
          </cell>
          <cell r="AA1" t="str">
            <v>ElementName</v>
          </cell>
          <cell r="AB1" t="str">
            <v>ScaleOverride</v>
          </cell>
          <cell r="AC1" t="str">
            <v>UnitOverride</v>
          </cell>
          <cell r="AD1" t="str">
            <v>ReverseSign</v>
          </cell>
          <cell r="AE1" t="str">
            <v>IsDrivingAssumption</v>
          </cell>
          <cell r="AF1" t="str">
            <v>SegmentID</v>
          </cell>
        </row>
        <row r="2">
          <cell r="B2" t="str">
            <v>Instructions:</v>
          </cell>
          <cell r="G2" t="str">
            <v>Is refreshing chart data too slow? Read below to improve performance.</v>
          </cell>
          <cell r="AQ2" t="str">
            <v>Refer to cell G2 to learn about improving chart refresh performance</v>
          </cell>
        </row>
        <row r="4">
          <cell r="B4" t="str">
            <v>Ticker:</v>
          </cell>
          <cell r="C4" t="str">
            <v>MHS.N</v>
          </cell>
          <cell r="E4" t="str">
            <v>Company Name:</v>
          </cell>
          <cell r="F4" t="str">
            <v>Medco</v>
          </cell>
          <cell r="I4" t="str">
            <v>Sedol:</v>
          </cell>
          <cell r="J4">
            <v>2954019</v>
          </cell>
          <cell r="K4">
            <v>2954019</v>
          </cell>
        </row>
        <row r="5">
          <cell r="B5" t="str">
            <v xml:space="preserve">Chart Data Inputs (decimal formats will reflect on chart): </v>
          </cell>
          <cell r="H5" t="str">
            <v>Risk Reward Chart Gallery 
(Click on the below image for other Risk-Reward Charts)</v>
          </cell>
        </row>
        <row r="6">
          <cell r="B6" t="str">
            <v>Bull Case</v>
          </cell>
          <cell r="C6">
            <v>75</v>
          </cell>
          <cell r="AA6" t="str">
            <v>mstag:bullCaseValueEstimatePerShare</v>
          </cell>
          <cell r="AB6">
            <v>0</v>
          </cell>
          <cell r="AC6" t="str">
            <v>ISO4217:USD</v>
          </cell>
          <cell r="AD6" t="b">
            <v>0</v>
          </cell>
        </row>
        <row r="7">
          <cell r="B7" t="str">
            <v>Base Case</v>
          </cell>
          <cell r="C7">
            <v>68</v>
          </cell>
          <cell r="AA7" t="str">
            <v>mstag:met_12monthIntrinsicValueEstimate</v>
          </cell>
          <cell r="AB7">
            <v>0</v>
          </cell>
          <cell r="AC7" t="str">
            <v>ISO4217:USD</v>
          </cell>
          <cell r="AD7" t="b">
            <v>0</v>
          </cell>
        </row>
        <row r="8">
          <cell r="B8" t="str">
            <v>Bear Case</v>
          </cell>
          <cell r="C8">
            <v>40</v>
          </cell>
          <cell r="K8" t="str">
            <v>日本語</v>
          </cell>
          <cell r="M8" t="str">
            <v>-</v>
          </cell>
          <cell r="AA8" t="str">
            <v>mstag:bearCaseValueEstimatePerShare</v>
          </cell>
          <cell r="AB8">
            <v>0</v>
          </cell>
          <cell r="AC8" t="str">
            <v>ISO4217:USD</v>
          </cell>
          <cell r="AD8" t="b">
            <v>0</v>
          </cell>
        </row>
        <row r="9">
          <cell r="B9" t="str">
            <v>Extreme Upside</v>
          </cell>
          <cell r="K9" t="str">
            <v>English</v>
          </cell>
          <cell r="L9" t="str">
            <v>年</v>
          </cell>
          <cell r="M9" t="str">
            <v>月</v>
          </cell>
          <cell r="N9" t="str">
            <v>-</v>
          </cell>
          <cell r="AA9" t="str">
            <v>mstag:extremeBullCaseValueEstimatePerShare</v>
          </cell>
          <cell r="AB9">
            <v>0</v>
          </cell>
          <cell r="AC9" t="str">
            <v>ISO4217:USD</v>
          </cell>
          <cell r="AD9" t="b">
            <v>0</v>
          </cell>
          <cell r="AH9" t="str">
            <v>Other Refresh Chart Option</v>
          </cell>
        </row>
        <row r="10">
          <cell r="B10" t="str">
            <v>Extreme Downside</v>
          </cell>
          <cell r="O10" t="b">
            <v>0</v>
          </cell>
          <cell r="AA10" t="str">
            <v>mstag:extremeBearCaseValueEstimatePerShare</v>
          </cell>
          <cell r="AB10">
            <v>0</v>
          </cell>
          <cell r="AC10" t="str">
            <v>ISO4217:USD</v>
          </cell>
          <cell r="AD10" t="b">
            <v>0</v>
          </cell>
        </row>
        <row r="11">
          <cell r="B11" t="str">
            <v>Price Target</v>
          </cell>
          <cell r="C11" t="str">
            <v>NA</v>
          </cell>
          <cell r="O11" t="b">
            <v>1</v>
          </cell>
        </row>
        <row r="12">
          <cell r="B12" t="str">
            <v>Currency</v>
          </cell>
          <cell r="C12" t="str">
            <v>USD American Dollar</v>
          </cell>
          <cell r="F12">
            <v>0</v>
          </cell>
        </row>
        <row r="13">
          <cell r="B13" t="str">
            <v>Currency Symbol</v>
          </cell>
          <cell r="C13" t="str">
            <v>$</v>
          </cell>
          <cell r="F13">
            <v>0</v>
          </cell>
          <cell r="I13" t="str">
            <v xml:space="preserve">WARNINGDONOTEDIT_RRS4RL~MHS.N~ </v>
          </cell>
        </row>
        <row r="14">
          <cell r="B14" t="str">
            <v>"Refresh RR Chart" updates chart dates below, as of today. If your PT time horizon is &gt; 1yr. or price history is &lt; 2yrs., adjust Start/End dates and select "Apply Manually Adjusted Dates" option.</v>
          </cell>
        </row>
        <row r="15">
          <cell r="B15" t="str">
            <v>Start Date (-2 Yrs)</v>
          </cell>
          <cell r="C15">
            <v>40232</v>
          </cell>
          <cell r="E15" t="str">
            <v>NA</v>
          </cell>
          <cell r="F15" t="str">
            <v>USD</v>
          </cell>
        </row>
        <row r="16">
          <cell r="B16" t="str">
            <v>End Date (+1 Yr)</v>
          </cell>
          <cell r="C16">
            <v>41328</v>
          </cell>
          <cell r="E16" t="str">
            <v>USD</v>
          </cell>
          <cell r="F16" t="str">
            <v>USD</v>
          </cell>
        </row>
        <row r="17">
          <cell r="B17">
            <v>64.049987999999999</v>
          </cell>
          <cell r="C17" t="str">
            <v>Hand entert Share Price</v>
          </cell>
          <cell r="H17" t="str">
            <v>2007-FY</v>
          </cell>
        </row>
        <row r="18">
          <cell r="B18" t="b">
            <v>0</v>
          </cell>
          <cell r="C18">
            <v>40962</v>
          </cell>
        </row>
        <row r="19">
          <cell r="C19" t="str">
            <v>2011-FY</v>
          </cell>
        </row>
        <row r="34">
          <cell r="A34" t="str">
            <v>BullCase</v>
          </cell>
        </row>
        <row r="52">
          <cell r="A52">
            <v>41328</v>
          </cell>
          <cell r="B52">
            <v>758</v>
          </cell>
          <cell r="N52">
            <v>41328</v>
          </cell>
          <cell r="O52" t="str">
            <v>Feb-13</v>
          </cell>
          <cell r="P52" t="str">
            <v>Base Case  (Feb-13)</v>
          </cell>
          <cell r="R52" t="b">
            <v>1</v>
          </cell>
        </row>
        <row r="53">
          <cell r="A53" t="str">
            <v>Header</v>
          </cell>
          <cell r="B53" t="str">
            <v>Date</v>
          </cell>
          <cell r="C53" t="str">
            <v>Past/Future</v>
          </cell>
          <cell r="D53" t="str">
            <v>Historical Stock Performance</v>
          </cell>
          <cell r="E53" t="str">
            <v>Extreme Upside Cone</v>
          </cell>
          <cell r="F53" t="str">
            <v>Blue Cone</v>
          </cell>
          <cell r="G53" t="str">
            <v>Extreme Downside Cone</v>
          </cell>
          <cell r="H53" t="str">
            <v>White Mask</v>
          </cell>
          <cell r="I53" t="str">
            <v>Current Stock Price</v>
          </cell>
          <cell r="J53" t="str">
            <v>Extreme Upside Price(Feb-13)</v>
          </cell>
          <cell r="K53" t="str">
            <v>Bull Price(Feb-13)</v>
          </cell>
          <cell r="L53" t="str">
            <v>Bear Price(Feb-13)</v>
          </cell>
          <cell r="M53" t="str">
            <v>Extreme Downside Price(Feb-13)</v>
          </cell>
          <cell r="N53" t="str">
            <v>Base Case  (Feb-13)</v>
          </cell>
          <cell r="P53" t="str">
            <v>Prices</v>
          </cell>
          <cell r="Q53" t="str">
            <v>Volume</v>
          </cell>
          <cell r="R53" t="str">
            <v>Base Case(Feb-13)</v>
          </cell>
          <cell r="S53" t="str">
            <v>Header Row</v>
          </cell>
          <cell r="T53">
            <v>53</v>
          </cell>
          <cell r="U53">
            <v>0</v>
          </cell>
          <cell r="AI53" t="str">
            <v xml:space="preserve">Display </v>
          </cell>
          <cell r="AJ53" t="str">
            <v>Symbol</v>
          </cell>
          <cell r="AK53" t="str">
            <v>Unit</v>
          </cell>
          <cell r="AL53" t="str">
            <v>Thomson ReutersUnit</v>
          </cell>
          <cell r="AM53" t="str">
            <v>Right alligned</v>
          </cell>
          <cell r="AN53" t="str">
            <v>Display 2 Decimal Places for Currency Amount</v>
          </cell>
        </row>
        <row r="54">
          <cell r="A54">
            <v>40232</v>
          </cell>
          <cell r="B54">
            <v>40232</v>
          </cell>
          <cell r="C54" t="str">
            <v>Past</v>
          </cell>
          <cell r="D54">
            <v>62.399994</v>
          </cell>
          <cell r="E54" t="e">
            <v>#N/A</v>
          </cell>
          <cell r="F54" t="e">
            <v>#N/A</v>
          </cell>
          <cell r="G54" t="e">
            <v>#N/A</v>
          </cell>
          <cell r="H54" t="e">
            <v>#N/A</v>
          </cell>
          <cell r="I54" t="e">
            <v>#N/A</v>
          </cell>
          <cell r="J54" t="e">
            <v>#N/A</v>
          </cell>
          <cell r="K54" t="e">
            <v>#N/A</v>
          </cell>
          <cell r="L54" t="e">
            <v>#N/A</v>
          </cell>
          <cell r="M54" t="e">
            <v>#N/A</v>
          </cell>
          <cell r="N54" t="e">
            <v>#N/A</v>
          </cell>
          <cell r="O54" t="e">
            <v>#N/A</v>
          </cell>
          <cell r="P54">
            <v>62.399994</v>
          </cell>
          <cell r="Q54">
            <v>5.7660739999999997</v>
          </cell>
          <cell r="R54" t="e">
            <v>#N/A</v>
          </cell>
          <cell r="S54" t="str">
            <v>Count</v>
          </cell>
          <cell r="T54">
            <v>758</v>
          </cell>
          <cell r="U54">
            <v>75</v>
          </cell>
          <cell r="AI54" t="str">
            <v>AED UAE Dirham</v>
          </cell>
          <cell r="AJ54" t="str">
            <v>AED</v>
          </cell>
          <cell r="AK54" t="str">
            <v>AED</v>
          </cell>
          <cell r="AL54" t="str">
            <v>AED</v>
          </cell>
          <cell r="AM54">
            <v>0</v>
          </cell>
          <cell r="AN54">
            <v>2</v>
          </cell>
        </row>
        <row r="55">
          <cell r="A55">
            <v>40233</v>
          </cell>
          <cell r="B55">
            <v>40233</v>
          </cell>
          <cell r="C55" t="str">
            <v>Past</v>
          </cell>
          <cell r="D55">
            <v>62.059998</v>
          </cell>
          <cell r="E55" t="e">
            <v>#N/A</v>
          </cell>
          <cell r="F55" t="e">
            <v>#N/A</v>
          </cell>
          <cell r="G55" t="e">
            <v>#N/A</v>
          </cell>
          <cell r="H55" t="e">
            <v>#N/A</v>
          </cell>
          <cell r="I55" t="e">
            <v>#N/A</v>
          </cell>
          <cell r="J55" t="e">
            <v>#N/A</v>
          </cell>
          <cell r="K55" t="e">
            <v>#N/A</v>
          </cell>
          <cell r="L55" t="e">
            <v>#N/A</v>
          </cell>
          <cell r="M55" t="e">
            <v>#N/A</v>
          </cell>
          <cell r="N55" t="e">
            <v>#N/A</v>
          </cell>
          <cell r="O55" t="e">
            <v>#N/A</v>
          </cell>
          <cell r="P55">
            <v>62.059998</v>
          </cell>
          <cell r="Q55">
            <v>4.1841879999999998</v>
          </cell>
          <cell r="R55" t="e">
            <v>#N/A</v>
          </cell>
          <cell r="S55" t="str">
            <v>Curr Price</v>
          </cell>
          <cell r="T55">
            <v>64.049987999999999</v>
          </cell>
          <cell r="U55">
            <v>506</v>
          </cell>
          <cell r="V55">
            <v>354.90281500000003</v>
          </cell>
          <cell r="AI55" t="str">
            <v>ARS Argentinian Pesos</v>
          </cell>
          <cell r="AJ55" t="str">
            <v>Ar$</v>
          </cell>
          <cell r="AK55" t="str">
            <v>ARS</v>
          </cell>
          <cell r="AL55" t="str">
            <v>ARS</v>
          </cell>
          <cell r="AM55">
            <v>0</v>
          </cell>
          <cell r="AN55">
            <v>2</v>
          </cell>
        </row>
        <row r="56">
          <cell r="A56">
            <v>40234</v>
          </cell>
          <cell r="B56">
            <v>40234</v>
          </cell>
          <cell r="C56" t="str">
            <v>Past</v>
          </cell>
          <cell r="D56">
            <v>62.919998999999997</v>
          </cell>
          <cell r="E56" t="e">
            <v>#N/A</v>
          </cell>
          <cell r="F56" t="e">
            <v>#N/A</v>
          </cell>
          <cell r="G56" t="e">
            <v>#N/A</v>
          </cell>
          <cell r="H56" t="e">
            <v>#N/A</v>
          </cell>
          <cell r="I56" t="e">
            <v>#N/A</v>
          </cell>
          <cell r="J56" t="e">
            <v>#N/A</v>
          </cell>
          <cell r="K56" t="e">
            <v>#N/A</v>
          </cell>
          <cell r="L56" t="e">
            <v>#N/A</v>
          </cell>
          <cell r="M56" t="e">
            <v>#N/A</v>
          </cell>
          <cell r="N56" t="e">
            <v>#N/A</v>
          </cell>
          <cell r="O56" t="e">
            <v>#N/A</v>
          </cell>
          <cell r="P56">
            <v>62.919998999999997</v>
          </cell>
          <cell r="Q56">
            <v>4.9031060000000002</v>
          </cell>
          <cell r="R56" t="e">
            <v>#N/A</v>
          </cell>
          <cell r="S56" t="str">
            <v>Curr Price Date</v>
          </cell>
          <cell r="T56">
            <v>40962</v>
          </cell>
          <cell r="U56">
            <v>40955.673842592594</v>
          </cell>
          <cell r="AI56" t="str">
            <v>AUD Australian Dollar</v>
          </cell>
          <cell r="AJ56" t="str">
            <v>A$</v>
          </cell>
          <cell r="AK56" t="str">
            <v>AUD</v>
          </cell>
          <cell r="AL56" t="str">
            <v>AUD</v>
          </cell>
          <cell r="AM56">
            <v>0</v>
          </cell>
          <cell r="AN56">
            <v>2</v>
          </cell>
        </row>
        <row r="57">
          <cell r="A57">
            <v>40235</v>
          </cell>
          <cell r="B57">
            <v>40235</v>
          </cell>
          <cell r="C57" t="str">
            <v>Past</v>
          </cell>
          <cell r="D57">
            <v>63.239991000000003</v>
          </cell>
          <cell r="E57" t="e">
            <v>#N/A</v>
          </cell>
          <cell r="F57" t="e">
            <v>#N/A</v>
          </cell>
          <cell r="G57" t="e">
            <v>#N/A</v>
          </cell>
          <cell r="H57" t="e">
            <v>#N/A</v>
          </cell>
          <cell r="I57" t="e">
            <v>#N/A</v>
          </cell>
          <cell r="J57" t="e">
            <v>#N/A</v>
          </cell>
          <cell r="K57" t="e">
            <v>#N/A</v>
          </cell>
          <cell r="L57" t="e">
            <v>#N/A</v>
          </cell>
          <cell r="M57" t="e">
            <v>#N/A</v>
          </cell>
          <cell r="N57" t="e">
            <v>#N/A</v>
          </cell>
          <cell r="O57" t="e">
            <v>#N/A</v>
          </cell>
          <cell r="P57">
            <v>63.239991000000003</v>
          </cell>
          <cell r="Q57">
            <v>2.978904</v>
          </cell>
          <cell r="R57" t="e">
            <v>#N/A</v>
          </cell>
          <cell r="S57" t="str">
            <v>Bull-Curr</v>
          </cell>
          <cell r="T57">
            <v>10.950012000000001</v>
          </cell>
          <cell r="U57">
            <v>4.3280679841897235E-2</v>
          </cell>
          <cell r="AI57" t="str">
            <v>BGL Bulgarian levs</v>
          </cell>
          <cell r="AJ57" t="str">
            <v>BGL</v>
          </cell>
          <cell r="AK57" t="str">
            <v>BGL</v>
          </cell>
          <cell r="AL57" t="str">
            <v>BGN</v>
          </cell>
          <cell r="AM57">
            <v>0</v>
          </cell>
          <cell r="AN57">
            <v>2</v>
          </cell>
        </row>
        <row r="58">
          <cell r="A58">
            <v>40238</v>
          </cell>
          <cell r="B58">
            <v>40238</v>
          </cell>
          <cell r="C58" t="str">
            <v>Past</v>
          </cell>
          <cell r="D58">
            <v>63.949997000000003</v>
          </cell>
          <cell r="E58" t="e">
            <v>#N/A</v>
          </cell>
          <cell r="F58" t="e">
            <v>#N/A</v>
          </cell>
          <cell r="G58" t="e">
            <v>#N/A</v>
          </cell>
          <cell r="H58" t="e">
            <v>#N/A</v>
          </cell>
          <cell r="I58" t="e">
            <v>#N/A</v>
          </cell>
          <cell r="J58" t="e">
            <v>#N/A</v>
          </cell>
          <cell r="K58" t="e">
            <v>#N/A</v>
          </cell>
          <cell r="L58" t="e">
            <v>#N/A</v>
          </cell>
          <cell r="M58" t="e">
            <v>#N/A</v>
          </cell>
          <cell r="N58" t="e">
            <v>#N/A</v>
          </cell>
          <cell r="O58" t="e">
            <v>#N/A</v>
          </cell>
          <cell r="P58">
            <v>63.949997000000003</v>
          </cell>
          <cell r="Q58">
            <v>2.987161</v>
          </cell>
          <cell r="R58" t="e">
            <v>#N/A</v>
          </cell>
          <cell r="S58" t="str">
            <v>Upp-Cur</v>
          </cell>
          <cell r="T58">
            <v>-64.049987999999999</v>
          </cell>
          <cell r="U58">
            <v>-0.25316200790513832</v>
          </cell>
          <cell r="AI58" t="str">
            <v>BMD Bermudan Dollars</v>
          </cell>
          <cell r="AJ58" t="str">
            <v>BMD</v>
          </cell>
          <cell r="AK58" t="str">
            <v>BMD</v>
          </cell>
          <cell r="AL58" t="str">
            <v>BMD</v>
          </cell>
          <cell r="AM58">
            <v>0</v>
          </cell>
          <cell r="AN58">
            <v>2</v>
          </cell>
        </row>
        <row r="59">
          <cell r="A59">
            <v>40239</v>
          </cell>
          <cell r="B59">
            <v>40239</v>
          </cell>
          <cell r="C59" t="str">
            <v>Past</v>
          </cell>
          <cell r="D59">
            <v>63.759995000000004</v>
          </cell>
          <cell r="E59" t="e">
            <v>#N/A</v>
          </cell>
          <cell r="F59" t="e">
            <v>#N/A</v>
          </cell>
          <cell r="G59" t="e">
            <v>#N/A</v>
          </cell>
          <cell r="H59" t="e">
            <v>#N/A</v>
          </cell>
          <cell r="I59" t="e">
            <v>#N/A</v>
          </cell>
          <cell r="J59" t="e">
            <v>#N/A</v>
          </cell>
          <cell r="K59" t="e">
            <v>#N/A</v>
          </cell>
          <cell r="L59" t="e">
            <v>#N/A</v>
          </cell>
          <cell r="M59" t="e">
            <v>#N/A</v>
          </cell>
          <cell r="N59" t="e">
            <v>#N/A</v>
          </cell>
          <cell r="O59" t="e">
            <v>#N/A</v>
          </cell>
          <cell r="P59">
            <v>63.759995000000004</v>
          </cell>
          <cell r="Q59">
            <v>3.5305360000000001</v>
          </cell>
          <cell r="R59" t="e">
            <v>#N/A</v>
          </cell>
          <cell r="S59" t="str">
            <v>Curr-Bear</v>
          </cell>
          <cell r="T59">
            <v>24.049987999999999</v>
          </cell>
          <cell r="U59">
            <v>9.5059241106719358E-2</v>
          </cell>
          <cell r="AI59" t="str">
            <v>BRL Brazilian Real</v>
          </cell>
          <cell r="AJ59" t="str">
            <v>R$</v>
          </cell>
          <cell r="AK59" t="str">
            <v>BRL</v>
          </cell>
          <cell r="AL59" t="str">
            <v>BRL</v>
          </cell>
          <cell r="AM59">
            <v>0</v>
          </cell>
          <cell r="AN59">
            <v>2</v>
          </cell>
        </row>
        <row r="60">
          <cell r="A60">
            <v>40240</v>
          </cell>
          <cell r="B60">
            <v>40240</v>
          </cell>
          <cell r="C60" t="str">
            <v>Past</v>
          </cell>
          <cell r="D60">
            <v>62.869996</v>
          </cell>
          <cell r="E60" t="e">
            <v>#N/A</v>
          </cell>
          <cell r="F60" t="e">
            <v>#N/A</v>
          </cell>
          <cell r="G60" t="e">
            <v>#N/A</v>
          </cell>
          <cell r="H60" t="e">
            <v>#N/A</v>
          </cell>
          <cell r="I60" t="e">
            <v>#N/A</v>
          </cell>
          <cell r="J60" t="e">
            <v>#N/A</v>
          </cell>
          <cell r="K60" t="e">
            <v>#N/A</v>
          </cell>
          <cell r="L60" t="e">
            <v>#N/A</v>
          </cell>
          <cell r="M60" t="e">
            <v>#N/A</v>
          </cell>
          <cell r="N60" t="e">
            <v>#N/A</v>
          </cell>
          <cell r="O60" t="e">
            <v>#N/A</v>
          </cell>
          <cell r="P60">
            <v>62.869996</v>
          </cell>
          <cell r="Q60">
            <v>4.2234420000000004</v>
          </cell>
          <cell r="R60" t="e">
            <v>#N/A</v>
          </cell>
          <cell r="S60" t="str">
            <v>Curr-Lower</v>
          </cell>
          <cell r="T60">
            <v>64.049987999999999</v>
          </cell>
          <cell r="U60">
            <v>0.25316200790513832</v>
          </cell>
          <cell r="AI60" t="str">
            <v>CAD Canadian Dollars</v>
          </cell>
          <cell r="AJ60" t="str">
            <v>C$</v>
          </cell>
          <cell r="AK60" t="str">
            <v>CAD</v>
          </cell>
          <cell r="AL60" t="str">
            <v>CAD</v>
          </cell>
          <cell r="AM60">
            <v>0</v>
          </cell>
          <cell r="AN60">
            <v>2</v>
          </cell>
        </row>
        <row r="61">
          <cell r="A61">
            <v>40241</v>
          </cell>
          <cell r="B61">
            <v>40241</v>
          </cell>
          <cell r="C61" t="str">
            <v>Past</v>
          </cell>
          <cell r="D61">
            <v>62.869996</v>
          </cell>
          <cell r="E61" t="e">
            <v>#N/A</v>
          </cell>
          <cell r="F61" t="e">
            <v>#N/A</v>
          </cell>
          <cell r="G61" t="e">
            <v>#N/A</v>
          </cell>
          <cell r="H61" t="e">
            <v>#N/A</v>
          </cell>
          <cell r="I61" t="e">
            <v>#N/A</v>
          </cell>
          <cell r="J61" t="e">
            <v>#N/A</v>
          </cell>
          <cell r="K61" t="e">
            <v>#N/A</v>
          </cell>
          <cell r="L61" t="e">
            <v>#N/A</v>
          </cell>
          <cell r="M61" t="e">
            <v>#N/A</v>
          </cell>
          <cell r="N61" t="e">
            <v>#N/A</v>
          </cell>
          <cell r="O61" t="e">
            <v>#N/A</v>
          </cell>
          <cell r="P61">
            <v>62.869996</v>
          </cell>
          <cell r="Q61">
            <v>3.2490709999999998</v>
          </cell>
          <cell r="R61" t="e">
            <v>#N/A</v>
          </cell>
          <cell r="S61" t="str">
            <v>PriceFoundAt</v>
          </cell>
          <cell r="T61">
            <v>506</v>
          </cell>
          <cell r="AI61" t="str">
            <v>CHF Swiss Francs</v>
          </cell>
          <cell r="AJ61" t="str">
            <v>SFr</v>
          </cell>
          <cell r="AK61" t="str">
            <v>CHF</v>
          </cell>
          <cell r="AL61" t="str">
            <v>CHF</v>
          </cell>
          <cell r="AM61">
            <v>0</v>
          </cell>
          <cell r="AN61">
            <v>2</v>
          </cell>
        </row>
        <row r="62">
          <cell r="A62">
            <v>40242</v>
          </cell>
          <cell r="B62">
            <v>40242</v>
          </cell>
          <cell r="C62" t="str">
            <v>Past</v>
          </cell>
          <cell r="D62">
            <v>63.589996999999997</v>
          </cell>
          <cell r="E62" t="e">
            <v>#N/A</v>
          </cell>
          <cell r="F62" t="e">
            <v>#N/A</v>
          </cell>
          <cell r="G62" t="e">
            <v>#N/A</v>
          </cell>
          <cell r="H62" t="e">
            <v>#N/A</v>
          </cell>
          <cell r="I62" t="e">
            <v>#N/A</v>
          </cell>
          <cell r="J62" t="e">
            <v>#N/A</v>
          </cell>
          <cell r="K62" t="e">
            <v>#N/A</v>
          </cell>
          <cell r="L62" t="e">
            <v>#N/A</v>
          </cell>
          <cell r="M62" t="e">
            <v>#N/A</v>
          </cell>
          <cell r="N62" t="e">
            <v>#N/A</v>
          </cell>
          <cell r="O62" t="e">
            <v>#N/A</v>
          </cell>
          <cell r="P62">
            <v>63.589996999999997</v>
          </cell>
          <cell r="Q62">
            <v>3.215776</v>
          </cell>
          <cell r="R62" t="e">
            <v>#N/A</v>
          </cell>
          <cell r="S62" t="str">
            <v>Starting Point</v>
          </cell>
          <cell r="T62">
            <v>559</v>
          </cell>
          <cell r="AI62" t="str">
            <v>CLP Chilean Pesos</v>
          </cell>
          <cell r="AJ62" t="str">
            <v>CLP</v>
          </cell>
          <cell r="AK62" t="str">
            <v>CLP</v>
          </cell>
          <cell r="AL62" t="str">
            <v>CLP</v>
          </cell>
          <cell r="AM62">
            <v>0</v>
          </cell>
          <cell r="AN62">
            <v>2</v>
          </cell>
        </row>
        <row r="63">
          <cell r="A63">
            <v>40245</v>
          </cell>
          <cell r="B63">
            <v>40245</v>
          </cell>
          <cell r="C63" t="str">
            <v>Past</v>
          </cell>
          <cell r="D63">
            <v>63.089996999999997</v>
          </cell>
          <cell r="E63" t="e">
            <v>#N/A</v>
          </cell>
          <cell r="F63" t="e">
            <v>#N/A</v>
          </cell>
          <cell r="G63" t="e">
            <v>#N/A</v>
          </cell>
          <cell r="H63" t="e">
            <v>#N/A</v>
          </cell>
          <cell r="I63" t="e">
            <v>#N/A</v>
          </cell>
          <cell r="J63" t="e">
            <v>#N/A</v>
          </cell>
          <cell r="K63" t="e">
            <v>#N/A</v>
          </cell>
          <cell r="L63" t="e">
            <v>#N/A</v>
          </cell>
          <cell r="M63" t="e">
            <v>#N/A</v>
          </cell>
          <cell r="N63" t="e">
            <v>#N/A</v>
          </cell>
          <cell r="O63" t="e">
            <v>#N/A</v>
          </cell>
          <cell r="P63">
            <v>63.089996999999997</v>
          </cell>
          <cell r="Q63">
            <v>2.8749560000000001</v>
          </cell>
          <cell r="R63" t="e">
            <v>#N/A</v>
          </cell>
          <cell r="S63" t="str">
            <v>Saved</v>
          </cell>
          <cell r="T63">
            <v>253</v>
          </cell>
          <cell r="AI63" t="str">
            <v>CNY Chinese Renminbi Yuan</v>
          </cell>
          <cell r="AJ63" t="str">
            <v>Rmb</v>
          </cell>
          <cell r="AK63" t="str">
            <v>CNY</v>
          </cell>
          <cell r="AL63" t="str">
            <v>CNY</v>
          </cell>
          <cell r="AM63">
            <v>0</v>
          </cell>
          <cell r="AN63">
            <v>2</v>
          </cell>
        </row>
        <row r="64">
          <cell r="A64">
            <v>40246</v>
          </cell>
          <cell r="B64">
            <v>40246</v>
          </cell>
          <cell r="C64" t="str">
            <v>Past</v>
          </cell>
          <cell r="D64">
            <v>63.179993000000003</v>
          </cell>
          <cell r="E64" t="e">
            <v>#N/A</v>
          </cell>
          <cell r="F64" t="e">
            <v>#N/A</v>
          </cell>
          <cell r="G64" t="e">
            <v>#N/A</v>
          </cell>
          <cell r="H64" t="e">
            <v>#N/A</v>
          </cell>
          <cell r="I64" t="e">
            <v>#N/A</v>
          </cell>
          <cell r="J64" t="e">
            <v>#N/A</v>
          </cell>
          <cell r="K64" t="e">
            <v>#N/A</v>
          </cell>
          <cell r="L64" t="e">
            <v>#N/A</v>
          </cell>
          <cell r="M64" t="e">
            <v>#N/A</v>
          </cell>
          <cell r="N64" t="e">
            <v>#N/A</v>
          </cell>
          <cell r="O64" t="e">
            <v>#N/A</v>
          </cell>
          <cell r="P64">
            <v>63.179993000000003</v>
          </cell>
          <cell r="Q64">
            <v>2.8478759999999999</v>
          </cell>
          <cell r="R64" t="e">
            <v>#N/A</v>
          </cell>
          <cell r="S64" t="str">
            <v>Right alligned</v>
          </cell>
          <cell r="T64">
            <v>0</v>
          </cell>
          <cell r="AI64" t="str">
            <v>COP Colombian Peso</v>
          </cell>
          <cell r="AJ64" t="str">
            <v>COP</v>
          </cell>
          <cell r="AK64" t="str">
            <v>COP</v>
          </cell>
          <cell r="AL64" t="str">
            <v>COP</v>
          </cell>
          <cell r="AM64">
            <v>0</v>
          </cell>
          <cell r="AN64">
            <v>2</v>
          </cell>
        </row>
        <row r="65">
          <cell r="A65">
            <v>40247</v>
          </cell>
          <cell r="B65">
            <v>40247</v>
          </cell>
          <cell r="C65" t="str">
            <v>Past</v>
          </cell>
          <cell r="D65">
            <v>62.789994</v>
          </cell>
          <cell r="E65" t="e">
            <v>#N/A</v>
          </cell>
          <cell r="F65" t="e">
            <v>#N/A</v>
          </cell>
          <cell r="G65" t="e">
            <v>#N/A</v>
          </cell>
          <cell r="H65" t="e">
            <v>#N/A</v>
          </cell>
          <cell r="I65" t="e">
            <v>#N/A</v>
          </cell>
          <cell r="J65" t="e">
            <v>#N/A</v>
          </cell>
          <cell r="K65" t="e">
            <v>#N/A</v>
          </cell>
          <cell r="L65" t="e">
            <v>#N/A</v>
          </cell>
          <cell r="M65" t="e">
            <v>#N/A</v>
          </cell>
          <cell r="N65" t="e">
            <v>#N/A</v>
          </cell>
          <cell r="O65" t="e">
            <v>#N/A</v>
          </cell>
          <cell r="P65">
            <v>62.789994</v>
          </cell>
          <cell r="Q65">
            <v>3.3796430000000002</v>
          </cell>
          <cell r="R65" t="e">
            <v>#N/A</v>
          </cell>
          <cell r="S65" t="str">
            <v>Decimal</v>
          </cell>
          <cell r="T65">
            <v>2</v>
          </cell>
          <cell r="AI65" t="str">
            <v>CZK Czech Krona</v>
          </cell>
          <cell r="AJ65" t="str">
            <v>Kcs</v>
          </cell>
          <cell r="AK65" t="str">
            <v>CZK</v>
          </cell>
          <cell r="AL65" t="str">
            <v>CZK</v>
          </cell>
          <cell r="AM65">
            <v>0</v>
          </cell>
          <cell r="AN65">
            <v>2</v>
          </cell>
        </row>
        <row r="66">
          <cell r="A66">
            <v>40248</v>
          </cell>
          <cell r="B66">
            <v>40248</v>
          </cell>
          <cell r="C66" t="str">
            <v>Past</v>
          </cell>
          <cell r="D66">
            <v>64.64</v>
          </cell>
          <cell r="E66" t="e">
            <v>#N/A</v>
          </cell>
          <cell r="F66" t="e">
            <v>#N/A</v>
          </cell>
          <cell r="G66" t="e">
            <v>#N/A</v>
          </cell>
          <cell r="H66" t="e">
            <v>#N/A</v>
          </cell>
          <cell r="I66" t="e">
            <v>#N/A</v>
          </cell>
          <cell r="J66" t="e">
            <v>#N/A</v>
          </cell>
          <cell r="K66" t="e">
            <v>#N/A</v>
          </cell>
          <cell r="L66" t="e">
            <v>#N/A</v>
          </cell>
          <cell r="M66" t="e">
            <v>#N/A</v>
          </cell>
          <cell r="N66" t="e">
            <v>#N/A</v>
          </cell>
          <cell r="O66" t="e">
            <v>#N/A</v>
          </cell>
          <cell r="P66">
            <v>64.64</v>
          </cell>
          <cell r="Q66">
            <v>3.5900699999999999</v>
          </cell>
          <cell r="R66" t="e">
            <v>#N/A</v>
          </cell>
          <cell r="S66" t="str">
            <v>default StartDate</v>
          </cell>
          <cell r="T66">
            <v>40232</v>
          </cell>
          <cell r="AI66" t="str">
            <v>DKK Danish Krone</v>
          </cell>
          <cell r="AJ66" t="str">
            <v>DKr</v>
          </cell>
          <cell r="AK66" t="str">
            <v>DKK</v>
          </cell>
          <cell r="AL66" t="str">
            <v>DKK</v>
          </cell>
          <cell r="AM66">
            <v>0</v>
          </cell>
          <cell r="AN66">
            <v>2</v>
          </cell>
        </row>
        <row r="67">
          <cell r="A67">
            <v>40249</v>
          </cell>
          <cell r="B67">
            <v>40249</v>
          </cell>
          <cell r="C67" t="str">
            <v>Past</v>
          </cell>
          <cell r="D67">
            <v>64.699996999999996</v>
          </cell>
          <cell r="E67" t="e">
            <v>#N/A</v>
          </cell>
          <cell r="F67" t="e">
            <v>#N/A</v>
          </cell>
          <cell r="G67" t="e">
            <v>#N/A</v>
          </cell>
          <cell r="H67" t="e">
            <v>#N/A</v>
          </cell>
          <cell r="I67" t="e">
            <v>#N/A</v>
          </cell>
          <cell r="J67" t="e">
            <v>#N/A</v>
          </cell>
          <cell r="K67" t="e">
            <v>#N/A</v>
          </cell>
          <cell r="L67" t="e">
            <v>#N/A</v>
          </cell>
          <cell r="M67" t="e">
            <v>#N/A</v>
          </cell>
          <cell r="N67" t="e">
            <v>#N/A</v>
          </cell>
          <cell r="O67" t="e">
            <v>#N/A</v>
          </cell>
          <cell r="P67">
            <v>64.699996999999996</v>
          </cell>
          <cell r="Q67">
            <v>2.7048239999999999</v>
          </cell>
          <cell r="R67" t="e">
            <v>#N/A</v>
          </cell>
          <cell r="S67" t="str">
            <v>default EndDate</v>
          </cell>
          <cell r="T67">
            <v>41328</v>
          </cell>
          <cell r="AI67" t="str">
            <v>DZD Algerian Dinar</v>
          </cell>
          <cell r="AJ67" t="str">
            <v>DZD</v>
          </cell>
          <cell r="AK67" t="str">
            <v>DZD</v>
          </cell>
          <cell r="AL67" t="str">
            <v>DZD</v>
          </cell>
          <cell r="AM67">
            <v>0</v>
          </cell>
          <cell r="AN67">
            <v>2</v>
          </cell>
        </row>
        <row r="68">
          <cell r="A68">
            <v>40252</v>
          </cell>
          <cell r="B68">
            <v>40252</v>
          </cell>
          <cell r="C68" t="str">
            <v>Past</v>
          </cell>
          <cell r="D68">
            <v>64.149994000000007</v>
          </cell>
          <cell r="E68" t="e">
            <v>#N/A</v>
          </cell>
          <cell r="F68" t="e">
            <v>#N/A</v>
          </cell>
          <cell r="G68" t="e">
            <v>#N/A</v>
          </cell>
          <cell r="H68" t="e">
            <v>#N/A</v>
          </cell>
          <cell r="I68" t="e">
            <v>#N/A</v>
          </cell>
          <cell r="J68" t="e">
            <v>#N/A</v>
          </cell>
          <cell r="K68" t="e">
            <v>#N/A</v>
          </cell>
          <cell r="L68" t="e">
            <v>#N/A</v>
          </cell>
          <cell r="M68" t="e">
            <v>#N/A</v>
          </cell>
          <cell r="N68" t="e">
            <v>#N/A</v>
          </cell>
          <cell r="O68" t="e">
            <v>#N/A</v>
          </cell>
          <cell r="P68">
            <v>64.149994000000007</v>
          </cell>
          <cell r="Q68">
            <v>3.54264</v>
          </cell>
          <cell r="R68" t="e">
            <v>#N/A</v>
          </cell>
          <cell r="S68" t="str">
            <v>Max sharePrice</v>
          </cell>
          <cell r="T68">
            <v>66.169999000000004</v>
          </cell>
          <cell r="AI68" t="str">
            <v>EGP Egyptian Pound</v>
          </cell>
          <cell r="AJ68" t="str">
            <v>EGP</v>
          </cell>
          <cell r="AK68" t="str">
            <v>EGP</v>
          </cell>
          <cell r="AL68" t="str">
            <v>EGP</v>
          </cell>
          <cell r="AM68">
            <v>0</v>
          </cell>
          <cell r="AN68">
            <v>2</v>
          </cell>
        </row>
        <row r="69">
          <cell r="A69">
            <v>40253</v>
          </cell>
          <cell r="B69">
            <v>40253</v>
          </cell>
          <cell r="C69" t="str">
            <v>Past</v>
          </cell>
          <cell r="D69">
            <v>64.009995000000004</v>
          </cell>
          <cell r="E69" t="e">
            <v>#N/A</v>
          </cell>
          <cell r="F69" t="e">
            <v>#N/A</v>
          </cell>
          <cell r="G69" t="e">
            <v>#N/A</v>
          </cell>
          <cell r="H69" t="e">
            <v>#N/A</v>
          </cell>
          <cell r="I69" t="e">
            <v>#N/A</v>
          </cell>
          <cell r="J69" t="e">
            <v>#N/A</v>
          </cell>
          <cell r="K69" t="e">
            <v>#N/A</v>
          </cell>
          <cell r="L69" t="e">
            <v>#N/A</v>
          </cell>
          <cell r="M69" t="e">
            <v>#N/A</v>
          </cell>
          <cell r="N69" t="e">
            <v>#N/A</v>
          </cell>
          <cell r="O69" t="e">
            <v>#N/A</v>
          </cell>
          <cell r="P69">
            <v>64.009995000000004</v>
          </cell>
          <cell r="Q69">
            <v>2.9422820000000001</v>
          </cell>
          <cell r="R69" t="e">
            <v>#N/A</v>
          </cell>
          <cell r="AI69" t="str">
            <v>EUR Euro</v>
          </cell>
          <cell r="AJ69" t="str">
            <v>€</v>
          </cell>
          <cell r="AK69" t="str">
            <v>EUR</v>
          </cell>
          <cell r="AL69" t="str">
            <v>EUR</v>
          </cell>
          <cell r="AM69">
            <v>0</v>
          </cell>
          <cell r="AN69">
            <v>2</v>
          </cell>
        </row>
        <row r="70">
          <cell r="A70">
            <v>40254</v>
          </cell>
          <cell r="B70">
            <v>40254</v>
          </cell>
          <cell r="C70" t="str">
            <v>Past</v>
          </cell>
          <cell r="D70">
            <v>64.599991000000003</v>
          </cell>
          <cell r="E70" t="e">
            <v>#N/A</v>
          </cell>
          <cell r="F70" t="e">
            <v>#N/A</v>
          </cell>
          <cell r="G70" t="e">
            <v>#N/A</v>
          </cell>
          <cell r="H70" t="e">
            <v>#N/A</v>
          </cell>
          <cell r="I70" t="e">
            <v>#N/A</v>
          </cell>
          <cell r="J70" t="e">
            <v>#N/A</v>
          </cell>
          <cell r="K70" t="e">
            <v>#N/A</v>
          </cell>
          <cell r="L70" t="e">
            <v>#N/A</v>
          </cell>
          <cell r="M70" t="e">
            <v>#N/A</v>
          </cell>
          <cell r="N70" t="e">
            <v>#N/A</v>
          </cell>
          <cell r="O70" t="e">
            <v>#N/A</v>
          </cell>
          <cell r="P70">
            <v>64.599991000000003</v>
          </cell>
          <cell r="Q70">
            <v>2.4326310000000002</v>
          </cell>
          <cell r="R70" t="e">
            <v>#N/A</v>
          </cell>
          <cell r="AI70" t="str">
            <v>GBp British Pence</v>
          </cell>
          <cell r="AJ70" t="str">
            <v>p</v>
          </cell>
          <cell r="AK70" t="str">
            <v>GBp</v>
          </cell>
          <cell r="AL70" t="str">
            <v>BPN</v>
          </cell>
          <cell r="AM70">
            <v>1</v>
          </cell>
          <cell r="AN70">
            <v>0</v>
          </cell>
        </row>
        <row r="71">
          <cell r="A71">
            <v>40255</v>
          </cell>
          <cell r="B71">
            <v>40255</v>
          </cell>
          <cell r="C71" t="str">
            <v>Past</v>
          </cell>
          <cell r="D71">
            <v>65.799987999999999</v>
          </cell>
          <cell r="E71" t="e">
            <v>#N/A</v>
          </cell>
          <cell r="F71" t="e">
            <v>#N/A</v>
          </cell>
          <cell r="G71" t="e">
            <v>#N/A</v>
          </cell>
          <cell r="H71" t="e">
            <v>#N/A</v>
          </cell>
          <cell r="I71" t="e">
            <v>#N/A</v>
          </cell>
          <cell r="J71" t="e">
            <v>#N/A</v>
          </cell>
          <cell r="K71" t="e">
            <v>#N/A</v>
          </cell>
          <cell r="L71" t="e">
            <v>#N/A</v>
          </cell>
          <cell r="M71" t="e">
            <v>#N/A</v>
          </cell>
          <cell r="N71" t="e">
            <v>#N/A</v>
          </cell>
          <cell r="O71" t="e">
            <v>#N/A</v>
          </cell>
          <cell r="P71">
            <v>65.799987999999999</v>
          </cell>
          <cell r="Q71">
            <v>3.172231</v>
          </cell>
          <cell r="R71" t="e">
            <v>#N/A</v>
          </cell>
          <cell r="AI71" t="str">
            <v>GBP British Pound</v>
          </cell>
          <cell r="AJ71" t="str">
            <v>₤</v>
          </cell>
          <cell r="AK71" t="str">
            <v>GBP</v>
          </cell>
          <cell r="AL71" t="str">
            <v>GBP</v>
          </cell>
          <cell r="AM71">
            <v>0</v>
          </cell>
          <cell r="AN71">
            <v>2</v>
          </cell>
        </row>
        <row r="72">
          <cell r="A72">
            <v>40256</v>
          </cell>
          <cell r="B72">
            <v>40256</v>
          </cell>
          <cell r="C72" t="str">
            <v>Past</v>
          </cell>
          <cell r="D72">
            <v>66.049987999999999</v>
          </cell>
          <cell r="E72" t="e">
            <v>#N/A</v>
          </cell>
          <cell r="F72" t="e">
            <v>#N/A</v>
          </cell>
          <cell r="G72" t="e">
            <v>#N/A</v>
          </cell>
          <cell r="H72" t="e">
            <v>#N/A</v>
          </cell>
          <cell r="I72" t="e">
            <v>#N/A</v>
          </cell>
          <cell r="J72" t="e">
            <v>#N/A</v>
          </cell>
          <cell r="K72" t="e">
            <v>#N/A</v>
          </cell>
          <cell r="L72" t="e">
            <v>#N/A</v>
          </cell>
          <cell r="M72" t="e">
            <v>#N/A</v>
          </cell>
          <cell r="N72" t="e">
            <v>#N/A</v>
          </cell>
          <cell r="O72" t="e">
            <v>#N/A</v>
          </cell>
          <cell r="P72">
            <v>66.049987999999999</v>
          </cell>
          <cell r="Q72">
            <v>5.7852620000000003</v>
          </cell>
          <cell r="R72" t="e">
            <v>#N/A</v>
          </cell>
          <cell r="AI72" t="str">
            <v>HKD Hong Kong Dollar</v>
          </cell>
          <cell r="AJ72" t="str">
            <v>HK$</v>
          </cell>
          <cell r="AK72" t="str">
            <v>HKD</v>
          </cell>
          <cell r="AL72" t="str">
            <v>HKD</v>
          </cell>
          <cell r="AM72">
            <v>0</v>
          </cell>
          <cell r="AN72">
            <v>2</v>
          </cell>
        </row>
        <row r="73">
          <cell r="A73">
            <v>40259</v>
          </cell>
          <cell r="B73">
            <v>40259</v>
          </cell>
          <cell r="C73" t="str">
            <v>Past</v>
          </cell>
          <cell r="D73">
            <v>66.169999000000004</v>
          </cell>
          <cell r="E73" t="e">
            <v>#N/A</v>
          </cell>
          <cell r="F73" t="e">
            <v>#N/A</v>
          </cell>
          <cell r="G73" t="e">
            <v>#N/A</v>
          </cell>
          <cell r="H73" t="e">
            <v>#N/A</v>
          </cell>
          <cell r="I73" t="e">
            <v>#N/A</v>
          </cell>
          <cell r="J73" t="e">
            <v>#N/A</v>
          </cell>
          <cell r="K73" t="e">
            <v>#N/A</v>
          </cell>
          <cell r="L73" t="e">
            <v>#N/A</v>
          </cell>
          <cell r="M73" t="e">
            <v>#N/A</v>
          </cell>
          <cell r="N73" t="e">
            <v>#N/A</v>
          </cell>
          <cell r="O73" t="e">
            <v>#N/A</v>
          </cell>
          <cell r="P73">
            <v>66.169999000000004</v>
          </cell>
          <cell r="Q73">
            <v>2.860106</v>
          </cell>
          <cell r="R73" t="e">
            <v>#N/A</v>
          </cell>
          <cell r="AI73" t="str">
            <v>HUF Hungarian forint</v>
          </cell>
          <cell r="AJ73" t="str">
            <v>Ft</v>
          </cell>
          <cell r="AK73" t="str">
            <v>HUF</v>
          </cell>
          <cell r="AL73" t="str">
            <v>HUF</v>
          </cell>
          <cell r="AM73">
            <v>0</v>
          </cell>
          <cell r="AN73">
            <v>2</v>
          </cell>
        </row>
        <row r="74">
          <cell r="A74">
            <v>40260</v>
          </cell>
          <cell r="B74">
            <v>40260</v>
          </cell>
          <cell r="C74" t="str">
            <v>Past</v>
          </cell>
          <cell r="D74">
            <v>66.069992999999997</v>
          </cell>
          <cell r="E74" t="e">
            <v>#N/A</v>
          </cell>
          <cell r="F74" t="e">
            <v>#N/A</v>
          </cell>
          <cell r="G74" t="e">
            <v>#N/A</v>
          </cell>
          <cell r="H74" t="e">
            <v>#N/A</v>
          </cell>
          <cell r="I74" t="e">
            <v>#N/A</v>
          </cell>
          <cell r="J74" t="e">
            <v>#N/A</v>
          </cell>
          <cell r="K74" t="e">
            <v>#N/A</v>
          </cell>
          <cell r="L74" t="e">
            <v>#N/A</v>
          </cell>
          <cell r="M74" t="e">
            <v>#N/A</v>
          </cell>
          <cell r="N74" t="e">
            <v>#N/A</v>
          </cell>
          <cell r="O74" t="e">
            <v>#N/A</v>
          </cell>
          <cell r="P74">
            <v>66.069992999999997</v>
          </cell>
          <cell r="Q74">
            <v>2.2361550000000001</v>
          </cell>
          <cell r="R74" t="e">
            <v>#N/A</v>
          </cell>
          <cell r="AI74" t="str">
            <v>IDR Indonesian Rupiah</v>
          </cell>
          <cell r="AJ74" t="str">
            <v>Rp</v>
          </cell>
          <cell r="AK74" t="str">
            <v>IDR</v>
          </cell>
          <cell r="AL74" t="str">
            <v>IDR</v>
          </cell>
          <cell r="AM74">
            <v>0</v>
          </cell>
          <cell r="AN74">
            <v>0</v>
          </cell>
        </row>
        <row r="75">
          <cell r="A75">
            <v>40261</v>
          </cell>
          <cell r="B75">
            <v>40261</v>
          </cell>
          <cell r="C75" t="str">
            <v>Past</v>
          </cell>
          <cell r="D75">
            <v>65.469986000000006</v>
          </cell>
          <cell r="E75" t="e">
            <v>#N/A</v>
          </cell>
          <cell r="F75" t="e">
            <v>#N/A</v>
          </cell>
          <cell r="G75" t="e">
            <v>#N/A</v>
          </cell>
          <cell r="H75" t="e">
            <v>#N/A</v>
          </cell>
          <cell r="I75" t="e">
            <v>#N/A</v>
          </cell>
          <cell r="J75" t="e">
            <v>#N/A</v>
          </cell>
          <cell r="K75" t="e">
            <v>#N/A</v>
          </cell>
          <cell r="L75" t="e">
            <v>#N/A</v>
          </cell>
          <cell r="M75" t="e">
            <v>#N/A</v>
          </cell>
          <cell r="N75" t="e">
            <v>#N/A</v>
          </cell>
          <cell r="O75" t="e">
            <v>#N/A</v>
          </cell>
          <cell r="P75">
            <v>65.469986000000006</v>
          </cell>
          <cell r="Q75">
            <v>1.9378949999999999</v>
          </cell>
          <cell r="R75" t="e">
            <v>#N/A</v>
          </cell>
          <cell r="AI75" t="str">
            <v>ILS Israeli shekel</v>
          </cell>
          <cell r="AJ75" t="str">
            <v>ILS</v>
          </cell>
          <cell r="AK75" t="str">
            <v>ILS</v>
          </cell>
          <cell r="AL75" t="str">
            <v>ILS</v>
          </cell>
          <cell r="AM75">
            <v>0</v>
          </cell>
          <cell r="AN75">
            <v>2</v>
          </cell>
        </row>
        <row r="76">
          <cell r="A76">
            <v>40262</v>
          </cell>
          <cell r="B76">
            <v>40262</v>
          </cell>
          <cell r="C76" t="str">
            <v>Past</v>
          </cell>
          <cell r="D76">
            <v>65.39</v>
          </cell>
          <cell r="E76" t="e">
            <v>#N/A</v>
          </cell>
          <cell r="F76" t="e">
            <v>#N/A</v>
          </cell>
          <cell r="G76" t="e">
            <v>#N/A</v>
          </cell>
          <cell r="H76" t="e">
            <v>#N/A</v>
          </cell>
          <cell r="I76" t="e">
            <v>#N/A</v>
          </cell>
          <cell r="J76" t="e">
            <v>#N/A</v>
          </cell>
          <cell r="K76" t="e">
            <v>#N/A</v>
          </cell>
          <cell r="L76" t="e">
            <v>#N/A</v>
          </cell>
          <cell r="M76" t="e">
            <v>#N/A</v>
          </cell>
          <cell r="N76" t="e">
            <v>#N/A</v>
          </cell>
          <cell r="O76" t="e">
            <v>#N/A</v>
          </cell>
          <cell r="P76">
            <v>65.39</v>
          </cell>
          <cell r="Q76">
            <v>2.364824</v>
          </cell>
          <cell r="R76" t="e">
            <v>#N/A</v>
          </cell>
          <cell r="AI76" t="str">
            <v>INR Indian Rupee</v>
          </cell>
          <cell r="AJ76" t="str">
            <v>Rs.</v>
          </cell>
          <cell r="AK76" t="str">
            <v>INR</v>
          </cell>
          <cell r="AL76" t="str">
            <v>INR</v>
          </cell>
          <cell r="AM76">
            <v>0</v>
          </cell>
          <cell r="AN76">
            <v>2</v>
          </cell>
        </row>
        <row r="77">
          <cell r="A77">
            <v>40263</v>
          </cell>
          <cell r="B77">
            <v>40263</v>
          </cell>
          <cell r="C77" t="str">
            <v>Past</v>
          </cell>
          <cell r="D77">
            <v>65.019990000000007</v>
          </cell>
          <cell r="E77" t="e">
            <v>#N/A</v>
          </cell>
          <cell r="F77" t="e">
            <v>#N/A</v>
          </cell>
          <cell r="G77" t="e">
            <v>#N/A</v>
          </cell>
          <cell r="H77" t="e">
            <v>#N/A</v>
          </cell>
          <cell r="I77" t="e">
            <v>#N/A</v>
          </cell>
          <cell r="J77" t="e">
            <v>#N/A</v>
          </cell>
          <cell r="K77" t="e">
            <v>#N/A</v>
          </cell>
          <cell r="L77" t="e">
            <v>#N/A</v>
          </cell>
          <cell r="M77" t="e">
            <v>#N/A</v>
          </cell>
          <cell r="N77" t="e">
            <v>#N/A</v>
          </cell>
          <cell r="O77" t="e">
            <v>#N/A</v>
          </cell>
          <cell r="P77">
            <v>65.019990000000007</v>
          </cell>
          <cell r="Q77">
            <v>2.380592</v>
          </cell>
          <cell r="R77" t="e">
            <v>#N/A</v>
          </cell>
          <cell r="AI77" t="str">
            <v>IQD Iraqi Dinar</v>
          </cell>
          <cell r="AJ77" t="str">
            <v>IQD</v>
          </cell>
          <cell r="AK77" t="str">
            <v>IQD</v>
          </cell>
          <cell r="AL77" t="str">
            <v>IQD</v>
          </cell>
          <cell r="AM77">
            <v>0</v>
          </cell>
          <cell r="AN77">
            <v>2</v>
          </cell>
        </row>
        <row r="78">
          <cell r="A78">
            <v>40266</v>
          </cell>
          <cell r="B78">
            <v>40266</v>
          </cell>
          <cell r="C78" t="str">
            <v>Past</v>
          </cell>
          <cell r="D78">
            <v>64.679992999999996</v>
          </cell>
          <cell r="E78" t="e">
            <v>#N/A</v>
          </cell>
          <cell r="F78" t="e">
            <v>#N/A</v>
          </cell>
          <cell r="G78" t="e">
            <v>#N/A</v>
          </cell>
          <cell r="H78" t="e">
            <v>#N/A</v>
          </cell>
          <cell r="I78" t="e">
            <v>#N/A</v>
          </cell>
          <cell r="J78" t="e">
            <v>#N/A</v>
          </cell>
          <cell r="K78" t="e">
            <v>#N/A</v>
          </cell>
          <cell r="L78" t="e">
            <v>#N/A</v>
          </cell>
          <cell r="M78" t="e">
            <v>#N/A</v>
          </cell>
          <cell r="N78" t="e">
            <v>#N/A</v>
          </cell>
          <cell r="O78" t="e">
            <v>#N/A</v>
          </cell>
          <cell r="P78">
            <v>64.679992999999996</v>
          </cell>
          <cell r="Q78">
            <v>3.3155950000000001</v>
          </cell>
          <cell r="R78" t="e">
            <v>#N/A</v>
          </cell>
          <cell r="AI78" t="str">
            <v>IRR Iranian Rial</v>
          </cell>
          <cell r="AJ78" t="str">
            <v>IRR</v>
          </cell>
          <cell r="AK78" t="str">
            <v>IRR</v>
          </cell>
          <cell r="AL78" t="str">
            <v>IRR</v>
          </cell>
          <cell r="AM78">
            <v>0</v>
          </cell>
          <cell r="AN78">
            <v>2</v>
          </cell>
        </row>
        <row r="79">
          <cell r="A79">
            <v>40267</v>
          </cell>
          <cell r="B79">
            <v>40267</v>
          </cell>
          <cell r="C79" t="str">
            <v>Past</v>
          </cell>
          <cell r="D79">
            <v>65.199996999999996</v>
          </cell>
          <cell r="E79" t="e">
            <v>#N/A</v>
          </cell>
          <cell r="F79" t="e">
            <v>#N/A</v>
          </cell>
          <cell r="G79" t="e">
            <v>#N/A</v>
          </cell>
          <cell r="H79" t="e">
            <v>#N/A</v>
          </cell>
          <cell r="I79" t="e">
            <v>#N/A</v>
          </cell>
          <cell r="J79" t="e">
            <v>#N/A</v>
          </cell>
          <cell r="K79" t="e">
            <v>#N/A</v>
          </cell>
          <cell r="L79" t="e">
            <v>#N/A</v>
          </cell>
          <cell r="M79" t="e">
            <v>#N/A</v>
          </cell>
          <cell r="N79" t="e">
            <v>#N/A</v>
          </cell>
          <cell r="O79" t="e">
            <v>#N/A</v>
          </cell>
          <cell r="P79">
            <v>65.199996999999996</v>
          </cell>
          <cell r="Q79">
            <v>1.6378809999999999</v>
          </cell>
          <cell r="R79" t="e">
            <v>#N/A</v>
          </cell>
          <cell r="AI79" t="str">
            <v>ISK Iceland Krona</v>
          </cell>
          <cell r="AJ79" t="str">
            <v>kr</v>
          </cell>
          <cell r="AK79" t="str">
            <v>ISK</v>
          </cell>
          <cell r="AL79" t="str">
            <v>ISK</v>
          </cell>
          <cell r="AM79">
            <v>0</v>
          </cell>
          <cell r="AN79">
            <v>2</v>
          </cell>
        </row>
        <row r="80">
          <cell r="A80">
            <v>40268</v>
          </cell>
          <cell r="B80">
            <v>40268</v>
          </cell>
          <cell r="C80" t="str">
            <v>Past</v>
          </cell>
          <cell r="D80">
            <v>64.559997999999993</v>
          </cell>
          <cell r="E80" t="e">
            <v>#N/A</v>
          </cell>
          <cell r="F80" t="e">
            <v>#N/A</v>
          </cell>
          <cell r="G80" t="e">
            <v>#N/A</v>
          </cell>
          <cell r="H80" t="e">
            <v>#N/A</v>
          </cell>
          <cell r="I80" t="e">
            <v>#N/A</v>
          </cell>
          <cell r="J80" t="e">
            <v>#N/A</v>
          </cell>
          <cell r="K80" t="e">
            <v>#N/A</v>
          </cell>
          <cell r="L80" t="e">
            <v>#N/A</v>
          </cell>
          <cell r="M80" t="e">
            <v>#N/A</v>
          </cell>
          <cell r="N80" t="e">
            <v>#N/A</v>
          </cell>
          <cell r="O80" t="e">
            <v>#N/A</v>
          </cell>
          <cell r="P80">
            <v>64.559997999999993</v>
          </cell>
          <cell r="Q80">
            <v>1.9850490000000001</v>
          </cell>
          <cell r="R80" t="e">
            <v>#N/A</v>
          </cell>
          <cell r="AI80" t="str">
            <v>JMD Jamaican Dollars</v>
          </cell>
          <cell r="AJ80" t="str">
            <v>JMD</v>
          </cell>
          <cell r="AK80" t="str">
            <v>JMD</v>
          </cell>
          <cell r="AL80" t="str">
            <v>JMD</v>
          </cell>
          <cell r="AM80">
            <v>0</v>
          </cell>
          <cell r="AN80">
            <v>2</v>
          </cell>
        </row>
        <row r="81">
          <cell r="A81">
            <v>40269</v>
          </cell>
          <cell r="B81">
            <v>40269</v>
          </cell>
          <cell r="C81" t="str">
            <v>Past</v>
          </cell>
          <cell r="D81">
            <v>64.099991000000003</v>
          </cell>
          <cell r="E81" t="e">
            <v>#N/A</v>
          </cell>
          <cell r="F81" t="e">
            <v>#N/A</v>
          </cell>
          <cell r="G81" t="e">
            <v>#N/A</v>
          </cell>
          <cell r="H81" t="e">
            <v>#N/A</v>
          </cell>
          <cell r="I81" t="e">
            <v>#N/A</v>
          </cell>
          <cell r="J81" t="e">
            <v>#N/A</v>
          </cell>
          <cell r="K81" t="e">
            <v>#N/A</v>
          </cell>
          <cell r="L81" t="e">
            <v>#N/A</v>
          </cell>
          <cell r="M81" t="e">
            <v>#N/A</v>
          </cell>
          <cell r="N81" t="e">
            <v>#N/A</v>
          </cell>
          <cell r="O81" t="e">
            <v>#N/A</v>
          </cell>
          <cell r="P81">
            <v>64.099991000000003</v>
          </cell>
          <cell r="Q81">
            <v>3.7234310000000002</v>
          </cell>
          <cell r="R81" t="e">
            <v>#N/A</v>
          </cell>
          <cell r="AI81" t="str">
            <v>JPY Japanese Yen</v>
          </cell>
          <cell r="AJ81" t="str">
            <v>¥</v>
          </cell>
          <cell r="AK81" t="str">
            <v>JPY</v>
          </cell>
          <cell r="AL81" t="str">
            <v>JPY</v>
          </cell>
          <cell r="AM81">
            <v>0</v>
          </cell>
          <cell r="AN81">
            <v>0</v>
          </cell>
        </row>
        <row r="82">
          <cell r="A82">
            <v>40273</v>
          </cell>
          <cell r="B82">
            <v>40273</v>
          </cell>
          <cell r="C82" t="str">
            <v>Past</v>
          </cell>
          <cell r="D82">
            <v>63.509995000000004</v>
          </cell>
          <cell r="E82" t="e">
            <v>#N/A</v>
          </cell>
          <cell r="F82" t="e">
            <v>#N/A</v>
          </cell>
          <cell r="G82" t="e">
            <v>#N/A</v>
          </cell>
          <cell r="H82" t="e">
            <v>#N/A</v>
          </cell>
          <cell r="I82" t="e">
            <v>#N/A</v>
          </cell>
          <cell r="J82" t="e">
            <v>#N/A</v>
          </cell>
          <cell r="K82" t="e">
            <v>#N/A</v>
          </cell>
          <cell r="L82" t="e">
            <v>#N/A</v>
          </cell>
          <cell r="M82" t="e">
            <v>#N/A</v>
          </cell>
          <cell r="N82" t="e">
            <v>#N/A</v>
          </cell>
          <cell r="O82" t="e">
            <v>#N/A</v>
          </cell>
          <cell r="P82">
            <v>63.509995000000004</v>
          </cell>
          <cell r="Q82">
            <v>3.566147</v>
          </cell>
          <cell r="R82" t="e">
            <v>#N/A</v>
          </cell>
          <cell r="AI82" t="str">
            <v>KES Kenyan Shilling</v>
          </cell>
          <cell r="AJ82" t="str">
            <v>KES</v>
          </cell>
          <cell r="AK82" t="str">
            <v>KES</v>
          </cell>
          <cell r="AL82" t="str">
            <v>KES</v>
          </cell>
          <cell r="AM82">
            <v>0</v>
          </cell>
          <cell r="AN82">
            <v>0</v>
          </cell>
        </row>
        <row r="83">
          <cell r="A83">
            <v>40274</v>
          </cell>
          <cell r="B83">
            <v>40274</v>
          </cell>
          <cell r="C83" t="str">
            <v>Past</v>
          </cell>
          <cell r="D83">
            <v>64.039993999999993</v>
          </cell>
          <cell r="E83" t="e">
            <v>#N/A</v>
          </cell>
          <cell r="F83" t="e">
            <v>#N/A</v>
          </cell>
          <cell r="G83" t="e">
            <v>#N/A</v>
          </cell>
          <cell r="H83" t="e">
            <v>#N/A</v>
          </cell>
          <cell r="I83" t="e">
            <v>#N/A</v>
          </cell>
          <cell r="J83" t="e">
            <v>#N/A</v>
          </cell>
          <cell r="K83" t="e">
            <v>#N/A</v>
          </cell>
          <cell r="L83" t="e">
            <v>#N/A</v>
          </cell>
          <cell r="M83" t="e">
            <v>#N/A</v>
          </cell>
          <cell r="N83" t="e">
            <v>#N/A</v>
          </cell>
          <cell r="O83" t="e">
            <v>#N/A</v>
          </cell>
          <cell r="P83">
            <v>64.039993999999993</v>
          </cell>
          <cell r="Q83">
            <v>2.1507170000000002</v>
          </cell>
          <cell r="R83" t="e">
            <v>#N/A</v>
          </cell>
          <cell r="AI83" t="str">
            <v>KRW South Korean Won</v>
          </cell>
          <cell r="AJ83" t="str">
            <v>₩</v>
          </cell>
          <cell r="AK83" t="str">
            <v>KRW</v>
          </cell>
          <cell r="AL83" t="str">
            <v>KRW</v>
          </cell>
          <cell r="AM83">
            <v>0</v>
          </cell>
          <cell r="AN83">
            <v>0</v>
          </cell>
        </row>
        <row r="84">
          <cell r="A84">
            <v>40275</v>
          </cell>
          <cell r="B84">
            <v>40275</v>
          </cell>
          <cell r="C84" t="str">
            <v>Past</v>
          </cell>
          <cell r="D84">
            <v>64.239991000000003</v>
          </cell>
          <cell r="E84" t="e">
            <v>#N/A</v>
          </cell>
          <cell r="F84" t="e">
            <v>#N/A</v>
          </cell>
          <cell r="G84" t="e">
            <v>#N/A</v>
          </cell>
          <cell r="H84" t="e">
            <v>#N/A</v>
          </cell>
          <cell r="I84" t="e">
            <v>#N/A</v>
          </cell>
          <cell r="J84" t="e">
            <v>#N/A</v>
          </cell>
          <cell r="K84" t="e">
            <v>#N/A</v>
          </cell>
          <cell r="L84" t="e">
            <v>#N/A</v>
          </cell>
          <cell r="M84" t="e">
            <v>#N/A</v>
          </cell>
          <cell r="N84" t="e">
            <v>#N/A</v>
          </cell>
          <cell r="O84" t="e">
            <v>#N/A</v>
          </cell>
          <cell r="P84">
            <v>64.239991000000003</v>
          </cell>
          <cell r="Q84">
            <v>3.1078079999999999</v>
          </cell>
          <cell r="R84" t="e">
            <v>#N/A</v>
          </cell>
          <cell r="AI84" t="str">
            <v>KWD Kuwaiti Dinar</v>
          </cell>
          <cell r="AJ84" t="str">
            <v>KWD</v>
          </cell>
          <cell r="AK84" t="str">
            <v>KWD</v>
          </cell>
          <cell r="AL84" t="str">
            <v>KWD</v>
          </cell>
          <cell r="AM84">
            <v>0</v>
          </cell>
          <cell r="AN84">
            <v>2</v>
          </cell>
        </row>
        <row r="85">
          <cell r="A85">
            <v>40276</v>
          </cell>
          <cell r="B85">
            <v>40276</v>
          </cell>
          <cell r="C85" t="str">
            <v>Past</v>
          </cell>
          <cell r="D85">
            <v>64.419999000000004</v>
          </cell>
          <cell r="E85" t="e">
            <v>#N/A</v>
          </cell>
          <cell r="F85" t="e">
            <v>#N/A</v>
          </cell>
          <cell r="G85" t="e">
            <v>#N/A</v>
          </cell>
          <cell r="H85" t="e">
            <v>#N/A</v>
          </cell>
          <cell r="I85" t="e">
            <v>#N/A</v>
          </cell>
          <cell r="J85" t="e">
            <v>#N/A</v>
          </cell>
          <cell r="K85" t="e">
            <v>#N/A</v>
          </cell>
          <cell r="L85" t="e">
            <v>#N/A</v>
          </cell>
          <cell r="M85" t="e">
            <v>#N/A</v>
          </cell>
          <cell r="N85" t="e">
            <v>#N/A</v>
          </cell>
          <cell r="O85" t="e">
            <v>#N/A</v>
          </cell>
          <cell r="P85">
            <v>64.419999000000004</v>
          </cell>
          <cell r="Q85">
            <v>3.3755329999999999</v>
          </cell>
          <cell r="R85" t="e">
            <v>#N/A</v>
          </cell>
          <cell r="AI85" t="str">
            <v>KWf Kuwaiti Fills</v>
          </cell>
          <cell r="AJ85" t="str">
            <v>KWf</v>
          </cell>
          <cell r="AK85" t="str">
            <v>KWf</v>
          </cell>
          <cell r="AL85" t="str">
            <v>KWf</v>
          </cell>
          <cell r="AM85">
            <v>0</v>
          </cell>
          <cell r="AN85">
            <v>0</v>
          </cell>
        </row>
        <row r="86">
          <cell r="A86">
            <v>40277</v>
          </cell>
          <cell r="B86">
            <v>40277</v>
          </cell>
          <cell r="C86" t="str">
            <v>Past</v>
          </cell>
          <cell r="D86">
            <v>64.449996999999996</v>
          </cell>
          <cell r="E86" t="e">
            <v>#N/A</v>
          </cell>
          <cell r="F86" t="e">
            <v>#N/A</v>
          </cell>
          <cell r="G86" t="e">
            <v>#N/A</v>
          </cell>
          <cell r="H86" t="e">
            <v>#N/A</v>
          </cell>
          <cell r="I86" t="e">
            <v>#N/A</v>
          </cell>
          <cell r="J86" t="e">
            <v>#N/A</v>
          </cell>
          <cell r="K86" t="e">
            <v>#N/A</v>
          </cell>
          <cell r="L86" t="e">
            <v>#N/A</v>
          </cell>
          <cell r="M86" t="e">
            <v>#N/A</v>
          </cell>
          <cell r="N86" t="e">
            <v>#N/A</v>
          </cell>
          <cell r="O86" t="e">
            <v>#N/A</v>
          </cell>
          <cell r="P86">
            <v>64.449996999999996</v>
          </cell>
          <cell r="Q86">
            <v>2.7908569999999999</v>
          </cell>
          <cell r="R86" t="e">
            <v>#N/A</v>
          </cell>
          <cell r="AI86" t="str">
            <v>KYD Cayman Dollars</v>
          </cell>
          <cell r="AJ86" t="str">
            <v>KYD</v>
          </cell>
          <cell r="AK86" t="str">
            <v>KYD</v>
          </cell>
          <cell r="AL86" t="str">
            <v>KYD</v>
          </cell>
          <cell r="AM86">
            <v>0</v>
          </cell>
          <cell r="AN86">
            <v>2</v>
          </cell>
        </row>
        <row r="87">
          <cell r="A87">
            <v>40280</v>
          </cell>
          <cell r="B87">
            <v>40280</v>
          </cell>
          <cell r="C87" t="str">
            <v>Past</v>
          </cell>
          <cell r="D87">
            <v>64.029999000000004</v>
          </cell>
          <cell r="E87" t="e">
            <v>#N/A</v>
          </cell>
          <cell r="F87" t="e">
            <v>#N/A</v>
          </cell>
          <cell r="G87" t="e">
            <v>#N/A</v>
          </cell>
          <cell r="H87" t="e">
            <v>#N/A</v>
          </cell>
          <cell r="I87" t="e">
            <v>#N/A</v>
          </cell>
          <cell r="J87" t="e">
            <v>#N/A</v>
          </cell>
          <cell r="K87" t="e">
            <v>#N/A</v>
          </cell>
          <cell r="L87" t="e">
            <v>#N/A</v>
          </cell>
          <cell r="M87" t="e">
            <v>#N/A</v>
          </cell>
          <cell r="N87" t="e">
            <v>#N/A</v>
          </cell>
          <cell r="O87" t="e">
            <v>#N/A</v>
          </cell>
          <cell r="P87">
            <v>64.029999000000004</v>
          </cell>
          <cell r="Q87">
            <v>1.7657879999999999</v>
          </cell>
          <cell r="R87" t="e">
            <v>#N/A</v>
          </cell>
          <cell r="AI87" t="str">
            <v>LKR Sri Lankan Rupee</v>
          </cell>
          <cell r="AJ87" t="str">
            <v>LKR</v>
          </cell>
          <cell r="AK87" t="str">
            <v>LKR</v>
          </cell>
          <cell r="AL87" t="str">
            <v>LKR</v>
          </cell>
          <cell r="AM87">
            <v>0</v>
          </cell>
          <cell r="AN87">
            <v>2</v>
          </cell>
        </row>
        <row r="88">
          <cell r="A88">
            <v>40281</v>
          </cell>
          <cell r="B88">
            <v>40281</v>
          </cell>
          <cell r="C88" t="str">
            <v>Past</v>
          </cell>
          <cell r="D88">
            <v>63.329987000000003</v>
          </cell>
          <cell r="E88" t="e">
            <v>#N/A</v>
          </cell>
          <cell r="F88" t="e">
            <v>#N/A</v>
          </cell>
          <cell r="G88" t="e">
            <v>#N/A</v>
          </cell>
          <cell r="H88" t="e">
            <v>#N/A</v>
          </cell>
          <cell r="I88" t="e">
            <v>#N/A</v>
          </cell>
          <cell r="J88" t="e">
            <v>#N/A</v>
          </cell>
          <cell r="K88" t="e">
            <v>#N/A</v>
          </cell>
          <cell r="L88" t="e">
            <v>#N/A</v>
          </cell>
          <cell r="M88" t="e">
            <v>#N/A</v>
          </cell>
          <cell r="N88" t="e">
            <v>#N/A</v>
          </cell>
          <cell r="O88" t="e">
            <v>#N/A</v>
          </cell>
          <cell r="P88">
            <v>63.329987000000003</v>
          </cell>
          <cell r="Q88">
            <v>3.5448379999999999</v>
          </cell>
          <cell r="R88" t="e">
            <v>#N/A</v>
          </cell>
          <cell r="AI88" t="str">
            <v>MAD Moroccan Dirham</v>
          </cell>
          <cell r="AJ88" t="str">
            <v>MAD</v>
          </cell>
          <cell r="AK88" t="str">
            <v>MAD</v>
          </cell>
          <cell r="AL88" t="str">
            <v>MAD</v>
          </cell>
          <cell r="AM88">
            <v>0</v>
          </cell>
          <cell r="AN88">
            <v>2</v>
          </cell>
        </row>
        <row r="89">
          <cell r="A89">
            <v>40282</v>
          </cell>
          <cell r="B89">
            <v>40282</v>
          </cell>
          <cell r="C89" t="str">
            <v>Past</v>
          </cell>
          <cell r="D89">
            <v>61.959992</v>
          </cell>
          <cell r="E89" t="e">
            <v>#N/A</v>
          </cell>
          <cell r="F89" t="e">
            <v>#N/A</v>
          </cell>
          <cell r="G89" t="e">
            <v>#N/A</v>
          </cell>
          <cell r="H89" t="e">
            <v>#N/A</v>
          </cell>
          <cell r="I89" t="e">
            <v>#N/A</v>
          </cell>
          <cell r="J89" t="e">
            <v>#N/A</v>
          </cell>
          <cell r="K89" t="e">
            <v>#N/A</v>
          </cell>
          <cell r="L89" t="e">
            <v>#N/A</v>
          </cell>
          <cell r="M89" t="e">
            <v>#N/A</v>
          </cell>
          <cell r="N89" t="e">
            <v>#N/A</v>
          </cell>
          <cell r="O89" t="e">
            <v>#N/A</v>
          </cell>
          <cell r="P89">
            <v>61.959992</v>
          </cell>
          <cell r="Q89">
            <v>4.9193360000000004</v>
          </cell>
          <cell r="R89" t="e">
            <v>#N/A</v>
          </cell>
          <cell r="AI89" t="str">
            <v>MXN Mexican Pesos (new)</v>
          </cell>
          <cell r="AJ89" t="str">
            <v>M$</v>
          </cell>
          <cell r="AK89" t="str">
            <v>MXN</v>
          </cell>
          <cell r="AL89" t="str">
            <v>MXN</v>
          </cell>
          <cell r="AM89">
            <v>0</v>
          </cell>
          <cell r="AN89">
            <v>2</v>
          </cell>
        </row>
        <row r="90">
          <cell r="A90">
            <v>40283</v>
          </cell>
          <cell r="B90">
            <v>40283</v>
          </cell>
          <cell r="C90" t="str">
            <v>Past</v>
          </cell>
          <cell r="D90">
            <v>61.449997000000003</v>
          </cell>
          <cell r="E90" t="e">
            <v>#N/A</v>
          </cell>
          <cell r="F90" t="e">
            <v>#N/A</v>
          </cell>
          <cell r="G90" t="e">
            <v>#N/A</v>
          </cell>
          <cell r="H90" t="e">
            <v>#N/A</v>
          </cell>
          <cell r="I90" t="e">
            <v>#N/A</v>
          </cell>
          <cell r="J90" t="e">
            <v>#N/A</v>
          </cell>
          <cell r="K90" t="e">
            <v>#N/A</v>
          </cell>
          <cell r="L90" t="e">
            <v>#N/A</v>
          </cell>
          <cell r="M90" t="e">
            <v>#N/A</v>
          </cell>
          <cell r="N90" t="e">
            <v>#N/A</v>
          </cell>
          <cell r="O90" t="e">
            <v>#N/A</v>
          </cell>
          <cell r="P90">
            <v>61.449997000000003</v>
          </cell>
          <cell r="Q90">
            <v>4.2212810000000003</v>
          </cell>
          <cell r="R90" t="e">
            <v>#N/A</v>
          </cell>
          <cell r="AI90" t="str">
            <v>MYR Malaysian Ringgit</v>
          </cell>
          <cell r="AJ90" t="str">
            <v>RM</v>
          </cell>
          <cell r="AK90" t="str">
            <v>MYR</v>
          </cell>
          <cell r="AL90" t="str">
            <v>MYR</v>
          </cell>
          <cell r="AM90">
            <v>0</v>
          </cell>
          <cell r="AN90">
            <v>2</v>
          </cell>
        </row>
        <row r="91">
          <cell r="A91">
            <v>40284</v>
          </cell>
          <cell r="B91">
            <v>40284</v>
          </cell>
          <cell r="C91" t="str">
            <v>Past</v>
          </cell>
          <cell r="D91">
            <v>61.819992999999997</v>
          </cell>
          <cell r="E91" t="e">
            <v>#N/A</v>
          </cell>
          <cell r="F91" t="e">
            <v>#N/A</v>
          </cell>
          <cell r="G91" t="e">
            <v>#N/A</v>
          </cell>
          <cell r="H91" t="e">
            <v>#N/A</v>
          </cell>
          <cell r="I91" t="e">
            <v>#N/A</v>
          </cell>
          <cell r="J91" t="e">
            <v>#N/A</v>
          </cell>
          <cell r="K91" t="e">
            <v>#N/A</v>
          </cell>
          <cell r="L91" t="e">
            <v>#N/A</v>
          </cell>
          <cell r="M91" t="e">
            <v>#N/A</v>
          </cell>
          <cell r="N91" t="e">
            <v>#N/A</v>
          </cell>
          <cell r="O91" t="e">
            <v>#N/A</v>
          </cell>
          <cell r="P91">
            <v>61.819992999999997</v>
          </cell>
          <cell r="Q91">
            <v>3.191811</v>
          </cell>
          <cell r="R91" t="e">
            <v>#N/A</v>
          </cell>
          <cell r="AI91" t="str">
            <v>NGN Nigerian Naira</v>
          </cell>
          <cell r="AJ91" t="str">
            <v>NGN</v>
          </cell>
          <cell r="AK91" t="str">
            <v>NGN</v>
          </cell>
          <cell r="AL91" t="str">
            <v>NGN</v>
          </cell>
          <cell r="AM91">
            <v>0</v>
          </cell>
          <cell r="AN91">
            <v>2</v>
          </cell>
        </row>
        <row r="92">
          <cell r="A92">
            <v>40287</v>
          </cell>
          <cell r="B92">
            <v>40287</v>
          </cell>
          <cell r="C92" t="str">
            <v>Past</v>
          </cell>
          <cell r="D92">
            <v>63.059998</v>
          </cell>
          <cell r="E92" t="e">
            <v>#N/A</v>
          </cell>
          <cell r="F92" t="e">
            <v>#N/A</v>
          </cell>
          <cell r="G92" t="e">
            <v>#N/A</v>
          </cell>
          <cell r="H92" t="e">
            <v>#N/A</v>
          </cell>
          <cell r="I92" t="e">
            <v>#N/A</v>
          </cell>
          <cell r="J92" t="e">
            <v>#N/A</v>
          </cell>
          <cell r="K92" t="e">
            <v>#N/A</v>
          </cell>
          <cell r="L92" t="e">
            <v>#N/A</v>
          </cell>
          <cell r="M92" t="e">
            <v>#N/A</v>
          </cell>
          <cell r="N92" t="e">
            <v>#N/A</v>
          </cell>
          <cell r="O92" t="e">
            <v>#N/A</v>
          </cell>
          <cell r="P92">
            <v>63.059998</v>
          </cell>
          <cell r="Q92">
            <v>2.6509309999999999</v>
          </cell>
          <cell r="R92" t="e">
            <v>#N/A</v>
          </cell>
          <cell r="AI92" t="str">
            <v>NOK Norwegian Krone</v>
          </cell>
          <cell r="AJ92" t="str">
            <v>NKr</v>
          </cell>
          <cell r="AK92" t="str">
            <v>NOK</v>
          </cell>
          <cell r="AL92" t="str">
            <v>NOK</v>
          </cell>
          <cell r="AM92">
            <v>0</v>
          </cell>
          <cell r="AN92">
            <v>2</v>
          </cell>
        </row>
        <row r="93">
          <cell r="A93">
            <v>40288</v>
          </cell>
          <cell r="B93">
            <v>40288</v>
          </cell>
          <cell r="C93" t="str">
            <v>Past</v>
          </cell>
          <cell r="D93">
            <v>64.379990000000006</v>
          </cell>
          <cell r="E93" t="e">
            <v>#N/A</v>
          </cell>
          <cell r="F93" t="e">
            <v>#N/A</v>
          </cell>
          <cell r="G93" t="e">
            <v>#N/A</v>
          </cell>
          <cell r="H93" t="e">
            <v>#N/A</v>
          </cell>
          <cell r="I93" t="e">
            <v>#N/A</v>
          </cell>
          <cell r="J93" t="e">
            <v>#N/A</v>
          </cell>
          <cell r="K93" t="e">
            <v>#N/A</v>
          </cell>
          <cell r="L93" t="e">
            <v>#N/A</v>
          </cell>
          <cell r="M93" t="e">
            <v>#N/A</v>
          </cell>
          <cell r="N93" t="e">
            <v>#N/A</v>
          </cell>
          <cell r="O93" t="e">
            <v>#N/A</v>
          </cell>
          <cell r="P93">
            <v>64.379990000000006</v>
          </cell>
          <cell r="Q93">
            <v>3.9533670000000001</v>
          </cell>
          <cell r="R93" t="e">
            <v>#N/A</v>
          </cell>
          <cell r="AI93" t="str">
            <v>NZD New Zealand Dollars</v>
          </cell>
          <cell r="AJ93" t="str">
            <v>NZ$</v>
          </cell>
          <cell r="AK93" t="str">
            <v>NZD</v>
          </cell>
          <cell r="AL93" t="str">
            <v>NZD</v>
          </cell>
          <cell r="AM93">
            <v>0</v>
          </cell>
          <cell r="AN93">
            <v>2</v>
          </cell>
        </row>
        <row r="94">
          <cell r="A94">
            <v>40289</v>
          </cell>
          <cell r="B94">
            <v>40289</v>
          </cell>
          <cell r="C94" t="str">
            <v>Past</v>
          </cell>
          <cell r="D94">
            <v>64.789993999999993</v>
          </cell>
          <cell r="E94" t="e">
            <v>#N/A</v>
          </cell>
          <cell r="F94" t="e">
            <v>#N/A</v>
          </cell>
          <cell r="G94" t="e">
            <v>#N/A</v>
          </cell>
          <cell r="H94" t="e">
            <v>#N/A</v>
          </cell>
          <cell r="I94" t="e">
            <v>#N/A</v>
          </cell>
          <cell r="J94" t="e">
            <v>#N/A</v>
          </cell>
          <cell r="K94" t="e">
            <v>#N/A</v>
          </cell>
          <cell r="L94" t="e">
            <v>#N/A</v>
          </cell>
          <cell r="M94" t="e">
            <v>#N/A</v>
          </cell>
          <cell r="N94" t="e">
            <v>#N/A</v>
          </cell>
          <cell r="O94" t="e">
            <v>#N/A</v>
          </cell>
          <cell r="P94">
            <v>64.789993999999993</v>
          </cell>
          <cell r="Q94">
            <v>4.8466060000000004</v>
          </cell>
          <cell r="R94" t="e">
            <v>#N/A</v>
          </cell>
          <cell r="AI94" t="str">
            <v>OMR Rial Omani</v>
          </cell>
          <cell r="AJ94" t="str">
            <v>OMR</v>
          </cell>
          <cell r="AK94" t="str">
            <v>OMR</v>
          </cell>
          <cell r="AL94" t="str">
            <v>OMR</v>
          </cell>
          <cell r="AM94">
            <v>0</v>
          </cell>
          <cell r="AN94">
            <v>2</v>
          </cell>
        </row>
        <row r="95">
          <cell r="A95">
            <v>40290</v>
          </cell>
          <cell r="B95">
            <v>40290</v>
          </cell>
          <cell r="C95" t="str">
            <v>Past</v>
          </cell>
          <cell r="D95">
            <v>63.959992</v>
          </cell>
          <cell r="E95" t="e">
            <v>#N/A</v>
          </cell>
          <cell r="F95" t="e">
            <v>#N/A</v>
          </cell>
          <cell r="G95" t="e">
            <v>#N/A</v>
          </cell>
          <cell r="H95" t="e">
            <v>#N/A</v>
          </cell>
          <cell r="I95" t="e">
            <v>#N/A</v>
          </cell>
          <cell r="J95" t="e">
            <v>#N/A</v>
          </cell>
          <cell r="K95" t="e">
            <v>#N/A</v>
          </cell>
          <cell r="L95" t="e">
            <v>#N/A</v>
          </cell>
          <cell r="M95" t="e">
            <v>#N/A</v>
          </cell>
          <cell r="N95" t="e">
            <v>#N/A</v>
          </cell>
          <cell r="O95" t="e">
            <v>#N/A</v>
          </cell>
          <cell r="P95">
            <v>63.959992</v>
          </cell>
          <cell r="Q95">
            <v>2.3991189999999998</v>
          </cell>
          <cell r="R95" t="e">
            <v>#N/A</v>
          </cell>
          <cell r="AI95" t="str">
            <v>PAB Panamanian Balboa</v>
          </cell>
          <cell r="AJ95" t="str">
            <v>PAB</v>
          </cell>
          <cell r="AK95" t="str">
            <v>PAB</v>
          </cell>
          <cell r="AL95" t="str">
            <v>PAB</v>
          </cell>
          <cell r="AM95">
            <v>0</v>
          </cell>
          <cell r="AN95">
            <v>2</v>
          </cell>
        </row>
        <row r="96">
          <cell r="A96">
            <v>40291</v>
          </cell>
          <cell r="B96">
            <v>40291</v>
          </cell>
          <cell r="C96" t="str">
            <v>Past</v>
          </cell>
          <cell r="D96">
            <v>64.409988999999996</v>
          </cell>
          <cell r="E96" t="e">
            <v>#N/A</v>
          </cell>
          <cell r="F96" t="e">
            <v>#N/A</v>
          </cell>
          <cell r="G96" t="e">
            <v>#N/A</v>
          </cell>
          <cell r="H96" t="e">
            <v>#N/A</v>
          </cell>
          <cell r="I96" t="e">
            <v>#N/A</v>
          </cell>
          <cell r="J96" t="e">
            <v>#N/A</v>
          </cell>
          <cell r="K96" t="e">
            <v>#N/A</v>
          </cell>
          <cell r="L96" t="e">
            <v>#N/A</v>
          </cell>
          <cell r="M96" t="e">
            <v>#N/A</v>
          </cell>
          <cell r="N96" t="e">
            <v>#N/A</v>
          </cell>
          <cell r="O96" t="e">
            <v>#N/A</v>
          </cell>
          <cell r="P96">
            <v>64.409988999999996</v>
          </cell>
          <cell r="Q96">
            <v>1.8942600000000001</v>
          </cell>
          <cell r="R96" t="e">
            <v>#N/A</v>
          </cell>
          <cell r="AI96" t="str">
            <v>PEN Peruvian PEN</v>
          </cell>
          <cell r="AJ96" t="str">
            <v>PEN</v>
          </cell>
          <cell r="AK96" t="str">
            <v>PEN</v>
          </cell>
          <cell r="AL96" t="str">
            <v>PEN</v>
          </cell>
          <cell r="AM96">
            <v>0</v>
          </cell>
          <cell r="AN96">
            <v>2</v>
          </cell>
        </row>
        <row r="97">
          <cell r="A97">
            <v>40294</v>
          </cell>
          <cell r="B97">
            <v>40294</v>
          </cell>
          <cell r="C97" t="str">
            <v>Past</v>
          </cell>
          <cell r="D97">
            <v>63.75</v>
          </cell>
          <cell r="E97" t="e">
            <v>#N/A</v>
          </cell>
          <cell r="F97" t="e">
            <v>#N/A</v>
          </cell>
          <cell r="G97" t="e">
            <v>#N/A</v>
          </cell>
          <cell r="H97" t="e">
            <v>#N/A</v>
          </cell>
          <cell r="I97" t="e">
            <v>#N/A</v>
          </cell>
          <cell r="J97" t="e">
            <v>#N/A</v>
          </cell>
          <cell r="K97" t="e">
            <v>#N/A</v>
          </cell>
          <cell r="L97" t="e">
            <v>#N/A</v>
          </cell>
          <cell r="M97" t="e">
            <v>#N/A</v>
          </cell>
          <cell r="N97" t="e">
            <v>#N/A</v>
          </cell>
          <cell r="O97" t="e">
            <v>#N/A</v>
          </cell>
          <cell r="P97">
            <v>63.75</v>
          </cell>
          <cell r="Q97">
            <v>1.516068</v>
          </cell>
          <cell r="R97" t="e">
            <v>#N/A</v>
          </cell>
          <cell r="AI97" t="str">
            <v>PHP Philippino Peso</v>
          </cell>
          <cell r="AJ97" t="str">
            <v>PP</v>
          </cell>
          <cell r="AK97" t="str">
            <v>PHP</v>
          </cell>
          <cell r="AL97" t="str">
            <v>PHP</v>
          </cell>
          <cell r="AM97">
            <v>0</v>
          </cell>
          <cell r="AN97">
            <v>2</v>
          </cell>
        </row>
        <row r="98">
          <cell r="A98">
            <v>40295</v>
          </cell>
          <cell r="B98">
            <v>40295</v>
          </cell>
          <cell r="C98" t="str">
            <v>Past</v>
          </cell>
          <cell r="D98">
            <v>63.01999</v>
          </cell>
          <cell r="E98" t="e">
            <v>#N/A</v>
          </cell>
          <cell r="F98" t="e">
            <v>#N/A</v>
          </cell>
          <cell r="G98" t="e">
            <v>#N/A</v>
          </cell>
          <cell r="H98" t="e">
            <v>#N/A</v>
          </cell>
          <cell r="I98" t="e">
            <v>#N/A</v>
          </cell>
          <cell r="J98" t="e">
            <v>#N/A</v>
          </cell>
          <cell r="K98" t="e">
            <v>#N/A</v>
          </cell>
          <cell r="L98" t="e">
            <v>#N/A</v>
          </cell>
          <cell r="M98" t="e">
            <v>#N/A</v>
          </cell>
          <cell r="N98" t="e">
            <v>#N/A</v>
          </cell>
          <cell r="O98" t="e">
            <v>#N/A</v>
          </cell>
          <cell r="P98">
            <v>63.01999</v>
          </cell>
          <cell r="Q98">
            <v>2.39289</v>
          </cell>
          <cell r="R98" t="e">
            <v>#N/A</v>
          </cell>
          <cell r="AI98" t="str">
            <v>PKR Pakistani Rupee</v>
          </cell>
          <cell r="AJ98" t="str">
            <v>Rs.</v>
          </cell>
          <cell r="AK98" t="str">
            <v>PKR</v>
          </cell>
          <cell r="AL98" t="str">
            <v>PKR</v>
          </cell>
          <cell r="AM98">
            <v>0</v>
          </cell>
          <cell r="AN98">
            <v>2</v>
          </cell>
        </row>
        <row r="99">
          <cell r="A99">
            <v>40296</v>
          </cell>
          <cell r="B99">
            <v>40296</v>
          </cell>
          <cell r="C99" t="str">
            <v>Past</v>
          </cell>
          <cell r="D99">
            <v>60.539994</v>
          </cell>
          <cell r="E99" t="e">
            <v>#N/A</v>
          </cell>
          <cell r="F99" t="e">
            <v>#N/A</v>
          </cell>
          <cell r="G99" t="e">
            <v>#N/A</v>
          </cell>
          <cell r="H99" t="e">
            <v>#N/A</v>
          </cell>
          <cell r="I99" t="e">
            <v>#N/A</v>
          </cell>
          <cell r="J99" t="e">
            <v>#N/A</v>
          </cell>
          <cell r="K99" t="e">
            <v>#N/A</v>
          </cell>
          <cell r="L99" t="e">
            <v>#N/A</v>
          </cell>
          <cell r="M99" t="e">
            <v>#N/A</v>
          </cell>
          <cell r="N99" t="e">
            <v>#N/A</v>
          </cell>
          <cell r="O99" t="e">
            <v>#N/A</v>
          </cell>
          <cell r="P99">
            <v>60.539994</v>
          </cell>
          <cell r="Q99">
            <v>10.295305000000001</v>
          </cell>
          <cell r="R99" t="e">
            <v>#N/A</v>
          </cell>
          <cell r="AI99" t="str">
            <v>PLN Polish Zloty</v>
          </cell>
          <cell r="AJ99" t="str">
            <v>zł</v>
          </cell>
          <cell r="AK99" t="str">
            <v>PLN</v>
          </cell>
          <cell r="AL99" t="str">
            <v>PLN</v>
          </cell>
          <cell r="AM99">
            <v>0</v>
          </cell>
          <cell r="AN99">
            <v>2</v>
          </cell>
        </row>
        <row r="100">
          <cell r="A100">
            <v>40297</v>
          </cell>
          <cell r="B100">
            <v>40297</v>
          </cell>
          <cell r="C100" t="str">
            <v>Past</v>
          </cell>
          <cell r="D100">
            <v>60.699997000000003</v>
          </cell>
          <cell r="E100" t="e">
            <v>#N/A</v>
          </cell>
          <cell r="F100" t="e">
            <v>#N/A</v>
          </cell>
          <cell r="G100" t="e">
            <v>#N/A</v>
          </cell>
          <cell r="H100" t="e">
            <v>#N/A</v>
          </cell>
          <cell r="I100" t="e">
            <v>#N/A</v>
          </cell>
          <cell r="J100" t="e">
            <v>#N/A</v>
          </cell>
          <cell r="K100" t="e">
            <v>#N/A</v>
          </cell>
          <cell r="L100" t="e">
            <v>#N/A</v>
          </cell>
          <cell r="M100" t="e">
            <v>#N/A</v>
          </cell>
          <cell r="N100" t="e">
            <v>#N/A</v>
          </cell>
          <cell r="O100" t="e">
            <v>#N/A</v>
          </cell>
          <cell r="P100">
            <v>60.699997000000003</v>
          </cell>
          <cell r="Q100">
            <v>5.3233480000000002</v>
          </cell>
          <cell r="R100" t="e">
            <v>#N/A</v>
          </cell>
          <cell r="AI100" t="str">
            <v>QAR Qatari Riyal</v>
          </cell>
          <cell r="AJ100" t="str">
            <v>QAR</v>
          </cell>
          <cell r="AK100" t="str">
            <v>QAR</v>
          </cell>
          <cell r="AL100" t="str">
            <v>QAR</v>
          </cell>
          <cell r="AM100">
            <v>0</v>
          </cell>
          <cell r="AN100">
            <v>2</v>
          </cell>
        </row>
        <row r="101">
          <cell r="A101">
            <v>40298</v>
          </cell>
          <cell r="B101">
            <v>40298</v>
          </cell>
          <cell r="C101" t="str">
            <v>Past</v>
          </cell>
          <cell r="D101">
            <v>58.919998999999997</v>
          </cell>
          <cell r="E101" t="e">
            <v>#N/A</v>
          </cell>
          <cell r="F101" t="e">
            <v>#N/A</v>
          </cell>
          <cell r="G101" t="e">
            <v>#N/A</v>
          </cell>
          <cell r="H101" t="e">
            <v>#N/A</v>
          </cell>
          <cell r="I101" t="e">
            <v>#N/A</v>
          </cell>
          <cell r="J101" t="e">
            <v>#N/A</v>
          </cell>
          <cell r="K101" t="e">
            <v>#N/A</v>
          </cell>
          <cell r="L101" t="e">
            <v>#N/A</v>
          </cell>
          <cell r="M101" t="e">
            <v>#N/A</v>
          </cell>
          <cell r="N101" t="e">
            <v>#N/A</v>
          </cell>
          <cell r="O101" t="e">
            <v>#N/A</v>
          </cell>
          <cell r="P101">
            <v>58.919998999999997</v>
          </cell>
          <cell r="Q101">
            <v>5.9785469999999998</v>
          </cell>
          <cell r="R101" t="e">
            <v>#N/A</v>
          </cell>
          <cell r="AI101" t="str">
            <v>RUB Russian Rouble</v>
          </cell>
          <cell r="AJ101" t="str">
            <v>RUB</v>
          </cell>
          <cell r="AK101" t="str">
            <v>RUB</v>
          </cell>
          <cell r="AL101" t="str">
            <v>RUB</v>
          </cell>
          <cell r="AM101">
            <v>0</v>
          </cell>
          <cell r="AN101">
            <v>2</v>
          </cell>
        </row>
        <row r="102">
          <cell r="A102">
            <v>40301</v>
          </cell>
          <cell r="B102">
            <v>40301</v>
          </cell>
          <cell r="C102" t="str">
            <v>Past</v>
          </cell>
          <cell r="D102">
            <v>57.979996</v>
          </cell>
          <cell r="E102" t="e">
            <v>#N/A</v>
          </cell>
          <cell r="F102" t="e">
            <v>#N/A</v>
          </cell>
          <cell r="G102" t="e">
            <v>#N/A</v>
          </cell>
          <cell r="H102" t="e">
            <v>#N/A</v>
          </cell>
          <cell r="I102" t="e">
            <v>#N/A</v>
          </cell>
          <cell r="J102" t="e">
            <v>#N/A</v>
          </cell>
          <cell r="K102" t="e">
            <v>#N/A</v>
          </cell>
          <cell r="L102" t="e">
            <v>#N/A</v>
          </cell>
          <cell r="M102" t="e">
            <v>#N/A</v>
          </cell>
          <cell r="N102" t="e">
            <v>#N/A</v>
          </cell>
          <cell r="O102" t="e">
            <v>#N/A</v>
          </cell>
          <cell r="P102">
            <v>57.979996</v>
          </cell>
          <cell r="Q102">
            <v>7.7440629999999997</v>
          </cell>
          <cell r="R102" t="e">
            <v>#N/A</v>
          </cell>
          <cell r="AI102" t="str">
            <v>SAR Saudi Riyal</v>
          </cell>
          <cell r="AJ102" t="str">
            <v>SAR</v>
          </cell>
          <cell r="AK102" t="str">
            <v>SAR</v>
          </cell>
          <cell r="AL102" t="str">
            <v>SAR</v>
          </cell>
          <cell r="AM102">
            <v>0</v>
          </cell>
          <cell r="AN102">
            <v>2</v>
          </cell>
        </row>
        <row r="103">
          <cell r="A103">
            <v>40302</v>
          </cell>
          <cell r="B103">
            <v>40302</v>
          </cell>
          <cell r="C103" t="str">
            <v>Past</v>
          </cell>
          <cell r="D103">
            <v>58.899994</v>
          </cell>
          <cell r="E103" t="e">
            <v>#N/A</v>
          </cell>
          <cell r="F103" t="e">
            <v>#N/A</v>
          </cell>
          <cell r="G103" t="e">
            <v>#N/A</v>
          </cell>
          <cell r="H103" t="e">
            <v>#N/A</v>
          </cell>
          <cell r="I103" t="e">
            <v>#N/A</v>
          </cell>
          <cell r="J103" t="e">
            <v>#N/A</v>
          </cell>
          <cell r="K103" t="e">
            <v>#N/A</v>
          </cell>
          <cell r="L103" t="e">
            <v>#N/A</v>
          </cell>
          <cell r="M103" t="e">
            <v>#N/A</v>
          </cell>
          <cell r="N103" t="e">
            <v>#N/A</v>
          </cell>
          <cell r="O103" t="e">
            <v>#N/A</v>
          </cell>
          <cell r="P103">
            <v>58.899994</v>
          </cell>
          <cell r="Q103">
            <v>5.496715</v>
          </cell>
          <cell r="R103" t="e">
            <v>#N/A</v>
          </cell>
          <cell r="AI103" t="str">
            <v>SEK Swedish Krona</v>
          </cell>
          <cell r="AJ103" t="str">
            <v>SKr</v>
          </cell>
          <cell r="AK103" t="str">
            <v>SEK</v>
          </cell>
          <cell r="AL103" t="str">
            <v>SEK</v>
          </cell>
          <cell r="AM103">
            <v>0</v>
          </cell>
          <cell r="AN103">
            <v>2</v>
          </cell>
        </row>
        <row r="104">
          <cell r="A104">
            <v>40303</v>
          </cell>
          <cell r="B104">
            <v>40303</v>
          </cell>
          <cell r="C104" t="str">
            <v>Past</v>
          </cell>
          <cell r="D104">
            <v>58.819992999999997</v>
          </cell>
          <cell r="E104" t="e">
            <v>#N/A</v>
          </cell>
          <cell r="F104" t="e">
            <v>#N/A</v>
          </cell>
          <cell r="G104" t="e">
            <v>#N/A</v>
          </cell>
          <cell r="H104" t="e">
            <v>#N/A</v>
          </cell>
          <cell r="I104" t="e">
            <v>#N/A</v>
          </cell>
          <cell r="J104" t="e">
            <v>#N/A</v>
          </cell>
          <cell r="K104" t="e">
            <v>#N/A</v>
          </cell>
          <cell r="L104" t="e">
            <v>#N/A</v>
          </cell>
          <cell r="M104" t="e">
            <v>#N/A</v>
          </cell>
          <cell r="N104" t="e">
            <v>#N/A</v>
          </cell>
          <cell r="O104" t="e">
            <v>#N/A</v>
          </cell>
          <cell r="P104">
            <v>58.819992999999997</v>
          </cell>
          <cell r="Q104">
            <v>3.6026919999999998</v>
          </cell>
          <cell r="R104" t="e">
            <v>#N/A</v>
          </cell>
          <cell r="AI104" t="str">
            <v>SGD Singapore Dollar</v>
          </cell>
          <cell r="AJ104" t="str">
            <v>S$</v>
          </cell>
          <cell r="AK104" t="str">
            <v>SGD</v>
          </cell>
          <cell r="AL104" t="str">
            <v>SGD</v>
          </cell>
          <cell r="AM104">
            <v>0</v>
          </cell>
          <cell r="AN104">
            <v>2</v>
          </cell>
        </row>
        <row r="105">
          <cell r="A105">
            <v>40304</v>
          </cell>
          <cell r="B105">
            <v>40304</v>
          </cell>
          <cell r="C105" t="str">
            <v>Past</v>
          </cell>
          <cell r="D105">
            <v>57.129989999999999</v>
          </cell>
          <cell r="E105" t="e">
            <v>#N/A</v>
          </cell>
          <cell r="F105" t="e">
            <v>#N/A</v>
          </cell>
          <cell r="G105" t="e">
            <v>#N/A</v>
          </cell>
          <cell r="H105" t="e">
            <v>#N/A</v>
          </cell>
          <cell r="I105" t="e">
            <v>#N/A</v>
          </cell>
          <cell r="J105" t="e">
            <v>#N/A</v>
          </cell>
          <cell r="K105" t="e">
            <v>#N/A</v>
          </cell>
          <cell r="L105" t="e">
            <v>#N/A</v>
          </cell>
          <cell r="M105" t="e">
            <v>#N/A</v>
          </cell>
          <cell r="N105" t="e">
            <v>#N/A</v>
          </cell>
          <cell r="O105" t="e">
            <v>#N/A</v>
          </cell>
          <cell r="P105">
            <v>57.129989999999999</v>
          </cell>
          <cell r="Q105">
            <v>6.118055</v>
          </cell>
          <cell r="R105" t="e">
            <v>#N/A</v>
          </cell>
          <cell r="AI105" t="str">
            <v>THB Thailand Baht</v>
          </cell>
          <cell r="AJ105" t="str">
            <v>Bt</v>
          </cell>
          <cell r="AK105" t="str">
            <v>THB</v>
          </cell>
          <cell r="AL105" t="str">
            <v>THB</v>
          </cell>
          <cell r="AM105">
            <v>0</v>
          </cell>
          <cell r="AN105">
            <v>2</v>
          </cell>
        </row>
        <row r="106">
          <cell r="A106">
            <v>40305</v>
          </cell>
          <cell r="B106">
            <v>40305</v>
          </cell>
          <cell r="C106" t="str">
            <v>Past</v>
          </cell>
          <cell r="D106">
            <v>56.709992</v>
          </cell>
          <cell r="E106" t="e">
            <v>#N/A</v>
          </cell>
          <cell r="F106" t="e">
            <v>#N/A</v>
          </cell>
          <cell r="G106" t="e">
            <v>#N/A</v>
          </cell>
          <cell r="H106" t="e">
            <v>#N/A</v>
          </cell>
          <cell r="I106" t="e">
            <v>#N/A</v>
          </cell>
          <cell r="J106" t="e">
            <v>#N/A</v>
          </cell>
          <cell r="K106" t="e">
            <v>#N/A</v>
          </cell>
          <cell r="L106" t="e">
            <v>#N/A</v>
          </cell>
          <cell r="M106" t="e">
            <v>#N/A</v>
          </cell>
          <cell r="N106" t="e">
            <v>#N/A</v>
          </cell>
          <cell r="O106" t="e">
            <v>#N/A</v>
          </cell>
          <cell r="P106">
            <v>56.709992</v>
          </cell>
          <cell r="Q106">
            <v>5.5370590000000002</v>
          </cell>
          <cell r="R106" t="e">
            <v>#N/A</v>
          </cell>
          <cell r="AI106" t="str">
            <v>TND Tunisian Dinar</v>
          </cell>
          <cell r="AJ106" t="str">
            <v>TND</v>
          </cell>
          <cell r="AK106" t="str">
            <v>TND</v>
          </cell>
          <cell r="AL106" t="str">
            <v>TND</v>
          </cell>
          <cell r="AM106">
            <v>0</v>
          </cell>
          <cell r="AN106">
            <v>2</v>
          </cell>
        </row>
        <row r="107">
          <cell r="A107">
            <v>40308</v>
          </cell>
          <cell r="B107">
            <v>40308</v>
          </cell>
          <cell r="C107" t="str">
            <v>Past</v>
          </cell>
          <cell r="D107">
            <v>58.319992999999997</v>
          </cell>
          <cell r="E107" t="e">
            <v>#N/A</v>
          </cell>
          <cell r="F107" t="e">
            <v>#N/A</v>
          </cell>
          <cell r="G107" t="e">
            <v>#N/A</v>
          </cell>
          <cell r="H107" t="e">
            <v>#N/A</v>
          </cell>
          <cell r="I107" t="e">
            <v>#N/A</v>
          </cell>
          <cell r="J107" t="e">
            <v>#N/A</v>
          </cell>
          <cell r="K107" t="e">
            <v>#N/A</v>
          </cell>
          <cell r="L107" t="e">
            <v>#N/A</v>
          </cell>
          <cell r="M107" t="e">
            <v>#N/A</v>
          </cell>
          <cell r="N107" t="e">
            <v>#N/A</v>
          </cell>
          <cell r="O107" t="e">
            <v>#N/A</v>
          </cell>
          <cell r="P107">
            <v>58.319992999999997</v>
          </cell>
          <cell r="Q107">
            <v>3.902466</v>
          </cell>
          <cell r="R107" t="e">
            <v>#N/A</v>
          </cell>
          <cell r="AI107" t="str">
            <v>TRY Turkish Lira</v>
          </cell>
          <cell r="AJ107" t="str">
            <v>TL</v>
          </cell>
          <cell r="AK107" t="str">
            <v>TRY</v>
          </cell>
          <cell r="AL107" t="str">
            <v>TRY</v>
          </cell>
          <cell r="AM107">
            <v>0</v>
          </cell>
          <cell r="AN107">
            <v>2</v>
          </cell>
        </row>
        <row r="108">
          <cell r="A108">
            <v>40309</v>
          </cell>
          <cell r="B108">
            <v>40309</v>
          </cell>
          <cell r="C108" t="str">
            <v>Past</v>
          </cell>
          <cell r="D108">
            <v>58.109985999999999</v>
          </cell>
          <cell r="E108" t="e">
            <v>#N/A</v>
          </cell>
          <cell r="F108" t="e">
            <v>#N/A</v>
          </cell>
          <cell r="G108" t="e">
            <v>#N/A</v>
          </cell>
          <cell r="H108" t="e">
            <v>#N/A</v>
          </cell>
          <cell r="I108" t="e">
            <v>#N/A</v>
          </cell>
          <cell r="J108" t="e">
            <v>#N/A</v>
          </cell>
          <cell r="K108" t="e">
            <v>#N/A</v>
          </cell>
          <cell r="L108" t="e">
            <v>#N/A</v>
          </cell>
          <cell r="M108" t="e">
            <v>#N/A</v>
          </cell>
          <cell r="N108" t="e">
            <v>#N/A</v>
          </cell>
          <cell r="O108" t="e">
            <v>#N/A</v>
          </cell>
          <cell r="P108">
            <v>58.109985999999999</v>
          </cell>
          <cell r="Q108">
            <v>3.0887859999999998</v>
          </cell>
          <cell r="R108" t="e">
            <v>#N/A</v>
          </cell>
          <cell r="AI108" t="str">
            <v>TWD New Taiwan Dollar</v>
          </cell>
          <cell r="AJ108" t="str">
            <v>NT$</v>
          </cell>
          <cell r="AK108" t="str">
            <v>TWD</v>
          </cell>
          <cell r="AL108" t="str">
            <v>TWD</v>
          </cell>
          <cell r="AM108">
            <v>0</v>
          </cell>
          <cell r="AN108">
            <v>2</v>
          </cell>
        </row>
        <row r="109">
          <cell r="A109">
            <v>40310</v>
          </cell>
          <cell r="B109">
            <v>40310</v>
          </cell>
          <cell r="C109" t="str">
            <v>Past</v>
          </cell>
          <cell r="D109">
            <v>58.819992999999997</v>
          </cell>
          <cell r="E109" t="e">
            <v>#N/A</v>
          </cell>
          <cell r="F109" t="e">
            <v>#N/A</v>
          </cell>
          <cell r="G109" t="e">
            <v>#N/A</v>
          </cell>
          <cell r="H109" t="e">
            <v>#N/A</v>
          </cell>
          <cell r="I109" t="e">
            <v>#N/A</v>
          </cell>
          <cell r="J109" t="e">
            <v>#N/A</v>
          </cell>
          <cell r="K109" t="e">
            <v>#N/A</v>
          </cell>
          <cell r="L109" t="e">
            <v>#N/A</v>
          </cell>
          <cell r="M109" t="e">
            <v>#N/A</v>
          </cell>
          <cell r="N109" t="e">
            <v>#N/A</v>
          </cell>
          <cell r="O109" t="e">
            <v>#N/A</v>
          </cell>
          <cell r="P109">
            <v>58.819992999999997</v>
          </cell>
          <cell r="Q109">
            <v>3.063259</v>
          </cell>
          <cell r="R109" t="e">
            <v>#N/A</v>
          </cell>
          <cell r="AI109" t="str">
            <v>UAH Ukrainian Hryvnia</v>
          </cell>
          <cell r="AJ109" t="str">
            <v>UAH</v>
          </cell>
          <cell r="AK109" t="str">
            <v>UAH</v>
          </cell>
          <cell r="AL109" t="str">
            <v>UAH</v>
          </cell>
          <cell r="AM109">
            <v>0</v>
          </cell>
          <cell r="AN109">
            <v>2</v>
          </cell>
        </row>
        <row r="110">
          <cell r="A110">
            <v>40311</v>
          </cell>
          <cell r="B110">
            <v>40311</v>
          </cell>
          <cell r="C110" t="str">
            <v>Past</v>
          </cell>
          <cell r="D110">
            <v>59.25</v>
          </cell>
          <cell r="E110" t="e">
            <v>#N/A</v>
          </cell>
          <cell r="F110" t="e">
            <v>#N/A</v>
          </cell>
          <cell r="G110" t="e">
            <v>#N/A</v>
          </cell>
          <cell r="H110" t="e">
            <v>#N/A</v>
          </cell>
          <cell r="I110" t="e">
            <v>#N/A</v>
          </cell>
          <cell r="J110" t="e">
            <v>#N/A</v>
          </cell>
          <cell r="K110" t="e">
            <v>#N/A</v>
          </cell>
          <cell r="L110" t="e">
            <v>#N/A</v>
          </cell>
          <cell r="M110" t="e">
            <v>#N/A</v>
          </cell>
          <cell r="N110" t="e">
            <v>#N/A</v>
          </cell>
          <cell r="O110" t="e">
            <v>#N/A</v>
          </cell>
          <cell r="P110">
            <v>59.25</v>
          </cell>
          <cell r="Q110">
            <v>4.2016249999999999</v>
          </cell>
          <cell r="R110" t="e">
            <v>#N/A</v>
          </cell>
          <cell r="AI110" t="str">
            <v>USD American Dollar</v>
          </cell>
          <cell r="AJ110" t="str">
            <v>$</v>
          </cell>
          <cell r="AK110" t="str">
            <v>USD</v>
          </cell>
          <cell r="AL110" t="str">
            <v>USD</v>
          </cell>
          <cell r="AM110">
            <v>0</v>
          </cell>
          <cell r="AN110">
            <v>2</v>
          </cell>
        </row>
        <row r="111">
          <cell r="A111">
            <v>40312</v>
          </cell>
          <cell r="B111">
            <v>40312</v>
          </cell>
          <cell r="C111" t="str">
            <v>Past</v>
          </cell>
          <cell r="D111">
            <v>57.579987000000003</v>
          </cell>
          <cell r="E111" t="e">
            <v>#N/A</v>
          </cell>
          <cell r="F111" t="e">
            <v>#N/A</v>
          </cell>
          <cell r="G111" t="e">
            <v>#N/A</v>
          </cell>
          <cell r="H111" t="e">
            <v>#N/A</v>
          </cell>
          <cell r="I111" t="e">
            <v>#N/A</v>
          </cell>
          <cell r="J111" t="e">
            <v>#N/A</v>
          </cell>
          <cell r="K111" t="e">
            <v>#N/A</v>
          </cell>
          <cell r="L111" t="e">
            <v>#N/A</v>
          </cell>
          <cell r="M111" t="e">
            <v>#N/A</v>
          </cell>
          <cell r="N111" t="e">
            <v>#N/A</v>
          </cell>
          <cell r="O111" t="e">
            <v>#N/A</v>
          </cell>
          <cell r="P111">
            <v>57.579987000000003</v>
          </cell>
          <cell r="Q111">
            <v>6.1101289999999997</v>
          </cell>
          <cell r="R111" t="e">
            <v>#N/A</v>
          </cell>
          <cell r="AI111" t="str">
            <v>VEB Venezuelan Bolivar</v>
          </cell>
          <cell r="AJ111" t="str">
            <v>VEB</v>
          </cell>
          <cell r="AK111" t="str">
            <v>VEB</v>
          </cell>
          <cell r="AL111" t="str">
            <v>VEB</v>
          </cell>
          <cell r="AM111">
            <v>0</v>
          </cell>
          <cell r="AN111">
            <v>2</v>
          </cell>
        </row>
        <row r="112">
          <cell r="A112">
            <v>40315</v>
          </cell>
          <cell r="B112">
            <v>40315</v>
          </cell>
          <cell r="C112" t="str">
            <v>Past</v>
          </cell>
          <cell r="D112">
            <v>57.649994</v>
          </cell>
          <cell r="E112" t="e">
            <v>#N/A</v>
          </cell>
          <cell r="F112" t="e">
            <v>#N/A</v>
          </cell>
          <cell r="G112" t="e">
            <v>#N/A</v>
          </cell>
          <cell r="H112" t="e">
            <v>#N/A</v>
          </cell>
          <cell r="I112" t="e">
            <v>#N/A</v>
          </cell>
          <cell r="J112" t="e">
            <v>#N/A</v>
          </cell>
          <cell r="K112" t="e">
            <v>#N/A</v>
          </cell>
          <cell r="L112" t="e">
            <v>#N/A</v>
          </cell>
          <cell r="M112" t="e">
            <v>#N/A</v>
          </cell>
          <cell r="N112" t="e">
            <v>#N/A</v>
          </cell>
          <cell r="O112" t="e">
            <v>#N/A</v>
          </cell>
          <cell r="P112">
            <v>57.649994</v>
          </cell>
          <cell r="Q112">
            <v>4.7910469999999998</v>
          </cell>
          <cell r="R112" t="e">
            <v>#N/A</v>
          </cell>
          <cell r="AI112" t="str">
            <v>ZAc South African Cent</v>
          </cell>
          <cell r="AJ112" t="str">
            <v>ZAc</v>
          </cell>
          <cell r="AK112" t="str">
            <v>ZAc</v>
          </cell>
          <cell r="AL112" t="str">
            <v>ZAc</v>
          </cell>
          <cell r="AM112">
            <v>0</v>
          </cell>
          <cell r="AN112">
            <v>0</v>
          </cell>
        </row>
        <row r="113">
          <cell r="A113">
            <v>40316</v>
          </cell>
          <cell r="B113">
            <v>40316</v>
          </cell>
          <cell r="C113" t="str">
            <v>Past</v>
          </cell>
          <cell r="D113">
            <v>56.869996</v>
          </cell>
          <cell r="E113" t="e">
            <v>#N/A</v>
          </cell>
          <cell r="F113" t="e">
            <v>#N/A</v>
          </cell>
          <cell r="G113" t="e">
            <v>#N/A</v>
          </cell>
          <cell r="H113" t="e">
            <v>#N/A</v>
          </cell>
          <cell r="I113" t="e">
            <v>#N/A</v>
          </cell>
          <cell r="J113" t="e">
            <v>#N/A</v>
          </cell>
          <cell r="K113" t="e">
            <v>#N/A</v>
          </cell>
          <cell r="L113" t="e">
            <v>#N/A</v>
          </cell>
          <cell r="M113" t="e">
            <v>#N/A</v>
          </cell>
          <cell r="N113" t="e">
            <v>#N/A</v>
          </cell>
          <cell r="O113" t="e">
            <v>#N/A</v>
          </cell>
          <cell r="P113">
            <v>56.869996</v>
          </cell>
          <cell r="Q113">
            <v>6.5784140000000004</v>
          </cell>
          <cell r="R113" t="e">
            <v>#N/A</v>
          </cell>
          <cell r="AI113" t="str">
            <v>ZAR South African rand</v>
          </cell>
          <cell r="AJ113" t="str">
            <v>ZAR</v>
          </cell>
          <cell r="AK113" t="str">
            <v>ZAR</v>
          </cell>
          <cell r="AL113" t="str">
            <v>ZAR</v>
          </cell>
          <cell r="AM113">
            <v>0</v>
          </cell>
          <cell r="AN113">
            <v>2</v>
          </cell>
        </row>
        <row r="114">
          <cell r="A114">
            <v>40317</v>
          </cell>
          <cell r="B114">
            <v>40317</v>
          </cell>
          <cell r="C114" t="str">
            <v>Past</v>
          </cell>
          <cell r="D114">
            <v>57.309998</v>
          </cell>
          <cell r="E114" t="e">
            <v>#N/A</v>
          </cell>
          <cell r="F114" t="e">
            <v>#N/A</v>
          </cell>
          <cell r="G114" t="e">
            <v>#N/A</v>
          </cell>
          <cell r="H114" t="e">
            <v>#N/A</v>
          </cell>
          <cell r="I114" t="e">
            <v>#N/A</v>
          </cell>
          <cell r="J114" t="e">
            <v>#N/A</v>
          </cell>
          <cell r="K114" t="e">
            <v>#N/A</v>
          </cell>
          <cell r="L114" t="e">
            <v>#N/A</v>
          </cell>
          <cell r="M114" t="e">
            <v>#N/A</v>
          </cell>
          <cell r="N114" t="e">
            <v>#N/A</v>
          </cell>
          <cell r="O114" t="e">
            <v>#N/A</v>
          </cell>
          <cell r="P114">
            <v>57.309998</v>
          </cell>
          <cell r="Q114">
            <v>3.8077990000000002</v>
          </cell>
          <cell r="R114" t="e">
            <v>#N/A</v>
          </cell>
          <cell r="AI114" t="str">
            <v xml:space="preserve">ZMK Zambian Kwacha </v>
          </cell>
          <cell r="AJ114" t="str">
            <v>ZMK</v>
          </cell>
          <cell r="AK114" t="str">
            <v>ZMK</v>
          </cell>
          <cell r="AL114" t="str">
            <v>ZMK</v>
          </cell>
          <cell r="AM114">
            <v>0</v>
          </cell>
          <cell r="AN114">
            <v>2</v>
          </cell>
        </row>
        <row r="115">
          <cell r="A115">
            <v>40318</v>
          </cell>
          <cell r="B115">
            <v>40318</v>
          </cell>
          <cell r="C115" t="str">
            <v>Past</v>
          </cell>
          <cell r="D115">
            <v>55.069992999999997</v>
          </cell>
          <cell r="E115" t="e">
            <v>#N/A</v>
          </cell>
          <cell r="F115" t="e">
            <v>#N/A</v>
          </cell>
          <cell r="G115" t="e">
            <v>#N/A</v>
          </cell>
          <cell r="H115" t="e">
            <v>#N/A</v>
          </cell>
          <cell r="I115" t="e">
            <v>#N/A</v>
          </cell>
          <cell r="J115" t="e">
            <v>#N/A</v>
          </cell>
          <cell r="K115" t="e">
            <v>#N/A</v>
          </cell>
          <cell r="L115" t="e">
            <v>#N/A</v>
          </cell>
          <cell r="M115" t="e">
            <v>#N/A</v>
          </cell>
          <cell r="N115" t="e">
            <v>#N/A</v>
          </cell>
          <cell r="O115" t="e">
            <v>#N/A</v>
          </cell>
          <cell r="P115">
            <v>55.069992999999997</v>
          </cell>
          <cell r="Q115">
            <v>5.0303240000000002</v>
          </cell>
          <cell r="R115" t="e">
            <v>#N/A</v>
          </cell>
        </row>
        <row r="116">
          <cell r="A116">
            <v>40319</v>
          </cell>
          <cell r="B116">
            <v>40319</v>
          </cell>
          <cell r="C116" t="str">
            <v>Past</v>
          </cell>
          <cell r="D116">
            <v>56.079987000000003</v>
          </cell>
          <cell r="E116" t="e">
            <v>#N/A</v>
          </cell>
          <cell r="F116" t="e">
            <v>#N/A</v>
          </cell>
          <cell r="G116" t="e">
            <v>#N/A</v>
          </cell>
          <cell r="H116" t="e">
            <v>#N/A</v>
          </cell>
          <cell r="I116" t="e">
            <v>#N/A</v>
          </cell>
          <cell r="J116" t="e">
            <v>#N/A</v>
          </cell>
          <cell r="K116" t="e">
            <v>#N/A</v>
          </cell>
          <cell r="L116" t="e">
            <v>#N/A</v>
          </cell>
          <cell r="M116" t="e">
            <v>#N/A</v>
          </cell>
          <cell r="N116" t="e">
            <v>#N/A</v>
          </cell>
          <cell r="O116" t="e">
            <v>#N/A</v>
          </cell>
          <cell r="P116">
            <v>56.079987000000003</v>
          </cell>
          <cell r="Q116">
            <v>4.7158239999999996</v>
          </cell>
          <cell r="R116" t="e">
            <v>#N/A</v>
          </cell>
        </row>
        <row r="117">
          <cell r="A117">
            <v>40322</v>
          </cell>
          <cell r="B117">
            <v>40322</v>
          </cell>
          <cell r="C117" t="str">
            <v>Past</v>
          </cell>
          <cell r="D117">
            <v>55.789994</v>
          </cell>
          <cell r="E117" t="e">
            <v>#N/A</v>
          </cell>
          <cell r="F117" t="e">
            <v>#N/A</v>
          </cell>
          <cell r="G117" t="e">
            <v>#N/A</v>
          </cell>
          <cell r="H117" t="e">
            <v>#N/A</v>
          </cell>
          <cell r="I117" t="e">
            <v>#N/A</v>
          </cell>
          <cell r="J117" t="e">
            <v>#N/A</v>
          </cell>
          <cell r="K117" t="e">
            <v>#N/A</v>
          </cell>
          <cell r="L117" t="e">
            <v>#N/A</v>
          </cell>
          <cell r="M117" t="e">
            <v>#N/A</v>
          </cell>
          <cell r="N117" t="e">
            <v>#N/A</v>
          </cell>
          <cell r="O117" t="e">
            <v>#N/A</v>
          </cell>
          <cell r="P117">
            <v>55.789994</v>
          </cell>
          <cell r="Q117">
            <v>3.3203399999999998</v>
          </cell>
          <cell r="R117" t="e">
            <v>#N/A</v>
          </cell>
        </row>
        <row r="118">
          <cell r="A118">
            <v>40323</v>
          </cell>
          <cell r="B118">
            <v>40323</v>
          </cell>
          <cell r="C118" t="str">
            <v>Past</v>
          </cell>
          <cell r="D118">
            <v>55.099991000000003</v>
          </cell>
          <cell r="E118" t="e">
            <v>#N/A</v>
          </cell>
          <cell r="F118" t="e">
            <v>#N/A</v>
          </cell>
          <cell r="G118" t="e">
            <v>#N/A</v>
          </cell>
          <cell r="H118" t="e">
            <v>#N/A</v>
          </cell>
          <cell r="I118" t="e">
            <v>#N/A</v>
          </cell>
          <cell r="J118" t="e">
            <v>#N/A</v>
          </cell>
          <cell r="K118" t="e">
            <v>#N/A</v>
          </cell>
          <cell r="L118" t="e">
            <v>#N/A</v>
          </cell>
          <cell r="M118" t="e">
            <v>#N/A</v>
          </cell>
          <cell r="N118" t="e">
            <v>#N/A</v>
          </cell>
          <cell r="O118" t="e">
            <v>#N/A</v>
          </cell>
          <cell r="P118">
            <v>55.099991000000003</v>
          </cell>
          <cell r="Q118">
            <v>4.471012</v>
          </cell>
          <cell r="R118" t="e">
            <v>#N/A</v>
          </cell>
        </row>
        <row r="119">
          <cell r="A119">
            <v>40324</v>
          </cell>
          <cell r="B119">
            <v>40324</v>
          </cell>
          <cell r="C119" t="str">
            <v>Past</v>
          </cell>
          <cell r="D119">
            <v>56.14</v>
          </cell>
          <cell r="E119" t="e">
            <v>#N/A</v>
          </cell>
          <cell r="F119" t="e">
            <v>#N/A</v>
          </cell>
          <cell r="G119" t="e">
            <v>#N/A</v>
          </cell>
          <cell r="H119" t="e">
            <v>#N/A</v>
          </cell>
          <cell r="I119" t="e">
            <v>#N/A</v>
          </cell>
          <cell r="J119" t="e">
            <v>#N/A</v>
          </cell>
          <cell r="K119" t="e">
            <v>#N/A</v>
          </cell>
          <cell r="L119" t="e">
            <v>#N/A</v>
          </cell>
          <cell r="M119" t="e">
            <v>#N/A</v>
          </cell>
          <cell r="N119" t="e">
            <v>#N/A</v>
          </cell>
          <cell r="O119" t="e">
            <v>#N/A</v>
          </cell>
          <cell r="P119">
            <v>56.14</v>
          </cell>
          <cell r="Q119">
            <v>6.9199450000000002</v>
          </cell>
          <cell r="R119" t="e">
            <v>#N/A</v>
          </cell>
        </row>
        <row r="120">
          <cell r="A120">
            <v>40325</v>
          </cell>
          <cell r="B120">
            <v>40325</v>
          </cell>
          <cell r="C120" t="str">
            <v>Past</v>
          </cell>
          <cell r="D120">
            <v>58.159989000000003</v>
          </cell>
          <cell r="E120" t="e">
            <v>#N/A</v>
          </cell>
          <cell r="F120" t="e">
            <v>#N/A</v>
          </cell>
          <cell r="G120" t="e">
            <v>#N/A</v>
          </cell>
          <cell r="H120" t="e">
            <v>#N/A</v>
          </cell>
          <cell r="I120" t="e">
            <v>#N/A</v>
          </cell>
          <cell r="J120" t="e">
            <v>#N/A</v>
          </cell>
          <cell r="K120" t="e">
            <v>#N/A</v>
          </cell>
          <cell r="L120" t="e">
            <v>#N/A</v>
          </cell>
          <cell r="M120" t="e">
            <v>#N/A</v>
          </cell>
          <cell r="N120" t="e">
            <v>#N/A</v>
          </cell>
          <cell r="O120" t="e">
            <v>#N/A</v>
          </cell>
          <cell r="P120">
            <v>58.159989000000003</v>
          </cell>
          <cell r="Q120">
            <v>4.9413749999999999</v>
          </cell>
          <cell r="R120" t="e">
            <v>#N/A</v>
          </cell>
        </row>
        <row r="121">
          <cell r="A121">
            <v>40326</v>
          </cell>
          <cell r="B121">
            <v>40326</v>
          </cell>
          <cell r="C121" t="str">
            <v>Past</v>
          </cell>
          <cell r="D121">
            <v>57.649994</v>
          </cell>
          <cell r="E121" t="e">
            <v>#N/A</v>
          </cell>
          <cell r="F121" t="e">
            <v>#N/A</v>
          </cell>
          <cell r="G121" t="e">
            <v>#N/A</v>
          </cell>
          <cell r="H121" t="e">
            <v>#N/A</v>
          </cell>
          <cell r="I121" t="e">
            <v>#N/A</v>
          </cell>
          <cell r="J121" t="e">
            <v>#N/A</v>
          </cell>
          <cell r="K121" t="e">
            <v>#N/A</v>
          </cell>
          <cell r="L121" t="e">
            <v>#N/A</v>
          </cell>
          <cell r="M121" t="e">
            <v>#N/A</v>
          </cell>
          <cell r="N121" t="e">
            <v>#N/A</v>
          </cell>
          <cell r="O121" t="e">
            <v>#N/A</v>
          </cell>
          <cell r="P121">
            <v>57.649994</v>
          </cell>
          <cell r="Q121">
            <v>5.1585159999999997</v>
          </cell>
          <cell r="R121" t="e">
            <v>#N/A</v>
          </cell>
        </row>
        <row r="122">
          <cell r="A122">
            <v>40330</v>
          </cell>
          <cell r="B122">
            <v>40330</v>
          </cell>
          <cell r="C122" t="str">
            <v>Past</v>
          </cell>
          <cell r="D122">
            <v>57.119996</v>
          </cell>
          <cell r="E122" t="e">
            <v>#N/A</v>
          </cell>
          <cell r="F122" t="e">
            <v>#N/A</v>
          </cell>
          <cell r="G122" t="e">
            <v>#N/A</v>
          </cell>
          <cell r="H122" t="e">
            <v>#N/A</v>
          </cell>
          <cell r="I122" t="e">
            <v>#N/A</v>
          </cell>
          <cell r="J122" t="e">
            <v>#N/A</v>
          </cell>
          <cell r="K122" t="e">
            <v>#N/A</v>
          </cell>
          <cell r="L122" t="e">
            <v>#N/A</v>
          </cell>
          <cell r="M122" t="e">
            <v>#N/A</v>
          </cell>
          <cell r="N122" t="e">
            <v>#N/A</v>
          </cell>
          <cell r="O122" t="e">
            <v>#N/A</v>
          </cell>
          <cell r="P122">
            <v>57.119996</v>
          </cell>
          <cell r="Q122">
            <v>3.703395</v>
          </cell>
          <cell r="R122" t="e">
            <v>#N/A</v>
          </cell>
        </row>
        <row r="123">
          <cell r="A123">
            <v>40331</v>
          </cell>
          <cell r="B123">
            <v>40331</v>
          </cell>
          <cell r="C123" t="str">
            <v>Past</v>
          </cell>
          <cell r="D123">
            <v>57.76999</v>
          </cell>
          <cell r="E123" t="e">
            <v>#N/A</v>
          </cell>
          <cell r="F123" t="e">
            <v>#N/A</v>
          </cell>
          <cell r="G123" t="e">
            <v>#N/A</v>
          </cell>
          <cell r="H123" t="e">
            <v>#N/A</v>
          </cell>
          <cell r="I123" t="e">
            <v>#N/A</v>
          </cell>
          <cell r="J123" t="e">
            <v>#N/A</v>
          </cell>
          <cell r="K123" t="e">
            <v>#N/A</v>
          </cell>
          <cell r="L123" t="e">
            <v>#N/A</v>
          </cell>
          <cell r="M123" t="e">
            <v>#N/A</v>
          </cell>
          <cell r="N123" t="e">
            <v>#N/A</v>
          </cell>
          <cell r="O123" t="e">
            <v>#N/A</v>
          </cell>
          <cell r="P123">
            <v>57.76999</v>
          </cell>
          <cell r="Q123">
            <v>4.0362999999999998</v>
          </cell>
          <cell r="R123" t="e">
            <v>#N/A</v>
          </cell>
        </row>
        <row r="124">
          <cell r="A124">
            <v>40332</v>
          </cell>
          <cell r="B124">
            <v>40332</v>
          </cell>
          <cell r="C124" t="str">
            <v>Past</v>
          </cell>
          <cell r="D124">
            <v>58.909989000000003</v>
          </cell>
          <cell r="E124" t="e">
            <v>#N/A</v>
          </cell>
          <cell r="F124" t="e">
            <v>#N/A</v>
          </cell>
          <cell r="G124" t="e">
            <v>#N/A</v>
          </cell>
          <cell r="H124" t="e">
            <v>#N/A</v>
          </cell>
          <cell r="I124" t="e">
            <v>#N/A</v>
          </cell>
          <cell r="J124" t="e">
            <v>#N/A</v>
          </cell>
          <cell r="K124" t="e">
            <v>#N/A</v>
          </cell>
          <cell r="L124" t="e">
            <v>#N/A</v>
          </cell>
          <cell r="M124" t="e">
            <v>#N/A</v>
          </cell>
          <cell r="N124" t="e">
            <v>#N/A</v>
          </cell>
          <cell r="O124" t="e">
            <v>#N/A</v>
          </cell>
          <cell r="P124">
            <v>58.909989000000003</v>
          </cell>
          <cell r="Q124">
            <v>5.0693169999999999</v>
          </cell>
          <cell r="R124" t="e">
            <v>#N/A</v>
          </cell>
        </row>
        <row r="125">
          <cell r="A125">
            <v>40333</v>
          </cell>
          <cell r="B125">
            <v>40333</v>
          </cell>
          <cell r="C125" t="str">
            <v>Past</v>
          </cell>
          <cell r="D125">
            <v>56.809998</v>
          </cell>
          <cell r="E125" t="e">
            <v>#N/A</v>
          </cell>
          <cell r="F125" t="e">
            <v>#N/A</v>
          </cell>
          <cell r="G125" t="e">
            <v>#N/A</v>
          </cell>
          <cell r="H125" t="e">
            <v>#N/A</v>
          </cell>
          <cell r="I125" t="e">
            <v>#N/A</v>
          </cell>
          <cell r="J125" t="e">
            <v>#N/A</v>
          </cell>
          <cell r="K125" t="e">
            <v>#N/A</v>
          </cell>
          <cell r="L125" t="e">
            <v>#N/A</v>
          </cell>
          <cell r="M125" t="e">
            <v>#N/A</v>
          </cell>
          <cell r="N125" t="e">
            <v>#N/A</v>
          </cell>
          <cell r="O125" t="e">
            <v>#N/A</v>
          </cell>
          <cell r="P125">
            <v>56.809998</v>
          </cell>
          <cell r="Q125">
            <v>4.0467680000000001</v>
          </cell>
          <cell r="R125" t="e">
            <v>#N/A</v>
          </cell>
        </row>
        <row r="126">
          <cell r="A126">
            <v>40336</v>
          </cell>
          <cell r="B126">
            <v>40336</v>
          </cell>
          <cell r="C126" t="str">
            <v>Past</v>
          </cell>
          <cell r="D126">
            <v>58.5</v>
          </cell>
          <cell r="E126" t="e">
            <v>#N/A</v>
          </cell>
          <cell r="F126" t="e">
            <v>#N/A</v>
          </cell>
          <cell r="G126" t="e">
            <v>#N/A</v>
          </cell>
          <cell r="H126" t="e">
            <v>#N/A</v>
          </cell>
          <cell r="I126" t="e">
            <v>#N/A</v>
          </cell>
          <cell r="J126" t="e">
            <v>#N/A</v>
          </cell>
          <cell r="K126" t="e">
            <v>#N/A</v>
          </cell>
          <cell r="L126" t="e">
            <v>#N/A</v>
          </cell>
          <cell r="M126" t="e">
            <v>#N/A</v>
          </cell>
          <cell r="N126" t="e">
            <v>#N/A</v>
          </cell>
          <cell r="O126" t="e">
            <v>#N/A</v>
          </cell>
          <cell r="P126">
            <v>58.5</v>
          </cell>
          <cell r="Q126">
            <v>9.2686019999999996</v>
          </cell>
          <cell r="R126" t="e">
            <v>#N/A</v>
          </cell>
        </row>
        <row r="127">
          <cell r="A127">
            <v>40337</v>
          </cell>
          <cell r="B127">
            <v>40337</v>
          </cell>
          <cell r="C127" t="str">
            <v>Past</v>
          </cell>
          <cell r="D127">
            <v>58.039994</v>
          </cell>
          <cell r="E127" t="e">
            <v>#N/A</v>
          </cell>
          <cell r="F127" t="e">
            <v>#N/A</v>
          </cell>
          <cell r="G127" t="e">
            <v>#N/A</v>
          </cell>
          <cell r="H127" t="e">
            <v>#N/A</v>
          </cell>
          <cell r="I127" t="e">
            <v>#N/A</v>
          </cell>
          <cell r="J127" t="e">
            <v>#N/A</v>
          </cell>
          <cell r="K127" t="e">
            <v>#N/A</v>
          </cell>
          <cell r="L127" t="e">
            <v>#N/A</v>
          </cell>
          <cell r="M127" t="e">
            <v>#N/A</v>
          </cell>
          <cell r="N127" t="e">
            <v>#N/A</v>
          </cell>
          <cell r="O127" t="e">
            <v>#N/A</v>
          </cell>
          <cell r="P127">
            <v>58.039994</v>
          </cell>
          <cell r="Q127">
            <v>6.261145</v>
          </cell>
          <cell r="R127" t="e">
            <v>#N/A</v>
          </cell>
        </row>
        <row r="128">
          <cell r="A128">
            <v>40338</v>
          </cell>
          <cell r="B128">
            <v>40338</v>
          </cell>
          <cell r="C128" t="str">
            <v>Past</v>
          </cell>
          <cell r="D128">
            <v>58.279998999999997</v>
          </cell>
          <cell r="E128" t="e">
            <v>#N/A</v>
          </cell>
          <cell r="F128" t="e">
            <v>#N/A</v>
          </cell>
          <cell r="G128" t="e">
            <v>#N/A</v>
          </cell>
          <cell r="H128" t="e">
            <v>#N/A</v>
          </cell>
          <cell r="I128" t="e">
            <v>#N/A</v>
          </cell>
          <cell r="J128" t="e">
            <v>#N/A</v>
          </cell>
          <cell r="K128" t="e">
            <v>#N/A</v>
          </cell>
          <cell r="L128" t="e">
            <v>#N/A</v>
          </cell>
          <cell r="M128" t="e">
            <v>#N/A</v>
          </cell>
          <cell r="N128" t="e">
            <v>#N/A</v>
          </cell>
          <cell r="O128" t="e">
            <v>#N/A</v>
          </cell>
          <cell r="P128">
            <v>58.279998999999997</v>
          </cell>
          <cell r="Q128">
            <v>3.164771</v>
          </cell>
          <cell r="R128" t="e">
            <v>#N/A</v>
          </cell>
        </row>
        <row r="129">
          <cell r="A129">
            <v>40339</v>
          </cell>
          <cell r="B129">
            <v>40339</v>
          </cell>
          <cell r="C129" t="str">
            <v>Past</v>
          </cell>
          <cell r="D129">
            <v>60.539994</v>
          </cell>
          <cell r="E129" t="e">
            <v>#N/A</v>
          </cell>
          <cell r="F129" t="e">
            <v>#N/A</v>
          </cell>
          <cell r="G129" t="e">
            <v>#N/A</v>
          </cell>
          <cell r="H129" t="e">
            <v>#N/A</v>
          </cell>
          <cell r="I129" t="e">
            <v>#N/A</v>
          </cell>
          <cell r="J129" t="e">
            <v>#N/A</v>
          </cell>
          <cell r="K129" t="e">
            <v>#N/A</v>
          </cell>
          <cell r="L129" t="e">
            <v>#N/A</v>
          </cell>
          <cell r="M129" t="e">
            <v>#N/A</v>
          </cell>
          <cell r="N129" t="e">
            <v>#N/A</v>
          </cell>
          <cell r="O129" t="e">
            <v>#N/A</v>
          </cell>
          <cell r="P129">
            <v>60.539994</v>
          </cell>
          <cell r="Q129">
            <v>4.6094530000000002</v>
          </cell>
          <cell r="R129" t="e">
            <v>#N/A</v>
          </cell>
        </row>
        <row r="130">
          <cell r="A130">
            <v>40340</v>
          </cell>
          <cell r="B130">
            <v>40340</v>
          </cell>
          <cell r="C130" t="str">
            <v>Past</v>
          </cell>
          <cell r="D130">
            <v>61.309998</v>
          </cell>
          <cell r="E130" t="e">
            <v>#N/A</v>
          </cell>
          <cell r="F130" t="e">
            <v>#N/A</v>
          </cell>
          <cell r="G130" t="e">
            <v>#N/A</v>
          </cell>
          <cell r="H130" t="e">
            <v>#N/A</v>
          </cell>
          <cell r="I130" t="e">
            <v>#N/A</v>
          </cell>
          <cell r="J130" t="e">
            <v>#N/A</v>
          </cell>
          <cell r="K130" t="e">
            <v>#N/A</v>
          </cell>
          <cell r="L130" t="e">
            <v>#N/A</v>
          </cell>
          <cell r="M130" t="e">
            <v>#N/A</v>
          </cell>
          <cell r="N130" t="e">
            <v>#N/A</v>
          </cell>
          <cell r="O130" t="e">
            <v>#N/A</v>
          </cell>
          <cell r="P130">
            <v>61.309998</v>
          </cell>
          <cell r="Q130">
            <v>5.2303129999999998</v>
          </cell>
          <cell r="R130" t="e">
            <v>#N/A</v>
          </cell>
        </row>
        <row r="131">
          <cell r="A131">
            <v>40343</v>
          </cell>
          <cell r="B131">
            <v>40343</v>
          </cell>
          <cell r="C131" t="str">
            <v>Past</v>
          </cell>
          <cell r="D131">
            <v>61.229996</v>
          </cell>
          <cell r="E131" t="e">
            <v>#N/A</v>
          </cell>
          <cell r="F131" t="e">
            <v>#N/A</v>
          </cell>
          <cell r="G131" t="e">
            <v>#N/A</v>
          </cell>
          <cell r="H131" t="e">
            <v>#N/A</v>
          </cell>
          <cell r="I131" t="e">
            <v>#N/A</v>
          </cell>
          <cell r="J131" t="e">
            <v>#N/A</v>
          </cell>
          <cell r="K131" t="e">
            <v>#N/A</v>
          </cell>
          <cell r="L131" t="e">
            <v>#N/A</v>
          </cell>
          <cell r="M131" t="e">
            <v>#N/A</v>
          </cell>
          <cell r="N131" t="e">
            <v>#N/A</v>
          </cell>
          <cell r="O131" t="e">
            <v>#N/A</v>
          </cell>
          <cell r="P131">
            <v>61.229996</v>
          </cell>
          <cell r="Q131">
            <v>4.6971369999999997</v>
          </cell>
          <cell r="R131" t="e">
            <v>#N/A</v>
          </cell>
        </row>
        <row r="132">
          <cell r="A132">
            <v>40344</v>
          </cell>
          <cell r="B132">
            <v>40344</v>
          </cell>
          <cell r="C132" t="str">
            <v>Past</v>
          </cell>
          <cell r="D132">
            <v>61.069992999999997</v>
          </cell>
          <cell r="E132" t="e">
            <v>#N/A</v>
          </cell>
          <cell r="F132" t="e">
            <v>#N/A</v>
          </cell>
          <cell r="G132" t="e">
            <v>#N/A</v>
          </cell>
          <cell r="H132" t="e">
            <v>#N/A</v>
          </cell>
          <cell r="I132" t="e">
            <v>#N/A</v>
          </cell>
          <cell r="J132" t="e">
            <v>#N/A</v>
          </cell>
          <cell r="K132" t="e">
            <v>#N/A</v>
          </cell>
          <cell r="L132" t="e">
            <v>#N/A</v>
          </cell>
          <cell r="M132" t="e">
            <v>#N/A</v>
          </cell>
          <cell r="N132" t="e">
            <v>#N/A</v>
          </cell>
          <cell r="O132" t="e">
            <v>#N/A</v>
          </cell>
          <cell r="P132">
            <v>61.069992999999997</v>
          </cell>
          <cell r="Q132">
            <v>3.6425749999999999</v>
          </cell>
          <cell r="R132" t="e">
            <v>#N/A</v>
          </cell>
        </row>
        <row r="133">
          <cell r="A133">
            <v>40345</v>
          </cell>
          <cell r="B133">
            <v>40345</v>
          </cell>
          <cell r="C133" t="str">
            <v>Past</v>
          </cell>
          <cell r="D133">
            <v>61.399994</v>
          </cell>
          <cell r="E133" t="e">
            <v>#N/A</v>
          </cell>
          <cell r="F133" t="e">
            <v>#N/A</v>
          </cell>
          <cell r="G133" t="e">
            <v>#N/A</v>
          </cell>
          <cell r="H133" t="e">
            <v>#N/A</v>
          </cell>
          <cell r="I133" t="e">
            <v>#N/A</v>
          </cell>
          <cell r="J133" t="e">
            <v>#N/A</v>
          </cell>
          <cell r="K133" t="e">
            <v>#N/A</v>
          </cell>
          <cell r="L133" t="e">
            <v>#N/A</v>
          </cell>
          <cell r="M133" t="e">
            <v>#N/A</v>
          </cell>
          <cell r="N133" t="e">
            <v>#N/A</v>
          </cell>
          <cell r="O133" t="e">
            <v>#N/A</v>
          </cell>
          <cell r="P133">
            <v>61.399994</v>
          </cell>
          <cell r="Q133">
            <v>4.0932550000000001</v>
          </cell>
          <cell r="R133" t="e">
            <v>#N/A</v>
          </cell>
        </row>
        <row r="134">
          <cell r="A134">
            <v>40346</v>
          </cell>
          <cell r="B134">
            <v>40346</v>
          </cell>
          <cell r="C134" t="str">
            <v>Past</v>
          </cell>
          <cell r="D134">
            <v>61.509995000000004</v>
          </cell>
          <cell r="E134" t="e">
            <v>#N/A</v>
          </cell>
          <cell r="F134" t="e">
            <v>#N/A</v>
          </cell>
          <cell r="G134" t="e">
            <v>#N/A</v>
          </cell>
          <cell r="H134" t="e">
            <v>#N/A</v>
          </cell>
          <cell r="I134" t="e">
            <v>#N/A</v>
          </cell>
          <cell r="J134" t="e">
            <v>#N/A</v>
          </cell>
          <cell r="K134" t="e">
            <v>#N/A</v>
          </cell>
          <cell r="L134" t="e">
            <v>#N/A</v>
          </cell>
          <cell r="M134" t="e">
            <v>#N/A</v>
          </cell>
          <cell r="N134" t="e">
            <v>#N/A</v>
          </cell>
          <cell r="O134" t="e">
            <v>#N/A</v>
          </cell>
          <cell r="P134">
            <v>61.509995000000004</v>
          </cell>
          <cell r="Q134">
            <v>3.9817900000000002</v>
          </cell>
          <cell r="R134" t="e">
            <v>#N/A</v>
          </cell>
        </row>
        <row r="135">
          <cell r="A135">
            <v>40347</v>
          </cell>
          <cell r="B135">
            <v>40347</v>
          </cell>
          <cell r="C135" t="str">
            <v>Past</v>
          </cell>
          <cell r="D135">
            <v>60.049987999999999</v>
          </cell>
          <cell r="E135" t="e">
            <v>#N/A</v>
          </cell>
          <cell r="F135" t="e">
            <v>#N/A</v>
          </cell>
          <cell r="G135" t="e">
            <v>#N/A</v>
          </cell>
          <cell r="H135" t="e">
            <v>#N/A</v>
          </cell>
          <cell r="I135" t="e">
            <v>#N/A</v>
          </cell>
          <cell r="J135" t="e">
            <v>#N/A</v>
          </cell>
          <cell r="K135" t="e">
            <v>#N/A</v>
          </cell>
          <cell r="L135" t="e">
            <v>#N/A</v>
          </cell>
          <cell r="M135" t="e">
            <v>#N/A</v>
          </cell>
          <cell r="N135" t="e">
            <v>#N/A</v>
          </cell>
          <cell r="O135" t="e">
            <v>#N/A</v>
          </cell>
          <cell r="P135">
            <v>60.049987999999999</v>
          </cell>
          <cell r="Q135">
            <v>7.282527</v>
          </cell>
          <cell r="R135" t="e">
            <v>#N/A</v>
          </cell>
        </row>
        <row r="136">
          <cell r="A136">
            <v>40350</v>
          </cell>
          <cell r="B136">
            <v>40350</v>
          </cell>
          <cell r="C136" t="str">
            <v>Past</v>
          </cell>
          <cell r="D136">
            <v>58.689988</v>
          </cell>
          <cell r="E136" t="e">
            <v>#N/A</v>
          </cell>
          <cell r="F136" t="e">
            <v>#N/A</v>
          </cell>
          <cell r="G136" t="e">
            <v>#N/A</v>
          </cell>
          <cell r="H136" t="e">
            <v>#N/A</v>
          </cell>
          <cell r="I136" t="e">
            <v>#N/A</v>
          </cell>
          <cell r="J136" t="e">
            <v>#N/A</v>
          </cell>
          <cell r="K136" t="e">
            <v>#N/A</v>
          </cell>
          <cell r="L136" t="e">
            <v>#N/A</v>
          </cell>
          <cell r="M136" t="e">
            <v>#N/A</v>
          </cell>
          <cell r="N136" t="e">
            <v>#N/A</v>
          </cell>
          <cell r="O136" t="e">
            <v>#N/A</v>
          </cell>
          <cell r="P136">
            <v>58.689988</v>
          </cell>
          <cell r="Q136">
            <v>6.2385510000000002</v>
          </cell>
          <cell r="R136" t="e">
            <v>#N/A</v>
          </cell>
        </row>
        <row r="137">
          <cell r="A137">
            <v>40351</v>
          </cell>
          <cell r="B137">
            <v>40351</v>
          </cell>
          <cell r="C137" t="str">
            <v>Past</v>
          </cell>
          <cell r="D137">
            <v>57.689988</v>
          </cell>
          <cell r="E137" t="e">
            <v>#N/A</v>
          </cell>
          <cell r="F137" t="e">
            <v>#N/A</v>
          </cell>
          <cell r="G137" t="e">
            <v>#N/A</v>
          </cell>
          <cell r="H137" t="e">
            <v>#N/A</v>
          </cell>
          <cell r="I137" t="e">
            <v>#N/A</v>
          </cell>
          <cell r="J137" t="e">
            <v>#N/A</v>
          </cell>
          <cell r="K137" t="e">
            <v>#N/A</v>
          </cell>
          <cell r="L137" t="e">
            <v>#N/A</v>
          </cell>
          <cell r="M137" t="e">
            <v>#N/A</v>
          </cell>
          <cell r="N137" t="e">
            <v>#N/A</v>
          </cell>
          <cell r="O137" t="e">
            <v>#N/A</v>
          </cell>
          <cell r="P137">
            <v>57.689988</v>
          </cell>
          <cell r="Q137">
            <v>5.3123829999999996</v>
          </cell>
          <cell r="R137" t="e">
            <v>#N/A</v>
          </cell>
        </row>
        <row r="138">
          <cell r="A138">
            <v>40352</v>
          </cell>
          <cell r="B138">
            <v>40352</v>
          </cell>
          <cell r="C138" t="str">
            <v>Past</v>
          </cell>
          <cell r="D138">
            <v>57.429993000000003</v>
          </cell>
          <cell r="E138" t="e">
            <v>#N/A</v>
          </cell>
          <cell r="F138" t="e">
            <v>#N/A</v>
          </cell>
          <cell r="G138" t="e">
            <v>#N/A</v>
          </cell>
          <cell r="H138" t="e">
            <v>#N/A</v>
          </cell>
          <cell r="I138" t="e">
            <v>#N/A</v>
          </cell>
          <cell r="J138" t="e">
            <v>#N/A</v>
          </cell>
          <cell r="K138" t="e">
            <v>#N/A</v>
          </cell>
          <cell r="L138" t="e">
            <v>#N/A</v>
          </cell>
          <cell r="M138" t="e">
            <v>#N/A</v>
          </cell>
          <cell r="N138" t="e">
            <v>#N/A</v>
          </cell>
          <cell r="O138" t="e">
            <v>#N/A</v>
          </cell>
          <cell r="P138">
            <v>57.429993000000003</v>
          </cell>
          <cell r="Q138">
            <v>4.0666950000000002</v>
          </cell>
          <cell r="R138" t="e">
            <v>#N/A</v>
          </cell>
        </row>
        <row r="139">
          <cell r="A139">
            <v>40353</v>
          </cell>
          <cell r="B139">
            <v>40353</v>
          </cell>
          <cell r="C139" t="str">
            <v>Past</v>
          </cell>
          <cell r="D139">
            <v>56.169998999999997</v>
          </cell>
          <cell r="E139" t="e">
            <v>#N/A</v>
          </cell>
          <cell r="F139" t="e">
            <v>#N/A</v>
          </cell>
          <cell r="G139" t="e">
            <v>#N/A</v>
          </cell>
          <cell r="H139" t="e">
            <v>#N/A</v>
          </cell>
          <cell r="I139" t="e">
            <v>#N/A</v>
          </cell>
          <cell r="J139" t="e">
            <v>#N/A</v>
          </cell>
          <cell r="K139" t="e">
            <v>#N/A</v>
          </cell>
          <cell r="L139" t="e">
            <v>#N/A</v>
          </cell>
          <cell r="M139" t="e">
            <v>#N/A</v>
          </cell>
          <cell r="N139" t="e">
            <v>#N/A</v>
          </cell>
          <cell r="O139" t="e">
            <v>#N/A</v>
          </cell>
          <cell r="P139">
            <v>56.169998999999997</v>
          </cell>
          <cell r="Q139">
            <v>5.4722850000000003</v>
          </cell>
          <cell r="R139" t="e">
            <v>#N/A</v>
          </cell>
        </row>
        <row r="140">
          <cell r="A140">
            <v>40354</v>
          </cell>
          <cell r="B140">
            <v>40354</v>
          </cell>
          <cell r="C140" t="str">
            <v>Past</v>
          </cell>
          <cell r="D140">
            <v>56.689988</v>
          </cell>
          <cell r="E140" t="e">
            <v>#N/A</v>
          </cell>
          <cell r="F140" t="e">
            <v>#N/A</v>
          </cell>
          <cell r="G140" t="e">
            <v>#N/A</v>
          </cell>
          <cell r="H140" t="e">
            <v>#N/A</v>
          </cell>
          <cell r="I140" t="e">
            <v>#N/A</v>
          </cell>
          <cell r="J140" t="e">
            <v>#N/A</v>
          </cell>
          <cell r="K140" t="e">
            <v>#N/A</v>
          </cell>
          <cell r="L140" t="e">
            <v>#N/A</v>
          </cell>
          <cell r="M140" t="e">
            <v>#N/A</v>
          </cell>
          <cell r="N140" t="e">
            <v>#N/A</v>
          </cell>
          <cell r="O140" t="e">
            <v>#N/A</v>
          </cell>
          <cell r="P140">
            <v>56.689988</v>
          </cell>
          <cell r="Q140">
            <v>5.6225389999999997</v>
          </cell>
          <cell r="R140" t="e">
            <v>#N/A</v>
          </cell>
        </row>
        <row r="141">
          <cell r="A141">
            <v>40357</v>
          </cell>
          <cell r="B141">
            <v>40357</v>
          </cell>
          <cell r="C141" t="str">
            <v>Past</v>
          </cell>
          <cell r="D141">
            <v>56.259995000000004</v>
          </cell>
          <cell r="E141" t="e">
            <v>#N/A</v>
          </cell>
          <cell r="F141" t="e">
            <v>#N/A</v>
          </cell>
          <cell r="G141" t="e">
            <v>#N/A</v>
          </cell>
          <cell r="H141" t="e">
            <v>#N/A</v>
          </cell>
          <cell r="I141" t="e">
            <v>#N/A</v>
          </cell>
          <cell r="J141" t="e">
            <v>#N/A</v>
          </cell>
          <cell r="K141" t="e">
            <v>#N/A</v>
          </cell>
          <cell r="L141" t="e">
            <v>#N/A</v>
          </cell>
          <cell r="M141" t="e">
            <v>#N/A</v>
          </cell>
          <cell r="N141" t="e">
            <v>#N/A</v>
          </cell>
          <cell r="O141" t="e">
            <v>#N/A</v>
          </cell>
          <cell r="P141">
            <v>56.259995000000004</v>
          </cell>
          <cell r="Q141">
            <v>4.0529260000000003</v>
          </cell>
          <cell r="R141" t="e">
            <v>#N/A</v>
          </cell>
        </row>
        <row r="142">
          <cell r="A142">
            <v>40358</v>
          </cell>
          <cell r="B142">
            <v>40358</v>
          </cell>
          <cell r="C142" t="str">
            <v>Past</v>
          </cell>
          <cell r="D142">
            <v>54.459992</v>
          </cell>
          <cell r="E142" t="e">
            <v>#N/A</v>
          </cell>
          <cell r="F142" t="e">
            <v>#N/A</v>
          </cell>
          <cell r="G142" t="e">
            <v>#N/A</v>
          </cell>
          <cell r="H142" t="e">
            <v>#N/A</v>
          </cell>
          <cell r="I142" t="e">
            <v>#N/A</v>
          </cell>
          <cell r="J142" t="e">
            <v>#N/A</v>
          </cell>
          <cell r="K142" t="e">
            <v>#N/A</v>
          </cell>
          <cell r="L142" t="e">
            <v>#N/A</v>
          </cell>
          <cell r="M142" t="e">
            <v>#N/A</v>
          </cell>
          <cell r="N142" t="e">
            <v>#N/A</v>
          </cell>
          <cell r="O142" t="e">
            <v>#N/A</v>
          </cell>
          <cell r="P142">
            <v>54.459992</v>
          </cell>
          <cell r="Q142">
            <v>7.0485550000000003</v>
          </cell>
          <cell r="R142" t="e">
            <v>#N/A</v>
          </cell>
        </row>
        <row r="143">
          <cell r="A143">
            <v>40359</v>
          </cell>
          <cell r="B143">
            <v>40359</v>
          </cell>
          <cell r="C143" t="str">
            <v>Past</v>
          </cell>
          <cell r="D143">
            <v>55.079987000000003</v>
          </cell>
          <cell r="E143" t="e">
            <v>#N/A</v>
          </cell>
          <cell r="F143" t="e">
            <v>#N/A</v>
          </cell>
          <cell r="G143" t="e">
            <v>#N/A</v>
          </cell>
          <cell r="H143" t="e">
            <v>#N/A</v>
          </cell>
          <cell r="I143" t="e">
            <v>#N/A</v>
          </cell>
          <cell r="J143" t="e">
            <v>#N/A</v>
          </cell>
          <cell r="K143" t="e">
            <v>#N/A</v>
          </cell>
          <cell r="L143" t="e">
            <v>#N/A</v>
          </cell>
          <cell r="M143" t="e">
            <v>#N/A</v>
          </cell>
          <cell r="N143" t="e">
            <v>#N/A</v>
          </cell>
          <cell r="O143" t="e">
            <v>#N/A</v>
          </cell>
          <cell r="P143">
            <v>55.079987000000003</v>
          </cell>
          <cell r="Q143">
            <v>6.2142229999999996</v>
          </cell>
          <cell r="R143" t="e">
            <v>#N/A</v>
          </cell>
        </row>
        <row r="144">
          <cell r="A144">
            <v>40360</v>
          </cell>
          <cell r="B144">
            <v>40360</v>
          </cell>
          <cell r="C144" t="str">
            <v>Past</v>
          </cell>
          <cell r="D144">
            <v>55.01999</v>
          </cell>
          <cell r="E144" t="e">
            <v>#N/A</v>
          </cell>
          <cell r="F144" t="e">
            <v>#N/A</v>
          </cell>
          <cell r="G144" t="e">
            <v>#N/A</v>
          </cell>
          <cell r="H144" t="e">
            <v>#N/A</v>
          </cell>
          <cell r="I144" t="e">
            <v>#N/A</v>
          </cell>
          <cell r="J144" t="e">
            <v>#N/A</v>
          </cell>
          <cell r="K144" t="e">
            <v>#N/A</v>
          </cell>
          <cell r="L144" t="e">
            <v>#N/A</v>
          </cell>
          <cell r="M144" t="e">
            <v>#N/A</v>
          </cell>
          <cell r="N144" t="e">
            <v>#N/A</v>
          </cell>
          <cell r="O144" t="e">
            <v>#N/A</v>
          </cell>
          <cell r="P144">
            <v>55.01999</v>
          </cell>
          <cell r="Q144">
            <v>8.3758979999999994</v>
          </cell>
          <cell r="R144" t="e">
            <v>#N/A</v>
          </cell>
        </row>
        <row r="145">
          <cell r="A145">
            <v>40361</v>
          </cell>
          <cell r="B145">
            <v>40361</v>
          </cell>
          <cell r="C145" t="str">
            <v>Past</v>
          </cell>
          <cell r="D145">
            <v>54.429993000000003</v>
          </cell>
          <cell r="E145" t="e">
            <v>#N/A</v>
          </cell>
          <cell r="F145" t="e">
            <v>#N/A</v>
          </cell>
          <cell r="G145" t="e">
            <v>#N/A</v>
          </cell>
          <cell r="H145" t="e">
            <v>#N/A</v>
          </cell>
          <cell r="I145" t="e">
            <v>#N/A</v>
          </cell>
          <cell r="J145" t="e">
            <v>#N/A</v>
          </cell>
          <cell r="K145" t="e">
            <v>#N/A</v>
          </cell>
          <cell r="L145" t="e">
            <v>#N/A</v>
          </cell>
          <cell r="M145" t="e">
            <v>#N/A</v>
          </cell>
          <cell r="N145" t="e">
            <v>#N/A</v>
          </cell>
          <cell r="O145" t="e">
            <v>#N/A</v>
          </cell>
          <cell r="P145">
            <v>54.429993000000003</v>
          </cell>
          <cell r="Q145">
            <v>3.499069</v>
          </cell>
          <cell r="R145" t="e">
            <v>#N/A</v>
          </cell>
        </row>
        <row r="146">
          <cell r="A146">
            <v>40365</v>
          </cell>
          <cell r="B146">
            <v>40365</v>
          </cell>
          <cell r="C146" t="str">
            <v>Past</v>
          </cell>
          <cell r="D146">
            <v>54.119996</v>
          </cell>
          <cell r="E146" t="e">
            <v>#N/A</v>
          </cell>
          <cell r="F146" t="e">
            <v>#N/A</v>
          </cell>
          <cell r="G146" t="e">
            <v>#N/A</v>
          </cell>
          <cell r="H146" t="e">
            <v>#N/A</v>
          </cell>
          <cell r="I146" t="e">
            <v>#N/A</v>
          </cell>
          <cell r="J146" t="e">
            <v>#N/A</v>
          </cell>
          <cell r="K146" t="e">
            <v>#N/A</v>
          </cell>
          <cell r="L146" t="e">
            <v>#N/A</v>
          </cell>
          <cell r="M146" t="e">
            <v>#N/A</v>
          </cell>
          <cell r="N146" t="e">
            <v>#N/A</v>
          </cell>
          <cell r="O146" t="e">
            <v>#N/A</v>
          </cell>
          <cell r="P146">
            <v>54.119996</v>
          </cell>
          <cell r="Q146">
            <v>5.08134</v>
          </cell>
          <cell r="R146" t="e">
            <v>#N/A</v>
          </cell>
        </row>
        <row r="147">
          <cell r="A147">
            <v>40366</v>
          </cell>
          <cell r="B147">
            <v>40366</v>
          </cell>
          <cell r="C147" t="str">
            <v>Past</v>
          </cell>
          <cell r="D147">
            <v>55.779998999999997</v>
          </cell>
          <cell r="E147" t="e">
            <v>#N/A</v>
          </cell>
          <cell r="F147" t="e">
            <v>#N/A</v>
          </cell>
          <cell r="G147" t="e">
            <v>#N/A</v>
          </cell>
          <cell r="H147" t="e">
            <v>#N/A</v>
          </cell>
          <cell r="I147" t="e">
            <v>#N/A</v>
          </cell>
          <cell r="J147" t="e">
            <v>#N/A</v>
          </cell>
          <cell r="K147" t="e">
            <v>#N/A</v>
          </cell>
          <cell r="L147" t="e">
            <v>#N/A</v>
          </cell>
          <cell r="M147" t="e">
            <v>#N/A</v>
          </cell>
          <cell r="N147" t="e">
            <v>#N/A</v>
          </cell>
          <cell r="O147" t="e">
            <v>#N/A</v>
          </cell>
          <cell r="P147">
            <v>55.779998999999997</v>
          </cell>
          <cell r="Q147">
            <v>4.8768320000000003</v>
          </cell>
          <cell r="R147" t="e">
            <v>#N/A</v>
          </cell>
        </row>
        <row r="148">
          <cell r="A148">
            <v>40367</v>
          </cell>
          <cell r="B148">
            <v>40367</v>
          </cell>
          <cell r="C148" t="str">
            <v>Past</v>
          </cell>
          <cell r="D148">
            <v>56.14</v>
          </cell>
          <cell r="E148" t="e">
            <v>#N/A</v>
          </cell>
          <cell r="F148" t="e">
            <v>#N/A</v>
          </cell>
          <cell r="G148" t="e">
            <v>#N/A</v>
          </cell>
          <cell r="H148" t="e">
            <v>#N/A</v>
          </cell>
          <cell r="I148" t="e">
            <v>#N/A</v>
          </cell>
          <cell r="J148" t="e">
            <v>#N/A</v>
          </cell>
          <cell r="K148" t="e">
            <v>#N/A</v>
          </cell>
          <cell r="L148" t="e">
            <v>#N/A</v>
          </cell>
          <cell r="M148" t="e">
            <v>#N/A</v>
          </cell>
          <cell r="N148" t="e">
            <v>#N/A</v>
          </cell>
          <cell r="O148" t="e">
            <v>#N/A</v>
          </cell>
          <cell r="P148">
            <v>56.14</v>
          </cell>
          <cell r="Q148">
            <v>3.6391800000000001</v>
          </cell>
          <cell r="R148" t="e">
            <v>#N/A</v>
          </cell>
        </row>
        <row r="149">
          <cell r="A149">
            <v>40368</v>
          </cell>
          <cell r="B149">
            <v>40368</v>
          </cell>
          <cell r="C149" t="str">
            <v>Past</v>
          </cell>
          <cell r="D149">
            <v>56.529998999999997</v>
          </cell>
          <cell r="E149" t="e">
            <v>#N/A</v>
          </cell>
          <cell r="F149" t="e">
            <v>#N/A</v>
          </cell>
          <cell r="G149" t="e">
            <v>#N/A</v>
          </cell>
          <cell r="H149" t="e">
            <v>#N/A</v>
          </cell>
          <cell r="I149" t="e">
            <v>#N/A</v>
          </cell>
          <cell r="J149" t="e">
            <v>#N/A</v>
          </cell>
          <cell r="K149" t="e">
            <v>#N/A</v>
          </cell>
          <cell r="L149" t="e">
            <v>#N/A</v>
          </cell>
          <cell r="M149" t="e">
            <v>#N/A</v>
          </cell>
          <cell r="N149" t="e">
            <v>#N/A</v>
          </cell>
          <cell r="O149" t="e">
            <v>#N/A</v>
          </cell>
          <cell r="P149">
            <v>56.529998999999997</v>
          </cell>
          <cell r="Q149">
            <v>3.1940940000000002</v>
          </cell>
          <cell r="R149" t="e">
            <v>#N/A</v>
          </cell>
        </row>
        <row r="150">
          <cell r="A150">
            <v>40371</v>
          </cell>
          <cell r="B150">
            <v>40371</v>
          </cell>
          <cell r="C150" t="str">
            <v>Past</v>
          </cell>
          <cell r="D150">
            <v>56.689988</v>
          </cell>
          <cell r="E150" t="e">
            <v>#N/A</v>
          </cell>
          <cell r="F150" t="e">
            <v>#N/A</v>
          </cell>
          <cell r="G150" t="e">
            <v>#N/A</v>
          </cell>
          <cell r="H150" t="e">
            <v>#N/A</v>
          </cell>
          <cell r="I150" t="e">
            <v>#N/A</v>
          </cell>
          <cell r="J150" t="e">
            <v>#N/A</v>
          </cell>
          <cell r="K150" t="e">
            <v>#N/A</v>
          </cell>
          <cell r="L150" t="e">
            <v>#N/A</v>
          </cell>
          <cell r="M150" t="e">
            <v>#N/A</v>
          </cell>
          <cell r="N150" t="e">
            <v>#N/A</v>
          </cell>
          <cell r="O150" t="e">
            <v>#N/A</v>
          </cell>
          <cell r="P150">
            <v>56.689988</v>
          </cell>
          <cell r="Q150">
            <v>4.4529180000000004</v>
          </cell>
          <cell r="R150" t="e">
            <v>#N/A</v>
          </cell>
        </row>
        <row r="151">
          <cell r="A151">
            <v>40372</v>
          </cell>
          <cell r="B151">
            <v>40372</v>
          </cell>
          <cell r="C151" t="str">
            <v>Past</v>
          </cell>
          <cell r="D151">
            <v>56.849991000000003</v>
          </cell>
          <cell r="E151" t="e">
            <v>#N/A</v>
          </cell>
          <cell r="F151" t="e">
            <v>#N/A</v>
          </cell>
          <cell r="G151" t="e">
            <v>#N/A</v>
          </cell>
          <cell r="H151" t="e">
            <v>#N/A</v>
          </cell>
          <cell r="I151" t="e">
            <v>#N/A</v>
          </cell>
          <cell r="J151" t="e">
            <v>#N/A</v>
          </cell>
          <cell r="K151" t="e">
            <v>#N/A</v>
          </cell>
          <cell r="L151" t="e">
            <v>#N/A</v>
          </cell>
          <cell r="M151" t="e">
            <v>#N/A</v>
          </cell>
          <cell r="N151" t="e">
            <v>#N/A</v>
          </cell>
          <cell r="O151" t="e">
            <v>#N/A</v>
          </cell>
          <cell r="P151">
            <v>56.849991000000003</v>
          </cell>
          <cell r="Q151">
            <v>3.9545699999999999</v>
          </cell>
          <cell r="R151" t="e">
            <v>#N/A</v>
          </cell>
        </row>
        <row r="152">
          <cell r="A152">
            <v>40373</v>
          </cell>
          <cell r="B152">
            <v>40373</v>
          </cell>
          <cell r="C152" t="str">
            <v>Past</v>
          </cell>
          <cell r="D152">
            <v>57.089996999999997</v>
          </cell>
          <cell r="E152" t="e">
            <v>#N/A</v>
          </cell>
          <cell r="F152" t="e">
            <v>#N/A</v>
          </cell>
          <cell r="G152" t="e">
            <v>#N/A</v>
          </cell>
          <cell r="H152" t="e">
            <v>#N/A</v>
          </cell>
          <cell r="I152" t="e">
            <v>#N/A</v>
          </cell>
          <cell r="J152" t="e">
            <v>#N/A</v>
          </cell>
          <cell r="K152" t="e">
            <v>#N/A</v>
          </cell>
          <cell r="L152" t="e">
            <v>#N/A</v>
          </cell>
          <cell r="M152" t="e">
            <v>#N/A</v>
          </cell>
          <cell r="N152" t="e">
            <v>#N/A</v>
          </cell>
          <cell r="O152" t="e">
            <v>#N/A</v>
          </cell>
          <cell r="P152">
            <v>57.089996999999997</v>
          </cell>
          <cell r="Q152">
            <v>4.3273630000000001</v>
          </cell>
          <cell r="R152" t="e">
            <v>#N/A</v>
          </cell>
        </row>
        <row r="153">
          <cell r="A153">
            <v>40374</v>
          </cell>
          <cell r="B153">
            <v>40374</v>
          </cell>
          <cell r="C153" t="str">
            <v>Past</v>
          </cell>
          <cell r="D153">
            <v>57.759995000000004</v>
          </cell>
          <cell r="E153" t="e">
            <v>#N/A</v>
          </cell>
          <cell r="F153" t="e">
            <v>#N/A</v>
          </cell>
          <cell r="G153" t="e">
            <v>#N/A</v>
          </cell>
          <cell r="H153" t="e">
            <v>#N/A</v>
          </cell>
          <cell r="I153" t="e">
            <v>#N/A</v>
          </cell>
          <cell r="J153" t="e">
            <v>#N/A</v>
          </cell>
          <cell r="K153" t="e">
            <v>#N/A</v>
          </cell>
          <cell r="L153" t="e">
            <v>#N/A</v>
          </cell>
          <cell r="M153" t="e">
            <v>#N/A</v>
          </cell>
          <cell r="N153" t="e">
            <v>#N/A</v>
          </cell>
          <cell r="O153" t="e">
            <v>#N/A</v>
          </cell>
          <cell r="P153">
            <v>57.759995000000004</v>
          </cell>
          <cell r="Q153">
            <v>4.3615779999999997</v>
          </cell>
          <cell r="R153" t="e">
            <v>#N/A</v>
          </cell>
        </row>
        <row r="154">
          <cell r="A154">
            <v>40375</v>
          </cell>
          <cell r="B154">
            <v>40375</v>
          </cell>
          <cell r="C154" t="str">
            <v>Past</v>
          </cell>
          <cell r="D154">
            <v>56.569992999999997</v>
          </cell>
          <cell r="E154" t="e">
            <v>#N/A</v>
          </cell>
          <cell r="F154" t="e">
            <v>#N/A</v>
          </cell>
          <cell r="G154" t="e">
            <v>#N/A</v>
          </cell>
          <cell r="H154" t="e">
            <v>#N/A</v>
          </cell>
          <cell r="I154" t="e">
            <v>#N/A</v>
          </cell>
          <cell r="J154" t="e">
            <v>#N/A</v>
          </cell>
          <cell r="K154" t="e">
            <v>#N/A</v>
          </cell>
          <cell r="L154" t="e">
            <v>#N/A</v>
          </cell>
          <cell r="M154" t="e">
            <v>#N/A</v>
          </cell>
          <cell r="N154" t="e">
            <v>#N/A</v>
          </cell>
          <cell r="O154" t="e">
            <v>#N/A</v>
          </cell>
          <cell r="P154">
            <v>56.569992999999997</v>
          </cell>
          <cell r="Q154">
            <v>4.4880509999999996</v>
          </cell>
          <cell r="R154" t="e">
            <v>#N/A</v>
          </cell>
        </row>
        <row r="155">
          <cell r="A155">
            <v>40378</v>
          </cell>
          <cell r="B155">
            <v>40378</v>
          </cell>
          <cell r="C155" t="str">
            <v>Past</v>
          </cell>
          <cell r="D155">
            <v>54.5</v>
          </cell>
          <cell r="E155" t="e">
            <v>#N/A</v>
          </cell>
          <cell r="F155" t="e">
            <v>#N/A</v>
          </cell>
          <cell r="G155" t="e">
            <v>#N/A</v>
          </cell>
          <cell r="H155" t="e">
            <v>#N/A</v>
          </cell>
          <cell r="I155" t="e">
            <v>#N/A</v>
          </cell>
          <cell r="J155" t="e">
            <v>#N/A</v>
          </cell>
          <cell r="K155" t="e">
            <v>#N/A</v>
          </cell>
          <cell r="L155" t="e">
            <v>#N/A</v>
          </cell>
          <cell r="M155" t="e">
            <v>#N/A</v>
          </cell>
          <cell r="N155" t="e">
            <v>#N/A</v>
          </cell>
          <cell r="O155" t="e">
            <v>#N/A</v>
          </cell>
          <cell r="P155">
            <v>54.5</v>
          </cell>
          <cell r="Q155">
            <v>7.7194099999999999</v>
          </cell>
          <cell r="R155" t="e">
            <v>#N/A</v>
          </cell>
        </row>
        <row r="156">
          <cell r="A156">
            <v>40379</v>
          </cell>
          <cell r="B156">
            <v>40379</v>
          </cell>
          <cell r="C156" t="str">
            <v>Past</v>
          </cell>
          <cell r="D156">
            <v>55.049987999999999</v>
          </cell>
          <cell r="E156" t="e">
            <v>#N/A</v>
          </cell>
          <cell r="F156" t="e">
            <v>#N/A</v>
          </cell>
          <cell r="G156" t="e">
            <v>#N/A</v>
          </cell>
          <cell r="H156" t="e">
            <v>#N/A</v>
          </cell>
          <cell r="I156" t="e">
            <v>#N/A</v>
          </cell>
          <cell r="J156" t="e">
            <v>#N/A</v>
          </cell>
          <cell r="K156" t="e">
            <v>#N/A</v>
          </cell>
          <cell r="L156" t="e">
            <v>#N/A</v>
          </cell>
          <cell r="M156" t="e">
            <v>#N/A</v>
          </cell>
          <cell r="N156" t="e">
            <v>#N/A</v>
          </cell>
          <cell r="O156" t="e">
            <v>#N/A</v>
          </cell>
          <cell r="P156">
            <v>55.049987999999999</v>
          </cell>
          <cell r="Q156">
            <v>5.4263240000000001</v>
          </cell>
          <cell r="R156" t="e">
            <v>#N/A</v>
          </cell>
        </row>
        <row r="157">
          <cell r="A157">
            <v>40380</v>
          </cell>
          <cell r="B157">
            <v>40380</v>
          </cell>
          <cell r="C157" t="str">
            <v>Past</v>
          </cell>
          <cell r="D157">
            <v>53.329987000000003</v>
          </cell>
          <cell r="E157" t="e">
            <v>#N/A</v>
          </cell>
          <cell r="F157" t="e">
            <v>#N/A</v>
          </cell>
          <cell r="G157" t="e">
            <v>#N/A</v>
          </cell>
          <cell r="H157" t="e">
            <v>#N/A</v>
          </cell>
          <cell r="I157" t="e">
            <v>#N/A</v>
          </cell>
          <cell r="J157" t="e">
            <v>#N/A</v>
          </cell>
          <cell r="K157" t="e">
            <v>#N/A</v>
          </cell>
          <cell r="L157" t="e">
            <v>#N/A</v>
          </cell>
          <cell r="M157" t="e">
            <v>#N/A</v>
          </cell>
          <cell r="N157" t="e">
            <v>#N/A</v>
          </cell>
          <cell r="O157" t="e">
            <v>#N/A</v>
          </cell>
          <cell r="P157">
            <v>53.329987000000003</v>
          </cell>
          <cell r="Q157">
            <v>7.1489339999999997</v>
          </cell>
          <cell r="R157" t="e">
            <v>#N/A</v>
          </cell>
        </row>
        <row r="158">
          <cell r="A158">
            <v>40381</v>
          </cell>
          <cell r="B158">
            <v>40381</v>
          </cell>
          <cell r="C158" t="str">
            <v>Past</v>
          </cell>
          <cell r="D158">
            <v>49</v>
          </cell>
          <cell r="E158" t="e">
            <v>#N/A</v>
          </cell>
          <cell r="F158" t="e">
            <v>#N/A</v>
          </cell>
          <cell r="G158" t="e">
            <v>#N/A</v>
          </cell>
          <cell r="H158" t="e">
            <v>#N/A</v>
          </cell>
          <cell r="I158" t="e">
            <v>#N/A</v>
          </cell>
          <cell r="J158" t="e">
            <v>#N/A</v>
          </cell>
          <cell r="K158" t="e">
            <v>#N/A</v>
          </cell>
          <cell r="L158" t="e">
            <v>#N/A</v>
          </cell>
          <cell r="M158" t="e">
            <v>#N/A</v>
          </cell>
          <cell r="N158" t="e">
            <v>#N/A</v>
          </cell>
          <cell r="O158" t="e">
            <v>#N/A</v>
          </cell>
          <cell r="P158">
            <v>49</v>
          </cell>
          <cell r="Q158">
            <v>21.712692000000001</v>
          </cell>
          <cell r="R158" t="e">
            <v>#N/A</v>
          </cell>
        </row>
        <row r="159">
          <cell r="A159">
            <v>40382</v>
          </cell>
          <cell r="B159">
            <v>40382</v>
          </cell>
          <cell r="C159" t="str">
            <v>Past</v>
          </cell>
          <cell r="D159">
            <v>48.51999</v>
          </cell>
          <cell r="E159" t="e">
            <v>#N/A</v>
          </cell>
          <cell r="F159" t="e">
            <v>#N/A</v>
          </cell>
          <cell r="G159" t="e">
            <v>#N/A</v>
          </cell>
          <cell r="H159" t="e">
            <v>#N/A</v>
          </cell>
          <cell r="I159" t="e">
            <v>#N/A</v>
          </cell>
          <cell r="J159" t="e">
            <v>#N/A</v>
          </cell>
          <cell r="K159" t="e">
            <v>#N/A</v>
          </cell>
          <cell r="L159" t="e">
            <v>#N/A</v>
          </cell>
          <cell r="M159" t="e">
            <v>#N/A</v>
          </cell>
          <cell r="N159" t="e">
            <v>#N/A</v>
          </cell>
          <cell r="O159" t="e">
            <v>#N/A</v>
          </cell>
          <cell r="P159">
            <v>48.51999</v>
          </cell>
          <cell r="Q159">
            <v>12.992637</v>
          </cell>
          <cell r="R159" t="e">
            <v>#N/A</v>
          </cell>
        </row>
        <row r="160">
          <cell r="A160">
            <v>40385</v>
          </cell>
          <cell r="B160">
            <v>40385</v>
          </cell>
          <cell r="C160" t="str">
            <v>Past</v>
          </cell>
          <cell r="D160">
            <v>48.739991000000003</v>
          </cell>
          <cell r="E160" t="e">
            <v>#N/A</v>
          </cell>
          <cell r="F160" t="e">
            <v>#N/A</v>
          </cell>
          <cell r="G160" t="e">
            <v>#N/A</v>
          </cell>
          <cell r="H160" t="e">
            <v>#N/A</v>
          </cell>
          <cell r="I160" t="e">
            <v>#N/A</v>
          </cell>
          <cell r="J160" t="e">
            <v>#N/A</v>
          </cell>
          <cell r="K160" t="e">
            <v>#N/A</v>
          </cell>
          <cell r="L160" t="e">
            <v>#N/A</v>
          </cell>
          <cell r="M160" t="e">
            <v>#N/A</v>
          </cell>
          <cell r="N160" t="e">
            <v>#N/A</v>
          </cell>
          <cell r="O160" t="e">
            <v>#N/A</v>
          </cell>
          <cell r="P160">
            <v>48.739991000000003</v>
          </cell>
          <cell r="Q160">
            <v>6.940067</v>
          </cell>
          <cell r="R160" t="e">
            <v>#N/A</v>
          </cell>
        </row>
        <row r="161">
          <cell r="A161">
            <v>40386</v>
          </cell>
          <cell r="B161">
            <v>40386</v>
          </cell>
          <cell r="C161" t="str">
            <v>Past</v>
          </cell>
          <cell r="D161">
            <v>49.279998999999997</v>
          </cell>
          <cell r="E161" t="e">
            <v>#N/A</v>
          </cell>
          <cell r="F161" t="e">
            <v>#N/A</v>
          </cell>
          <cell r="G161" t="e">
            <v>#N/A</v>
          </cell>
          <cell r="H161" t="e">
            <v>#N/A</v>
          </cell>
          <cell r="I161" t="e">
            <v>#N/A</v>
          </cell>
          <cell r="J161" t="e">
            <v>#N/A</v>
          </cell>
          <cell r="K161" t="e">
            <v>#N/A</v>
          </cell>
          <cell r="L161" t="e">
            <v>#N/A</v>
          </cell>
          <cell r="M161" t="e">
            <v>#N/A</v>
          </cell>
          <cell r="N161" t="e">
            <v>#N/A</v>
          </cell>
          <cell r="O161" t="e">
            <v>#N/A</v>
          </cell>
          <cell r="P161">
            <v>49.279998999999997</v>
          </cell>
          <cell r="Q161">
            <v>6.2139920000000002</v>
          </cell>
          <cell r="R161" t="e">
            <v>#N/A</v>
          </cell>
        </row>
        <row r="162">
          <cell r="A162">
            <v>40387</v>
          </cell>
          <cell r="B162">
            <v>40387</v>
          </cell>
          <cell r="C162" t="str">
            <v>Past</v>
          </cell>
          <cell r="D162">
            <v>47.439988</v>
          </cell>
          <cell r="E162" t="e">
            <v>#N/A</v>
          </cell>
          <cell r="F162" t="e">
            <v>#N/A</v>
          </cell>
          <cell r="G162" t="e">
            <v>#N/A</v>
          </cell>
          <cell r="H162" t="e">
            <v>#N/A</v>
          </cell>
          <cell r="I162" t="e">
            <v>#N/A</v>
          </cell>
          <cell r="J162" t="e">
            <v>#N/A</v>
          </cell>
          <cell r="K162" t="e">
            <v>#N/A</v>
          </cell>
          <cell r="L162" t="e">
            <v>#N/A</v>
          </cell>
          <cell r="M162" t="e">
            <v>#N/A</v>
          </cell>
          <cell r="N162" t="e">
            <v>#N/A</v>
          </cell>
          <cell r="O162" t="e">
            <v>#N/A</v>
          </cell>
          <cell r="P162">
            <v>47.439988</v>
          </cell>
          <cell r="Q162">
            <v>11.000883</v>
          </cell>
          <cell r="R162" t="e">
            <v>#N/A</v>
          </cell>
        </row>
        <row r="163">
          <cell r="A163">
            <v>40388</v>
          </cell>
          <cell r="B163">
            <v>40388</v>
          </cell>
          <cell r="C163" t="str">
            <v>Past</v>
          </cell>
          <cell r="D163">
            <v>48.449997000000003</v>
          </cell>
          <cell r="E163" t="e">
            <v>#N/A</v>
          </cell>
          <cell r="F163" t="e">
            <v>#N/A</v>
          </cell>
          <cell r="G163" t="e">
            <v>#N/A</v>
          </cell>
          <cell r="H163" t="e">
            <v>#N/A</v>
          </cell>
          <cell r="I163" t="e">
            <v>#N/A</v>
          </cell>
          <cell r="J163" t="e">
            <v>#N/A</v>
          </cell>
          <cell r="K163" t="e">
            <v>#N/A</v>
          </cell>
          <cell r="L163" t="e">
            <v>#N/A</v>
          </cell>
          <cell r="M163" t="e">
            <v>#N/A</v>
          </cell>
          <cell r="N163" t="e">
            <v>#N/A</v>
          </cell>
          <cell r="O163" t="e">
            <v>#N/A</v>
          </cell>
          <cell r="P163">
            <v>48.449997000000003</v>
          </cell>
          <cell r="Q163">
            <v>9.5821640000000006</v>
          </cell>
          <cell r="R163" t="e">
            <v>#N/A</v>
          </cell>
        </row>
        <row r="164">
          <cell r="A164">
            <v>40389</v>
          </cell>
          <cell r="B164">
            <v>40389</v>
          </cell>
          <cell r="C164" t="str">
            <v>Past</v>
          </cell>
          <cell r="D164">
            <v>48</v>
          </cell>
          <cell r="E164" t="e">
            <v>#N/A</v>
          </cell>
          <cell r="F164" t="e">
            <v>#N/A</v>
          </cell>
          <cell r="G164" t="e">
            <v>#N/A</v>
          </cell>
          <cell r="H164" t="e">
            <v>#N/A</v>
          </cell>
          <cell r="I164" t="e">
            <v>#N/A</v>
          </cell>
          <cell r="J164" t="e">
            <v>#N/A</v>
          </cell>
          <cell r="K164" t="e">
            <v>#N/A</v>
          </cell>
          <cell r="L164" t="e">
            <v>#N/A</v>
          </cell>
          <cell r="M164" t="e">
            <v>#N/A</v>
          </cell>
          <cell r="N164" t="e">
            <v>#N/A</v>
          </cell>
          <cell r="O164" t="e">
            <v>#N/A</v>
          </cell>
          <cell r="P164">
            <v>48</v>
          </cell>
          <cell r="Q164">
            <v>6.4076129999999996</v>
          </cell>
          <cell r="R164" t="e">
            <v>#N/A</v>
          </cell>
        </row>
        <row r="165">
          <cell r="A165">
            <v>40392</v>
          </cell>
          <cell r="B165">
            <v>40392</v>
          </cell>
          <cell r="C165" t="str">
            <v>Past</v>
          </cell>
          <cell r="D165">
            <v>47.539994</v>
          </cell>
          <cell r="E165" t="e">
            <v>#N/A</v>
          </cell>
          <cell r="F165" t="e">
            <v>#N/A</v>
          </cell>
          <cell r="G165" t="e">
            <v>#N/A</v>
          </cell>
          <cell r="H165" t="e">
            <v>#N/A</v>
          </cell>
          <cell r="I165" t="e">
            <v>#N/A</v>
          </cell>
          <cell r="J165" t="e">
            <v>#N/A</v>
          </cell>
          <cell r="K165" t="e">
            <v>#N/A</v>
          </cell>
          <cell r="L165" t="e">
            <v>#N/A</v>
          </cell>
          <cell r="M165" t="e">
            <v>#N/A</v>
          </cell>
          <cell r="N165" t="e">
            <v>#N/A</v>
          </cell>
          <cell r="O165" t="e">
            <v>#N/A</v>
          </cell>
          <cell r="P165">
            <v>47.539994</v>
          </cell>
          <cell r="Q165">
            <v>7.4400550000000001</v>
          </cell>
          <cell r="R165" t="e">
            <v>#N/A</v>
          </cell>
        </row>
        <row r="166">
          <cell r="A166">
            <v>40393</v>
          </cell>
          <cell r="B166">
            <v>40393</v>
          </cell>
          <cell r="C166" t="str">
            <v>Past</v>
          </cell>
          <cell r="D166">
            <v>47.189988</v>
          </cell>
          <cell r="E166" t="e">
            <v>#N/A</v>
          </cell>
          <cell r="F166" t="e">
            <v>#N/A</v>
          </cell>
          <cell r="G166" t="e">
            <v>#N/A</v>
          </cell>
          <cell r="H166" t="e">
            <v>#N/A</v>
          </cell>
          <cell r="I166" t="e">
            <v>#N/A</v>
          </cell>
          <cell r="J166" t="e">
            <v>#N/A</v>
          </cell>
          <cell r="K166" t="e">
            <v>#N/A</v>
          </cell>
          <cell r="L166" t="e">
            <v>#N/A</v>
          </cell>
          <cell r="M166" t="e">
            <v>#N/A</v>
          </cell>
          <cell r="N166" t="e">
            <v>#N/A</v>
          </cell>
          <cell r="O166" t="e">
            <v>#N/A</v>
          </cell>
          <cell r="P166">
            <v>47.189988</v>
          </cell>
          <cell r="Q166">
            <v>5.5871449999999996</v>
          </cell>
          <cell r="R166" t="e">
            <v>#N/A</v>
          </cell>
        </row>
        <row r="167">
          <cell r="A167">
            <v>40394</v>
          </cell>
          <cell r="B167">
            <v>40394</v>
          </cell>
          <cell r="C167" t="str">
            <v>Past</v>
          </cell>
          <cell r="D167">
            <v>47.64</v>
          </cell>
          <cell r="E167" t="e">
            <v>#N/A</v>
          </cell>
          <cell r="F167" t="e">
            <v>#N/A</v>
          </cell>
          <cell r="G167" t="e">
            <v>#N/A</v>
          </cell>
          <cell r="H167" t="e">
            <v>#N/A</v>
          </cell>
          <cell r="I167" t="e">
            <v>#N/A</v>
          </cell>
          <cell r="J167" t="e">
            <v>#N/A</v>
          </cell>
          <cell r="K167" t="e">
            <v>#N/A</v>
          </cell>
          <cell r="L167" t="e">
            <v>#N/A</v>
          </cell>
          <cell r="M167" t="e">
            <v>#N/A</v>
          </cell>
          <cell r="N167" t="e">
            <v>#N/A</v>
          </cell>
          <cell r="O167" t="e">
            <v>#N/A</v>
          </cell>
          <cell r="P167">
            <v>47.64</v>
          </cell>
          <cell r="Q167">
            <v>9.8731019999999994</v>
          </cell>
          <cell r="R167" t="e">
            <v>#N/A</v>
          </cell>
        </row>
        <row r="168">
          <cell r="A168">
            <v>40395</v>
          </cell>
          <cell r="B168">
            <v>40395</v>
          </cell>
          <cell r="C168" t="str">
            <v>Past</v>
          </cell>
          <cell r="D168">
            <v>47.279998999999997</v>
          </cell>
          <cell r="E168" t="e">
            <v>#N/A</v>
          </cell>
          <cell r="F168" t="e">
            <v>#N/A</v>
          </cell>
          <cell r="G168" t="e">
            <v>#N/A</v>
          </cell>
          <cell r="H168" t="e">
            <v>#N/A</v>
          </cell>
          <cell r="I168" t="e">
            <v>#N/A</v>
          </cell>
          <cell r="J168" t="e">
            <v>#N/A</v>
          </cell>
          <cell r="K168" t="e">
            <v>#N/A</v>
          </cell>
          <cell r="L168" t="e">
            <v>#N/A</v>
          </cell>
          <cell r="M168" t="e">
            <v>#N/A</v>
          </cell>
          <cell r="N168" t="e">
            <v>#N/A</v>
          </cell>
          <cell r="O168" t="e">
            <v>#N/A</v>
          </cell>
          <cell r="P168">
            <v>47.279998999999997</v>
          </cell>
          <cell r="Q168">
            <v>6.1322029999999996</v>
          </cell>
          <cell r="R168" t="e">
            <v>#N/A</v>
          </cell>
        </row>
        <row r="169">
          <cell r="A169">
            <v>40396</v>
          </cell>
          <cell r="B169">
            <v>40396</v>
          </cell>
          <cell r="C169" t="str">
            <v>Past</v>
          </cell>
          <cell r="D169">
            <v>47.64</v>
          </cell>
          <cell r="E169" t="e">
            <v>#N/A</v>
          </cell>
          <cell r="F169" t="e">
            <v>#N/A</v>
          </cell>
          <cell r="G169" t="e">
            <v>#N/A</v>
          </cell>
          <cell r="H169" t="e">
            <v>#N/A</v>
          </cell>
          <cell r="I169" t="e">
            <v>#N/A</v>
          </cell>
          <cell r="J169" t="e">
            <v>#N/A</v>
          </cell>
          <cell r="K169" t="e">
            <v>#N/A</v>
          </cell>
          <cell r="L169" t="e">
            <v>#N/A</v>
          </cell>
          <cell r="M169" t="e">
            <v>#N/A</v>
          </cell>
          <cell r="N169" t="e">
            <v>#N/A</v>
          </cell>
          <cell r="O169" t="e">
            <v>#N/A</v>
          </cell>
          <cell r="P169">
            <v>47.64</v>
          </cell>
          <cell r="Q169">
            <v>6.8460349999999996</v>
          </cell>
          <cell r="R169" t="e">
            <v>#N/A</v>
          </cell>
        </row>
        <row r="170">
          <cell r="A170">
            <v>40399</v>
          </cell>
          <cell r="B170">
            <v>40399</v>
          </cell>
          <cell r="C170" t="str">
            <v>Past</v>
          </cell>
          <cell r="D170">
            <v>47</v>
          </cell>
          <cell r="E170" t="e">
            <v>#N/A</v>
          </cell>
          <cell r="F170" t="e">
            <v>#N/A</v>
          </cell>
          <cell r="G170" t="e">
            <v>#N/A</v>
          </cell>
          <cell r="H170" t="e">
            <v>#N/A</v>
          </cell>
          <cell r="I170" t="e">
            <v>#N/A</v>
          </cell>
          <cell r="J170" t="e">
            <v>#N/A</v>
          </cell>
          <cell r="K170" t="e">
            <v>#N/A</v>
          </cell>
          <cell r="L170" t="e">
            <v>#N/A</v>
          </cell>
          <cell r="M170" t="e">
            <v>#N/A</v>
          </cell>
          <cell r="N170" t="e">
            <v>#N/A</v>
          </cell>
          <cell r="O170" t="e">
            <v>#N/A</v>
          </cell>
          <cell r="P170">
            <v>47</v>
          </cell>
          <cell r="Q170">
            <v>4.5778670000000004</v>
          </cell>
          <cell r="R170" t="e">
            <v>#N/A</v>
          </cell>
        </row>
        <row r="171">
          <cell r="A171">
            <v>40400</v>
          </cell>
          <cell r="B171">
            <v>40400</v>
          </cell>
          <cell r="C171" t="str">
            <v>Past</v>
          </cell>
          <cell r="D171">
            <v>46.839996999999997</v>
          </cell>
          <cell r="E171" t="e">
            <v>#N/A</v>
          </cell>
          <cell r="F171" t="e">
            <v>#N/A</v>
          </cell>
          <cell r="G171" t="e">
            <v>#N/A</v>
          </cell>
          <cell r="H171" t="e">
            <v>#N/A</v>
          </cell>
          <cell r="I171" t="e">
            <v>#N/A</v>
          </cell>
          <cell r="J171" t="e">
            <v>#N/A</v>
          </cell>
          <cell r="K171" t="e">
            <v>#N/A</v>
          </cell>
          <cell r="L171" t="e">
            <v>#N/A</v>
          </cell>
          <cell r="M171" t="e">
            <v>#N/A</v>
          </cell>
          <cell r="N171" t="e">
            <v>#N/A</v>
          </cell>
          <cell r="O171" t="e">
            <v>#N/A</v>
          </cell>
          <cell r="P171">
            <v>46.839996999999997</v>
          </cell>
          <cell r="Q171">
            <v>5.89682</v>
          </cell>
          <cell r="R171" t="e">
            <v>#N/A</v>
          </cell>
        </row>
        <row r="172">
          <cell r="A172">
            <v>40401</v>
          </cell>
          <cell r="B172">
            <v>40401</v>
          </cell>
          <cell r="C172" t="str">
            <v>Past</v>
          </cell>
          <cell r="D172">
            <v>45.879989999999999</v>
          </cell>
          <cell r="E172" t="e">
            <v>#N/A</v>
          </cell>
          <cell r="F172" t="e">
            <v>#N/A</v>
          </cell>
          <cell r="G172" t="e">
            <v>#N/A</v>
          </cell>
          <cell r="H172" t="e">
            <v>#N/A</v>
          </cell>
          <cell r="I172" t="e">
            <v>#N/A</v>
          </cell>
          <cell r="J172" t="e">
            <v>#N/A</v>
          </cell>
          <cell r="K172" t="e">
            <v>#N/A</v>
          </cell>
          <cell r="L172" t="e">
            <v>#N/A</v>
          </cell>
          <cell r="M172" t="e">
            <v>#N/A</v>
          </cell>
          <cell r="N172" t="e">
            <v>#N/A</v>
          </cell>
          <cell r="O172" t="e">
            <v>#N/A</v>
          </cell>
          <cell r="P172">
            <v>45.879989999999999</v>
          </cell>
          <cell r="Q172">
            <v>5.5014339999999997</v>
          </cell>
          <cell r="R172" t="e">
            <v>#N/A</v>
          </cell>
        </row>
        <row r="173">
          <cell r="A173">
            <v>40402</v>
          </cell>
          <cell r="B173">
            <v>40402</v>
          </cell>
          <cell r="C173" t="str">
            <v>Past</v>
          </cell>
          <cell r="D173">
            <v>46.789994</v>
          </cell>
          <cell r="E173" t="e">
            <v>#N/A</v>
          </cell>
          <cell r="F173" t="e">
            <v>#N/A</v>
          </cell>
          <cell r="G173" t="e">
            <v>#N/A</v>
          </cell>
          <cell r="H173" t="e">
            <v>#N/A</v>
          </cell>
          <cell r="I173" t="e">
            <v>#N/A</v>
          </cell>
          <cell r="J173" t="e">
            <v>#N/A</v>
          </cell>
          <cell r="K173" t="e">
            <v>#N/A</v>
          </cell>
          <cell r="L173" t="e">
            <v>#N/A</v>
          </cell>
          <cell r="M173" t="e">
            <v>#N/A</v>
          </cell>
          <cell r="N173" t="e">
            <v>#N/A</v>
          </cell>
          <cell r="O173" t="e">
            <v>#N/A</v>
          </cell>
          <cell r="P173">
            <v>46.789994</v>
          </cell>
          <cell r="Q173">
            <v>5.8882659999999998</v>
          </cell>
          <cell r="R173" t="e">
            <v>#N/A</v>
          </cell>
        </row>
        <row r="174">
          <cell r="A174">
            <v>40403</v>
          </cell>
          <cell r="B174">
            <v>40403</v>
          </cell>
          <cell r="C174" t="str">
            <v>Past</v>
          </cell>
          <cell r="D174">
            <v>46.919998999999997</v>
          </cell>
          <cell r="E174" t="e">
            <v>#N/A</v>
          </cell>
          <cell r="F174" t="e">
            <v>#N/A</v>
          </cell>
          <cell r="G174" t="e">
            <v>#N/A</v>
          </cell>
          <cell r="H174" t="e">
            <v>#N/A</v>
          </cell>
          <cell r="I174" t="e">
            <v>#N/A</v>
          </cell>
          <cell r="J174" t="e">
            <v>#N/A</v>
          </cell>
          <cell r="K174" t="e">
            <v>#N/A</v>
          </cell>
          <cell r="L174" t="e">
            <v>#N/A</v>
          </cell>
          <cell r="M174" t="e">
            <v>#N/A</v>
          </cell>
          <cell r="N174" t="e">
            <v>#N/A</v>
          </cell>
          <cell r="O174" t="e">
            <v>#N/A</v>
          </cell>
          <cell r="P174">
            <v>46.919998999999997</v>
          </cell>
          <cell r="Q174">
            <v>4.1235980000000003</v>
          </cell>
          <cell r="R174" t="e">
            <v>#N/A</v>
          </cell>
        </row>
        <row r="175">
          <cell r="A175">
            <v>40406</v>
          </cell>
          <cell r="B175">
            <v>40406</v>
          </cell>
          <cell r="C175" t="str">
            <v>Past</v>
          </cell>
          <cell r="D175">
            <v>45.809998</v>
          </cell>
          <cell r="E175" t="e">
            <v>#N/A</v>
          </cell>
          <cell r="F175" t="e">
            <v>#N/A</v>
          </cell>
          <cell r="G175" t="e">
            <v>#N/A</v>
          </cell>
          <cell r="H175" t="e">
            <v>#N/A</v>
          </cell>
          <cell r="I175" t="e">
            <v>#N/A</v>
          </cell>
          <cell r="J175" t="e">
            <v>#N/A</v>
          </cell>
          <cell r="K175" t="e">
            <v>#N/A</v>
          </cell>
          <cell r="L175" t="e">
            <v>#N/A</v>
          </cell>
          <cell r="M175" t="e">
            <v>#N/A</v>
          </cell>
          <cell r="N175" t="e">
            <v>#N/A</v>
          </cell>
          <cell r="O175" t="e">
            <v>#N/A</v>
          </cell>
          <cell r="P175">
            <v>45.809998</v>
          </cell>
          <cell r="Q175">
            <v>5.24634</v>
          </cell>
          <cell r="R175" t="e">
            <v>#N/A</v>
          </cell>
        </row>
        <row r="176">
          <cell r="A176">
            <v>40407</v>
          </cell>
          <cell r="B176">
            <v>40407</v>
          </cell>
          <cell r="C176" t="str">
            <v>Past</v>
          </cell>
          <cell r="D176">
            <v>46.049987999999999</v>
          </cell>
          <cell r="E176" t="e">
            <v>#N/A</v>
          </cell>
          <cell r="F176" t="e">
            <v>#N/A</v>
          </cell>
          <cell r="G176" t="e">
            <v>#N/A</v>
          </cell>
          <cell r="H176" t="e">
            <v>#N/A</v>
          </cell>
          <cell r="I176" t="e">
            <v>#N/A</v>
          </cell>
          <cell r="J176" t="e">
            <v>#N/A</v>
          </cell>
          <cell r="K176" t="e">
            <v>#N/A</v>
          </cell>
          <cell r="L176" t="e">
            <v>#N/A</v>
          </cell>
          <cell r="M176" t="e">
            <v>#N/A</v>
          </cell>
          <cell r="N176" t="e">
            <v>#N/A</v>
          </cell>
          <cell r="O176" t="e">
            <v>#N/A</v>
          </cell>
          <cell r="P176">
            <v>46.049987999999999</v>
          </cell>
          <cell r="Q176">
            <v>5.0637660000000002</v>
          </cell>
          <cell r="R176" t="e">
            <v>#N/A</v>
          </cell>
        </row>
        <row r="177">
          <cell r="A177">
            <v>40408</v>
          </cell>
          <cell r="B177">
            <v>40408</v>
          </cell>
          <cell r="C177" t="str">
            <v>Past</v>
          </cell>
          <cell r="D177">
            <v>46.549987999999999</v>
          </cell>
          <cell r="E177" t="e">
            <v>#N/A</v>
          </cell>
          <cell r="F177" t="e">
            <v>#N/A</v>
          </cell>
          <cell r="G177" t="e">
            <v>#N/A</v>
          </cell>
          <cell r="H177" t="e">
            <v>#N/A</v>
          </cell>
          <cell r="I177" t="e">
            <v>#N/A</v>
          </cell>
          <cell r="J177" t="e">
            <v>#N/A</v>
          </cell>
          <cell r="K177" t="e">
            <v>#N/A</v>
          </cell>
          <cell r="L177" t="e">
            <v>#N/A</v>
          </cell>
          <cell r="M177" t="e">
            <v>#N/A</v>
          </cell>
          <cell r="N177" t="e">
            <v>#N/A</v>
          </cell>
          <cell r="O177" t="e">
            <v>#N/A</v>
          </cell>
          <cell r="P177">
            <v>46.549987999999999</v>
          </cell>
          <cell r="Q177">
            <v>5.2521950000000004</v>
          </cell>
          <cell r="R177" t="e">
            <v>#N/A</v>
          </cell>
        </row>
        <row r="178">
          <cell r="A178">
            <v>40409</v>
          </cell>
          <cell r="B178">
            <v>40409</v>
          </cell>
          <cell r="C178" t="str">
            <v>Past</v>
          </cell>
          <cell r="D178">
            <v>45.329987000000003</v>
          </cell>
          <cell r="E178" t="e">
            <v>#N/A</v>
          </cell>
          <cell r="F178" t="e">
            <v>#N/A</v>
          </cell>
          <cell r="G178" t="e">
            <v>#N/A</v>
          </cell>
          <cell r="H178" t="e">
            <v>#N/A</v>
          </cell>
          <cell r="I178" t="e">
            <v>#N/A</v>
          </cell>
          <cell r="J178" t="e">
            <v>#N/A</v>
          </cell>
          <cell r="K178" t="e">
            <v>#N/A</v>
          </cell>
          <cell r="L178" t="e">
            <v>#N/A</v>
          </cell>
          <cell r="M178" t="e">
            <v>#N/A</v>
          </cell>
          <cell r="N178" t="e">
            <v>#N/A</v>
          </cell>
          <cell r="O178" t="e">
            <v>#N/A</v>
          </cell>
          <cell r="P178">
            <v>45.329987000000003</v>
          </cell>
          <cell r="Q178">
            <v>4.7609649999999997</v>
          </cell>
          <cell r="R178" t="e">
            <v>#N/A</v>
          </cell>
        </row>
        <row r="179">
          <cell r="A179">
            <v>40410</v>
          </cell>
          <cell r="B179">
            <v>40410</v>
          </cell>
          <cell r="C179" t="str">
            <v>Past</v>
          </cell>
          <cell r="D179">
            <v>45.259995000000004</v>
          </cell>
          <cell r="E179" t="e">
            <v>#N/A</v>
          </cell>
          <cell r="F179" t="e">
            <v>#N/A</v>
          </cell>
          <cell r="G179" t="e">
            <v>#N/A</v>
          </cell>
          <cell r="H179" t="e">
            <v>#N/A</v>
          </cell>
          <cell r="I179" t="e">
            <v>#N/A</v>
          </cell>
          <cell r="J179" t="e">
            <v>#N/A</v>
          </cell>
          <cell r="K179" t="e">
            <v>#N/A</v>
          </cell>
          <cell r="L179" t="e">
            <v>#N/A</v>
          </cell>
          <cell r="M179" t="e">
            <v>#N/A</v>
          </cell>
          <cell r="N179" t="e">
            <v>#N/A</v>
          </cell>
          <cell r="O179" t="e">
            <v>#N/A</v>
          </cell>
          <cell r="P179">
            <v>45.259995000000004</v>
          </cell>
          <cell r="Q179">
            <v>3.7230050000000001</v>
          </cell>
          <cell r="R179" t="e">
            <v>#N/A</v>
          </cell>
        </row>
        <row r="180">
          <cell r="A180">
            <v>40413</v>
          </cell>
          <cell r="B180">
            <v>40413</v>
          </cell>
          <cell r="C180" t="str">
            <v>Past</v>
          </cell>
          <cell r="D180">
            <v>44.64</v>
          </cell>
          <cell r="E180" t="e">
            <v>#N/A</v>
          </cell>
          <cell r="F180" t="e">
            <v>#N/A</v>
          </cell>
          <cell r="G180" t="e">
            <v>#N/A</v>
          </cell>
          <cell r="H180" t="e">
            <v>#N/A</v>
          </cell>
          <cell r="I180" t="e">
            <v>#N/A</v>
          </cell>
          <cell r="J180" t="e">
            <v>#N/A</v>
          </cell>
          <cell r="K180" t="e">
            <v>#N/A</v>
          </cell>
          <cell r="L180" t="e">
            <v>#N/A</v>
          </cell>
          <cell r="M180" t="e">
            <v>#N/A</v>
          </cell>
          <cell r="N180" t="e">
            <v>#N/A</v>
          </cell>
          <cell r="O180" t="e">
            <v>#N/A</v>
          </cell>
          <cell r="P180">
            <v>44.64</v>
          </cell>
          <cell r="Q180">
            <v>4.6423909999999999</v>
          </cell>
          <cell r="R180" t="e">
            <v>#N/A</v>
          </cell>
        </row>
        <row r="181">
          <cell r="A181">
            <v>40414</v>
          </cell>
          <cell r="B181">
            <v>40414</v>
          </cell>
          <cell r="C181" t="str">
            <v>Past</v>
          </cell>
          <cell r="D181">
            <v>44.829987000000003</v>
          </cell>
          <cell r="E181" t="e">
            <v>#N/A</v>
          </cell>
          <cell r="F181" t="e">
            <v>#N/A</v>
          </cell>
          <cell r="G181" t="e">
            <v>#N/A</v>
          </cell>
          <cell r="H181" t="e">
            <v>#N/A</v>
          </cell>
          <cell r="I181" t="e">
            <v>#N/A</v>
          </cell>
          <cell r="J181" t="e">
            <v>#N/A</v>
          </cell>
          <cell r="K181" t="e">
            <v>#N/A</v>
          </cell>
          <cell r="L181" t="e">
            <v>#N/A</v>
          </cell>
          <cell r="M181" t="e">
            <v>#N/A</v>
          </cell>
          <cell r="N181" t="e">
            <v>#N/A</v>
          </cell>
          <cell r="O181" t="e">
            <v>#N/A</v>
          </cell>
          <cell r="P181">
            <v>44.829987000000003</v>
          </cell>
          <cell r="Q181">
            <v>5.4018009999999999</v>
          </cell>
          <cell r="R181" t="e">
            <v>#N/A</v>
          </cell>
        </row>
        <row r="182">
          <cell r="A182">
            <v>40415</v>
          </cell>
          <cell r="B182">
            <v>40415</v>
          </cell>
          <cell r="C182" t="str">
            <v>Past</v>
          </cell>
          <cell r="D182">
            <v>46.14</v>
          </cell>
          <cell r="E182" t="e">
            <v>#N/A</v>
          </cell>
          <cell r="F182" t="e">
            <v>#N/A</v>
          </cell>
          <cell r="G182" t="e">
            <v>#N/A</v>
          </cell>
          <cell r="H182" t="e">
            <v>#N/A</v>
          </cell>
          <cell r="I182" t="e">
            <v>#N/A</v>
          </cell>
          <cell r="J182" t="e">
            <v>#N/A</v>
          </cell>
          <cell r="K182" t="e">
            <v>#N/A</v>
          </cell>
          <cell r="L182" t="e">
            <v>#N/A</v>
          </cell>
          <cell r="M182" t="e">
            <v>#N/A</v>
          </cell>
          <cell r="N182" t="e">
            <v>#N/A</v>
          </cell>
          <cell r="O182" t="e">
            <v>#N/A</v>
          </cell>
          <cell r="P182">
            <v>46.14</v>
          </cell>
          <cell r="Q182">
            <v>7.2019060000000001</v>
          </cell>
          <cell r="R182" t="e">
            <v>#N/A</v>
          </cell>
        </row>
        <row r="183">
          <cell r="A183">
            <v>40416</v>
          </cell>
          <cell r="B183">
            <v>40416</v>
          </cell>
          <cell r="C183" t="str">
            <v>Past</v>
          </cell>
          <cell r="D183">
            <v>45.189988</v>
          </cell>
          <cell r="E183" t="e">
            <v>#N/A</v>
          </cell>
          <cell r="F183" t="e">
            <v>#N/A</v>
          </cell>
          <cell r="G183" t="e">
            <v>#N/A</v>
          </cell>
          <cell r="H183" t="e">
            <v>#N/A</v>
          </cell>
          <cell r="I183" t="e">
            <v>#N/A</v>
          </cell>
          <cell r="J183" t="e">
            <v>#N/A</v>
          </cell>
          <cell r="K183" t="e">
            <v>#N/A</v>
          </cell>
          <cell r="L183" t="e">
            <v>#N/A</v>
          </cell>
          <cell r="M183" t="e">
            <v>#N/A</v>
          </cell>
          <cell r="N183" t="e">
            <v>#N/A</v>
          </cell>
          <cell r="O183" t="e">
            <v>#N/A</v>
          </cell>
          <cell r="P183">
            <v>45.189988</v>
          </cell>
          <cell r="Q183">
            <v>5.6066019999999996</v>
          </cell>
          <cell r="R183" t="e">
            <v>#N/A</v>
          </cell>
        </row>
        <row r="184">
          <cell r="A184">
            <v>40417</v>
          </cell>
          <cell r="B184">
            <v>40417</v>
          </cell>
          <cell r="C184" t="str">
            <v>Past</v>
          </cell>
          <cell r="D184">
            <v>45.339996999999997</v>
          </cell>
          <cell r="E184" t="e">
            <v>#N/A</v>
          </cell>
          <cell r="F184" t="e">
            <v>#N/A</v>
          </cell>
          <cell r="G184" t="e">
            <v>#N/A</v>
          </cell>
          <cell r="H184" t="e">
            <v>#N/A</v>
          </cell>
          <cell r="I184" t="e">
            <v>#N/A</v>
          </cell>
          <cell r="J184" t="e">
            <v>#N/A</v>
          </cell>
          <cell r="K184" t="e">
            <v>#N/A</v>
          </cell>
          <cell r="L184" t="e">
            <v>#N/A</v>
          </cell>
          <cell r="M184" t="e">
            <v>#N/A</v>
          </cell>
          <cell r="N184" t="e">
            <v>#N/A</v>
          </cell>
          <cell r="O184" t="e">
            <v>#N/A</v>
          </cell>
          <cell r="P184">
            <v>45.339996999999997</v>
          </cell>
          <cell r="Q184">
            <v>3.423279</v>
          </cell>
          <cell r="R184" t="e">
            <v>#N/A</v>
          </cell>
        </row>
        <row r="185">
          <cell r="A185">
            <v>40420</v>
          </cell>
          <cell r="B185">
            <v>40420</v>
          </cell>
          <cell r="C185" t="str">
            <v>Past</v>
          </cell>
          <cell r="D185">
            <v>44.559998</v>
          </cell>
          <cell r="E185" t="e">
            <v>#N/A</v>
          </cell>
          <cell r="F185" t="e">
            <v>#N/A</v>
          </cell>
          <cell r="G185" t="e">
            <v>#N/A</v>
          </cell>
          <cell r="H185" t="e">
            <v>#N/A</v>
          </cell>
          <cell r="I185" t="e">
            <v>#N/A</v>
          </cell>
          <cell r="J185" t="e">
            <v>#N/A</v>
          </cell>
          <cell r="K185" t="e">
            <v>#N/A</v>
          </cell>
          <cell r="L185" t="e">
            <v>#N/A</v>
          </cell>
          <cell r="M185" t="e">
            <v>#N/A</v>
          </cell>
          <cell r="N185" t="e">
            <v>#N/A</v>
          </cell>
          <cell r="O185" t="e">
            <v>#N/A</v>
          </cell>
          <cell r="P185">
            <v>44.559998</v>
          </cell>
          <cell r="Q185">
            <v>1.749811</v>
          </cell>
          <cell r="R185" t="e">
            <v>#N/A</v>
          </cell>
        </row>
        <row r="186">
          <cell r="A186">
            <v>40421</v>
          </cell>
          <cell r="B186">
            <v>40421</v>
          </cell>
          <cell r="C186" t="str">
            <v>Past</v>
          </cell>
          <cell r="D186">
            <v>43.479996</v>
          </cell>
          <cell r="E186" t="e">
            <v>#N/A</v>
          </cell>
          <cell r="F186" t="e">
            <v>#N/A</v>
          </cell>
          <cell r="G186" t="e">
            <v>#N/A</v>
          </cell>
          <cell r="H186" t="e">
            <v>#N/A</v>
          </cell>
          <cell r="I186" t="e">
            <v>#N/A</v>
          </cell>
          <cell r="J186" t="e">
            <v>#N/A</v>
          </cell>
          <cell r="K186" t="e">
            <v>#N/A</v>
          </cell>
          <cell r="L186" t="e">
            <v>#N/A</v>
          </cell>
          <cell r="M186" t="e">
            <v>#N/A</v>
          </cell>
          <cell r="N186" t="e">
            <v>#N/A</v>
          </cell>
          <cell r="O186" t="e">
            <v>#N/A</v>
          </cell>
          <cell r="P186">
            <v>43.479996</v>
          </cell>
          <cell r="Q186">
            <v>5.0282739999999997</v>
          </cell>
          <cell r="R186" t="e">
            <v>#N/A</v>
          </cell>
        </row>
        <row r="187">
          <cell r="A187">
            <v>40422</v>
          </cell>
          <cell r="B187">
            <v>40422</v>
          </cell>
          <cell r="C187" t="str">
            <v>Past</v>
          </cell>
          <cell r="D187">
            <v>44.239991000000003</v>
          </cell>
          <cell r="E187" t="e">
            <v>#N/A</v>
          </cell>
          <cell r="F187" t="e">
            <v>#N/A</v>
          </cell>
          <cell r="G187" t="e">
            <v>#N/A</v>
          </cell>
          <cell r="H187" t="e">
            <v>#N/A</v>
          </cell>
          <cell r="I187" t="e">
            <v>#N/A</v>
          </cell>
          <cell r="J187" t="e">
            <v>#N/A</v>
          </cell>
          <cell r="K187" t="e">
            <v>#N/A</v>
          </cell>
          <cell r="L187" t="e">
            <v>#N/A</v>
          </cell>
          <cell r="M187" t="e">
            <v>#N/A</v>
          </cell>
          <cell r="N187" t="e">
            <v>#N/A</v>
          </cell>
          <cell r="O187" t="e">
            <v>#N/A</v>
          </cell>
          <cell r="P187">
            <v>44.239991000000003</v>
          </cell>
          <cell r="Q187">
            <v>5.0003359999999999</v>
          </cell>
          <cell r="R187" t="e">
            <v>#N/A</v>
          </cell>
        </row>
        <row r="188">
          <cell r="A188">
            <v>40423</v>
          </cell>
          <cell r="B188">
            <v>40423</v>
          </cell>
          <cell r="C188" t="str">
            <v>Past</v>
          </cell>
          <cell r="D188">
            <v>44.51999</v>
          </cell>
          <cell r="E188" t="e">
            <v>#N/A</v>
          </cell>
          <cell r="F188" t="e">
            <v>#N/A</v>
          </cell>
          <cell r="G188" t="e">
            <v>#N/A</v>
          </cell>
          <cell r="H188" t="e">
            <v>#N/A</v>
          </cell>
          <cell r="I188" t="e">
            <v>#N/A</v>
          </cell>
          <cell r="J188" t="e">
            <v>#N/A</v>
          </cell>
          <cell r="K188" t="e">
            <v>#N/A</v>
          </cell>
          <cell r="L188" t="e">
            <v>#N/A</v>
          </cell>
          <cell r="M188" t="e">
            <v>#N/A</v>
          </cell>
          <cell r="N188" t="e">
            <v>#N/A</v>
          </cell>
          <cell r="O188" t="e">
            <v>#N/A</v>
          </cell>
          <cell r="P188">
            <v>44.51999</v>
          </cell>
          <cell r="Q188">
            <v>3.2933240000000001</v>
          </cell>
          <cell r="R188" t="e">
            <v>#N/A</v>
          </cell>
        </row>
        <row r="189">
          <cell r="A189">
            <v>40424</v>
          </cell>
          <cell r="B189">
            <v>40424</v>
          </cell>
          <cell r="C189" t="str">
            <v>Past</v>
          </cell>
          <cell r="D189">
            <v>45.059998</v>
          </cell>
          <cell r="E189" t="e">
            <v>#N/A</v>
          </cell>
          <cell r="F189" t="e">
            <v>#N/A</v>
          </cell>
          <cell r="G189" t="e">
            <v>#N/A</v>
          </cell>
          <cell r="H189" t="e">
            <v>#N/A</v>
          </cell>
          <cell r="I189" t="e">
            <v>#N/A</v>
          </cell>
          <cell r="J189" t="e">
            <v>#N/A</v>
          </cell>
          <cell r="K189" t="e">
            <v>#N/A</v>
          </cell>
          <cell r="L189" t="e">
            <v>#N/A</v>
          </cell>
          <cell r="M189" t="e">
            <v>#N/A</v>
          </cell>
          <cell r="N189" t="e">
            <v>#N/A</v>
          </cell>
          <cell r="O189" t="e">
            <v>#N/A</v>
          </cell>
          <cell r="P189">
            <v>45.059998</v>
          </cell>
          <cell r="Q189">
            <v>4.2117069999999996</v>
          </cell>
          <cell r="R189" t="e">
            <v>#N/A</v>
          </cell>
        </row>
        <row r="190">
          <cell r="A190">
            <v>40428</v>
          </cell>
          <cell r="B190">
            <v>40428</v>
          </cell>
          <cell r="C190" t="str">
            <v>Past</v>
          </cell>
          <cell r="D190">
            <v>45.569992999999997</v>
          </cell>
          <cell r="E190" t="e">
            <v>#N/A</v>
          </cell>
          <cell r="F190" t="e">
            <v>#N/A</v>
          </cell>
          <cell r="G190" t="e">
            <v>#N/A</v>
          </cell>
          <cell r="H190" t="e">
            <v>#N/A</v>
          </cell>
          <cell r="I190" t="e">
            <v>#N/A</v>
          </cell>
          <cell r="J190" t="e">
            <v>#N/A</v>
          </cell>
          <cell r="K190" t="e">
            <v>#N/A</v>
          </cell>
          <cell r="L190" t="e">
            <v>#N/A</v>
          </cell>
          <cell r="M190" t="e">
            <v>#N/A</v>
          </cell>
          <cell r="N190" t="e">
            <v>#N/A</v>
          </cell>
          <cell r="O190" t="e">
            <v>#N/A</v>
          </cell>
          <cell r="P190">
            <v>45.569992999999997</v>
          </cell>
          <cell r="Q190">
            <v>4.2550739999999996</v>
          </cell>
          <cell r="R190" t="e">
            <v>#N/A</v>
          </cell>
        </row>
        <row r="191">
          <cell r="A191">
            <v>40429</v>
          </cell>
          <cell r="B191">
            <v>40429</v>
          </cell>
          <cell r="C191" t="str">
            <v>Past</v>
          </cell>
          <cell r="D191">
            <v>46.209992</v>
          </cell>
          <cell r="E191" t="e">
            <v>#N/A</v>
          </cell>
          <cell r="F191" t="e">
            <v>#N/A</v>
          </cell>
          <cell r="G191" t="e">
            <v>#N/A</v>
          </cell>
          <cell r="H191" t="e">
            <v>#N/A</v>
          </cell>
          <cell r="I191" t="e">
            <v>#N/A</v>
          </cell>
          <cell r="J191" t="e">
            <v>#N/A</v>
          </cell>
          <cell r="K191" t="e">
            <v>#N/A</v>
          </cell>
          <cell r="L191" t="e">
            <v>#N/A</v>
          </cell>
          <cell r="M191" t="e">
            <v>#N/A</v>
          </cell>
          <cell r="N191" t="e">
            <v>#N/A</v>
          </cell>
          <cell r="O191" t="e">
            <v>#N/A</v>
          </cell>
          <cell r="P191">
            <v>46.209992</v>
          </cell>
          <cell r="Q191">
            <v>4.198188</v>
          </cell>
          <cell r="R191" t="e">
            <v>#N/A</v>
          </cell>
        </row>
        <row r="192">
          <cell r="A192">
            <v>40430</v>
          </cell>
          <cell r="B192">
            <v>40430</v>
          </cell>
          <cell r="C192" t="str">
            <v>Past</v>
          </cell>
          <cell r="D192">
            <v>46.919998999999997</v>
          </cell>
          <cell r="E192" t="e">
            <v>#N/A</v>
          </cell>
          <cell r="F192" t="e">
            <v>#N/A</v>
          </cell>
          <cell r="G192" t="e">
            <v>#N/A</v>
          </cell>
          <cell r="H192" t="e">
            <v>#N/A</v>
          </cell>
          <cell r="I192" t="e">
            <v>#N/A</v>
          </cell>
          <cell r="J192" t="e">
            <v>#N/A</v>
          </cell>
          <cell r="K192" t="e">
            <v>#N/A</v>
          </cell>
          <cell r="L192" t="e">
            <v>#N/A</v>
          </cell>
          <cell r="M192" t="e">
            <v>#N/A</v>
          </cell>
          <cell r="N192" t="e">
            <v>#N/A</v>
          </cell>
          <cell r="O192" t="e">
            <v>#N/A</v>
          </cell>
          <cell r="P192">
            <v>46.919998999999997</v>
          </cell>
          <cell r="Q192">
            <v>5.4242850000000002</v>
          </cell>
          <cell r="R192" t="e">
            <v>#N/A</v>
          </cell>
        </row>
        <row r="193">
          <cell r="A193">
            <v>40431</v>
          </cell>
          <cell r="B193">
            <v>40431</v>
          </cell>
          <cell r="C193" t="str">
            <v>Past</v>
          </cell>
          <cell r="D193">
            <v>47.619996</v>
          </cell>
          <cell r="E193" t="e">
            <v>#N/A</v>
          </cell>
          <cell r="F193" t="e">
            <v>#N/A</v>
          </cell>
          <cell r="G193" t="e">
            <v>#N/A</v>
          </cell>
          <cell r="H193" t="e">
            <v>#N/A</v>
          </cell>
          <cell r="I193" t="e">
            <v>#N/A</v>
          </cell>
          <cell r="J193" t="e">
            <v>#N/A</v>
          </cell>
          <cell r="K193" t="e">
            <v>#N/A</v>
          </cell>
          <cell r="L193" t="e">
            <v>#N/A</v>
          </cell>
          <cell r="M193" t="e">
            <v>#N/A</v>
          </cell>
          <cell r="N193" t="e">
            <v>#N/A</v>
          </cell>
          <cell r="O193" t="e">
            <v>#N/A</v>
          </cell>
          <cell r="P193">
            <v>47.619996</v>
          </cell>
          <cell r="Q193">
            <v>3.8721719999999999</v>
          </cell>
          <cell r="R193" t="e">
            <v>#N/A</v>
          </cell>
        </row>
        <row r="194">
          <cell r="A194">
            <v>40434</v>
          </cell>
          <cell r="B194">
            <v>40434</v>
          </cell>
          <cell r="C194" t="str">
            <v>Past</v>
          </cell>
          <cell r="D194">
            <v>47.689988</v>
          </cell>
          <cell r="E194" t="e">
            <v>#N/A</v>
          </cell>
          <cell r="F194" t="e">
            <v>#N/A</v>
          </cell>
          <cell r="G194" t="e">
            <v>#N/A</v>
          </cell>
          <cell r="H194" t="e">
            <v>#N/A</v>
          </cell>
          <cell r="I194" t="e">
            <v>#N/A</v>
          </cell>
          <cell r="J194" t="e">
            <v>#N/A</v>
          </cell>
          <cell r="K194" t="e">
            <v>#N/A</v>
          </cell>
          <cell r="L194" t="e">
            <v>#N/A</v>
          </cell>
          <cell r="M194" t="e">
            <v>#N/A</v>
          </cell>
          <cell r="N194" t="e">
            <v>#N/A</v>
          </cell>
          <cell r="O194" t="e">
            <v>#N/A</v>
          </cell>
          <cell r="P194">
            <v>47.689988</v>
          </cell>
          <cell r="Q194">
            <v>4.9546799999999998</v>
          </cell>
          <cell r="R194" t="e">
            <v>#N/A</v>
          </cell>
        </row>
        <row r="195">
          <cell r="A195">
            <v>40435</v>
          </cell>
          <cell r="B195">
            <v>40435</v>
          </cell>
          <cell r="C195" t="str">
            <v>Past</v>
          </cell>
          <cell r="D195">
            <v>47.569992999999997</v>
          </cell>
          <cell r="E195" t="e">
            <v>#N/A</v>
          </cell>
          <cell r="F195" t="e">
            <v>#N/A</v>
          </cell>
          <cell r="G195" t="e">
            <v>#N/A</v>
          </cell>
          <cell r="H195" t="e">
            <v>#N/A</v>
          </cell>
          <cell r="I195" t="e">
            <v>#N/A</v>
          </cell>
          <cell r="J195" t="e">
            <v>#N/A</v>
          </cell>
          <cell r="K195" t="e">
            <v>#N/A</v>
          </cell>
          <cell r="L195" t="e">
            <v>#N/A</v>
          </cell>
          <cell r="M195" t="e">
            <v>#N/A</v>
          </cell>
          <cell r="N195" t="e">
            <v>#N/A</v>
          </cell>
          <cell r="O195" t="e">
            <v>#N/A</v>
          </cell>
          <cell r="P195">
            <v>47.569992999999997</v>
          </cell>
          <cell r="Q195">
            <v>2.3635969999999999</v>
          </cell>
          <cell r="R195" t="e">
            <v>#N/A</v>
          </cell>
        </row>
        <row r="196">
          <cell r="A196">
            <v>40436</v>
          </cell>
          <cell r="B196">
            <v>40436</v>
          </cell>
          <cell r="C196" t="str">
            <v>Past</v>
          </cell>
          <cell r="D196">
            <v>48.199997000000003</v>
          </cell>
          <cell r="E196" t="e">
            <v>#N/A</v>
          </cell>
          <cell r="F196" t="e">
            <v>#N/A</v>
          </cell>
          <cell r="G196" t="e">
            <v>#N/A</v>
          </cell>
          <cell r="H196" t="e">
            <v>#N/A</v>
          </cell>
          <cell r="I196" t="e">
            <v>#N/A</v>
          </cell>
          <cell r="J196" t="e">
            <v>#N/A</v>
          </cell>
          <cell r="K196" t="e">
            <v>#N/A</v>
          </cell>
          <cell r="L196" t="e">
            <v>#N/A</v>
          </cell>
          <cell r="M196" t="e">
            <v>#N/A</v>
          </cell>
          <cell r="N196" t="e">
            <v>#N/A</v>
          </cell>
          <cell r="O196" t="e">
            <v>#N/A</v>
          </cell>
          <cell r="P196">
            <v>48.199997000000003</v>
          </cell>
          <cell r="Q196">
            <v>3.3688859999999998</v>
          </cell>
          <cell r="R196" t="e">
            <v>#N/A</v>
          </cell>
        </row>
        <row r="197">
          <cell r="A197">
            <v>40437</v>
          </cell>
          <cell r="B197">
            <v>40437</v>
          </cell>
          <cell r="C197" t="str">
            <v>Past</v>
          </cell>
          <cell r="D197">
            <v>47.039994</v>
          </cell>
          <cell r="E197" t="e">
            <v>#N/A</v>
          </cell>
          <cell r="F197" t="e">
            <v>#N/A</v>
          </cell>
          <cell r="G197" t="e">
            <v>#N/A</v>
          </cell>
          <cell r="H197" t="e">
            <v>#N/A</v>
          </cell>
          <cell r="I197" t="e">
            <v>#N/A</v>
          </cell>
          <cell r="J197" t="e">
            <v>#N/A</v>
          </cell>
          <cell r="K197" t="e">
            <v>#N/A</v>
          </cell>
          <cell r="L197" t="e">
            <v>#N/A</v>
          </cell>
          <cell r="M197" t="e">
            <v>#N/A</v>
          </cell>
          <cell r="N197" t="e">
            <v>#N/A</v>
          </cell>
          <cell r="O197" t="e">
            <v>#N/A</v>
          </cell>
          <cell r="P197">
            <v>47.039994</v>
          </cell>
          <cell r="Q197">
            <v>4.2078519999999999</v>
          </cell>
          <cell r="R197" t="e">
            <v>#N/A</v>
          </cell>
        </row>
        <row r="198">
          <cell r="A198">
            <v>40438</v>
          </cell>
          <cell r="B198">
            <v>40438</v>
          </cell>
          <cell r="C198" t="str">
            <v>Past</v>
          </cell>
          <cell r="D198">
            <v>47.729996</v>
          </cell>
          <cell r="E198" t="e">
            <v>#N/A</v>
          </cell>
          <cell r="F198" t="e">
            <v>#N/A</v>
          </cell>
          <cell r="G198" t="e">
            <v>#N/A</v>
          </cell>
          <cell r="H198" t="e">
            <v>#N/A</v>
          </cell>
          <cell r="I198" t="e">
            <v>#N/A</v>
          </cell>
          <cell r="J198" t="e">
            <v>#N/A</v>
          </cell>
          <cell r="K198" t="e">
            <v>#N/A</v>
          </cell>
          <cell r="L198" t="e">
            <v>#N/A</v>
          </cell>
          <cell r="M198" t="e">
            <v>#N/A</v>
          </cell>
          <cell r="N198" t="e">
            <v>#N/A</v>
          </cell>
          <cell r="O198" t="e">
            <v>#N/A</v>
          </cell>
          <cell r="P198">
            <v>47.729996</v>
          </cell>
          <cell r="Q198">
            <v>4.4004339999999997</v>
          </cell>
          <cell r="R198" t="e">
            <v>#N/A</v>
          </cell>
        </row>
        <row r="199">
          <cell r="A199">
            <v>40441</v>
          </cell>
          <cell r="B199">
            <v>40441</v>
          </cell>
          <cell r="C199" t="str">
            <v>Past</v>
          </cell>
          <cell r="D199">
            <v>49.079987000000003</v>
          </cell>
          <cell r="E199" t="e">
            <v>#N/A</v>
          </cell>
          <cell r="F199" t="e">
            <v>#N/A</v>
          </cell>
          <cell r="G199" t="e">
            <v>#N/A</v>
          </cell>
          <cell r="H199" t="e">
            <v>#N/A</v>
          </cell>
          <cell r="I199" t="e">
            <v>#N/A</v>
          </cell>
          <cell r="J199" t="e">
            <v>#N/A</v>
          </cell>
          <cell r="K199" t="e">
            <v>#N/A</v>
          </cell>
          <cell r="L199" t="e">
            <v>#N/A</v>
          </cell>
          <cell r="M199" t="e">
            <v>#N/A</v>
          </cell>
          <cell r="N199" t="e">
            <v>#N/A</v>
          </cell>
          <cell r="O199" t="e">
            <v>#N/A</v>
          </cell>
          <cell r="P199">
            <v>49.079987000000003</v>
          </cell>
          <cell r="Q199">
            <v>4.1255389999999998</v>
          </cell>
          <cell r="R199" t="e">
            <v>#N/A</v>
          </cell>
        </row>
        <row r="200">
          <cell r="A200">
            <v>40442</v>
          </cell>
          <cell r="B200">
            <v>40442</v>
          </cell>
          <cell r="C200" t="str">
            <v>Past</v>
          </cell>
          <cell r="D200">
            <v>49.319992999999997</v>
          </cell>
          <cell r="E200" t="e">
            <v>#N/A</v>
          </cell>
          <cell r="F200" t="e">
            <v>#N/A</v>
          </cell>
          <cell r="G200" t="e">
            <v>#N/A</v>
          </cell>
          <cell r="H200" t="e">
            <v>#N/A</v>
          </cell>
          <cell r="I200" t="e">
            <v>#N/A</v>
          </cell>
          <cell r="J200" t="e">
            <v>#N/A</v>
          </cell>
          <cell r="K200" t="e">
            <v>#N/A</v>
          </cell>
          <cell r="L200" t="e">
            <v>#N/A</v>
          </cell>
          <cell r="M200" t="e">
            <v>#N/A</v>
          </cell>
          <cell r="N200" t="e">
            <v>#N/A</v>
          </cell>
          <cell r="O200" t="e">
            <v>#N/A</v>
          </cell>
          <cell r="P200">
            <v>49.319992999999997</v>
          </cell>
          <cell r="Q200">
            <v>4.9333520000000002</v>
          </cell>
          <cell r="R200" t="e">
            <v>#N/A</v>
          </cell>
        </row>
        <row r="201">
          <cell r="A201">
            <v>40443</v>
          </cell>
          <cell r="B201">
            <v>40443</v>
          </cell>
          <cell r="C201" t="str">
            <v>Past</v>
          </cell>
          <cell r="D201">
            <v>50.01999</v>
          </cell>
          <cell r="E201" t="e">
            <v>#N/A</v>
          </cell>
          <cell r="F201" t="e">
            <v>#N/A</v>
          </cell>
          <cell r="G201" t="e">
            <v>#N/A</v>
          </cell>
          <cell r="H201" t="e">
            <v>#N/A</v>
          </cell>
          <cell r="I201" t="e">
            <v>#N/A</v>
          </cell>
          <cell r="J201" t="e">
            <v>#N/A</v>
          </cell>
          <cell r="K201" t="e">
            <v>#N/A</v>
          </cell>
          <cell r="L201" t="e">
            <v>#N/A</v>
          </cell>
          <cell r="M201" t="e">
            <v>#N/A</v>
          </cell>
          <cell r="N201" t="e">
            <v>#N/A</v>
          </cell>
          <cell r="O201" t="e">
            <v>#N/A</v>
          </cell>
          <cell r="P201">
            <v>50.01999</v>
          </cell>
          <cell r="Q201">
            <v>5.7283910000000002</v>
          </cell>
          <cell r="R201" t="e">
            <v>#N/A</v>
          </cell>
        </row>
        <row r="202">
          <cell r="A202">
            <v>40444</v>
          </cell>
          <cell r="B202">
            <v>40444</v>
          </cell>
          <cell r="C202" t="str">
            <v>Past</v>
          </cell>
          <cell r="D202">
            <v>51.419998999999997</v>
          </cell>
          <cell r="E202" t="e">
            <v>#N/A</v>
          </cell>
          <cell r="F202" t="e">
            <v>#N/A</v>
          </cell>
          <cell r="G202" t="e">
            <v>#N/A</v>
          </cell>
          <cell r="H202" t="e">
            <v>#N/A</v>
          </cell>
          <cell r="I202" t="e">
            <v>#N/A</v>
          </cell>
          <cell r="J202" t="e">
            <v>#N/A</v>
          </cell>
          <cell r="K202" t="e">
            <v>#N/A</v>
          </cell>
          <cell r="L202" t="e">
            <v>#N/A</v>
          </cell>
          <cell r="M202" t="e">
            <v>#N/A</v>
          </cell>
          <cell r="N202" t="e">
            <v>#N/A</v>
          </cell>
          <cell r="O202" t="e">
            <v>#N/A</v>
          </cell>
          <cell r="P202">
            <v>51.419998999999997</v>
          </cell>
          <cell r="Q202">
            <v>8.0939689999999995</v>
          </cell>
          <cell r="R202" t="e">
            <v>#N/A</v>
          </cell>
        </row>
        <row r="203">
          <cell r="A203">
            <v>40445</v>
          </cell>
          <cell r="B203">
            <v>40445</v>
          </cell>
          <cell r="C203" t="str">
            <v>Past</v>
          </cell>
          <cell r="D203">
            <v>51.489991000000003</v>
          </cell>
          <cell r="E203" t="e">
            <v>#N/A</v>
          </cell>
          <cell r="F203" t="e">
            <v>#N/A</v>
          </cell>
          <cell r="G203" t="e">
            <v>#N/A</v>
          </cell>
          <cell r="H203" t="e">
            <v>#N/A</v>
          </cell>
          <cell r="I203" t="e">
            <v>#N/A</v>
          </cell>
          <cell r="J203" t="e">
            <v>#N/A</v>
          </cell>
          <cell r="K203" t="e">
            <v>#N/A</v>
          </cell>
          <cell r="L203" t="e">
            <v>#N/A</v>
          </cell>
          <cell r="M203" t="e">
            <v>#N/A</v>
          </cell>
          <cell r="N203" t="e">
            <v>#N/A</v>
          </cell>
          <cell r="O203" t="e">
            <v>#N/A</v>
          </cell>
          <cell r="P203">
            <v>51.489991000000003</v>
          </cell>
          <cell r="Q203">
            <v>6.7775309999999998</v>
          </cell>
          <cell r="R203" t="e">
            <v>#N/A</v>
          </cell>
        </row>
        <row r="204">
          <cell r="A204">
            <v>40448</v>
          </cell>
          <cell r="B204">
            <v>40448</v>
          </cell>
          <cell r="C204" t="str">
            <v>Past</v>
          </cell>
          <cell r="D204">
            <v>50.869996</v>
          </cell>
          <cell r="E204" t="e">
            <v>#N/A</v>
          </cell>
          <cell r="F204" t="e">
            <v>#N/A</v>
          </cell>
          <cell r="G204" t="e">
            <v>#N/A</v>
          </cell>
          <cell r="H204" t="e">
            <v>#N/A</v>
          </cell>
          <cell r="I204" t="e">
            <v>#N/A</v>
          </cell>
          <cell r="J204" t="e">
            <v>#N/A</v>
          </cell>
          <cell r="K204" t="e">
            <v>#N/A</v>
          </cell>
          <cell r="L204" t="e">
            <v>#N/A</v>
          </cell>
          <cell r="M204" t="e">
            <v>#N/A</v>
          </cell>
          <cell r="N204" t="e">
            <v>#N/A</v>
          </cell>
          <cell r="O204" t="e">
            <v>#N/A</v>
          </cell>
          <cell r="P204">
            <v>50.869996</v>
          </cell>
          <cell r="Q204">
            <v>4.30966</v>
          </cell>
          <cell r="R204" t="e">
            <v>#N/A</v>
          </cell>
        </row>
        <row r="205">
          <cell r="A205">
            <v>40449</v>
          </cell>
          <cell r="B205">
            <v>40449</v>
          </cell>
          <cell r="C205" t="str">
            <v>Past</v>
          </cell>
          <cell r="D205">
            <v>51.89</v>
          </cell>
          <cell r="E205" t="e">
            <v>#N/A</v>
          </cell>
          <cell r="F205" t="e">
            <v>#N/A</v>
          </cell>
          <cell r="G205" t="e">
            <v>#N/A</v>
          </cell>
          <cell r="H205" t="e">
            <v>#N/A</v>
          </cell>
          <cell r="I205" t="e">
            <v>#N/A</v>
          </cell>
          <cell r="J205" t="e">
            <v>#N/A</v>
          </cell>
          <cell r="K205" t="e">
            <v>#N/A</v>
          </cell>
          <cell r="L205" t="e">
            <v>#N/A</v>
          </cell>
          <cell r="M205" t="e">
            <v>#N/A</v>
          </cell>
          <cell r="N205" t="e">
            <v>#N/A</v>
          </cell>
          <cell r="O205" t="e">
            <v>#N/A</v>
          </cell>
          <cell r="P205">
            <v>51.89</v>
          </cell>
          <cell r="Q205">
            <v>3.3201260000000001</v>
          </cell>
          <cell r="R205" t="e">
            <v>#N/A</v>
          </cell>
        </row>
        <row r="206">
          <cell r="A206">
            <v>40450</v>
          </cell>
          <cell r="B206">
            <v>40450</v>
          </cell>
          <cell r="C206" t="str">
            <v>Past</v>
          </cell>
          <cell r="D206">
            <v>51.689988</v>
          </cell>
          <cell r="E206" t="e">
            <v>#N/A</v>
          </cell>
          <cell r="F206" t="e">
            <v>#N/A</v>
          </cell>
          <cell r="G206" t="e">
            <v>#N/A</v>
          </cell>
          <cell r="H206" t="e">
            <v>#N/A</v>
          </cell>
          <cell r="I206" t="e">
            <v>#N/A</v>
          </cell>
          <cell r="J206" t="e">
            <v>#N/A</v>
          </cell>
          <cell r="K206" t="e">
            <v>#N/A</v>
          </cell>
          <cell r="L206" t="e">
            <v>#N/A</v>
          </cell>
          <cell r="M206" t="e">
            <v>#N/A</v>
          </cell>
          <cell r="N206" t="e">
            <v>#N/A</v>
          </cell>
          <cell r="O206" t="e">
            <v>#N/A</v>
          </cell>
          <cell r="P206">
            <v>51.689988</v>
          </cell>
          <cell r="Q206">
            <v>3.424642</v>
          </cell>
          <cell r="R206" t="e">
            <v>#N/A</v>
          </cell>
        </row>
        <row r="207">
          <cell r="A207">
            <v>40451</v>
          </cell>
          <cell r="B207">
            <v>40451</v>
          </cell>
          <cell r="C207" t="str">
            <v>Past</v>
          </cell>
          <cell r="D207">
            <v>52.059998</v>
          </cell>
          <cell r="E207" t="e">
            <v>#N/A</v>
          </cell>
          <cell r="F207" t="e">
            <v>#N/A</v>
          </cell>
          <cell r="G207" t="e">
            <v>#N/A</v>
          </cell>
          <cell r="H207" t="e">
            <v>#N/A</v>
          </cell>
          <cell r="I207" t="e">
            <v>#N/A</v>
          </cell>
          <cell r="J207" t="e">
            <v>#N/A</v>
          </cell>
          <cell r="K207" t="e">
            <v>#N/A</v>
          </cell>
          <cell r="L207" t="e">
            <v>#N/A</v>
          </cell>
          <cell r="M207" t="e">
            <v>#N/A</v>
          </cell>
          <cell r="N207" t="e">
            <v>#N/A</v>
          </cell>
          <cell r="O207" t="e">
            <v>#N/A</v>
          </cell>
          <cell r="P207">
            <v>52.059998</v>
          </cell>
          <cell r="Q207">
            <v>3.5430999999999999</v>
          </cell>
          <cell r="R207" t="e">
            <v>#N/A</v>
          </cell>
        </row>
        <row r="208">
          <cell r="A208">
            <v>40452</v>
          </cell>
          <cell r="B208">
            <v>40452</v>
          </cell>
          <cell r="C208" t="str">
            <v>Past</v>
          </cell>
          <cell r="D208">
            <v>52.289994</v>
          </cell>
          <cell r="E208" t="e">
            <v>#N/A</v>
          </cell>
          <cell r="F208" t="e">
            <v>#N/A</v>
          </cell>
          <cell r="G208" t="e">
            <v>#N/A</v>
          </cell>
          <cell r="H208" t="e">
            <v>#N/A</v>
          </cell>
          <cell r="I208" t="e">
            <v>#N/A</v>
          </cell>
          <cell r="J208" t="e">
            <v>#N/A</v>
          </cell>
          <cell r="K208" t="e">
            <v>#N/A</v>
          </cell>
          <cell r="L208" t="e">
            <v>#N/A</v>
          </cell>
          <cell r="M208" t="e">
            <v>#N/A</v>
          </cell>
          <cell r="N208" t="e">
            <v>#N/A</v>
          </cell>
          <cell r="O208" t="e">
            <v>#N/A</v>
          </cell>
          <cell r="P208">
            <v>52.289994</v>
          </cell>
          <cell r="Q208">
            <v>3.2140070000000001</v>
          </cell>
          <cell r="R208" t="e">
            <v>#N/A</v>
          </cell>
        </row>
        <row r="209">
          <cell r="A209">
            <v>40455</v>
          </cell>
          <cell r="B209">
            <v>40455</v>
          </cell>
          <cell r="C209" t="str">
            <v>Past</v>
          </cell>
          <cell r="D209">
            <v>51.64</v>
          </cell>
          <cell r="E209" t="e">
            <v>#N/A</v>
          </cell>
          <cell r="F209" t="e">
            <v>#N/A</v>
          </cell>
          <cell r="G209" t="e">
            <v>#N/A</v>
          </cell>
          <cell r="H209" t="e">
            <v>#N/A</v>
          </cell>
          <cell r="I209" t="e">
            <v>#N/A</v>
          </cell>
          <cell r="J209" t="e">
            <v>#N/A</v>
          </cell>
          <cell r="K209" t="e">
            <v>#N/A</v>
          </cell>
          <cell r="L209" t="e">
            <v>#N/A</v>
          </cell>
          <cell r="M209" t="e">
            <v>#N/A</v>
          </cell>
          <cell r="N209" t="e">
            <v>#N/A</v>
          </cell>
          <cell r="O209" t="e">
            <v>#N/A</v>
          </cell>
          <cell r="P209">
            <v>51.64</v>
          </cell>
          <cell r="Q209">
            <v>2.9080460000000001</v>
          </cell>
          <cell r="R209" t="e">
            <v>#N/A</v>
          </cell>
        </row>
        <row r="210">
          <cell r="A210">
            <v>40456</v>
          </cell>
          <cell r="B210">
            <v>40456</v>
          </cell>
          <cell r="C210" t="str">
            <v>Past</v>
          </cell>
          <cell r="D210">
            <v>53.119996</v>
          </cell>
          <cell r="E210" t="e">
            <v>#N/A</v>
          </cell>
          <cell r="F210" t="e">
            <v>#N/A</v>
          </cell>
          <cell r="G210" t="e">
            <v>#N/A</v>
          </cell>
          <cell r="H210" t="e">
            <v>#N/A</v>
          </cell>
          <cell r="I210" t="e">
            <v>#N/A</v>
          </cell>
          <cell r="J210" t="e">
            <v>#N/A</v>
          </cell>
          <cell r="K210" t="e">
            <v>#N/A</v>
          </cell>
          <cell r="L210" t="e">
            <v>#N/A</v>
          </cell>
          <cell r="M210" t="e">
            <v>#N/A</v>
          </cell>
          <cell r="N210" t="e">
            <v>#N/A</v>
          </cell>
          <cell r="O210" t="e">
            <v>#N/A</v>
          </cell>
          <cell r="P210">
            <v>53.119996</v>
          </cell>
          <cell r="Q210">
            <v>4.7492970000000003</v>
          </cell>
          <cell r="R210" t="e">
            <v>#N/A</v>
          </cell>
        </row>
        <row r="211">
          <cell r="A211">
            <v>40457</v>
          </cell>
          <cell r="B211">
            <v>40457</v>
          </cell>
          <cell r="C211" t="str">
            <v>Past</v>
          </cell>
          <cell r="D211">
            <v>52.669998999999997</v>
          </cell>
          <cell r="E211" t="e">
            <v>#N/A</v>
          </cell>
          <cell r="F211" t="e">
            <v>#N/A</v>
          </cell>
          <cell r="G211" t="e">
            <v>#N/A</v>
          </cell>
          <cell r="H211" t="e">
            <v>#N/A</v>
          </cell>
          <cell r="I211" t="e">
            <v>#N/A</v>
          </cell>
          <cell r="J211" t="e">
            <v>#N/A</v>
          </cell>
          <cell r="K211" t="e">
            <v>#N/A</v>
          </cell>
          <cell r="L211" t="e">
            <v>#N/A</v>
          </cell>
          <cell r="M211" t="e">
            <v>#N/A</v>
          </cell>
          <cell r="N211" t="e">
            <v>#N/A</v>
          </cell>
          <cell r="O211" t="e">
            <v>#N/A</v>
          </cell>
          <cell r="P211">
            <v>52.669998999999997</v>
          </cell>
          <cell r="Q211">
            <v>3.0485380000000002</v>
          </cell>
          <cell r="R211" t="e">
            <v>#N/A</v>
          </cell>
        </row>
        <row r="212">
          <cell r="A212">
            <v>40458</v>
          </cell>
          <cell r="B212">
            <v>40458</v>
          </cell>
          <cell r="C212" t="str">
            <v>Past</v>
          </cell>
          <cell r="D212">
            <v>52.809998</v>
          </cell>
          <cell r="E212" t="e">
            <v>#N/A</v>
          </cell>
          <cell r="F212" t="e">
            <v>#N/A</v>
          </cell>
          <cell r="G212" t="e">
            <v>#N/A</v>
          </cell>
          <cell r="H212" t="e">
            <v>#N/A</v>
          </cell>
          <cell r="I212" t="e">
            <v>#N/A</v>
          </cell>
          <cell r="J212" t="e">
            <v>#N/A</v>
          </cell>
          <cell r="K212" t="e">
            <v>#N/A</v>
          </cell>
          <cell r="L212" t="e">
            <v>#N/A</v>
          </cell>
          <cell r="M212" t="e">
            <v>#N/A</v>
          </cell>
          <cell r="N212" t="e">
            <v>#N/A</v>
          </cell>
          <cell r="O212" t="e">
            <v>#N/A</v>
          </cell>
          <cell r="P212">
            <v>52.809998</v>
          </cell>
          <cell r="Q212">
            <v>2.9661740000000001</v>
          </cell>
          <cell r="R212" t="e">
            <v>#N/A</v>
          </cell>
        </row>
        <row r="213">
          <cell r="A213">
            <v>40459</v>
          </cell>
          <cell r="B213">
            <v>40459</v>
          </cell>
          <cell r="C213" t="str">
            <v>Past</v>
          </cell>
          <cell r="D213">
            <v>52.619996</v>
          </cell>
          <cell r="E213" t="e">
            <v>#N/A</v>
          </cell>
          <cell r="F213" t="e">
            <v>#N/A</v>
          </cell>
          <cell r="G213" t="e">
            <v>#N/A</v>
          </cell>
          <cell r="H213" t="e">
            <v>#N/A</v>
          </cell>
          <cell r="I213" t="e">
            <v>#N/A</v>
          </cell>
          <cell r="J213" t="e">
            <v>#N/A</v>
          </cell>
          <cell r="K213" t="e">
            <v>#N/A</v>
          </cell>
          <cell r="L213" t="e">
            <v>#N/A</v>
          </cell>
          <cell r="M213" t="e">
            <v>#N/A</v>
          </cell>
          <cell r="N213" t="e">
            <v>#N/A</v>
          </cell>
          <cell r="O213" t="e">
            <v>#N/A</v>
          </cell>
          <cell r="P213">
            <v>52.619996</v>
          </cell>
          <cell r="Q213">
            <v>3.618986</v>
          </cell>
          <cell r="R213" t="e">
            <v>#N/A</v>
          </cell>
        </row>
        <row r="214">
          <cell r="A214">
            <v>40462</v>
          </cell>
          <cell r="B214">
            <v>40462</v>
          </cell>
          <cell r="C214" t="str">
            <v>Past</v>
          </cell>
          <cell r="D214">
            <v>52.599991000000003</v>
          </cell>
          <cell r="E214" t="e">
            <v>#N/A</v>
          </cell>
          <cell r="F214" t="e">
            <v>#N/A</v>
          </cell>
          <cell r="G214" t="e">
            <v>#N/A</v>
          </cell>
          <cell r="H214" t="e">
            <v>#N/A</v>
          </cell>
          <cell r="I214" t="e">
            <v>#N/A</v>
          </cell>
          <cell r="J214" t="e">
            <v>#N/A</v>
          </cell>
          <cell r="K214" t="e">
            <v>#N/A</v>
          </cell>
          <cell r="L214" t="e">
            <v>#N/A</v>
          </cell>
          <cell r="M214" t="e">
            <v>#N/A</v>
          </cell>
          <cell r="N214" t="e">
            <v>#N/A</v>
          </cell>
          <cell r="O214" t="e">
            <v>#N/A</v>
          </cell>
          <cell r="P214">
            <v>52.599991000000003</v>
          </cell>
          <cell r="Q214">
            <v>1.8809309999999999</v>
          </cell>
          <cell r="R214" t="e">
            <v>#N/A</v>
          </cell>
        </row>
        <row r="215">
          <cell r="A215">
            <v>40463</v>
          </cell>
          <cell r="B215">
            <v>40463</v>
          </cell>
          <cell r="C215" t="str">
            <v>Past</v>
          </cell>
          <cell r="D215">
            <v>52.76999</v>
          </cell>
          <cell r="E215" t="e">
            <v>#N/A</v>
          </cell>
          <cell r="F215" t="e">
            <v>#N/A</v>
          </cell>
          <cell r="G215" t="e">
            <v>#N/A</v>
          </cell>
          <cell r="H215" t="e">
            <v>#N/A</v>
          </cell>
          <cell r="I215" t="e">
            <v>#N/A</v>
          </cell>
          <cell r="J215" t="e">
            <v>#N/A</v>
          </cell>
          <cell r="K215" t="e">
            <v>#N/A</v>
          </cell>
          <cell r="L215" t="e">
            <v>#N/A</v>
          </cell>
          <cell r="M215" t="e">
            <v>#N/A</v>
          </cell>
          <cell r="N215" t="e">
            <v>#N/A</v>
          </cell>
          <cell r="O215" t="e">
            <v>#N/A</v>
          </cell>
          <cell r="P215">
            <v>52.76999</v>
          </cell>
          <cell r="Q215">
            <v>3.1028009999999999</v>
          </cell>
          <cell r="R215" t="e">
            <v>#N/A</v>
          </cell>
        </row>
        <row r="216">
          <cell r="A216">
            <v>40464</v>
          </cell>
          <cell r="B216">
            <v>40464</v>
          </cell>
          <cell r="C216" t="str">
            <v>Past</v>
          </cell>
          <cell r="D216">
            <v>53.169998999999997</v>
          </cell>
          <cell r="E216" t="e">
            <v>#N/A</v>
          </cell>
          <cell r="F216" t="e">
            <v>#N/A</v>
          </cell>
          <cell r="G216" t="e">
            <v>#N/A</v>
          </cell>
          <cell r="H216" t="e">
            <v>#N/A</v>
          </cell>
          <cell r="I216" t="e">
            <v>#N/A</v>
          </cell>
          <cell r="J216" t="e">
            <v>#N/A</v>
          </cell>
          <cell r="K216" t="e">
            <v>#N/A</v>
          </cell>
          <cell r="L216" t="e">
            <v>#N/A</v>
          </cell>
          <cell r="M216" t="e">
            <v>#N/A</v>
          </cell>
          <cell r="N216" t="e">
            <v>#N/A</v>
          </cell>
          <cell r="O216" t="e">
            <v>#N/A</v>
          </cell>
          <cell r="P216">
            <v>53.169998999999997</v>
          </cell>
          <cell r="Q216">
            <v>4.5927499999999997</v>
          </cell>
          <cell r="R216" t="e">
            <v>#N/A</v>
          </cell>
        </row>
        <row r="217">
          <cell r="A217">
            <v>40465</v>
          </cell>
          <cell r="B217">
            <v>40465</v>
          </cell>
          <cell r="C217" t="str">
            <v>Past</v>
          </cell>
          <cell r="D217">
            <v>52.839996999999997</v>
          </cell>
          <cell r="E217" t="e">
            <v>#N/A</v>
          </cell>
          <cell r="F217" t="e">
            <v>#N/A</v>
          </cell>
          <cell r="G217" t="e">
            <v>#N/A</v>
          </cell>
          <cell r="H217" t="e">
            <v>#N/A</v>
          </cell>
          <cell r="I217" t="e">
            <v>#N/A</v>
          </cell>
          <cell r="J217" t="e">
            <v>#N/A</v>
          </cell>
          <cell r="K217" t="e">
            <v>#N/A</v>
          </cell>
          <cell r="L217" t="e">
            <v>#N/A</v>
          </cell>
          <cell r="M217" t="e">
            <v>#N/A</v>
          </cell>
          <cell r="N217" t="e">
            <v>#N/A</v>
          </cell>
          <cell r="O217" t="e">
            <v>#N/A</v>
          </cell>
          <cell r="P217">
            <v>52.839996999999997</v>
          </cell>
          <cell r="Q217">
            <v>4.2510079999999997</v>
          </cell>
          <cell r="R217" t="e">
            <v>#N/A</v>
          </cell>
        </row>
        <row r="218">
          <cell r="A218">
            <v>40466</v>
          </cell>
          <cell r="B218">
            <v>40466</v>
          </cell>
          <cell r="C218" t="str">
            <v>Past</v>
          </cell>
          <cell r="D218">
            <v>53.329987000000003</v>
          </cell>
          <cell r="E218" t="e">
            <v>#N/A</v>
          </cell>
          <cell r="F218" t="e">
            <v>#N/A</v>
          </cell>
          <cell r="G218" t="e">
            <v>#N/A</v>
          </cell>
          <cell r="H218" t="e">
            <v>#N/A</v>
          </cell>
          <cell r="I218" t="e">
            <v>#N/A</v>
          </cell>
          <cell r="J218" t="e">
            <v>#N/A</v>
          </cell>
          <cell r="K218" t="e">
            <v>#N/A</v>
          </cell>
          <cell r="L218" t="e">
            <v>#N/A</v>
          </cell>
          <cell r="M218" t="e">
            <v>#N/A</v>
          </cell>
          <cell r="N218" t="e">
            <v>#N/A</v>
          </cell>
          <cell r="O218" t="e">
            <v>#N/A</v>
          </cell>
          <cell r="P218">
            <v>53.329987000000003</v>
          </cell>
          <cell r="Q218">
            <v>3.058414</v>
          </cell>
          <cell r="R218" t="e">
            <v>#N/A</v>
          </cell>
        </row>
        <row r="219">
          <cell r="A219">
            <v>40469</v>
          </cell>
          <cell r="B219">
            <v>40469</v>
          </cell>
          <cell r="C219" t="str">
            <v>Past</v>
          </cell>
          <cell r="D219">
            <v>53.719985999999999</v>
          </cell>
          <cell r="E219" t="e">
            <v>#N/A</v>
          </cell>
          <cell r="F219" t="e">
            <v>#N/A</v>
          </cell>
          <cell r="G219" t="e">
            <v>#N/A</v>
          </cell>
          <cell r="H219" t="e">
            <v>#N/A</v>
          </cell>
          <cell r="I219" t="e">
            <v>#N/A</v>
          </cell>
          <cell r="J219" t="e">
            <v>#N/A</v>
          </cell>
          <cell r="K219" t="e">
            <v>#N/A</v>
          </cell>
          <cell r="L219" t="e">
            <v>#N/A</v>
          </cell>
          <cell r="M219" t="e">
            <v>#N/A</v>
          </cell>
          <cell r="N219" t="e">
            <v>#N/A</v>
          </cell>
          <cell r="O219" t="e">
            <v>#N/A</v>
          </cell>
          <cell r="P219">
            <v>53.719985999999999</v>
          </cell>
          <cell r="Q219">
            <v>3.0243859999999998</v>
          </cell>
          <cell r="R219" t="e">
            <v>#N/A</v>
          </cell>
        </row>
        <row r="220">
          <cell r="A220">
            <v>40470</v>
          </cell>
          <cell r="B220">
            <v>40470</v>
          </cell>
          <cell r="C220" t="str">
            <v>Past</v>
          </cell>
          <cell r="D220">
            <v>52.419998999999997</v>
          </cell>
          <cell r="E220" t="e">
            <v>#N/A</v>
          </cell>
          <cell r="F220" t="e">
            <v>#N/A</v>
          </cell>
          <cell r="G220" t="e">
            <v>#N/A</v>
          </cell>
          <cell r="H220" t="e">
            <v>#N/A</v>
          </cell>
          <cell r="I220" t="e">
            <v>#N/A</v>
          </cell>
          <cell r="J220" t="e">
            <v>#N/A</v>
          </cell>
          <cell r="K220" t="e">
            <v>#N/A</v>
          </cell>
          <cell r="L220" t="e">
            <v>#N/A</v>
          </cell>
          <cell r="M220" t="e">
            <v>#N/A</v>
          </cell>
          <cell r="N220" t="e">
            <v>#N/A</v>
          </cell>
          <cell r="O220" t="e">
            <v>#N/A</v>
          </cell>
          <cell r="P220">
            <v>52.419998999999997</v>
          </cell>
          <cell r="Q220">
            <v>4.4356059999999999</v>
          </cell>
          <cell r="R220" t="e">
            <v>#N/A</v>
          </cell>
        </row>
        <row r="221">
          <cell r="A221">
            <v>40471</v>
          </cell>
          <cell r="B221">
            <v>40471</v>
          </cell>
          <cell r="C221" t="str">
            <v>Past</v>
          </cell>
          <cell r="D221">
            <v>51.969985999999999</v>
          </cell>
          <cell r="E221" t="e">
            <v>#N/A</v>
          </cell>
          <cell r="F221" t="e">
            <v>#N/A</v>
          </cell>
          <cell r="G221" t="e">
            <v>#N/A</v>
          </cell>
          <cell r="H221" t="e">
            <v>#N/A</v>
          </cell>
          <cell r="I221" t="e">
            <v>#N/A</v>
          </cell>
          <cell r="J221" t="e">
            <v>#N/A</v>
          </cell>
          <cell r="K221" t="e">
            <v>#N/A</v>
          </cell>
          <cell r="L221" t="e">
            <v>#N/A</v>
          </cell>
          <cell r="M221" t="e">
            <v>#N/A</v>
          </cell>
          <cell r="N221" t="e">
            <v>#N/A</v>
          </cell>
          <cell r="O221" t="e">
            <v>#N/A</v>
          </cell>
          <cell r="P221">
            <v>51.969985999999999</v>
          </cell>
          <cell r="Q221">
            <v>4.4682740000000001</v>
          </cell>
          <cell r="R221" t="e">
            <v>#N/A</v>
          </cell>
        </row>
        <row r="222">
          <cell r="A222">
            <v>40472</v>
          </cell>
          <cell r="B222">
            <v>40472</v>
          </cell>
          <cell r="C222" t="str">
            <v>Past</v>
          </cell>
          <cell r="D222">
            <v>50.679993000000003</v>
          </cell>
          <cell r="E222" t="e">
            <v>#N/A</v>
          </cell>
          <cell r="F222" t="e">
            <v>#N/A</v>
          </cell>
          <cell r="G222" t="e">
            <v>#N/A</v>
          </cell>
          <cell r="H222" t="e">
            <v>#N/A</v>
          </cell>
          <cell r="I222" t="e">
            <v>#N/A</v>
          </cell>
          <cell r="J222" t="e">
            <v>#N/A</v>
          </cell>
          <cell r="K222" t="e">
            <v>#N/A</v>
          </cell>
          <cell r="L222" t="e">
            <v>#N/A</v>
          </cell>
          <cell r="M222" t="e">
            <v>#N/A</v>
          </cell>
          <cell r="N222" t="e">
            <v>#N/A</v>
          </cell>
          <cell r="O222" t="e">
            <v>#N/A</v>
          </cell>
          <cell r="P222">
            <v>50.679993000000003</v>
          </cell>
          <cell r="Q222">
            <v>7.1512190000000002</v>
          </cell>
          <cell r="R222" t="e">
            <v>#N/A</v>
          </cell>
        </row>
        <row r="223">
          <cell r="A223">
            <v>40473</v>
          </cell>
          <cell r="B223">
            <v>40473</v>
          </cell>
          <cell r="C223" t="str">
            <v>Past</v>
          </cell>
          <cell r="D223">
            <v>51.339996999999997</v>
          </cell>
          <cell r="E223" t="e">
            <v>#N/A</v>
          </cell>
          <cell r="F223" t="e">
            <v>#N/A</v>
          </cell>
          <cell r="G223" t="e">
            <v>#N/A</v>
          </cell>
          <cell r="H223" t="e">
            <v>#N/A</v>
          </cell>
          <cell r="I223" t="e">
            <v>#N/A</v>
          </cell>
          <cell r="J223" t="e">
            <v>#N/A</v>
          </cell>
          <cell r="K223" t="e">
            <v>#N/A</v>
          </cell>
          <cell r="L223" t="e">
            <v>#N/A</v>
          </cell>
          <cell r="M223" t="e">
            <v>#N/A</v>
          </cell>
          <cell r="N223" t="e">
            <v>#N/A</v>
          </cell>
          <cell r="O223" t="e">
            <v>#N/A</v>
          </cell>
          <cell r="P223">
            <v>51.339996999999997</v>
          </cell>
          <cell r="Q223">
            <v>3.7085710000000001</v>
          </cell>
          <cell r="R223" t="e">
            <v>#N/A</v>
          </cell>
        </row>
        <row r="224">
          <cell r="A224">
            <v>40476</v>
          </cell>
          <cell r="B224">
            <v>40476</v>
          </cell>
          <cell r="C224" t="str">
            <v>Past</v>
          </cell>
          <cell r="D224">
            <v>52.449997000000003</v>
          </cell>
          <cell r="E224" t="e">
            <v>#N/A</v>
          </cell>
          <cell r="F224" t="e">
            <v>#N/A</v>
          </cell>
          <cell r="G224" t="e">
            <v>#N/A</v>
          </cell>
          <cell r="H224" t="e">
            <v>#N/A</v>
          </cell>
          <cell r="I224" t="e">
            <v>#N/A</v>
          </cell>
          <cell r="J224" t="e">
            <v>#N/A</v>
          </cell>
          <cell r="K224" t="e">
            <v>#N/A</v>
          </cell>
          <cell r="L224" t="e">
            <v>#N/A</v>
          </cell>
          <cell r="M224" t="e">
            <v>#N/A</v>
          </cell>
          <cell r="N224" t="e">
            <v>#N/A</v>
          </cell>
          <cell r="O224" t="e">
            <v>#N/A</v>
          </cell>
          <cell r="P224">
            <v>52.449997000000003</v>
          </cell>
          <cell r="Q224">
            <v>3.858209</v>
          </cell>
          <cell r="R224" t="e">
            <v>#N/A</v>
          </cell>
        </row>
        <row r="225">
          <cell r="A225">
            <v>40477</v>
          </cell>
          <cell r="B225">
            <v>40477</v>
          </cell>
          <cell r="C225" t="str">
            <v>Past</v>
          </cell>
          <cell r="D225">
            <v>52.629989999999999</v>
          </cell>
          <cell r="E225" t="e">
            <v>#N/A</v>
          </cell>
          <cell r="F225" t="e">
            <v>#N/A</v>
          </cell>
          <cell r="G225" t="e">
            <v>#N/A</v>
          </cell>
          <cell r="H225" t="e">
            <v>#N/A</v>
          </cell>
          <cell r="I225" t="e">
            <v>#N/A</v>
          </cell>
          <cell r="J225" t="e">
            <v>#N/A</v>
          </cell>
          <cell r="K225" t="e">
            <v>#N/A</v>
          </cell>
          <cell r="L225" t="e">
            <v>#N/A</v>
          </cell>
          <cell r="M225" t="e">
            <v>#N/A</v>
          </cell>
          <cell r="N225" t="e">
            <v>#N/A</v>
          </cell>
          <cell r="O225" t="e">
            <v>#N/A</v>
          </cell>
          <cell r="P225">
            <v>52.629989999999999</v>
          </cell>
          <cell r="Q225">
            <v>3.0318770000000002</v>
          </cell>
          <cell r="R225" t="e">
            <v>#N/A</v>
          </cell>
        </row>
        <row r="226">
          <cell r="A226">
            <v>40478</v>
          </cell>
          <cell r="B226">
            <v>40478</v>
          </cell>
          <cell r="C226" t="str">
            <v>Past</v>
          </cell>
          <cell r="D226">
            <v>52.509995000000004</v>
          </cell>
          <cell r="E226" t="e">
            <v>#N/A</v>
          </cell>
          <cell r="F226" t="e">
            <v>#N/A</v>
          </cell>
          <cell r="G226" t="e">
            <v>#N/A</v>
          </cell>
          <cell r="H226" t="e">
            <v>#N/A</v>
          </cell>
          <cell r="I226" t="e">
            <v>#N/A</v>
          </cell>
          <cell r="J226" t="e">
            <v>#N/A</v>
          </cell>
          <cell r="K226" t="e">
            <v>#N/A</v>
          </cell>
          <cell r="L226" t="e">
            <v>#N/A</v>
          </cell>
          <cell r="M226" t="e">
            <v>#N/A</v>
          </cell>
          <cell r="N226" t="e">
            <v>#N/A</v>
          </cell>
          <cell r="O226" t="e">
            <v>#N/A</v>
          </cell>
          <cell r="P226">
            <v>52.509995000000004</v>
          </cell>
          <cell r="Q226">
            <v>3.103424</v>
          </cell>
          <cell r="R226" t="e">
            <v>#N/A</v>
          </cell>
        </row>
        <row r="227">
          <cell r="A227">
            <v>40479</v>
          </cell>
          <cell r="B227">
            <v>40479</v>
          </cell>
          <cell r="C227" t="str">
            <v>Past</v>
          </cell>
          <cell r="D227">
            <v>52.179993000000003</v>
          </cell>
          <cell r="E227" t="e">
            <v>#N/A</v>
          </cell>
          <cell r="F227" t="e">
            <v>#N/A</v>
          </cell>
          <cell r="G227" t="e">
            <v>#N/A</v>
          </cell>
          <cell r="H227" t="e">
            <v>#N/A</v>
          </cell>
          <cell r="I227" t="e">
            <v>#N/A</v>
          </cell>
          <cell r="J227" t="e">
            <v>#N/A</v>
          </cell>
          <cell r="K227" t="e">
            <v>#N/A</v>
          </cell>
          <cell r="L227" t="e">
            <v>#N/A</v>
          </cell>
          <cell r="M227" t="e">
            <v>#N/A</v>
          </cell>
          <cell r="N227" t="e">
            <v>#N/A</v>
          </cell>
          <cell r="O227" t="e">
            <v>#N/A</v>
          </cell>
          <cell r="P227">
            <v>52.179993000000003</v>
          </cell>
          <cell r="Q227">
            <v>3.4698690000000001</v>
          </cell>
          <cell r="R227" t="e">
            <v>#N/A</v>
          </cell>
        </row>
        <row r="228">
          <cell r="A228">
            <v>40480</v>
          </cell>
          <cell r="B228">
            <v>40480</v>
          </cell>
          <cell r="C228" t="str">
            <v>Past</v>
          </cell>
          <cell r="D228">
            <v>52.529998999999997</v>
          </cell>
          <cell r="E228" t="e">
            <v>#N/A</v>
          </cell>
          <cell r="F228" t="e">
            <v>#N/A</v>
          </cell>
          <cell r="G228" t="e">
            <v>#N/A</v>
          </cell>
          <cell r="H228" t="e">
            <v>#N/A</v>
          </cell>
          <cell r="I228" t="e">
            <v>#N/A</v>
          </cell>
          <cell r="J228" t="e">
            <v>#N/A</v>
          </cell>
          <cell r="K228" t="e">
            <v>#N/A</v>
          </cell>
          <cell r="L228" t="e">
            <v>#N/A</v>
          </cell>
          <cell r="M228" t="e">
            <v>#N/A</v>
          </cell>
          <cell r="N228" t="e">
            <v>#N/A</v>
          </cell>
          <cell r="O228" t="e">
            <v>#N/A</v>
          </cell>
          <cell r="P228">
            <v>52.529998999999997</v>
          </cell>
          <cell r="Q228">
            <v>2.7063640000000002</v>
          </cell>
          <cell r="R228" t="e">
            <v>#N/A</v>
          </cell>
        </row>
        <row r="229">
          <cell r="A229">
            <v>40483</v>
          </cell>
          <cell r="B229">
            <v>40483</v>
          </cell>
          <cell r="C229" t="str">
            <v>Past</v>
          </cell>
          <cell r="D229">
            <v>52.369996</v>
          </cell>
          <cell r="E229" t="e">
            <v>#N/A</v>
          </cell>
          <cell r="F229" t="e">
            <v>#N/A</v>
          </cell>
          <cell r="G229" t="e">
            <v>#N/A</v>
          </cell>
          <cell r="H229" t="e">
            <v>#N/A</v>
          </cell>
          <cell r="I229" t="e">
            <v>#N/A</v>
          </cell>
          <cell r="J229" t="e">
            <v>#N/A</v>
          </cell>
          <cell r="K229" t="e">
            <v>#N/A</v>
          </cell>
          <cell r="L229" t="e">
            <v>#N/A</v>
          </cell>
          <cell r="M229" t="e">
            <v>#N/A</v>
          </cell>
          <cell r="N229" t="e">
            <v>#N/A</v>
          </cell>
          <cell r="O229" t="e">
            <v>#N/A</v>
          </cell>
          <cell r="P229">
            <v>52.369996</v>
          </cell>
          <cell r="Q229">
            <v>5.4172070000000003</v>
          </cell>
          <cell r="R229" t="e">
            <v>#N/A</v>
          </cell>
        </row>
        <row r="230">
          <cell r="A230">
            <v>40484</v>
          </cell>
          <cell r="B230">
            <v>40484</v>
          </cell>
          <cell r="C230" t="str">
            <v>Past</v>
          </cell>
          <cell r="D230">
            <v>58</v>
          </cell>
          <cell r="E230" t="e">
            <v>#N/A</v>
          </cell>
          <cell r="F230" t="e">
            <v>#N/A</v>
          </cell>
          <cell r="G230" t="e">
            <v>#N/A</v>
          </cell>
          <cell r="H230" t="e">
            <v>#N/A</v>
          </cell>
          <cell r="I230" t="e">
            <v>#N/A</v>
          </cell>
          <cell r="J230" t="e">
            <v>#N/A</v>
          </cell>
          <cell r="K230" t="e">
            <v>#N/A</v>
          </cell>
          <cell r="L230" t="e">
            <v>#N/A</v>
          </cell>
          <cell r="M230" t="e">
            <v>#N/A</v>
          </cell>
          <cell r="N230" t="e">
            <v>#N/A</v>
          </cell>
          <cell r="O230" t="e">
            <v>#N/A</v>
          </cell>
          <cell r="P230">
            <v>58</v>
          </cell>
          <cell r="Q230">
            <v>12.561278</v>
          </cell>
          <cell r="R230" t="e">
            <v>#N/A</v>
          </cell>
        </row>
        <row r="231">
          <cell r="A231">
            <v>40485</v>
          </cell>
          <cell r="B231">
            <v>40485</v>
          </cell>
          <cell r="C231" t="str">
            <v>Past</v>
          </cell>
          <cell r="D231">
            <v>57.799987999999999</v>
          </cell>
          <cell r="E231" t="e">
            <v>#N/A</v>
          </cell>
          <cell r="F231" t="e">
            <v>#N/A</v>
          </cell>
          <cell r="G231" t="e">
            <v>#N/A</v>
          </cell>
          <cell r="H231" t="e">
            <v>#N/A</v>
          </cell>
          <cell r="I231" t="e">
            <v>#N/A</v>
          </cell>
          <cell r="J231" t="e">
            <v>#N/A</v>
          </cell>
          <cell r="K231" t="e">
            <v>#N/A</v>
          </cell>
          <cell r="L231" t="e">
            <v>#N/A</v>
          </cell>
          <cell r="M231" t="e">
            <v>#N/A</v>
          </cell>
          <cell r="N231" t="e">
            <v>#N/A</v>
          </cell>
          <cell r="O231" t="e">
            <v>#N/A</v>
          </cell>
          <cell r="P231">
            <v>57.799987999999999</v>
          </cell>
          <cell r="Q231">
            <v>6.7589180000000004</v>
          </cell>
          <cell r="R231" t="e">
            <v>#N/A</v>
          </cell>
        </row>
        <row r="232">
          <cell r="A232">
            <v>40486</v>
          </cell>
          <cell r="B232">
            <v>40486</v>
          </cell>
          <cell r="C232" t="str">
            <v>Past</v>
          </cell>
          <cell r="D232">
            <v>59.799987999999999</v>
          </cell>
          <cell r="E232" t="e">
            <v>#N/A</v>
          </cell>
          <cell r="F232" t="e">
            <v>#N/A</v>
          </cell>
          <cell r="G232" t="e">
            <v>#N/A</v>
          </cell>
          <cell r="H232" t="e">
            <v>#N/A</v>
          </cell>
          <cell r="I232" t="e">
            <v>#N/A</v>
          </cell>
          <cell r="J232" t="e">
            <v>#N/A</v>
          </cell>
          <cell r="K232" t="e">
            <v>#N/A</v>
          </cell>
          <cell r="L232" t="e">
            <v>#N/A</v>
          </cell>
          <cell r="M232" t="e">
            <v>#N/A</v>
          </cell>
          <cell r="N232" t="e">
            <v>#N/A</v>
          </cell>
          <cell r="O232" t="e">
            <v>#N/A</v>
          </cell>
          <cell r="P232">
            <v>59.799987999999999</v>
          </cell>
          <cell r="Q232">
            <v>6.3070199999999996</v>
          </cell>
          <cell r="R232" t="e">
            <v>#N/A</v>
          </cell>
        </row>
        <row r="233">
          <cell r="A233">
            <v>40487</v>
          </cell>
          <cell r="B233">
            <v>40487</v>
          </cell>
          <cell r="C233" t="str">
            <v>Past</v>
          </cell>
          <cell r="D233">
            <v>59.119996</v>
          </cell>
          <cell r="E233" t="e">
            <v>#N/A</v>
          </cell>
          <cell r="F233" t="e">
            <v>#N/A</v>
          </cell>
          <cell r="G233" t="e">
            <v>#N/A</v>
          </cell>
          <cell r="H233" t="e">
            <v>#N/A</v>
          </cell>
          <cell r="I233" t="e">
            <v>#N/A</v>
          </cell>
          <cell r="J233" t="e">
            <v>#N/A</v>
          </cell>
          <cell r="K233" t="e">
            <v>#N/A</v>
          </cell>
          <cell r="L233" t="e">
            <v>#N/A</v>
          </cell>
          <cell r="M233" t="e">
            <v>#N/A</v>
          </cell>
          <cell r="N233" t="e">
            <v>#N/A</v>
          </cell>
          <cell r="O233" t="e">
            <v>#N/A</v>
          </cell>
          <cell r="P233">
            <v>59.119996</v>
          </cell>
          <cell r="Q233">
            <v>3.6671849999999999</v>
          </cell>
          <cell r="R233" t="e">
            <v>#N/A</v>
          </cell>
        </row>
        <row r="234">
          <cell r="A234">
            <v>40490</v>
          </cell>
          <cell r="B234">
            <v>40490</v>
          </cell>
          <cell r="C234" t="str">
            <v>Past</v>
          </cell>
          <cell r="D234">
            <v>60</v>
          </cell>
          <cell r="E234" t="e">
            <v>#N/A</v>
          </cell>
          <cell r="F234" t="e">
            <v>#N/A</v>
          </cell>
          <cell r="G234" t="e">
            <v>#N/A</v>
          </cell>
          <cell r="H234" t="e">
            <v>#N/A</v>
          </cell>
          <cell r="I234" t="e">
            <v>#N/A</v>
          </cell>
          <cell r="J234" t="e">
            <v>#N/A</v>
          </cell>
          <cell r="K234" t="e">
            <v>#N/A</v>
          </cell>
          <cell r="L234" t="e">
            <v>#N/A</v>
          </cell>
          <cell r="M234" t="e">
            <v>#N/A</v>
          </cell>
          <cell r="N234" t="e">
            <v>#N/A</v>
          </cell>
          <cell r="O234" t="e">
            <v>#N/A</v>
          </cell>
          <cell r="P234">
            <v>60</v>
          </cell>
          <cell r="Q234">
            <v>3.6743999999999999</v>
          </cell>
          <cell r="R234" t="e">
            <v>#N/A</v>
          </cell>
        </row>
        <row r="235">
          <cell r="A235">
            <v>40491</v>
          </cell>
          <cell r="B235">
            <v>40491</v>
          </cell>
          <cell r="C235" t="str">
            <v>Past</v>
          </cell>
          <cell r="D235">
            <v>59.239991000000003</v>
          </cell>
          <cell r="E235" t="e">
            <v>#N/A</v>
          </cell>
          <cell r="F235" t="e">
            <v>#N/A</v>
          </cell>
          <cell r="G235" t="e">
            <v>#N/A</v>
          </cell>
          <cell r="H235" t="e">
            <v>#N/A</v>
          </cell>
          <cell r="I235" t="e">
            <v>#N/A</v>
          </cell>
          <cell r="J235" t="e">
            <v>#N/A</v>
          </cell>
          <cell r="K235" t="e">
            <v>#N/A</v>
          </cell>
          <cell r="L235" t="e">
            <v>#N/A</v>
          </cell>
          <cell r="M235" t="e">
            <v>#N/A</v>
          </cell>
          <cell r="N235" t="e">
            <v>#N/A</v>
          </cell>
          <cell r="O235" t="e">
            <v>#N/A</v>
          </cell>
          <cell r="P235">
            <v>59.239991000000003</v>
          </cell>
          <cell r="Q235">
            <v>4.4571449999999997</v>
          </cell>
          <cell r="R235" t="e">
            <v>#N/A</v>
          </cell>
        </row>
        <row r="236">
          <cell r="A236">
            <v>40492</v>
          </cell>
          <cell r="B236">
            <v>40492</v>
          </cell>
          <cell r="C236" t="str">
            <v>Past</v>
          </cell>
          <cell r="D236">
            <v>59.489991000000003</v>
          </cell>
          <cell r="E236" t="e">
            <v>#N/A</v>
          </cell>
          <cell r="F236" t="e">
            <v>#N/A</v>
          </cell>
          <cell r="G236" t="e">
            <v>#N/A</v>
          </cell>
          <cell r="H236" t="e">
            <v>#N/A</v>
          </cell>
          <cell r="I236" t="e">
            <v>#N/A</v>
          </cell>
          <cell r="J236" t="e">
            <v>#N/A</v>
          </cell>
          <cell r="K236" t="e">
            <v>#N/A</v>
          </cell>
          <cell r="L236" t="e">
            <v>#N/A</v>
          </cell>
          <cell r="M236" t="e">
            <v>#N/A</v>
          </cell>
          <cell r="N236" t="e">
            <v>#N/A</v>
          </cell>
          <cell r="O236" t="e">
            <v>#N/A</v>
          </cell>
          <cell r="P236">
            <v>59.489991000000003</v>
          </cell>
          <cell r="Q236">
            <v>3.0691579999999998</v>
          </cell>
          <cell r="R236" t="e">
            <v>#N/A</v>
          </cell>
        </row>
        <row r="237">
          <cell r="A237">
            <v>40493</v>
          </cell>
          <cell r="B237">
            <v>40493</v>
          </cell>
          <cell r="C237" t="str">
            <v>Past</v>
          </cell>
          <cell r="D237">
            <v>60.119996</v>
          </cell>
          <cell r="E237" t="e">
            <v>#N/A</v>
          </cell>
          <cell r="F237" t="e">
            <v>#N/A</v>
          </cell>
          <cell r="G237" t="e">
            <v>#N/A</v>
          </cell>
          <cell r="H237" t="e">
            <v>#N/A</v>
          </cell>
          <cell r="I237" t="e">
            <v>#N/A</v>
          </cell>
          <cell r="J237" t="e">
            <v>#N/A</v>
          </cell>
          <cell r="K237" t="e">
            <v>#N/A</v>
          </cell>
          <cell r="L237" t="e">
            <v>#N/A</v>
          </cell>
          <cell r="M237" t="e">
            <v>#N/A</v>
          </cell>
          <cell r="N237" t="e">
            <v>#N/A</v>
          </cell>
          <cell r="O237" t="e">
            <v>#N/A</v>
          </cell>
          <cell r="P237">
            <v>60.119996</v>
          </cell>
          <cell r="Q237">
            <v>2.6775289999999998</v>
          </cell>
          <cell r="R237" t="e">
            <v>#N/A</v>
          </cell>
        </row>
        <row r="238">
          <cell r="A238">
            <v>40494</v>
          </cell>
          <cell r="B238">
            <v>40494</v>
          </cell>
          <cell r="C238" t="str">
            <v>Past</v>
          </cell>
          <cell r="D238">
            <v>58.969985999999999</v>
          </cell>
          <cell r="E238" t="e">
            <v>#N/A</v>
          </cell>
          <cell r="F238" t="e">
            <v>#N/A</v>
          </cell>
          <cell r="G238" t="e">
            <v>#N/A</v>
          </cell>
          <cell r="H238" t="e">
            <v>#N/A</v>
          </cell>
          <cell r="I238" t="e">
            <v>#N/A</v>
          </cell>
          <cell r="J238" t="e">
            <v>#N/A</v>
          </cell>
          <cell r="K238" t="e">
            <v>#N/A</v>
          </cell>
          <cell r="L238" t="e">
            <v>#N/A</v>
          </cell>
          <cell r="M238" t="e">
            <v>#N/A</v>
          </cell>
          <cell r="N238" t="e">
            <v>#N/A</v>
          </cell>
          <cell r="O238" t="e">
            <v>#N/A</v>
          </cell>
          <cell r="P238">
            <v>58.969985999999999</v>
          </cell>
          <cell r="Q238">
            <v>3.809323</v>
          </cell>
          <cell r="R238" t="e">
            <v>#N/A</v>
          </cell>
        </row>
        <row r="239">
          <cell r="A239">
            <v>40497</v>
          </cell>
          <cell r="B239">
            <v>40497</v>
          </cell>
          <cell r="C239" t="str">
            <v>Past</v>
          </cell>
          <cell r="D239">
            <v>59.5</v>
          </cell>
          <cell r="E239" t="e">
            <v>#N/A</v>
          </cell>
          <cell r="F239" t="e">
            <v>#N/A</v>
          </cell>
          <cell r="G239" t="e">
            <v>#N/A</v>
          </cell>
          <cell r="H239" t="e">
            <v>#N/A</v>
          </cell>
          <cell r="I239" t="e">
            <v>#N/A</v>
          </cell>
          <cell r="J239" t="e">
            <v>#N/A</v>
          </cell>
          <cell r="K239" t="e">
            <v>#N/A</v>
          </cell>
          <cell r="L239" t="e">
            <v>#N/A</v>
          </cell>
          <cell r="M239" t="e">
            <v>#N/A</v>
          </cell>
          <cell r="N239" t="e">
            <v>#N/A</v>
          </cell>
          <cell r="O239" t="e">
            <v>#N/A</v>
          </cell>
          <cell r="P239">
            <v>59.5</v>
          </cell>
          <cell r="Q239">
            <v>2.1591770000000001</v>
          </cell>
          <cell r="R239" t="e">
            <v>#N/A</v>
          </cell>
        </row>
        <row r="240">
          <cell r="A240">
            <v>40498</v>
          </cell>
          <cell r="B240">
            <v>40498</v>
          </cell>
          <cell r="C240" t="str">
            <v>Past</v>
          </cell>
          <cell r="D240">
            <v>58.919998999999997</v>
          </cell>
          <cell r="E240" t="e">
            <v>#N/A</v>
          </cell>
          <cell r="F240" t="e">
            <v>#N/A</v>
          </cell>
          <cell r="G240" t="e">
            <v>#N/A</v>
          </cell>
          <cell r="H240" t="e">
            <v>#N/A</v>
          </cell>
          <cell r="I240" t="e">
            <v>#N/A</v>
          </cell>
          <cell r="J240" t="e">
            <v>#N/A</v>
          </cell>
          <cell r="K240" t="e">
            <v>#N/A</v>
          </cell>
          <cell r="L240" t="e">
            <v>#N/A</v>
          </cell>
          <cell r="M240" t="e">
            <v>#N/A</v>
          </cell>
          <cell r="N240" t="e">
            <v>#N/A</v>
          </cell>
          <cell r="O240" t="e">
            <v>#N/A</v>
          </cell>
          <cell r="P240">
            <v>58.919998999999997</v>
          </cell>
          <cell r="Q240">
            <v>3.9984609999999998</v>
          </cell>
          <cell r="R240" t="e">
            <v>#N/A</v>
          </cell>
        </row>
        <row r="241">
          <cell r="A241">
            <v>40499</v>
          </cell>
          <cell r="B241">
            <v>40499</v>
          </cell>
          <cell r="C241" t="str">
            <v>Past</v>
          </cell>
          <cell r="D241">
            <v>58.819992999999997</v>
          </cell>
          <cell r="E241" t="e">
            <v>#N/A</v>
          </cell>
          <cell r="F241" t="e">
            <v>#N/A</v>
          </cell>
          <cell r="G241" t="e">
            <v>#N/A</v>
          </cell>
          <cell r="H241" t="e">
            <v>#N/A</v>
          </cell>
          <cell r="I241" t="e">
            <v>#N/A</v>
          </cell>
          <cell r="J241" t="e">
            <v>#N/A</v>
          </cell>
          <cell r="K241" t="e">
            <v>#N/A</v>
          </cell>
          <cell r="L241" t="e">
            <v>#N/A</v>
          </cell>
          <cell r="M241" t="e">
            <v>#N/A</v>
          </cell>
          <cell r="N241" t="e">
            <v>#N/A</v>
          </cell>
          <cell r="O241" t="e">
            <v>#N/A</v>
          </cell>
          <cell r="P241">
            <v>58.819992999999997</v>
          </cell>
          <cell r="Q241">
            <v>5.2016989999999996</v>
          </cell>
          <cell r="R241" t="e">
            <v>#N/A</v>
          </cell>
        </row>
        <row r="242">
          <cell r="A242">
            <v>40500</v>
          </cell>
          <cell r="B242">
            <v>40500</v>
          </cell>
          <cell r="C242" t="str">
            <v>Past</v>
          </cell>
          <cell r="D242">
            <v>60</v>
          </cell>
          <cell r="E242" t="e">
            <v>#N/A</v>
          </cell>
          <cell r="F242" t="e">
            <v>#N/A</v>
          </cell>
          <cell r="G242" t="e">
            <v>#N/A</v>
          </cell>
          <cell r="H242" t="e">
            <v>#N/A</v>
          </cell>
          <cell r="I242" t="e">
            <v>#N/A</v>
          </cell>
          <cell r="J242" t="e">
            <v>#N/A</v>
          </cell>
          <cell r="K242" t="e">
            <v>#N/A</v>
          </cell>
          <cell r="L242" t="e">
            <v>#N/A</v>
          </cell>
          <cell r="M242" t="e">
            <v>#N/A</v>
          </cell>
          <cell r="N242" t="e">
            <v>#N/A</v>
          </cell>
          <cell r="O242" t="e">
            <v>#N/A</v>
          </cell>
          <cell r="P242">
            <v>60</v>
          </cell>
          <cell r="Q242">
            <v>5.9196840000000002</v>
          </cell>
          <cell r="R242" t="e">
            <v>#N/A</v>
          </cell>
        </row>
        <row r="243">
          <cell r="A243">
            <v>40501</v>
          </cell>
          <cell r="B243">
            <v>40501</v>
          </cell>
          <cell r="C243" t="str">
            <v>Past</v>
          </cell>
          <cell r="D243">
            <v>60.619996</v>
          </cell>
          <cell r="E243" t="e">
            <v>#N/A</v>
          </cell>
          <cell r="F243" t="e">
            <v>#N/A</v>
          </cell>
          <cell r="G243" t="e">
            <v>#N/A</v>
          </cell>
          <cell r="H243" t="e">
            <v>#N/A</v>
          </cell>
          <cell r="I243" t="e">
            <v>#N/A</v>
          </cell>
          <cell r="J243" t="e">
            <v>#N/A</v>
          </cell>
          <cell r="K243" t="e">
            <v>#N/A</v>
          </cell>
          <cell r="L243" t="e">
            <v>#N/A</v>
          </cell>
          <cell r="M243" t="e">
            <v>#N/A</v>
          </cell>
          <cell r="N243" t="e">
            <v>#N/A</v>
          </cell>
          <cell r="O243" t="e">
            <v>#N/A</v>
          </cell>
          <cell r="P243">
            <v>60.619996</v>
          </cell>
          <cell r="Q243">
            <v>5.3477030000000001</v>
          </cell>
          <cell r="R243" t="e">
            <v>#N/A</v>
          </cell>
        </row>
        <row r="244">
          <cell r="A244">
            <v>40504</v>
          </cell>
          <cell r="B244">
            <v>40504</v>
          </cell>
          <cell r="C244" t="str">
            <v>Past</v>
          </cell>
          <cell r="D244">
            <v>61</v>
          </cell>
          <cell r="E244" t="e">
            <v>#N/A</v>
          </cell>
          <cell r="F244" t="e">
            <v>#N/A</v>
          </cell>
          <cell r="G244" t="e">
            <v>#N/A</v>
          </cell>
          <cell r="H244" t="e">
            <v>#N/A</v>
          </cell>
          <cell r="I244" t="e">
            <v>#N/A</v>
          </cell>
          <cell r="J244" t="e">
            <v>#N/A</v>
          </cell>
          <cell r="K244" t="e">
            <v>#N/A</v>
          </cell>
          <cell r="L244" t="e">
            <v>#N/A</v>
          </cell>
          <cell r="M244" t="e">
            <v>#N/A</v>
          </cell>
          <cell r="N244" t="e">
            <v>#N/A</v>
          </cell>
          <cell r="O244" t="e">
            <v>#N/A</v>
          </cell>
          <cell r="P244">
            <v>61</v>
          </cell>
          <cell r="Q244">
            <v>3.4346130000000001</v>
          </cell>
          <cell r="R244" t="e">
            <v>#N/A</v>
          </cell>
        </row>
        <row r="245">
          <cell r="A245">
            <v>40505</v>
          </cell>
          <cell r="B245">
            <v>40505</v>
          </cell>
          <cell r="C245" t="str">
            <v>Past</v>
          </cell>
          <cell r="D245">
            <v>60.609985999999999</v>
          </cell>
          <cell r="E245" t="e">
            <v>#N/A</v>
          </cell>
          <cell r="F245" t="e">
            <v>#N/A</v>
          </cell>
          <cell r="G245" t="e">
            <v>#N/A</v>
          </cell>
          <cell r="H245" t="e">
            <v>#N/A</v>
          </cell>
          <cell r="I245" t="e">
            <v>#N/A</v>
          </cell>
          <cell r="J245" t="e">
            <v>#N/A</v>
          </cell>
          <cell r="K245" t="e">
            <v>#N/A</v>
          </cell>
          <cell r="L245" t="e">
            <v>#N/A</v>
          </cell>
          <cell r="M245" t="e">
            <v>#N/A</v>
          </cell>
          <cell r="N245" t="e">
            <v>#N/A</v>
          </cell>
          <cell r="O245" t="e">
            <v>#N/A</v>
          </cell>
          <cell r="P245">
            <v>60.609985999999999</v>
          </cell>
          <cell r="Q245">
            <v>5.9858630000000002</v>
          </cell>
          <cell r="R245" t="e">
            <v>#N/A</v>
          </cell>
        </row>
        <row r="246">
          <cell r="A246">
            <v>40506</v>
          </cell>
          <cell r="B246">
            <v>40506</v>
          </cell>
          <cell r="C246" t="str">
            <v>Past</v>
          </cell>
          <cell r="D246">
            <v>61.009995000000004</v>
          </cell>
          <cell r="E246" t="e">
            <v>#N/A</v>
          </cell>
          <cell r="F246" t="e">
            <v>#N/A</v>
          </cell>
          <cell r="G246" t="e">
            <v>#N/A</v>
          </cell>
          <cell r="H246" t="e">
            <v>#N/A</v>
          </cell>
          <cell r="I246" t="e">
            <v>#N/A</v>
          </cell>
          <cell r="J246" t="e">
            <v>#N/A</v>
          </cell>
          <cell r="K246" t="e">
            <v>#N/A</v>
          </cell>
          <cell r="L246" t="e">
            <v>#N/A</v>
          </cell>
          <cell r="M246" t="e">
            <v>#N/A</v>
          </cell>
          <cell r="N246" t="e">
            <v>#N/A</v>
          </cell>
          <cell r="O246" t="e">
            <v>#N/A</v>
          </cell>
          <cell r="P246">
            <v>61.009995000000004</v>
          </cell>
          <cell r="Q246">
            <v>3.9272320000000001</v>
          </cell>
          <cell r="R246" t="e">
            <v>#N/A</v>
          </cell>
        </row>
        <row r="247">
          <cell r="A247">
            <v>40508</v>
          </cell>
          <cell r="B247">
            <v>40508</v>
          </cell>
          <cell r="C247" t="str">
            <v>Past</v>
          </cell>
          <cell r="D247">
            <v>60.669998999999997</v>
          </cell>
          <cell r="E247" t="e">
            <v>#N/A</v>
          </cell>
          <cell r="F247" t="e">
            <v>#N/A</v>
          </cell>
          <cell r="G247" t="e">
            <v>#N/A</v>
          </cell>
          <cell r="H247" t="e">
            <v>#N/A</v>
          </cell>
          <cell r="I247" t="e">
            <v>#N/A</v>
          </cell>
          <cell r="J247" t="e">
            <v>#N/A</v>
          </cell>
          <cell r="K247" t="e">
            <v>#N/A</v>
          </cell>
          <cell r="L247" t="e">
            <v>#N/A</v>
          </cell>
          <cell r="M247" t="e">
            <v>#N/A</v>
          </cell>
          <cell r="N247" t="e">
            <v>#N/A</v>
          </cell>
          <cell r="O247" t="e">
            <v>#N/A</v>
          </cell>
          <cell r="P247">
            <v>60.669998999999997</v>
          </cell>
          <cell r="Q247">
            <v>1.2244729999999999</v>
          </cell>
          <cell r="R247" t="e">
            <v>#N/A</v>
          </cell>
        </row>
        <row r="248">
          <cell r="A248">
            <v>40511</v>
          </cell>
          <cell r="B248">
            <v>40511</v>
          </cell>
          <cell r="C248" t="str">
            <v>Past</v>
          </cell>
          <cell r="D248">
            <v>60.989991000000003</v>
          </cell>
          <cell r="E248" t="e">
            <v>#N/A</v>
          </cell>
          <cell r="F248" t="e">
            <v>#N/A</v>
          </cell>
          <cell r="G248" t="e">
            <v>#N/A</v>
          </cell>
          <cell r="H248" t="e">
            <v>#N/A</v>
          </cell>
          <cell r="I248" t="e">
            <v>#N/A</v>
          </cell>
          <cell r="J248" t="e">
            <v>#N/A</v>
          </cell>
          <cell r="K248" t="e">
            <v>#N/A</v>
          </cell>
          <cell r="L248" t="e">
            <v>#N/A</v>
          </cell>
          <cell r="M248" t="e">
            <v>#N/A</v>
          </cell>
          <cell r="N248" t="e">
            <v>#N/A</v>
          </cell>
          <cell r="O248" t="e">
            <v>#N/A</v>
          </cell>
          <cell r="P248">
            <v>60.989991000000003</v>
          </cell>
          <cell r="Q248">
            <v>4.440817</v>
          </cell>
          <cell r="R248" t="e">
            <v>#N/A</v>
          </cell>
        </row>
        <row r="249">
          <cell r="A249">
            <v>40512</v>
          </cell>
          <cell r="B249">
            <v>40512</v>
          </cell>
          <cell r="C249" t="str">
            <v>Past</v>
          </cell>
          <cell r="D249">
            <v>61.319992999999997</v>
          </cell>
          <cell r="E249" t="e">
            <v>#N/A</v>
          </cell>
          <cell r="F249" t="e">
            <v>#N/A</v>
          </cell>
          <cell r="G249" t="e">
            <v>#N/A</v>
          </cell>
          <cell r="H249" t="e">
            <v>#N/A</v>
          </cell>
          <cell r="I249" t="e">
            <v>#N/A</v>
          </cell>
          <cell r="J249" t="e">
            <v>#N/A</v>
          </cell>
          <cell r="K249" t="e">
            <v>#N/A</v>
          </cell>
          <cell r="L249" t="e">
            <v>#N/A</v>
          </cell>
          <cell r="M249" t="e">
            <v>#N/A</v>
          </cell>
          <cell r="N249" t="e">
            <v>#N/A</v>
          </cell>
          <cell r="O249" t="e">
            <v>#N/A</v>
          </cell>
          <cell r="P249">
            <v>61.319992999999997</v>
          </cell>
          <cell r="Q249">
            <v>6.0347850000000003</v>
          </cell>
          <cell r="R249" t="e">
            <v>#N/A</v>
          </cell>
        </row>
        <row r="250">
          <cell r="A250">
            <v>40513</v>
          </cell>
          <cell r="B250">
            <v>40513</v>
          </cell>
          <cell r="C250" t="str">
            <v>Past</v>
          </cell>
          <cell r="D250">
            <v>62.549987999999999</v>
          </cell>
          <cell r="E250" t="e">
            <v>#N/A</v>
          </cell>
          <cell r="F250" t="e">
            <v>#N/A</v>
          </cell>
          <cell r="G250" t="e">
            <v>#N/A</v>
          </cell>
          <cell r="H250" t="e">
            <v>#N/A</v>
          </cell>
          <cell r="I250" t="e">
            <v>#N/A</v>
          </cell>
          <cell r="J250" t="e">
            <v>#N/A</v>
          </cell>
          <cell r="K250" t="e">
            <v>#N/A</v>
          </cell>
          <cell r="L250" t="e">
            <v>#N/A</v>
          </cell>
          <cell r="M250" t="e">
            <v>#N/A</v>
          </cell>
          <cell r="N250" t="e">
            <v>#N/A</v>
          </cell>
          <cell r="O250" t="e">
            <v>#N/A</v>
          </cell>
          <cell r="P250">
            <v>62.549987999999999</v>
          </cell>
          <cell r="Q250">
            <v>4.7050939999999999</v>
          </cell>
          <cell r="R250" t="e">
            <v>#N/A</v>
          </cell>
        </row>
        <row r="251">
          <cell r="A251">
            <v>40514</v>
          </cell>
          <cell r="B251">
            <v>40514</v>
          </cell>
          <cell r="C251" t="str">
            <v>Past</v>
          </cell>
          <cell r="D251">
            <v>63.689988</v>
          </cell>
          <cell r="E251" t="e">
            <v>#N/A</v>
          </cell>
          <cell r="F251" t="e">
            <v>#N/A</v>
          </cell>
          <cell r="G251" t="e">
            <v>#N/A</v>
          </cell>
          <cell r="H251" t="e">
            <v>#N/A</v>
          </cell>
          <cell r="I251" t="e">
            <v>#N/A</v>
          </cell>
          <cell r="J251" t="e">
            <v>#N/A</v>
          </cell>
          <cell r="K251" t="e">
            <v>#N/A</v>
          </cell>
          <cell r="L251" t="e">
            <v>#N/A</v>
          </cell>
          <cell r="M251" t="e">
            <v>#N/A</v>
          </cell>
          <cell r="N251" t="e">
            <v>#N/A</v>
          </cell>
          <cell r="O251" t="e">
            <v>#N/A</v>
          </cell>
          <cell r="P251">
            <v>63.689988</v>
          </cell>
          <cell r="Q251">
            <v>4.1453670000000002</v>
          </cell>
          <cell r="R251" t="e">
            <v>#N/A</v>
          </cell>
        </row>
        <row r="252">
          <cell r="A252">
            <v>40515</v>
          </cell>
          <cell r="B252">
            <v>40515</v>
          </cell>
          <cell r="C252" t="str">
            <v>Past</v>
          </cell>
          <cell r="D252">
            <v>63.419998999999997</v>
          </cell>
          <cell r="E252" t="e">
            <v>#N/A</v>
          </cell>
          <cell r="F252" t="e">
            <v>#N/A</v>
          </cell>
          <cell r="G252" t="e">
            <v>#N/A</v>
          </cell>
          <cell r="H252" t="e">
            <v>#N/A</v>
          </cell>
          <cell r="I252" t="e">
            <v>#N/A</v>
          </cell>
          <cell r="J252" t="e">
            <v>#N/A</v>
          </cell>
          <cell r="K252" t="e">
            <v>#N/A</v>
          </cell>
          <cell r="L252" t="e">
            <v>#N/A</v>
          </cell>
          <cell r="M252" t="e">
            <v>#N/A</v>
          </cell>
          <cell r="N252" t="e">
            <v>#N/A</v>
          </cell>
          <cell r="O252" t="e">
            <v>#N/A</v>
          </cell>
          <cell r="P252">
            <v>63.419998999999997</v>
          </cell>
          <cell r="Q252">
            <v>2.7327889999999999</v>
          </cell>
          <cell r="R252" t="e">
            <v>#N/A</v>
          </cell>
        </row>
        <row r="253">
          <cell r="A253">
            <v>40518</v>
          </cell>
          <cell r="B253">
            <v>40518</v>
          </cell>
          <cell r="C253" t="str">
            <v>Past</v>
          </cell>
          <cell r="D253">
            <v>63.109985999999999</v>
          </cell>
          <cell r="E253" t="e">
            <v>#N/A</v>
          </cell>
          <cell r="F253" t="e">
            <v>#N/A</v>
          </cell>
          <cell r="G253" t="e">
            <v>#N/A</v>
          </cell>
          <cell r="H253" t="e">
            <v>#N/A</v>
          </cell>
          <cell r="I253" t="e">
            <v>#N/A</v>
          </cell>
          <cell r="J253" t="e">
            <v>#N/A</v>
          </cell>
          <cell r="K253" t="e">
            <v>#N/A</v>
          </cell>
          <cell r="L253" t="e">
            <v>#N/A</v>
          </cell>
          <cell r="M253" t="e">
            <v>#N/A</v>
          </cell>
          <cell r="N253" t="e">
            <v>#N/A</v>
          </cell>
          <cell r="O253" t="e">
            <v>#N/A</v>
          </cell>
          <cell r="P253">
            <v>63.109985999999999</v>
          </cell>
          <cell r="Q253">
            <v>2.6321940000000001</v>
          </cell>
          <cell r="R253" t="e">
            <v>#N/A</v>
          </cell>
        </row>
        <row r="254">
          <cell r="A254">
            <v>40519</v>
          </cell>
          <cell r="B254">
            <v>40519</v>
          </cell>
          <cell r="C254" t="str">
            <v>Past</v>
          </cell>
          <cell r="D254">
            <v>63.64</v>
          </cell>
          <cell r="E254" t="e">
            <v>#N/A</v>
          </cell>
          <cell r="F254" t="e">
            <v>#N/A</v>
          </cell>
          <cell r="G254" t="e">
            <v>#N/A</v>
          </cell>
          <cell r="H254" t="e">
            <v>#N/A</v>
          </cell>
          <cell r="I254" t="e">
            <v>#N/A</v>
          </cell>
          <cell r="J254" t="e">
            <v>#N/A</v>
          </cell>
          <cell r="K254" t="e">
            <v>#N/A</v>
          </cell>
          <cell r="L254" t="e">
            <v>#N/A</v>
          </cell>
          <cell r="M254" t="e">
            <v>#N/A</v>
          </cell>
          <cell r="N254" t="e">
            <v>#N/A</v>
          </cell>
          <cell r="O254" t="e">
            <v>#N/A</v>
          </cell>
          <cell r="P254">
            <v>63.64</v>
          </cell>
          <cell r="Q254">
            <v>2.6764169999999998</v>
          </cell>
          <cell r="R254" t="e">
            <v>#N/A</v>
          </cell>
        </row>
        <row r="255">
          <cell r="A255">
            <v>40520</v>
          </cell>
          <cell r="B255">
            <v>40520</v>
          </cell>
          <cell r="C255" t="str">
            <v>Past</v>
          </cell>
          <cell r="D255">
            <v>63.849991000000003</v>
          </cell>
          <cell r="E255" t="e">
            <v>#N/A</v>
          </cell>
          <cell r="F255" t="e">
            <v>#N/A</v>
          </cell>
          <cell r="G255" t="e">
            <v>#N/A</v>
          </cell>
          <cell r="H255" t="e">
            <v>#N/A</v>
          </cell>
          <cell r="I255" t="e">
            <v>#N/A</v>
          </cell>
          <cell r="J255" t="e">
            <v>#N/A</v>
          </cell>
          <cell r="K255" t="e">
            <v>#N/A</v>
          </cell>
          <cell r="L255" t="e">
            <v>#N/A</v>
          </cell>
          <cell r="M255" t="e">
            <v>#N/A</v>
          </cell>
          <cell r="N255" t="e">
            <v>#N/A</v>
          </cell>
          <cell r="O255" t="e">
            <v>#N/A</v>
          </cell>
          <cell r="P255">
            <v>63.849991000000003</v>
          </cell>
          <cell r="Q255">
            <v>1.8783570000000001</v>
          </cell>
          <cell r="R255" t="e">
            <v>#N/A</v>
          </cell>
        </row>
        <row r="256">
          <cell r="A256">
            <v>40521</v>
          </cell>
          <cell r="B256">
            <v>40521</v>
          </cell>
          <cell r="C256" t="str">
            <v>Past</v>
          </cell>
          <cell r="D256">
            <v>63.709992</v>
          </cell>
          <cell r="E256" t="e">
            <v>#N/A</v>
          </cell>
          <cell r="F256" t="e">
            <v>#N/A</v>
          </cell>
          <cell r="G256" t="e">
            <v>#N/A</v>
          </cell>
          <cell r="H256" t="e">
            <v>#N/A</v>
          </cell>
          <cell r="I256" t="e">
            <v>#N/A</v>
          </cell>
          <cell r="J256" t="e">
            <v>#N/A</v>
          </cell>
          <cell r="K256" t="e">
            <v>#N/A</v>
          </cell>
          <cell r="L256" t="e">
            <v>#N/A</v>
          </cell>
          <cell r="M256" t="e">
            <v>#N/A</v>
          </cell>
          <cell r="N256" t="e">
            <v>#N/A</v>
          </cell>
          <cell r="O256" t="e">
            <v>#N/A</v>
          </cell>
          <cell r="P256">
            <v>63.709992</v>
          </cell>
          <cell r="Q256">
            <v>1.972126</v>
          </cell>
          <cell r="R256" t="e">
            <v>#N/A</v>
          </cell>
        </row>
        <row r="257">
          <cell r="A257">
            <v>40522</v>
          </cell>
          <cell r="B257">
            <v>40522</v>
          </cell>
          <cell r="C257" t="str">
            <v>Past</v>
          </cell>
          <cell r="D257">
            <v>63.729996</v>
          </cell>
          <cell r="E257" t="e">
            <v>#N/A</v>
          </cell>
          <cell r="F257" t="e">
            <v>#N/A</v>
          </cell>
          <cell r="G257" t="e">
            <v>#N/A</v>
          </cell>
          <cell r="H257" t="e">
            <v>#N/A</v>
          </cell>
          <cell r="I257" t="e">
            <v>#N/A</v>
          </cell>
          <cell r="J257" t="e">
            <v>#N/A</v>
          </cell>
          <cell r="K257" t="e">
            <v>#N/A</v>
          </cell>
          <cell r="L257" t="e">
            <v>#N/A</v>
          </cell>
          <cell r="M257" t="e">
            <v>#N/A</v>
          </cell>
          <cell r="N257" t="e">
            <v>#N/A</v>
          </cell>
          <cell r="O257" t="e">
            <v>#N/A</v>
          </cell>
          <cell r="P257">
            <v>63.729996</v>
          </cell>
          <cell r="Q257">
            <v>2.775874</v>
          </cell>
          <cell r="R257" t="e">
            <v>#N/A</v>
          </cell>
        </row>
        <row r="258">
          <cell r="A258">
            <v>40525</v>
          </cell>
          <cell r="B258">
            <v>40525</v>
          </cell>
          <cell r="C258" t="str">
            <v>Past</v>
          </cell>
          <cell r="D258">
            <v>63.109985999999999</v>
          </cell>
          <cell r="E258" t="e">
            <v>#N/A</v>
          </cell>
          <cell r="F258" t="e">
            <v>#N/A</v>
          </cell>
          <cell r="G258" t="e">
            <v>#N/A</v>
          </cell>
          <cell r="H258" t="e">
            <v>#N/A</v>
          </cell>
          <cell r="I258" t="e">
            <v>#N/A</v>
          </cell>
          <cell r="J258" t="e">
            <v>#N/A</v>
          </cell>
          <cell r="K258" t="e">
            <v>#N/A</v>
          </cell>
          <cell r="L258" t="e">
            <v>#N/A</v>
          </cell>
          <cell r="M258" t="e">
            <v>#N/A</v>
          </cell>
          <cell r="N258" t="e">
            <v>#N/A</v>
          </cell>
          <cell r="O258" t="e">
            <v>#N/A</v>
          </cell>
          <cell r="P258">
            <v>63.109985999999999</v>
          </cell>
          <cell r="Q258">
            <v>3.2066859999999999</v>
          </cell>
          <cell r="R258" t="e">
            <v>#N/A</v>
          </cell>
        </row>
        <row r="259">
          <cell r="A259">
            <v>40526</v>
          </cell>
          <cell r="B259">
            <v>40526</v>
          </cell>
          <cell r="C259" t="str">
            <v>Past</v>
          </cell>
          <cell r="D259">
            <v>63.659989000000003</v>
          </cell>
          <cell r="E259" t="e">
            <v>#N/A</v>
          </cell>
          <cell r="F259" t="e">
            <v>#N/A</v>
          </cell>
          <cell r="G259" t="e">
            <v>#N/A</v>
          </cell>
          <cell r="H259" t="e">
            <v>#N/A</v>
          </cell>
          <cell r="I259" t="e">
            <v>#N/A</v>
          </cell>
          <cell r="J259" t="e">
            <v>#N/A</v>
          </cell>
          <cell r="K259" t="e">
            <v>#N/A</v>
          </cell>
          <cell r="L259" t="e">
            <v>#N/A</v>
          </cell>
          <cell r="M259" t="e">
            <v>#N/A</v>
          </cell>
          <cell r="N259" t="e">
            <v>#N/A</v>
          </cell>
          <cell r="O259" t="e">
            <v>#N/A</v>
          </cell>
          <cell r="P259">
            <v>63.659989000000003</v>
          </cell>
          <cell r="Q259">
            <v>2.5440330000000002</v>
          </cell>
          <cell r="R259" t="e">
            <v>#N/A</v>
          </cell>
        </row>
        <row r="260">
          <cell r="A260">
            <v>40527</v>
          </cell>
          <cell r="B260">
            <v>40527</v>
          </cell>
          <cell r="C260" t="str">
            <v>Past</v>
          </cell>
          <cell r="D260">
            <v>62.51999</v>
          </cell>
          <cell r="E260" t="e">
            <v>#N/A</v>
          </cell>
          <cell r="F260" t="e">
            <v>#N/A</v>
          </cell>
          <cell r="G260" t="e">
            <v>#N/A</v>
          </cell>
          <cell r="H260" t="e">
            <v>#N/A</v>
          </cell>
          <cell r="I260" t="e">
            <v>#N/A</v>
          </cell>
          <cell r="J260" t="e">
            <v>#N/A</v>
          </cell>
          <cell r="K260" t="e">
            <v>#N/A</v>
          </cell>
          <cell r="L260" t="e">
            <v>#N/A</v>
          </cell>
          <cell r="M260" t="e">
            <v>#N/A</v>
          </cell>
          <cell r="N260" t="e">
            <v>#N/A</v>
          </cell>
          <cell r="O260" t="e">
            <v>#N/A</v>
          </cell>
          <cell r="P260">
            <v>62.51999</v>
          </cell>
          <cell r="Q260">
            <v>4.8265039999999999</v>
          </cell>
          <cell r="R260" t="e">
            <v>#N/A</v>
          </cell>
        </row>
        <row r="261">
          <cell r="A261">
            <v>40528</v>
          </cell>
          <cell r="B261">
            <v>40528</v>
          </cell>
          <cell r="C261" t="str">
            <v>Past</v>
          </cell>
          <cell r="D261">
            <v>62.209992</v>
          </cell>
          <cell r="E261" t="e">
            <v>#N/A</v>
          </cell>
          <cell r="F261" t="e">
            <v>#N/A</v>
          </cell>
          <cell r="G261" t="e">
            <v>#N/A</v>
          </cell>
          <cell r="H261" t="e">
            <v>#N/A</v>
          </cell>
          <cell r="I261" t="e">
            <v>#N/A</v>
          </cell>
          <cell r="J261" t="e">
            <v>#N/A</v>
          </cell>
          <cell r="K261" t="e">
            <v>#N/A</v>
          </cell>
          <cell r="L261" t="e">
            <v>#N/A</v>
          </cell>
          <cell r="M261" t="e">
            <v>#N/A</v>
          </cell>
          <cell r="N261" t="e">
            <v>#N/A</v>
          </cell>
          <cell r="O261" t="e">
            <v>#N/A</v>
          </cell>
          <cell r="P261">
            <v>62.209992</v>
          </cell>
          <cell r="Q261">
            <v>4.6285699999999999</v>
          </cell>
          <cell r="R261" t="e">
            <v>#N/A</v>
          </cell>
        </row>
        <row r="262">
          <cell r="A262">
            <v>40529</v>
          </cell>
          <cell r="B262">
            <v>40529</v>
          </cell>
          <cell r="C262" t="str">
            <v>Past</v>
          </cell>
          <cell r="D262">
            <v>62.149994</v>
          </cell>
          <cell r="E262" t="e">
            <v>#N/A</v>
          </cell>
          <cell r="F262" t="e">
            <v>#N/A</v>
          </cell>
          <cell r="G262" t="e">
            <v>#N/A</v>
          </cell>
          <cell r="H262" t="e">
            <v>#N/A</v>
          </cell>
          <cell r="I262" t="e">
            <v>#N/A</v>
          </cell>
          <cell r="J262" t="e">
            <v>#N/A</v>
          </cell>
          <cell r="K262" t="e">
            <v>#N/A</v>
          </cell>
          <cell r="L262" t="e">
            <v>#N/A</v>
          </cell>
          <cell r="M262" t="e">
            <v>#N/A</v>
          </cell>
          <cell r="N262" t="e">
            <v>#N/A</v>
          </cell>
          <cell r="O262" t="e">
            <v>#N/A</v>
          </cell>
          <cell r="P262">
            <v>62.149994</v>
          </cell>
          <cell r="Q262">
            <v>5.9287419999999997</v>
          </cell>
          <cell r="R262" t="e">
            <v>#N/A</v>
          </cell>
        </row>
        <row r="263">
          <cell r="A263">
            <v>40532</v>
          </cell>
          <cell r="B263">
            <v>40532</v>
          </cell>
          <cell r="C263" t="str">
            <v>Past</v>
          </cell>
          <cell r="D263">
            <v>61.899994</v>
          </cell>
          <cell r="E263" t="e">
            <v>#N/A</v>
          </cell>
          <cell r="F263" t="e">
            <v>#N/A</v>
          </cell>
          <cell r="G263" t="e">
            <v>#N/A</v>
          </cell>
          <cell r="H263" t="e">
            <v>#N/A</v>
          </cell>
          <cell r="I263" t="e">
            <v>#N/A</v>
          </cell>
          <cell r="J263" t="e">
            <v>#N/A</v>
          </cell>
          <cell r="K263" t="e">
            <v>#N/A</v>
          </cell>
          <cell r="L263" t="e">
            <v>#N/A</v>
          </cell>
          <cell r="M263" t="e">
            <v>#N/A</v>
          </cell>
          <cell r="N263" t="e">
            <v>#N/A</v>
          </cell>
          <cell r="O263" t="e">
            <v>#N/A</v>
          </cell>
          <cell r="P263">
            <v>61.899994</v>
          </cell>
          <cell r="Q263">
            <v>3.8873060000000002</v>
          </cell>
          <cell r="R263" t="e">
            <v>#N/A</v>
          </cell>
        </row>
        <row r="264">
          <cell r="A264">
            <v>40533</v>
          </cell>
          <cell r="B264">
            <v>40533</v>
          </cell>
          <cell r="C264" t="str">
            <v>Past</v>
          </cell>
          <cell r="D264">
            <v>61.839996999999997</v>
          </cell>
          <cell r="E264" t="e">
            <v>#N/A</v>
          </cell>
          <cell r="F264" t="e">
            <v>#N/A</v>
          </cell>
          <cell r="G264" t="e">
            <v>#N/A</v>
          </cell>
          <cell r="H264" t="e">
            <v>#N/A</v>
          </cell>
          <cell r="I264" t="e">
            <v>#N/A</v>
          </cell>
          <cell r="J264" t="e">
            <v>#N/A</v>
          </cell>
          <cell r="K264" t="e">
            <v>#N/A</v>
          </cell>
          <cell r="L264" t="e">
            <v>#N/A</v>
          </cell>
          <cell r="M264" t="e">
            <v>#N/A</v>
          </cell>
          <cell r="N264" t="e">
            <v>#N/A</v>
          </cell>
          <cell r="O264" t="e">
            <v>#N/A</v>
          </cell>
          <cell r="P264">
            <v>61.839996999999997</v>
          </cell>
          <cell r="Q264">
            <v>3.1588660000000002</v>
          </cell>
          <cell r="R264" t="e">
            <v>#N/A</v>
          </cell>
        </row>
        <row r="265">
          <cell r="A265">
            <v>40534</v>
          </cell>
          <cell r="B265">
            <v>40534</v>
          </cell>
          <cell r="C265" t="str">
            <v>Past</v>
          </cell>
          <cell r="D265">
            <v>61.669998999999997</v>
          </cell>
          <cell r="E265" t="e">
            <v>#N/A</v>
          </cell>
          <cell r="F265" t="e">
            <v>#N/A</v>
          </cell>
          <cell r="G265" t="e">
            <v>#N/A</v>
          </cell>
          <cell r="H265" t="e">
            <v>#N/A</v>
          </cell>
          <cell r="I265" t="e">
            <v>#N/A</v>
          </cell>
          <cell r="J265" t="e">
            <v>#N/A</v>
          </cell>
          <cell r="K265" t="e">
            <v>#N/A</v>
          </cell>
          <cell r="L265" t="e">
            <v>#N/A</v>
          </cell>
          <cell r="M265" t="e">
            <v>#N/A</v>
          </cell>
          <cell r="N265" t="e">
            <v>#N/A</v>
          </cell>
          <cell r="O265" t="e">
            <v>#N/A</v>
          </cell>
          <cell r="P265">
            <v>61.669998999999997</v>
          </cell>
          <cell r="Q265">
            <v>2.0869080000000002</v>
          </cell>
          <cell r="R265" t="e">
            <v>#N/A</v>
          </cell>
        </row>
        <row r="266">
          <cell r="A266">
            <v>40535</v>
          </cell>
          <cell r="B266">
            <v>40535</v>
          </cell>
          <cell r="C266" t="str">
            <v>Past</v>
          </cell>
          <cell r="D266">
            <v>61.369996</v>
          </cell>
          <cell r="E266" t="e">
            <v>#N/A</v>
          </cell>
          <cell r="F266" t="e">
            <v>#N/A</v>
          </cell>
          <cell r="G266" t="e">
            <v>#N/A</v>
          </cell>
          <cell r="H266" t="e">
            <v>#N/A</v>
          </cell>
          <cell r="I266" t="e">
            <v>#N/A</v>
          </cell>
          <cell r="J266" t="e">
            <v>#N/A</v>
          </cell>
          <cell r="K266" t="e">
            <v>#N/A</v>
          </cell>
          <cell r="L266" t="e">
            <v>#N/A</v>
          </cell>
          <cell r="M266" t="e">
            <v>#N/A</v>
          </cell>
          <cell r="N266" t="e">
            <v>#N/A</v>
          </cell>
          <cell r="O266" t="e">
            <v>#N/A</v>
          </cell>
          <cell r="P266">
            <v>61.369996</v>
          </cell>
          <cell r="Q266">
            <v>1.386898</v>
          </cell>
          <cell r="R266" t="e">
            <v>#N/A</v>
          </cell>
        </row>
        <row r="267">
          <cell r="A267">
            <v>40539</v>
          </cell>
          <cell r="B267">
            <v>40539</v>
          </cell>
          <cell r="C267" t="str">
            <v>Past</v>
          </cell>
          <cell r="D267">
            <v>61.279998999999997</v>
          </cell>
          <cell r="E267" t="e">
            <v>#N/A</v>
          </cell>
          <cell r="F267" t="e">
            <v>#N/A</v>
          </cell>
          <cell r="G267" t="e">
            <v>#N/A</v>
          </cell>
          <cell r="H267" t="e">
            <v>#N/A</v>
          </cell>
          <cell r="I267" t="e">
            <v>#N/A</v>
          </cell>
          <cell r="J267" t="e">
            <v>#N/A</v>
          </cell>
          <cell r="K267" t="e">
            <v>#N/A</v>
          </cell>
          <cell r="L267" t="e">
            <v>#N/A</v>
          </cell>
          <cell r="M267" t="e">
            <v>#N/A</v>
          </cell>
          <cell r="N267" t="e">
            <v>#N/A</v>
          </cell>
          <cell r="O267" t="e">
            <v>#N/A</v>
          </cell>
          <cell r="P267">
            <v>61.279998999999997</v>
          </cell>
          <cell r="Q267">
            <v>2.2579280000000002</v>
          </cell>
          <cell r="R267" t="e">
            <v>#N/A</v>
          </cell>
        </row>
        <row r="268">
          <cell r="A268">
            <v>40540</v>
          </cell>
          <cell r="B268">
            <v>40540</v>
          </cell>
          <cell r="C268" t="str">
            <v>Past</v>
          </cell>
          <cell r="D268">
            <v>61.509995000000004</v>
          </cell>
          <cell r="E268" t="e">
            <v>#N/A</v>
          </cell>
          <cell r="F268" t="e">
            <v>#N/A</v>
          </cell>
          <cell r="G268" t="e">
            <v>#N/A</v>
          </cell>
          <cell r="H268" t="e">
            <v>#N/A</v>
          </cell>
          <cell r="I268" t="e">
            <v>#N/A</v>
          </cell>
          <cell r="J268" t="e">
            <v>#N/A</v>
          </cell>
          <cell r="K268" t="e">
            <v>#N/A</v>
          </cell>
          <cell r="L268" t="e">
            <v>#N/A</v>
          </cell>
          <cell r="M268" t="e">
            <v>#N/A</v>
          </cell>
          <cell r="N268" t="e">
            <v>#N/A</v>
          </cell>
          <cell r="O268" t="e">
            <v>#N/A</v>
          </cell>
          <cell r="P268">
            <v>61.509995000000004</v>
          </cell>
          <cell r="Q268">
            <v>2.1468600000000002</v>
          </cell>
          <cell r="R268" t="e">
            <v>#N/A</v>
          </cell>
        </row>
        <row r="269">
          <cell r="A269">
            <v>40541</v>
          </cell>
          <cell r="B269">
            <v>40541</v>
          </cell>
          <cell r="C269" t="str">
            <v>Past</v>
          </cell>
          <cell r="D269">
            <v>61.669998999999997</v>
          </cell>
          <cell r="E269" t="e">
            <v>#N/A</v>
          </cell>
          <cell r="F269" t="e">
            <v>#N/A</v>
          </cell>
          <cell r="G269" t="e">
            <v>#N/A</v>
          </cell>
          <cell r="H269" t="e">
            <v>#N/A</v>
          </cell>
          <cell r="I269" t="e">
            <v>#N/A</v>
          </cell>
          <cell r="J269" t="e">
            <v>#N/A</v>
          </cell>
          <cell r="K269" t="e">
            <v>#N/A</v>
          </cell>
          <cell r="L269" t="e">
            <v>#N/A</v>
          </cell>
          <cell r="M269" t="e">
            <v>#N/A</v>
          </cell>
          <cell r="N269" t="e">
            <v>#N/A</v>
          </cell>
          <cell r="O269" t="e">
            <v>#N/A</v>
          </cell>
          <cell r="P269">
            <v>61.669998999999997</v>
          </cell>
          <cell r="Q269">
            <v>1.96312</v>
          </cell>
          <cell r="R269" t="e">
            <v>#N/A</v>
          </cell>
        </row>
        <row r="270">
          <cell r="A270">
            <v>40542</v>
          </cell>
          <cell r="B270">
            <v>40542</v>
          </cell>
          <cell r="C270" t="str">
            <v>Past</v>
          </cell>
          <cell r="D270">
            <v>61.75</v>
          </cell>
          <cell r="E270" t="e">
            <v>#N/A</v>
          </cell>
          <cell r="F270" t="e">
            <v>#N/A</v>
          </cell>
          <cell r="G270" t="e">
            <v>#N/A</v>
          </cell>
          <cell r="H270" t="e">
            <v>#N/A</v>
          </cell>
          <cell r="I270" t="e">
            <v>#N/A</v>
          </cell>
          <cell r="J270" t="e">
            <v>#N/A</v>
          </cell>
          <cell r="K270" t="e">
            <v>#N/A</v>
          </cell>
          <cell r="L270" t="e">
            <v>#N/A</v>
          </cell>
          <cell r="M270" t="e">
            <v>#N/A</v>
          </cell>
          <cell r="N270" t="e">
            <v>#N/A</v>
          </cell>
          <cell r="O270" t="e">
            <v>#N/A</v>
          </cell>
          <cell r="P270">
            <v>61.75</v>
          </cell>
          <cell r="Q270">
            <v>1.624474</v>
          </cell>
          <cell r="R270" t="e">
            <v>#N/A</v>
          </cell>
        </row>
        <row r="271">
          <cell r="A271">
            <v>40543</v>
          </cell>
          <cell r="B271">
            <v>40543</v>
          </cell>
          <cell r="C271" t="str">
            <v>Past</v>
          </cell>
          <cell r="D271">
            <v>61.26999</v>
          </cell>
          <cell r="E271" t="e">
            <v>#N/A</v>
          </cell>
          <cell r="F271" t="e">
            <v>#N/A</v>
          </cell>
          <cell r="G271" t="e">
            <v>#N/A</v>
          </cell>
          <cell r="H271" t="e">
            <v>#N/A</v>
          </cell>
          <cell r="I271" t="e">
            <v>#N/A</v>
          </cell>
          <cell r="J271" t="e">
            <v>#N/A</v>
          </cell>
          <cell r="K271" t="e">
            <v>#N/A</v>
          </cell>
          <cell r="L271" t="e">
            <v>#N/A</v>
          </cell>
          <cell r="M271" t="e">
            <v>#N/A</v>
          </cell>
          <cell r="N271" t="e">
            <v>#N/A</v>
          </cell>
          <cell r="O271" t="e">
            <v>#N/A</v>
          </cell>
          <cell r="P271">
            <v>61.26999</v>
          </cell>
          <cell r="Q271">
            <v>2.5291790000000001</v>
          </cell>
          <cell r="R271" t="e">
            <v>#N/A</v>
          </cell>
        </row>
        <row r="272">
          <cell r="A272">
            <v>40546</v>
          </cell>
          <cell r="B272">
            <v>40546</v>
          </cell>
          <cell r="C272" t="str">
            <v>Past</v>
          </cell>
          <cell r="D272">
            <v>61.629989999999999</v>
          </cell>
          <cell r="E272" t="e">
            <v>#N/A</v>
          </cell>
          <cell r="F272" t="e">
            <v>#N/A</v>
          </cell>
          <cell r="G272" t="e">
            <v>#N/A</v>
          </cell>
          <cell r="H272" t="e">
            <v>#N/A</v>
          </cell>
          <cell r="I272" t="e">
            <v>#N/A</v>
          </cell>
          <cell r="J272" t="e">
            <v>#N/A</v>
          </cell>
          <cell r="K272" t="e">
            <v>#N/A</v>
          </cell>
          <cell r="L272" t="e">
            <v>#N/A</v>
          </cell>
          <cell r="M272" t="e">
            <v>#N/A</v>
          </cell>
          <cell r="N272" t="e">
            <v>#N/A</v>
          </cell>
          <cell r="O272" t="e">
            <v>#N/A</v>
          </cell>
          <cell r="P272">
            <v>61.629989999999999</v>
          </cell>
          <cell r="Q272">
            <v>2.8079589999999999</v>
          </cell>
          <cell r="R272" t="e">
            <v>#N/A</v>
          </cell>
        </row>
        <row r="273">
          <cell r="A273">
            <v>40547</v>
          </cell>
          <cell r="B273">
            <v>40547</v>
          </cell>
          <cell r="C273" t="str">
            <v>Past</v>
          </cell>
          <cell r="D273">
            <v>61.759995000000004</v>
          </cell>
          <cell r="E273" t="e">
            <v>#N/A</v>
          </cell>
          <cell r="F273" t="e">
            <v>#N/A</v>
          </cell>
          <cell r="G273" t="e">
            <v>#N/A</v>
          </cell>
          <cell r="H273" t="e">
            <v>#N/A</v>
          </cell>
          <cell r="I273" t="e">
            <v>#N/A</v>
          </cell>
          <cell r="J273" t="e">
            <v>#N/A</v>
          </cell>
          <cell r="K273" t="e">
            <v>#N/A</v>
          </cell>
          <cell r="L273" t="e">
            <v>#N/A</v>
          </cell>
          <cell r="M273" t="e">
            <v>#N/A</v>
          </cell>
          <cell r="N273" t="e">
            <v>#N/A</v>
          </cell>
          <cell r="O273" t="e">
            <v>#N/A</v>
          </cell>
          <cell r="P273">
            <v>61.759995000000004</v>
          </cell>
          <cell r="Q273">
            <v>3.0168569999999999</v>
          </cell>
          <cell r="R273" t="e">
            <v>#N/A</v>
          </cell>
        </row>
        <row r="274">
          <cell r="A274">
            <v>40548</v>
          </cell>
          <cell r="B274">
            <v>40548</v>
          </cell>
          <cell r="C274" t="str">
            <v>Past</v>
          </cell>
          <cell r="D274">
            <v>61.26999</v>
          </cell>
          <cell r="E274" t="e">
            <v>#N/A</v>
          </cell>
          <cell r="F274" t="e">
            <v>#N/A</v>
          </cell>
          <cell r="G274" t="e">
            <v>#N/A</v>
          </cell>
          <cell r="H274" t="e">
            <v>#N/A</v>
          </cell>
          <cell r="I274" t="e">
            <v>#N/A</v>
          </cell>
          <cell r="J274" t="e">
            <v>#N/A</v>
          </cell>
          <cell r="K274" t="e">
            <v>#N/A</v>
          </cell>
          <cell r="L274" t="e">
            <v>#N/A</v>
          </cell>
          <cell r="M274" t="e">
            <v>#N/A</v>
          </cell>
          <cell r="N274" t="e">
            <v>#N/A</v>
          </cell>
          <cell r="O274" t="e">
            <v>#N/A</v>
          </cell>
          <cell r="P274">
            <v>61.26999</v>
          </cell>
          <cell r="Q274">
            <v>2.749171</v>
          </cell>
          <cell r="R274" t="e">
            <v>#N/A</v>
          </cell>
        </row>
        <row r="275">
          <cell r="A275">
            <v>40549</v>
          </cell>
          <cell r="B275">
            <v>40549</v>
          </cell>
          <cell r="C275" t="str">
            <v>Past</v>
          </cell>
          <cell r="D275">
            <v>61.909989000000003</v>
          </cell>
          <cell r="E275" t="e">
            <v>#N/A</v>
          </cell>
          <cell r="F275" t="e">
            <v>#N/A</v>
          </cell>
          <cell r="G275" t="e">
            <v>#N/A</v>
          </cell>
          <cell r="H275" t="e">
            <v>#N/A</v>
          </cell>
          <cell r="I275" t="e">
            <v>#N/A</v>
          </cell>
          <cell r="J275" t="e">
            <v>#N/A</v>
          </cell>
          <cell r="K275" t="e">
            <v>#N/A</v>
          </cell>
          <cell r="L275" t="e">
            <v>#N/A</v>
          </cell>
          <cell r="M275" t="e">
            <v>#N/A</v>
          </cell>
          <cell r="N275" t="e">
            <v>#N/A</v>
          </cell>
          <cell r="O275" t="e">
            <v>#N/A</v>
          </cell>
          <cell r="P275">
            <v>61.909989000000003</v>
          </cell>
          <cell r="Q275">
            <v>3.0836389999999998</v>
          </cell>
          <cell r="R275" t="e">
            <v>#N/A</v>
          </cell>
        </row>
        <row r="276">
          <cell r="A276">
            <v>40550</v>
          </cell>
          <cell r="B276">
            <v>40550</v>
          </cell>
          <cell r="C276" t="str">
            <v>Past</v>
          </cell>
          <cell r="D276">
            <v>61.959992</v>
          </cell>
          <cell r="E276" t="e">
            <v>#N/A</v>
          </cell>
          <cell r="F276" t="e">
            <v>#N/A</v>
          </cell>
          <cell r="G276" t="e">
            <v>#N/A</v>
          </cell>
          <cell r="H276" t="e">
            <v>#N/A</v>
          </cell>
          <cell r="I276" t="e">
            <v>#N/A</v>
          </cell>
          <cell r="J276" t="e">
            <v>#N/A</v>
          </cell>
          <cell r="K276" t="e">
            <v>#N/A</v>
          </cell>
          <cell r="L276" t="e">
            <v>#N/A</v>
          </cell>
          <cell r="M276" t="e">
            <v>#N/A</v>
          </cell>
          <cell r="N276" t="e">
            <v>#N/A</v>
          </cell>
          <cell r="O276" t="e">
            <v>#N/A</v>
          </cell>
          <cell r="P276">
            <v>61.959992</v>
          </cell>
          <cell r="Q276">
            <v>2.9706999999999999</v>
          </cell>
          <cell r="R276" t="e">
            <v>#N/A</v>
          </cell>
        </row>
        <row r="277">
          <cell r="A277">
            <v>40553</v>
          </cell>
          <cell r="B277">
            <v>40553</v>
          </cell>
          <cell r="C277" t="str">
            <v>Past</v>
          </cell>
          <cell r="D277">
            <v>63.01999</v>
          </cell>
          <cell r="E277" t="e">
            <v>#N/A</v>
          </cell>
          <cell r="F277" t="e">
            <v>#N/A</v>
          </cell>
          <cell r="G277" t="e">
            <v>#N/A</v>
          </cell>
          <cell r="H277" t="e">
            <v>#N/A</v>
          </cell>
          <cell r="I277" t="e">
            <v>#N/A</v>
          </cell>
          <cell r="J277" t="e">
            <v>#N/A</v>
          </cell>
          <cell r="K277" t="e">
            <v>#N/A</v>
          </cell>
          <cell r="L277" t="e">
            <v>#N/A</v>
          </cell>
          <cell r="M277" t="e">
            <v>#N/A</v>
          </cell>
          <cell r="N277" t="e">
            <v>#N/A</v>
          </cell>
          <cell r="O277" t="e">
            <v>#N/A</v>
          </cell>
          <cell r="P277">
            <v>63.01999</v>
          </cell>
          <cell r="Q277">
            <v>2.9352619999999998</v>
          </cell>
          <cell r="R277" t="e">
            <v>#N/A</v>
          </cell>
        </row>
        <row r="278">
          <cell r="A278">
            <v>40554</v>
          </cell>
          <cell r="B278">
            <v>40554</v>
          </cell>
          <cell r="C278" t="str">
            <v>Past</v>
          </cell>
          <cell r="D278">
            <v>64</v>
          </cell>
          <cell r="E278" t="e">
            <v>#N/A</v>
          </cell>
          <cell r="F278" t="e">
            <v>#N/A</v>
          </cell>
          <cell r="G278" t="e">
            <v>#N/A</v>
          </cell>
          <cell r="H278" t="e">
            <v>#N/A</v>
          </cell>
          <cell r="I278" t="e">
            <v>#N/A</v>
          </cell>
          <cell r="J278" t="e">
            <v>#N/A</v>
          </cell>
          <cell r="K278" t="e">
            <v>#N/A</v>
          </cell>
          <cell r="L278" t="e">
            <v>#N/A</v>
          </cell>
          <cell r="M278" t="e">
            <v>#N/A</v>
          </cell>
          <cell r="N278" t="e">
            <v>#N/A</v>
          </cell>
          <cell r="O278" t="e">
            <v>#N/A</v>
          </cell>
          <cell r="P278">
            <v>64</v>
          </cell>
          <cell r="Q278">
            <v>3.4072399999999998</v>
          </cell>
          <cell r="R278" t="e">
            <v>#N/A</v>
          </cell>
        </row>
        <row r="279">
          <cell r="A279">
            <v>40555</v>
          </cell>
          <cell r="B279">
            <v>40555</v>
          </cell>
          <cell r="C279" t="str">
            <v>Past</v>
          </cell>
          <cell r="D279">
            <v>64.469986000000006</v>
          </cell>
          <cell r="E279" t="e">
            <v>#N/A</v>
          </cell>
          <cell r="F279" t="e">
            <v>#N/A</v>
          </cell>
          <cell r="G279" t="e">
            <v>#N/A</v>
          </cell>
          <cell r="H279" t="e">
            <v>#N/A</v>
          </cell>
          <cell r="I279" t="e">
            <v>#N/A</v>
          </cell>
          <cell r="J279" t="e">
            <v>#N/A</v>
          </cell>
          <cell r="K279" t="e">
            <v>#N/A</v>
          </cell>
          <cell r="L279" t="e">
            <v>#N/A</v>
          </cell>
          <cell r="M279" t="e">
            <v>#N/A</v>
          </cell>
          <cell r="N279" t="e">
            <v>#N/A</v>
          </cell>
          <cell r="O279" t="e">
            <v>#N/A</v>
          </cell>
          <cell r="P279">
            <v>64.469986000000006</v>
          </cell>
          <cell r="Q279">
            <v>2.0237400000000001</v>
          </cell>
          <cell r="R279" t="e">
            <v>#N/A</v>
          </cell>
        </row>
        <row r="280">
          <cell r="A280">
            <v>40556</v>
          </cell>
          <cell r="B280">
            <v>40556</v>
          </cell>
          <cell r="C280" t="str">
            <v>Past</v>
          </cell>
          <cell r="D280">
            <v>64.939988</v>
          </cell>
          <cell r="E280" t="e">
            <v>#N/A</v>
          </cell>
          <cell r="F280" t="e">
            <v>#N/A</v>
          </cell>
          <cell r="G280" t="e">
            <v>#N/A</v>
          </cell>
          <cell r="H280" t="e">
            <v>#N/A</v>
          </cell>
          <cell r="I280" t="e">
            <v>#N/A</v>
          </cell>
          <cell r="J280" t="e">
            <v>#N/A</v>
          </cell>
          <cell r="K280" t="e">
            <v>#N/A</v>
          </cell>
          <cell r="L280" t="e">
            <v>#N/A</v>
          </cell>
          <cell r="M280" t="e">
            <v>#N/A</v>
          </cell>
          <cell r="N280" t="e">
            <v>#N/A</v>
          </cell>
          <cell r="O280" t="e">
            <v>#N/A</v>
          </cell>
          <cell r="P280">
            <v>64.939988</v>
          </cell>
          <cell r="Q280">
            <v>3.9886949999999999</v>
          </cell>
          <cell r="R280" t="e">
            <v>#N/A</v>
          </cell>
        </row>
        <row r="281">
          <cell r="A281">
            <v>40557</v>
          </cell>
          <cell r="B281">
            <v>40557</v>
          </cell>
          <cell r="C281" t="str">
            <v>Past</v>
          </cell>
          <cell r="D281">
            <v>64.89</v>
          </cell>
          <cell r="E281" t="e">
            <v>#N/A</v>
          </cell>
          <cell r="F281" t="e">
            <v>#N/A</v>
          </cell>
          <cell r="G281" t="e">
            <v>#N/A</v>
          </cell>
          <cell r="H281" t="e">
            <v>#N/A</v>
          </cell>
          <cell r="I281" t="e">
            <v>#N/A</v>
          </cell>
          <cell r="J281" t="e">
            <v>#N/A</v>
          </cell>
          <cell r="K281" t="e">
            <v>#N/A</v>
          </cell>
          <cell r="L281" t="e">
            <v>#N/A</v>
          </cell>
          <cell r="M281" t="e">
            <v>#N/A</v>
          </cell>
          <cell r="N281" t="e">
            <v>#N/A</v>
          </cell>
          <cell r="O281" t="e">
            <v>#N/A</v>
          </cell>
          <cell r="P281">
            <v>64.89</v>
          </cell>
          <cell r="Q281">
            <v>1.8496520000000001</v>
          </cell>
          <cell r="R281" t="e">
            <v>#N/A</v>
          </cell>
        </row>
        <row r="282">
          <cell r="A282">
            <v>40561</v>
          </cell>
          <cell r="B282">
            <v>40561</v>
          </cell>
          <cell r="C282" t="str">
            <v>Past</v>
          </cell>
          <cell r="D282">
            <v>65.299987999999999</v>
          </cell>
          <cell r="E282" t="e">
            <v>#N/A</v>
          </cell>
          <cell r="F282" t="e">
            <v>#N/A</v>
          </cell>
          <cell r="G282" t="e">
            <v>#N/A</v>
          </cell>
          <cell r="H282" t="e">
            <v>#N/A</v>
          </cell>
          <cell r="I282" t="e">
            <v>#N/A</v>
          </cell>
          <cell r="J282" t="e">
            <v>#N/A</v>
          </cell>
          <cell r="K282" t="e">
            <v>#N/A</v>
          </cell>
          <cell r="L282" t="e">
            <v>#N/A</v>
          </cell>
          <cell r="M282" t="e">
            <v>#N/A</v>
          </cell>
          <cell r="N282" t="e">
            <v>#N/A</v>
          </cell>
          <cell r="O282" t="e">
            <v>#N/A</v>
          </cell>
          <cell r="P282">
            <v>65.299987999999999</v>
          </cell>
          <cell r="Q282">
            <v>3.9815179999999999</v>
          </cell>
          <cell r="R282" t="e">
            <v>#N/A</v>
          </cell>
        </row>
        <row r="283">
          <cell r="A283">
            <v>40562</v>
          </cell>
          <cell r="B283">
            <v>40562</v>
          </cell>
          <cell r="C283" t="str">
            <v>Past</v>
          </cell>
          <cell r="D283">
            <v>64.39</v>
          </cell>
          <cell r="E283" t="e">
            <v>#N/A</v>
          </cell>
          <cell r="F283" t="e">
            <v>#N/A</v>
          </cell>
          <cell r="G283" t="e">
            <v>#N/A</v>
          </cell>
          <cell r="H283" t="e">
            <v>#N/A</v>
          </cell>
          <cell r="I283" t="e">
            <v>#N/A</v>
          </cell>
          <cell r="J283" t="e">
            <v>#N/A</v>
          </cell>
          <cell r="K283" t="e">
            <v>#N/A</v>
          </cell>
          <cell r="L283" t="e">
            <v>#N/A</v>
          </cell>
          <cell r="M283" t="e">
            <v>#N/A</v>
          </cell>
          <cell r="N283" t="e">
            <v>#N/A</v>
          </cell>
          <cell r="O283" t="e">
            <v>#N/A</v>
          </cell>
          <cell r="P283">
            <v>64.39</v>
          </cell>
          <cell r="Q283">
            <v>2.2566700000000002</v>
          </cell>
          <cell r="R283" t="e">
            <v>#N/A</v>
          </cell>
        </row>
        <row r="284">
          <cell r="A284">
            <v>40563</v>
          </cell>
          <cell r="B284">
            <v>40563</v>
          </cell>
          <cell r="C284" t="str">
            <v>Past</v>
          </cell>
          <cell r="D284">
            <v>64.14</v>
          </cell>
          <cell r="E284" t="e">
            <v>#N/A</v>
          </cell>
          <cell r="F284" t="e">
            <v>#N/A</v>
          </cell>
          <cell r="G284" t="e">
            <v>#N/A</v>
          </cell>
          <cell r="H284" t="e">
            <v>#N/A</v>
          </cell>
          <cell r="I284" t="e">
            <v>#N/A</v>
          </cell>
          <cell r="J284" t="e">
            <v>#N/A</v>
          </cell>
          <cell r="K284" t="e">
            <v>#N/A</v>
          </cell>
          <cell r="L284" t="e">
            <v>#N/A</v>
          </cell>
          <cell r="M284" t="e">
            <v>#N/A</v>
          </cell>
          <cell r="N284" t="e">
            <v>#N/A</v>
          </cell>
          <cell r="O284" t="e">
            <v>#N/A</v>
          </cell>
          <cell r="P284">
            <v>64.14</v>
          </cell>
          <cell r="Q284">
            <v>4.0669170000000001</v>
          </cell>
          <cell r="R284" t="e">
            <v>#N/A</v>
          </cell>
        </row>
        <row r="285">
          <cell r="A285">
            <v>40564</v>
          </cell>
          <cell r="B285">
            <v>40564</v>
          </cell>
          <cell r="C285" t="str">
            <v>Past</v>
          </cell>
          <cell r="D285">
            <v>63.929993000000003</v>
          </cell>
          <cell r="E285" t="e">
            <v>#N/A</v>
          </cell>
          <cell r="F285" t="e">
            <v>#N/A</v>
          </cell>
          <cell r="G285" t="e">
            <v>#N/A</v>
          </cell>
          <cell r="H285" t="e">
            <v>#N/A</v>
          </cell>
          <cell r="I285" t="e">
            <v>#N/A</v>
          </cell>
          <cell r="J285" t="e">
            <v>#N/A</v>
          </cell>
          <cell r="K285" t="e">
            <v>#N/A</v>
          </cell>
          <cell r="L285" t="e">
            <v>#N/A</v>
          </cell>
          <cell r="M285" t="e">
            <v>#N/A</v>
          </cell>
          <cell r="N285" t="e">
            <v>#N/A</v>
          </cell>
          <cell r="O285" t="e">
            <v>#N/A</v>
          </cell>
          <cell r="P285">
            <v>63.929993000000003</v>
          </cell>
          <cell r="Q285">
            <v>2.113038</v>
          </cell>
          <cell r="R285" t="e">
            <v>#N/A</v>
          </cell>
        </row>
        <row r="286">
          <cell r="A286">
            <v>40567</v>
          </cell>
          <cell r="B286">
            <v>40567</v>
          </cell>
          <cell r="C286" t="str">
            <v>Past</v>
          </cell>
          <cell r="D286">
            <v>63.469985999999999</v>
          </cell>
          <cell r="E286" t="e">
            <v>#N/A</v>
          </cell>
          <cell r="F286" t="e">
            <v>#N/A</v>
          </cell>
          <cell r="G286" t="e">
            <v>#N/A</v>
          </cell>
          <cell r="H286" t="e">
            <v>#N/A</v>
          </cell>
          <cell r="I286" t="e">
            <v>#N/A</v>
          </cell>
          <cell r="J286" t="e">
            <v>#N/A</v>
          </cell>
          <cell r="K286" t="e">
            <v>#N/A</v>
          </cell>
          <cell r="L286" t="e">
            <v>#N/A</v>
          </cell>
          <cell r="M286" t="e">
            <v>#N/A</v>
          </cell>
          <cell r="N286" t="e">
            <v>#N/A</v>
          </cell>
          <cell r="O286" t="e">
            <v>#N/A</v>
          </cell>
          <cell r="P286">
            <v>63.469985999999999</v>
          </cell>
          <cell r="Q286">
            <v>1.8362540000000001</v>
          </cell>
          <cell r="R286" t="e">
            <v>#N/A</v>
          </cell>
        </row>
        <row r="287">
          <cell r="A287">
            <v>40568</v>
          </cell>
          <cell r="B287">
            <v>40568</v>
          </cell>
          <cell r="C287" t="str">
            <v>Past</v>
          </cell>
          <cell r="D287">
            <v>63.529998999999997</v>
          </cell>
          <cell r="E287" t="e">
            <v>#N/A</v>
          </cell>
          <cell r="F287" t="e">
            <v>#N/A</v>
          </cell>
          <cell r="G287" t="e">
            <v>#N/A</v>
          </cell>
          <cell r="H287" t="e">
            <v>#N/A</v>
          </cell>
          <cell r="I287" t="e">
            <v>#N/A</v>
          </cell>
          <cell r="J287" t="e">
            <v>#N/A</v>
          </cell>
          <cell r="K287" t="e">
            <v>#N/A</v>
          </cell>
          <cell r="L287" t="e">
            <v>#N/A</v>
          </cell>
          <cell r="M287" t="e">
            <v>#N/A</v>
          </cell>
          <cell r="N287" t="e">
            <v>#N/A</v>
          </cell>
          <cell r="O287" t="e">
            <v>#N/A</v>
          </cell>
          <cell r="P287">
            <v>63.529998999999997</v>
          </cell>
          <cell r="Q287">
            <v>2.2191649999999998</v>
          </cell>
          <cell r="R287" t="e">
            <v>#N/A</v>
          </cell>
        </row>
        <row r="288">
          <cell r="A288">
            <v>40569</v>
          </cell>
          <cell r="B288">
            <v>40569</v>
          </cell>
          <cell r="C288" t="str">
            <v>Past</v>
          </cell>
          <cell r="D288">
            <v>62.629989999999999</v>
          </cell>
          <cell r="E288" t="e">
            <v>#N/A</v>
          </cell>
          <cell r="F288" t="e">
            <v>#N/A</v>
          </cell>
          <cell r="G288" t="e">
            <v>#N/A</v>
          </cell>
          <cell r="H288" t="e">
            <v>#N/A</v>
          </cell>
          <cell r="I288" t="e">
            <v>#N/A</v>
          </cell>
          <cell r="J288" t="e">
            <v>#N/A</v>
          </cell>
          <cell r="K288" t="e">
            <v>#N/A</v>
          </cell>
          <cell r="L288" t="e">
            <v>#N/A</v>
          </cell>
          <cell r="M288" t="e">
            <v>#N/A</v>
          </cell>
          <cell r="N288" t="e">
            <v>#N/A</v>
          </cell>
          <cell r="O288" t="e">
            <v>#N/A</v>
          </cell>
          <cell r="P288">
            <v>62.629989999999999</v>
          </cell>
          <cell r="Q288">
            <v>4.1073089999999999</v>
          </cell>
          <cell r="R288" t="e">
            <v>#N/A</v>
          </cell>
        </row>
        <row r="289">
          <cell r="A289">
            <v>40570</v>
          </cell>
          <cell r="B289">
            <v>40570</v>
          </cell>
          <cell r="C289" t="str">
            <v>Past</v>
          </cell>
          <cell r="D289">
            <v>62.909989000000003</v>
          </cell>
          <cell r="E289" t="e">
            <v>#N/A</v>
          </cell>
          <cell r="F289" t="e">
            <v>#N/A</v>
          </cell>
          <cell r="G289" t="e">
            <v>#N/A</v>
          </cell>
          <cell r="H289" t="e">
            <v>#N/A</v>
          </cell>
          <cell r="I289" t="e">
            <v>#N/A</v>
          </cell>
          <cell r="J289" t="e">
            <v>#N/A</v>
          </cell>
          <cell r="K289" t="e">
            <v>#N/A</v>
          </cell>
          <cell r="L289" t="e">
            <v>#N/A</v>
          </cell>
          <cell r="M289" t="e">
            <v>#N/A</v>
          </cell>
          <cell r="N289" t="e">
            <v>#N/A</v>
          </cell>
          <cell r="O289" t="e">
            <v>#N/A</v>
          </cell>
          <cell r="P289">
            <v>62.909989000000003</v>
          </cell>
          <cell r="Q289">
            <v>1.750397</v>
          </cell>
          <cell r="R289" t="e">
            <v>#N/A</v>
          </cell>
        </row>
        <row r="290">
          <cell r="A290">
            <v>40571</v>
          </cell>
          <cell r="B290">
            <v>40571</v>
          </cell>
          <cell r="C290" t="str">
            <v>Past</v>
          </cell>
          <cell r="D290">
            <v>61.449997000000003</v>
          </cell>
          <cell r="E290" t="e">
            <v>#N/A</v>
          </cell>
          <cell r="F290" t="e">
            <v>#N/A</v>
          </cell>
          <cell r="G290" t="e">
            <v>#N/A</v>
          </cell>
          <cell r="H290" t="e">
            <v>#N/A</v>
          </cell>
          <cell r="I290" t="e">
            <v>#N/A</v>
          </cell>
          <cell r="J290" t="e">
            <v>#N/A</v>
          </cell>
          <cell r="K290" t="e">
            <v>#N/A</v>
          </cell>
          <cell r="L290" t="e">
            <v>#N/A</v>
          </cell>
          <cell r="M290" t="e">
            <v>#N/A</v>
          </cell>
          <cell r="N290" t="e">
            <v>#N/A</v>
          </cell>
          <cell r="O290" t="e">
            <v>#N/A</v>
          </cell>
          <cell r="P290">
            <v>61.449997000000003</v>
          </cell>
          <cell r="Q290">
            <v>2.2171880000000002</v>
          </cell>
          <cell r="R290" t="e">
            <v>#N/A</v>
          </cell>
        </row>
        <row r="291">
          <cell r="A291">
            <v>40574</v>
          </cell>
          <cell r="B291">
            <v>40574</v>
          </cell>
          <cell r="C291" t="str">
            <v>Past</v>
          </cell>
          <cell r="D291">
            <v>61.01999</v>
          </cell>
          <cell r="E291" t="e">
            <v>#N/A</v>
          </cell>
          <cell r="F291" t="e">
            <v>#N/A</v>
          </cell>
          <cell r="G291" t="e">
            <v>#N/A</v>
          </cell>
          <cell r="H291" t="e">
            <v>#N/A</v>
          </cell>
          <cell r="I291" t="e">
            <v>#N/A</v>
          </cell>
          <cell r="J291" t="e">
            <v>#N/A</v>
          </cell>
          <cell r="K291" t="e">
            <v>#N/A</v>
          </cell>
          <cell r="L291" t="e">
            <v>#N/A</v>
          </cell>
          <cell r="M291" t="e">
            <v>#N/A</v>
          </cell>
          <cell r="N291" t="e">
            <v>#N/A</v>
          </cell>
          <cell r="O291" t="e">
            <v>#N/A</v>
          </cell>
          <cell r="P291">
            <v>61.01999</v>
          </cell>
          <cell r="Q291">
            <v>2.6140620000000001</v>
          </cell>
          <cell r="R291" t="e">
            <v>#N/A</v>
          </cell>
        </row>
        <row r="292">
          <cell r="A292">
            <v>40575</v>
          </cell>
          <cell r="B292">
            <v>40575</v>
          </cell>
          <cell r="C292" t="str">
            <v>Past</v>
          </cell>
          <cell r="D292">
            <v>62.189988</v>
          </cell>
          <cell r="E292" t="e">
            <v>#N/A</v>
          </cell>
          <cell r="F292" t="e">
            <v>#N/A</v>
          </cell>
          <cell r="G292" t="e">
            <v>#N/A</v>
          </cell>
          <cell r="H292" t="e">
            <v>#N/A</v>
          </cell>
          <cell r="I292" t="e">
            <v>#N/A</v>
          </cell>
          <cell r="J292" t="e">
            <v>#N/A</v>
          </cell>
          <cell r="K292" t="e">
            <v>#N/A</v>
          </cell>
          <cell r="L292" t="e">
            <v>#N/A</v>
          </cell>
          <cell r="M292" t="e">
            <v>#N/A</v>
          </cell>
          <cell r="N292" t="e">
            <v>#N/A</v>
          </cell>
          <cell r="O292" t="e">
            <v>#N/A</v>
          </cell>
          <cell r="P292">
            <v>62.189988</v>
          </cell>
          <cell r="Q292">
            <v>2.027628</v>
          </cell>
          <cell r="R292" t="e">
            <v>#N/A</v>
          </cell>
        </row>
        <row r="293">
          <cell r="A293">
            <v>40576</v>
          </cell>
          <cell r="B293">
            <v>40576</v>
          </cell>
          <cell r="C293" t="str">
            <v>Past</v>
          </cell>
          <cell r="D293">
            <v>61.76999</v>
          </cell>
          <cell r="E293" t="e">
            <v>#N/A</v>
          </cell>
          <cell r="F293" t="e">
            <v>#N/A</v>
          </cell>
          <cell r="G293" t="e">
            <v>#N/A</v>
          </cell>
          <cell r="H293" t="e">
            <v>#N/A</v>
          </cell>
          <cell r="I293" t="e">
            <v>#N/A</v>
          </cell>
          <cell r="J293" t="e">
            <v>#N/A</v>
          </cell>
          <cell r="K293" t="e">
            <v>#N/A</v>
          </cell>
          <cell r="L293" t="e">
            <v>#N/A</v>
          </cell>
          <cell r="M293" t="e">
            <v>#N/A</v>
          </cell>
          <cell r="N293" t="e">
            <v>#N/A</v>
          </cell>
          <cell r="O293" t="e">
            <v>#N/A</v>
          </cell>
          <cell r="P293">
            <v>61.76999</v>
          </cell>
          <cell r="Q293">
            <v>1.3628629999999999</v>
          </cell>
          <cell r="R293" t="e">
            <v>#N/A</v>
          </cell>
        </row>
        <row r="294">
          <cell r="A294">
            <v>40577</v>
          </cell>
          <cell r="B294">
            <v>40577</v>
          </cell>
          <cell r="C294" t="str">
            <v>Past</v>
          </cell>
          <cell r="D294">
            <v>62.129989999999999</v>
          </cell>
          <cell r="E294" t="e">
            <v>#N/A</v>
          </cell>
          <cell r="F294" t="e">
            <v>#N/A</v>
          </cell>
          <cell r="G294" t="e">
            <v>#N/A</v>
          </cell>
          <cell r="H294" t="e">
            <v>#N/A</v>
          </cell>
          <cell r="I294" t="e">
            <v>#N/A</v>
          </cell>
          <cell r="J294" t="e">
            <v>#N/A</v>
          </cell>
          <cell r="K294" t="e">
            <v>#N/A</v>
          </cell>
          <cell r="L294" t="e">
            <v>#N/A</v>
          </cell>
          <cell r="M294" t="e">
            <v>#N/A</v>
          </cell>
          <cell r="N294" t="e">
            <v>#N/A</v>
          </cell>
          <cell r="O294" t="e">
            <v>#N/A</v>
          </cell>
          <cell r="P294">
            <v>62.129989999999999</v>
          </cell>
          <cell r="Q294">
            <v>2.2078259999999998</v>
          </cell>
          <cell r="R294" t="e">
            <v>#N/A</v>
          </cell>
        </row>
        <row r="295">
          <cell r="A295">
            <v>40578</v>
          </cell>
          <cell r="B295">
            <v>40578</v>
          </cell>
          <cell r="C295" t="str">
            <v>Past</v>
          </cell>
          <cell r="D295">
            <v>62.669998999999997</v>
          </cell>
          <cell r="E295" t="e">
            <v>#N/A</v>
          </cell>
          <cell r="F295" t="e">
            <v>#N/A</v>
          </cell>
          <cell r="G295" t="e">
            <v>#N/A</v>
          </cell>
          <cell r="H295" t="e">
            <v>#N/A</v>
          </cell>
          <cell r="I295" t="e">
            <v>#N/A</v>
          </cell>
          <cell r="J295" t="e">
            <v>#N/A</v>
          </cell>
          <cell r="K295" t="e">
            <v>#N/A</v>
          </cell>
          <cell r="L295" t="e">
            <v>#N/A</v>
          </cell>
          <cell r="M295" t="e">
            <v>#N/A</v>
          </cell>
          <cell r="N295" t="e">
            <v>#N/A</v>
          </cell>
          <cell r="O295" t="e">
            <v>#N/A</v>
          </cell>
          <cell r="P295">
            <v>62.669998999999997</v>
          </cell>
          <cell r="Q295">
            <v>1.8396619999999999</v>
          </cell>
          <cell r="R295" t="e">
            <v>#N/A</v>
          </cell>
        </row>
        <row r="296">
          <cell r="A296">
            <v>40581</v>
          </cell>
          <cell r="B296">
            <v>40581</v>
          </cell>
          <cell r="C296" t="str">
            <v>Past</v>
          </cell>
          <cell r="D296">
            <v>62.559998</v>
          </cell>
          <cell r="E296" t="e">
            <v>#N/A</v>
          </cell>
          <cell r="F296" t="e">
            <v>#N/A</v>
          </cell>
          <cell r="G296" t="e">
            <v>#N/A</v>
          </cell>
          <cell r="H296" t="e">
            <v>#N/A</v>
          </cell>
          <cell r="I296" t="e">
            <v>#N/A</v>
          </cell>
          <cell r="J296" t="e">
            <v>#N/A</v>
          </cell>
          <cell r="K296" t="e">
            <v>#N/A</v>
          </cell>
          <cell r="L296" t="e">
            <v>#N/A</v>
          </cell>
          <cell r="M296" t="e">
            <v>#N/A</v>
          </cell>
          <cell r="N296" t="e">
            <v>#N/A</v>
          </cell>
          <cell r="O296" t="e">
            <v>#N/A</v>
          </cell>
          <cell r="P296">
            <v>62.559998</v>
          </cell>
          <cell r="Q296">
            <v>1.690258</v>
          </cell>
          <cell r="R296" t="e">
            <v>#N/A</v>
          </cell>
        </row>
        <row r="297">
          <cell r="A297">
            <v>40582</v>
          </cell>
          <cell r="B297">
            <v>40582</v>
          </cell>
          <cell r="C297" t="str">
            <v>Past</v>
          </cell>
          <cell r="D297">
            <v>63.369996</v>
          </cell>
          <cell r="E297" t="e">
            <v>#N/A</v>
          </cell>
          <cell r="F297" t="e">
            <v>#N/A</v>
          </cell>
          <cell r="G297" t="e">
            <v>#N/A</v>
          </cell>
          <cell r="H297" t="e">
            <v>#N/A</v>
          </cell>
          <cell r="I297" t="e">
            <v>#N/A</v>
          </cell>
          <cell r="J297" t="e">
            <v>#N/A</v>
          </cell>
          <cell r="K297" t="e">
            <v>#N/A</v>
          </cell>
          <cell r="L297" t="e">
            <v>#N/A</v>
          </cell>
          <cell r="M297" t="e">
            <v>#N/A</v>
          </cell>
          <cell r="N297" t="e">
            <v>#N/A</v>
          </cell>
          <cell r="O297" t="e">
            <v>#N/A</v>
          </cell>
          <cell r="P297">
            <v>63.369996</v>
          </cell>
          <cell r="Q297">
            <v>1.439546</v>
          </cell>
          <cell r="R297" t="e">
            <v>#N/A</v>
          </cell>
        </row>
        <row r="298">
          <cell r="A298">
            <v>40583</v>
          </cell>
          <cell r="B298">
            <v>40583</v>
          </cell>
          <cell r="C298" t="str">
            <v>Past</v>
          </cell>
          <cell r="D298">
            <v>62</v>
          </cell>
          <cell r="E298" t="e">
            <v>#N/A</v>
          </cell>
          <cell r="F298" t="e">
            <v>#N/A</v>
          </cell>
          <cell r="G298" t="e">
            <v>#N/A</v>
          </cell>
          <cell r="H298" t="e">
            <v>#N/A</v>
          </cell>
          <cell r="I298" t="e">
            <v>#N/A</v>
          </cell>
          <cell r="J298" t="e">
            <v>#N/A</v>
          </cell>
          <cell r="K298" t="e">
            <v>#N/A</v>
          </cell>
          <cell r="L298" t="e">
            <v>#N/A</v>
          </cell>
          <cell r="M298" t="e">
            <v>#N/A</v>
          </cell>
          <cell r="N298" t="e">
            <v>#N/A</v>
          </cell>
          <cell r="O298" t="e">
            <v>#N/A</v>
          </cell>
          <cell r="P298">
            <v>62</v>
          </cell>
          <cell r="Q298">
            <v>2.211678</v>
          </cell>
          <cell r="R298" t="e">
            <v>#N/A</v>
          </cell>
        </row>
        <row r="299">
          <cell r="A299">
            <v>40584</v>
          </cell>
          <cell r="B299">
            <v>40584</v>
          </cell>
          <cell r="C299" t="str">
            <v>Past</v>
          </cell>
          <cell r="D299">
            <v>61.75</v>
          </cell>
          <cell r="E299" t="e">
            <v>#N/A</v>
          </cell>
          <cell r="F299" t="e">
            <v>#N/A</v>
          </cell>
          <cell r="G299" t="e">
            <v>#N/A</v>
          </cell>
          <cell r="H299" t="e">
            <v>#N/A</v>
          </cell>
          <cell r="I299" t="e">
            <v>#N/A</v>
          </cell>
          <cell r="J299" t="e">
            <v>#N/A</v>
          </cell>
          <cell r="K299" t="e">
            <v>#N/A</v>
          </cell>
          <cell r="L299" t="e">
            <v>#N/A</v>
          </cell>
          <cell r="M299" t="e">
            <v>#N/A</v>
          </cell>
          <cell r="N299" t="e">
            <v>#N/A</v>
          </cell>
          <cell r="O299" t="e">
            <v>#N/A</v>
          </cell>
          <cell r="P299">
            <v>61.75</v>
          </cell>
          <cell r="Q299">
            <v>3.2721230000000001</v>
          </cell>
          <cell r="R299" t="e">
            <v>#N/A</v>
          </cell>
        </row>
        <row r="300">
          <cell r="A300">
            <v>40585</v>
          </cell>
          <cell r="B300">
            <v>40585</v>
          </cell>
          <cell r="C300" t="str">
            <v>Past</v>
          </cell>
          <cell r="D300">
            <v>62.099991000000003</v>
          </cell>
          <cell r="E300" t="e">
            <v>#N/A</v>
          </cell>
          <cell r="F300" t="e">
            <v>#N/A</v>
          </cell>
          <cell r="G300" t="e">
            <v>#N/A</v>
          </cell>
          <cell r="H300" t="e">
            <v>#N/A</v>
          </cell>
          <cell r="I300" t="e">
            <v>#N/A</v>
          </cell>
          <cell r="J300" t="e">
            <v>#N/A</v>
          </cell>
          <cell r="K300" t="e">
            <v>#N/A</v>
          </cell>
          <cell r="L300" t="e">
            <v>#N/A</v>
          </cell>
          <cell r="M300" t="e">
            <v>#N/A</v>
          </cell>
          <cell r="N300" t="e">
            <v>#N/A</v>
          </cell>
          <cell r="O300" t="e">
            <v>#N/A</v>
          </cell>
          <cell r="P300">
            <v>62.099991000000003</v>
          </cell>
          <cell r="Q300">
            <v>1.6178920000000001</v>
          </cell>
          <cell r="R300" t="e">
            <v>#N/A</v>
          </cell>
        </row>
        <row r="301">
          <cell r="A301">
            <v>40588</v>
          </cell>
          <cell r="B301">
            <v>40588</v>
          </cell>
          <cell r="C301" t="str">
            <v>Past</v>
          </cell>
          <cell r="D301">
            <v>62.049987999999999</v>
          </cell>
          <cell r="E301" t="e">
            <v>#N/A</v>
          </cell>
          <cell r="F301" t="e">
            <v>#N/A</v>
          </cell>
          <cell r="G301" t="e">
            <v>#N/A</v>
          </cell>
          <cell r="H301" t="e">
            <v>#N/A</v>
          </cell>
          <cell r="I301" t="e">
            <v>#N/A</v>
          </cell>
          <cell r="J301" t="e">
            <v>#N/A</v>
          </cell>
          <cell r="K301" t="e">
            <v>#N/A</v>
          </cell>
          <cell r="L301" t="e">
            <v>#N/A</v>
          </cell>
          <cell r="M301" t="e">
            <v>#N/A</v>
          </cell>
          <cell r="N301" t="e">
            <v>#N/A</v>
          </cell>
          <cell r="O301" t="e">
            <v>#N/A</v>
          </cell>
          <cell r="P301">
            <v>62.049987999999999</v>
          </cell>
          <cell r="Q301">
            <v>2.1344919999999998</v>
          </cell>
          <cell r="R301" t="e">
            <v>#N/A</v>
          </cell>
        </row>
        <row r="302">
          <cell r="A302">
            <v>40589</v>
          </cell>
          <cell r="B302">
            <v>40589</v>
          </cell>
          <cell r="C302" t="str">
            <v>Past</v>
          </cell>
          <cell r="D302">
            <v>62.279998999999997</v>
          </cell>
          <cell r="E302" t="e">
            <v>#N/A</v>
          </cell>
          <cell r="F302" t="e">
            <v>#N/A</v>
          </cell>
          <cell r="G302" t="e">
            <v>#N/A</v>
          </cell>
          <cell r="H302" t="e">
            <v>#N/A</v>
          </cell>
          <cell r="I302" t="e">
            <v>#N/A</v>
          </cell>
          <cell r="J302" t="e">
            <v>#N/A</v>
          </cell>
          <cell r="K302" t="e">
            <v>#N/A</v>
          </cell>
          <cell r="L302" t="e">
            <v>#N/A</v>
          </cell>
          <cell r="M302" t="e">
            <v>#N/A</v>
          </cell>
          <cell r="N302" t="e">
            <v>#N/A</v>
          </cell>
          <cell r="O302" t="e">
            <v>#N/A</v>
          </cell>
          <cell r="P302">
            <v>62.279998999999997</v>
          </cell>
          <cell r="Q302">
            <v>3.4506399999999999</v>
          </cell>
          <cell r="R302" t="e">
            <v>#N/A</v>
          </cell>
        </row>
        <row r="303">
          <cell r="A303">
            <v>40590</v>
          </cell>
          <cell r="B303">
            <v>40590</v>
          </cell>
          <cell r="C303" t="str">
            <v>Past</v>
          </cell>
          <cell r="D303">
            <v>63.839996999999997</v>
          </cell>
          <cell r="E303" t="e">
            <v>#N/A</v>
          </cell>
          <cell r="F303" t="e">
            <v>#N/A</v>
          </cell>
          <cell r="G303" t="e">
            <v>#N/A</v>
          </cell>
          <cell r="H303" t="e">
            <v>#N/A</v>
          </cell>
          <cell r="I303" t="e">
            <v>#N/A</v>
          </cell>
          <cell r="J303" t="e">
            <v>#N/A</v>
          </cell>
          <cell r="K303" t="e">
            <v>#N/A</v>
          </cell>
          <cell r="L303" t="e">
            <v>#N/A</v>
          </cell>
          <cell r="M303" t="e">
            <v>#N/A</v>
          </cell>
          <cell r="N303" t="e">
            <v>#N/A</v>
          </cell>
          <cell r="O303" t="e">
            <v>#N/A</v>
          </cell>
          <cell r="P303">
            <v>63.839996999999997</v>
          </cell>
          <cell r="Q303">
            <v>3.3090769999999998</v>
          </cell>
          <cell r="R303" t="e">
            <v>#N/A</v>
          </cell>
        </row>
        <row r="304">
          <cell r="A304">
            <v>40591</v>
          </cell>
          <cell r="B304">
            <v>40591</v>
          </cell>
          <cell r="C304" t="str">
            <v>Past</v>
          </cell>
          <cell r="D304">
            <v>63.329987000000003</v>
          </cell>
          <cell r="E304" t="e">
            <v>#N/A</v>
          </cell>
          <cell r="F304" t="e">
            <v>#N/A</v>
          </cell>
          <cell r="G304" t="e">
            <v>#N/A</v>
          </cell>
          <cell r="H304" t="e">
            <v>#N/A</v>
          </cell>
          <cell r="I304" t="e">
            <v>#N/A</v>
          </cell>
          <cell r="J304" t="e">
            <v>#N/A</v>
          </cell>
          <cell r="K304" t="e">
            <v>#N/A</v>
          </cell>
          <cell r="L304" t="e">
            <v>#N/A</v>
          </cell>
          <cell r="M304" t="e">
            <v>#N/A</v>
          </cell>
          <cell r="N304" t="e">
            <v>#N/A</v>
          </cell>
          <cell r="O304" t="e">
            <v>#N/A</v>
          </cell>
          <cell r="P304">
            <v>63.329987000000003</v>
          </cell>
          <cell r="Q304">
            <v>2.7852389999999998</v>
          </cell>
          <cell r="R304" t="e">
            <v>#N/A</v>
          </cell>
        </row>
        <row r="305">
          <cell r="A305">
            <v>40592</v>
          </cell>
          <cell r="B305">
            <v>40592</v>
          </cell>
          <cell r="C305" t="str">
            <v>Past</v>
          </cell>
          <cell r="D305">
            <v>64.779999000000004</v>
          </cell>
          <cell r="E305" t="e">
            <v>#N/A</v>
          </cell>
          <cell r="F305" t="e">
            <v>#N/A</v>
          </cell>
          <cell r="G305" t="e">
            <v>#N/A</v>
          </cell>
          <cell r="H305" t="e">
            <v>#N/A</v>
          </cell>
          <cell r="I305" t="e">
            <v>#N/A</v>
          </cell>
          <cell r="J305" t="e">
            <v>#N/A</v>
          </cell>
          <cell r="K305" t="e">
            <v>#N/A</v>
          </cell>
          <cell r="L305" t="e">
            <v>#N/A</v>
          </cell>
          <cell r="M305" t="e">
            <v>#N/A</v>
          </cell>
          <cell r="N305" t="e">
            <v>#N/A</v>
          </cell>
          <cell r="O305" t="e">
            <v>#N/A</v>
          </cell>
          <cell r="P305">
            <v>64.779999000000004</v>
          </cell>
          <cell r="Q305">
            <v>3.5586540000000002</v>
          </cell>
          <cell r="R305" t="e">
            <v>#N/A</v>
          </cell>
        </row>
        <row r="306">
          <cell r="A306">
            <v>40596</v>
          </cell>
          <cell r="B306">
            <v>40596</v>
          </cell>
          <cell r="C306" t="str">
            <v>Past</v>
          </cell>
          <cell r="D306">
            <v>61.449997000000003</v>
          </cell>
          <cell r="E306" t="e">
            <v>#N/A</v>
          </cell>
          <cell r="F306" t="e">
            <v>#N/A</v>
          </cell>
          <cell r="G306" t="e">
            <v>#N/A</v>
          </cell>
          <cell r="H306" t="e">
            <v>#N/A</v>
          </cell>
          <cell r="I306" t="e">
            <v>#N/A</v>
          </cell>
          <cell r="J306" t="e">
            <v>#N/A</v>
          </cell>
          <cell r="K306" t="e">
            <v>#N/A</v>
          </cell>
          <cell r="L306" t="e">
            <v>#N/A</v>
          </cell>
          <cell r="M306" t="e">
            <v>#N/A</v>
          </cell>
          <cell r="N306" t="e">
            <v>#N/A</v>
          </cell>
          <cell r="O306" t="e">
            <v>#N/A</v>
          </cell>
          <cell r="P306">
            <v>61.449997000000003</v>
          </cell>
          <cell r="Q306">
            <v>4.8874139999999997</v>
          </cell>
          <cell r="R306" t="e">
            <v>#N/A</v>
          </cell>
        </row>
        <row r="307">
          <cell r="A307">
            <v>40597</v>
          </cell>
          <cell r="B307">
            <v>40597</v>
          </cell>
          <cell r="C307" t="str">
            <v>Past</v>
          </cell>
          <cell r="D307">
            <v>60.289994</v>
          </cell>
          <cell r="E307" t="e">
            <v>#N/A</v>
          </cell>
          <cell r="F307" t="e">
            <v>#N/A</v>
          </cell>
          <cell r="G307" t="e">
            <v>#N/A</v>
          </cell>
          <cell r="H307" t="e">
            <v>#N/A</v>
          </cell>
          <cell r="I307" t="e">
            <v>#N/A</v>
          </cell>
          <cell r="J307" t="e">
            <v>#N/A</v>
          </cell>
          <cell r="K307" t="e">
            <v>#N/A</v>
          </cell>
          <cell r="L307" t="e">
            <v>#N/A</v>
          </cell>
          <cell r="M307" t="e">
            <v>#N/A</v>
          </cell>
          <cell r="N307" t="e">
            <v>#N/A</v>
          </cell>
          <cell r="O307" t="e">
            <v>#N/A</v>
          </cell>
          <cell r="P307">
            <v>60.289994</v>
          </cell>
          <cell r="Q307">
            <v>4.6585780000000003</v>
          </cell>
          <cell r="R307" t="e">
            <v>#N/A</v>
          </cell>
        </row>
        <row r="308">
          <cell r="A308">
            <v>40598</v>
          </cell>
          <cell r="B308">
            <v>40598</v>
          </cell>
          <cell r="C308" t="str">
            <v>Past</v>
          </cell>
          <cell r="D308">
            <v>61.339996999999997</v>
          </cell>
          <cell r="E308" t="e">
            <v>#N/A</v>
          </cell>
          <cell r="F308" t="e">
            <v>#N/A</v>
          </cell>
          <cell r="G308" t="e">
            <v>#N/A</v>
          </cell>
          <cell r="H308" t="e">
            <v>#N/A</v>
          </cell>
          <cell r="I308" t="e">
            <v>#N/A</v>
          </cell>
          <cell r="J308" t="e">
            <v>#N/A</v>
          </cell>
          <cell r="K308" t="e">
            <v>#N/A</v>
          </cell>
          <cell r="L308" t="e">
            <v>#N/A</v>
          </cell>
          <cell r="M308" t="e">
            <v>#N/A</v>
          </cell>
          <cell r="N308" t="e">
            <v>#N/A</v>
          </cell>
          <cell r="O308" t="e">
            <v>#N/A</v>
          </cell>
          <cell r="P308">
            <v>61.339996999999997</v>
          </cell>
          <cell r="Q308">
            <v>3.9261949999999999</v>
          </cell>
          <cell r="R308" t="e">
            <v>#N/A</v>
          </cell>
        </row>
        <row r="309">
          <cell r="A309">
            <v>40599</v>
          </cell>
          <cell r="B309">
            <v>40599</v>
          </cell>
          <cell r="C309" t="str">
            <v>Past</v>
          </cell>
          <cell r="D309">
            <v>62.629989999999999</v>
          </cell>
          <cell r="E309" t="e">
            <v>#N/A</v>
          </cell>
          <cell r="F309" t="e">
            <v>#N/A</v>
          </cell>
          <cell r="G309" t="e">
            <v>#N/A</v>
          </cell>
          <cell r="H309" t="e">
            <v>#N/A</v>
          </cell>
          <cell r="I309" t="e">
            <v>#N/A</v>
          </cell>
          <cell r="J309" t="e">
            <v>#N/A</v>
          </cell>
          <cell r="K309" t="e">
            <v>#N/A</v>
          </cell>
          <cell r="L309" t="e">
            <v>#N/A</v>
          </cell>
          <cell r="M309" t="e">
            <v>#N/A</v>
          </cell>
          <cell r="N309" t="e">
            <v>#N/A</v>
          </cell>
          <cell r="O309" t="e">
            <v>#N/A</v>
          </cell>
          <cell r="P309">
            <v>62.629989999999999</v>
          </cell>
          <cell r="Q309">
            <v>2.9477120000000001</v>
          </cell>
          <cell r="R309" t="e">
            <v>#N/A</v>
          </cell>
        </row>
        <row r="310">
          <cell r="A310">
            <v>40602</v>
          </cell>
          <cell r="B310">
            <v>40602</v>
          </cell>
          <cell r="C310" t="str">
            <v>Past</v>
          </cell>
          <cell r="D310">
            <v>61.64</v>
          </cell>
          <cell r="E310" t="e">
            <v>#N/A</v>
          </cell>
          <cell r="F310" t="e">
            <v>#N/A</v>
          </cell>
          <cell r="G310" t="e">
            <v>#N/A</v>
          </cell>
          <cell r="H310" t="e">
            <v>#N/A</v>
          </cell>
          <cell r="I310" t="e">
            <v>#N/A</v>
          </cell>
          <cell r="J310" t="e">
            <v>#N/A</v>
          </cell>
          <cell r="K310" t="e">
            <v>#N/A</v>
          </cell>
          <cell r="L310" t="e">
            <v>#N/A</v>
          </cell>
          <cell r="M310" t="e">
            <v>#N/A</v>
          </cell>
          <cell r="N310" t="e">
            <v>#N/A</v>
          </cell>
          <cell r="O310" t="e">
            <v>#N/A</v>
          </cell>
          <cell r="P310">
            <v>61.64</v>
          </cell>
          <cell r="Q310">
            <v>5.1125980000000002</v>
          </cell>
          <cell r="R310" t="e">
            <v>#N/A</v>
          </cell>
        </row>
        <row r="311">
          <cell r="A311">
            <v>40603</v>
          </cell>
          <cell r="B311">
            <v>40603</v>
          </cell>
          <cell r="C311" t="str">
            <v>Past</v>
          </cell>
          <cell r="D311">
            <v>62.029998999999997</v>
          </cell>
          <cell r="E311" t="e">
            <v>#N/A</v>
          </cell>
          <cell r="F311" t="e">
            <v>#N/A</v>
          </cell>
          <cell r="G311" t="e">
            <v>#N/A</v>
          </cell>
          <cell r="H311" t="e">
            <v>#N/A</v>
          </cell>
          <cell r="I311" t="e">
            <v>#N/A</v>
          </cell>
          <cell r="J311" t="e">
            <v>#N/A</v>
          </cell>
          <cell r="K311" t="e">
            <v>#N/A</v>
          </cell>
          <cell r="L311" t="e">
            <v>#N/A</v>
          </cell>
          <cell r="M311" t="e">
            <v>#N/A</v>
          </cell>
          <cell r="N311" t="e">
            <v>#N/A</v>
          </cell>
          <cell r="O311" t="e">
            <v>#N/A</v>
          </cell>
          <cell r="P311">
            <v>62.029998999999997</v>
          </cell>
          <cell r="Q311">
            <v>3.496105</v>
          </cell>
          <cell r="R311" t="e">
            <v>#N/A</v>
          </cell>
        </row>
        <row r="312">
          <cell r="A312">
            <v>40604</v>
          </cell>
          <cell r="B312">
            <v>40604</v>
          </cell>
          <cell r="C312" t="str">
            <v>Past</v>
          </cell>
          <cell r="D312">
            <v>63.219985999999999</v>
          </cell>
          <cell r="E312" t="e">
            <v>#N/A</v>
          </cell>
          <cell r="F312" t="e">
            <v>#N/A</v>
          </cell>
          <cell r="G312" t="e">
            <v>#N/A</v>
          </cell>
          <cell r="H312" t="e">
            <v>#N/A</v>
          </cell>
          <cell r="I312" t="e">
            <v>#N/A</v>
          </cell>
          <cell r="J312" t="e">
            <v>#N/A</v>
          </cell>
          <cell r="K312" t="e">
            <v>#N/A</v>
          </cell>
          <cell r="L312" t="e">
            <v>#N/A</v>
          </cell>
          <cell r="M312" t="e">
            <v>#N/A</v>
          </cell>
          <cell r="N312" t="e">
            <v>#N/A</v>
          </cell>
          <cell r="O312" t="e">
            <v>#N/A</v>
          </cell>
          <cell r="P312">
            <v>63.219985999999999</v>
          </cell>
          <cell r="Q312">
            <v>3.2437339999999999</v>
          </cell>
          <cell r="R312" t="e">
            <v>#N/A</v>
          </cell>
        </row>
        <row r="313">
          <cell r="A313">
            <v>40605</v>
          </cell>
          <cell r="B313">
            <v>40605</v>
          </cell>
          <cell r="C313" t="str">
            <v>Past</v>
          </cell>
          <cell r="D313">
            <v>64.349991000000003</v>
          </cell>
          <cell r="E313" t="e">
            <v>#N/A</v>
          </cell>
          <cell r="F313" t="e">
            <v>#N/A</v>
          </cell>
          <cell r="G313" t="e">
            <v>#N/A</v>
          </cell>
          <cell r="H313" t="e">
            <v>#N/A</v>
          </cell>
          <cell r="I313" t="e">
            <v>#N/A</v>
          </cell>
          <cell r="J313" t="e">
            <v>#N/A</v>
          </cell>
          <cell r="K313" t="e">
            <v>#N/A</v>
          </cell>
          <cell r="L313" t="e">
            <v>#N/A</v>
          </cell>
          <cell r="M313" t="e">
            <v>#N/A</v>
          </cell>
          <cell r="N313" t="e">
            <v>#N/A</v>
          </cell>
          <cell r="O313" t="e">
            <v>#N/A</v>
          </cell>
          <cell r="P313">
            <v>64.349991000000003</v>
          </cell>
          <cell r="Q313">
            <v>2.76458</v>
          </cell>
          <cell r="R313" t="e">
            <v>#N/A</v>
          </cell>
        </row>
        <row r="314">
          <cell r="A314">
            <v>40606</v>
          </cell>
          <cell r="B314">
            <v>40606</v>
          </cell>
          <cell r="C314" t="str">
            <v>Past</v>
          </cell>
          <cell r="D314">
            <v>63.589996999999997</v>
          </cell>
          <cell r="E314" t="e">
            <v>#N/A</v>
          </cell>
          <cell r="F314" t="e">
            <v>#N/A</v>
          </cell>
          <cell r="G314" t="e">
            <v>#N/A</v>
          </cell>
          <cell r="H314" t="e">
            <v>#N/A</v>
          </cell>
          <cell r="I314" t="e">
            <v>#N/A</v>
          </cell>
          <cell r="J314" t="e">
            <v>#N/A</v>
          </cell>
          <cell r="K314" t="e">
            <v>#N/A</v>
          </cell>
          <cell r="L314" t="e">
            <v>#N/A</v>
          </cell>
          <cell r="M314" t="e">
            <v>#N/A</v>
          </cell>
          <cell r="N314" t="e">
            <v>#N/A</v>
          </cell>
          <cell r="O314" t="e">
            <v>#N/A</v>
          </cell>
          <cell r="P314">
            <v>63.589996999999997</v>
          </cell>
          <cell r="Q314">
            <v>2.5828030000000002</v>
          </cell>
          <cell r="R314" t="e">
            <v>#N/A</v>
          </cell>
        </row>
        <row r="315">
          <cell r="A315">
            <v>40609</v>
          </cell>
          <cell r="B315">
            <v>40609</v>
          </cell>
          <cell r="C315" t="str">
            <v>Past</v>
          </cell>
          <cell r="D315">
            <v>62.029998999999997</v>
          </cell>
          <cell r="E315" t="e">
            <v>#N/A</v>
          </cell>
          <cell r="F315" t="e">
            <v>#N/A</v>
          </cell>
          <cell r="G315" t="e">
            <v>#N/A</v>
          </cell>
          <cell r="H315" t="e">
            <v>#N/A</v>
          </cell>
          <cell r="I315" t="e">
            <v>#N/A</v>
          </cell>
          <cell r="J315" t="e">
            <v>#N/A</v>
          </cell>
          <cell r="K315" t="e">
            <v>#N/A</v>
          </cell>
          <cell r="L315" t="e">
            <v>#N/A</v>
          </cell>
          <cell r="M315" t="e">
            <v>#N/A</v>
          </cell>
          <cell r="N315" t="e">
            <v>#N/A</v>
          </cell>
          <cell r="O315" t="e">
            <v>#N/A</v>
          </cell>
          <cell r="P315">
            <v>62.029998999999997</v>
          </cell>
          <cell r="Q315">
            <v>3.7369370000000002</v>
          </cell>
          <cell r="R315" t="e">
            <v>#N/A</v>
          </cell>
        </row>
        <row r="316">
          <cell r="A316">
            <v>40610</v>
          </cell>
          <cell r="B316">
            <v>40610</v>
          </cell>
          <cell r="C316" t="str">
            <v>Past</v>
          </cell>
          <cell r="D316">
            <v>62.289994</v>
          </cell>
          <cell r="E316" t="e">
            <v>#N/A</v>
          </cell>
          <cell r="F316" t="e">
            <v>#N/A</v>
          </cell>
          <cell r="G316" t="e">
            <v>#N/A</v>
          </cell>
          <cell r="H316" t="e">
            <v>#N/A</v>
          </cell>
          <cell r="I316" t="e">
            <v>#N/A</v>
          </cell>
          <cell r="J316" t="e">
            <v>#N/A</v>
          </cell>
          <cell r="K316" t="e">
            <v>#N/A</v>
          </cell>
          <cell r="L316" t="e">
            <v>#N/A</v>
          </cell>
          <cell r="M316" t="e">
            <v>#N/A</v>
          </cell>
          <cell r="N316" t="e">
            <v>#N/A</v>
          </cell>
          <cell r="O316" t="e">
            <v>#N/A</v>
          </cell>
          <cell r="P316">
            <v>62.289994</v>
          </cell>
          <cell r="Q316">
            <v>2.7803</v>
          </cell>
          <cell r="R316" t="e">
            <v>#N/A</v>
          </cell>
        </row>
        <row r="317">
          <cell r="A317">
            <v>40611</v>
          </cell>
          <cell r="B317">
            <v>40611</v>
          </cell>
          <cell r="C317" t="str">
            <v>Past</v>
          </cell>
          <cell r="D317">
            <v>61.869996</v>
          </cell>
          <cell r="E317" t="e">
            <v>#N/A</v>
          </cell>
          <cell r="F317" t="e">
            <v>#N/A</v>
          </cell>
          <cell r="G317" t="e">
            <v>#N/A</v>
          </cell>
          <cell r="H317" t="e">
            <v>#N/A</v>
          </cell>
          <cell r="I317" t="e">
            <v>#N/A</v>
          </cell>
          <cell r="J317" t="e">
            <v>#N/A</v>
          </cell>
          <cell r="K317" t="e">
            <v>#N/A</v>
          </cell>
          <cell r="L317" t="e">
            <v>#N/A</v>
          </cell>
          <cell r="M317" t="e">
            <v>#N/A</v>
          </cell>
          <cell r="N317" t="e">
            <v>#N/A</v>
          </cell>
          <cell r="O317" t="e">
            <v>#N/A</v>
          </cell>
          <cell r="P317">
            <v>61.869996</v>
          </cell>
          <cell r="Q317">
            <v>2.7124320000000002</v>
          </cell>
          <cell r="R317" t="e">
            <v>#N/A</v>
          </cell>
        </row>
        <row r="318">
          <cell r="A318">
            <v>40612</v>
          </cell>
          <cell r="B318">
            <v>40612</v>
          </cell>
          <cell r="C318" t="str">
            <v>Past</v>
          </cell>
          <cell r="D318">
            <v>61.449997000000003</v>
          </cell>
          <cell r="E318" t="e">
            <v>#N/A</v>
          </cell>
          <cell r="F318" t="e">
            <v>#N/A</v>
          </cell>
          <cell r="G318" t="e">
            <v>#N/A</v>
          </cell>
          <cell r="H318" t="e">
            <v>#N/A</v>
          </cell>
          <cell r="I318" t="e">
            <v>#N/A</v>
          </cell>
          <cell r="J318" t="e">
            <v>#N/A</v>
          </cell>
          <cell r="K318" t="e">
            <v>#N/A</v>
          </cell>
          <cell r="L318" t="e">
            <v>#N/A</v>
          </cell>
          <cell r="M318" t="e">
            <v>#N/A</v>
          </cell>
          <cell r="N318" t="e">
            <v>#N/A</v>
          </cell>
          <cell r="O318" t="e">
            <v>#N/A</v>
          </cell>
          <cell r="P318">
            <v>61.449997000000003</v>
          </cell>
          <cell r="Q318">
            <v>4.0853060000000001</v>
          </cell>
          <cell r="R318" t="e">
            <v>#N/A</v>
          </cell>
        </row>
        <row r="319">
          <cell r="A319">
            <v>40613</v>
          </cell>
          <cell r="B319">
            <v>40613</v>
          </cell>
          <cell r="C319" t="str">
            <v>Past</v>
          </cell>
          <cell r="D319">
            <v>61.629989999999999</v>
          </cell>
          <cell r="E319" t="e">
            <v>#N/A</v>
          </cell>
          <cell r="F319" t="e">
            <v>#N/A</v>
          </cell>
          <cell r="G319" t="e">
            <v>#N/A</v>
          </cell>
          <cell r="H319" t="e">
            <v>#N/A</v>
          </cell>
          <cell r="I319" t="e">
            <v>#N/A</v>
          </cell>
          <cell r="J319" t="e">
            <v>#N/A</v>
          </cell>
          <cell r="K319" t="e">
            <v>#N/A</v>
          </cell>
          <cell r="L319" t="e">
            <v>#N/A</v>
          </cell>
          <cell r="M319" t="e">
            <v>#N/A</v>
          </cell>
          <cell r="N319" t="e">
            <v>#N/A</v>
          </cell>
          <cell r="O319" t="e">
            <v>#N/A</v>
          </cell>
          <cell r="P319">
            <v>61.629989999999999</v>
          </cell>
          <cell r="Q319">
            <v>2.2030449999999999</v>
          </cell>
          <cell r="R319" t="e">
            <v>#N/A</v>
          </cell>
        </row>
        <row r="320">
          <cell r="A320">
            <v>40616</v>
          </cell>
          <cell r="B320">
            <v>40616</v>
          </cell>
          <cell r="C320" t="str">
            <v>Past</v>
          </cell>
          <cell r="D320">
            <v>60.289994</v>
          </cell>
          <cell r="E320" t="e">
            <v>#N/A</v>
          </cell>
          <cell r="F320" t="e">
            <v>#N/A</v>
          </cell>
          <cell r="G320" t="e">
            <v>#N/A</v>
          </cell>
          <cell r="H320" t="e">
            <v>#N/A</v>
          </cell>
          <cell r="I320" t="e">
            <v>#N/A</v>
          </cell>
          <cell r="J320" t="e">
            <v>#N/A</v>
          </cell>
          <cell r="K320" t="e">
            <v>#N/A</v>
          </cell>
          <cell r="L320" t="e">
            <v>#N/A</v>
          </cell>
          <cell r="M320" t="e">
            <v>#N/A</v>
          </cell>
          <cell r="N320" t="e">
            <v>#N/A</v>
          </cell>
          <cell r="O320" t="e">
            <v>#N/A</v>
          </cell>
          <cell r="P320">
            <v>60.289994</v>
          </cell>
          <cell r="Q320">
            <v>2.6508829999999999</v>
          </cell>
          <cell r="R320" t="e">
            <v>#N/A</v>
          </cell>
        </row>
        <row r="321">
          <cell r="A321">
            <v>40617</v>
          </cell>
          <cell r="B321">
            <v>40617</v>
          </cell>
          <cell r="C321" t="str">
            <v>Past</v>
          </cell>
          <cell r="D321">
            <v>59.129989999999999</v>
          </cell>
          <cell r="E321" t="e">
            <v>#N/A</v>
          </cell>
          <cell r="F321" t="e">
            <v>#N/A</v>
          </cell>
          <cell r="G321" t="e">
            <v>#N/A</v>
          </cell>
          <cell r="H321" t="e">
            <v>#N/A</v>
          </cell>
          <cell r="I321" t="e">
            <v>#N/A</v>
          </cell>
          <cell r="J321" t="e">
            <v>#N/A</v>
          </cell>
          <cell r="K321" t="e">
            <v>#N/A</v>
          </cell>
          <cell r="L321" t="e">
            <v>#N/A</v>
          </cell>
          <cell r="M321" t="e">
            <v>#N/A</v>
          </cell>
          <cell r="N321" t="e">
            <v>#N/A</v>
          </cell>
          <cell r="O321" t="e">
            <v>#N/A</v>
          </cell>
          <cell r="P321">
            <v>59.129989999999999</v>
          </cell>
          <cell r="Q321">
            <v>4.9666519999999998</v>
          </cell>
          <cell r="R321" t="e">
            <v>#N/A</v>
          </cell>
        </row>
        <row r="322">
          <cell r="A322">
            <v>40618</v>
          </cell>
          <cell r="B322">
            <v>40618</v>
          </cell>
          <cell r="C322" t="str">
            <v>Past</v>
          </cell>
          <cell r="D322">
            <v>56.229996</v>
          </cell>
          <cell r="E322" t="e">
            <v>#N/A</v>
          </cell>
          <cell r="F322" t="e">
            <v>#N/A</v>
          </cell>
          <cell r="G322" t="e">
            <v>#N/A</v>
          </cell>
          <cell r="H322" t="e">
            <v>#N/A</v>
          </cell>
          <cell r="I322" t="e">
            <v>#N/A</v>
          </cell>
          <cell r="J322" t="e">
            <v>#N/A</v>
          </cell>
          <cell r="K322" t="e">
            <v>#N/A</v>
          </cell>
          <cell r="L322" t="e">
            <v>#N/A</v>
          </cell>
          <cell r="M322" t="e">
            <v>#N/A</v>
          </cell>
          <cell r="N322" t="e">
            <v>#N/A</v>
          </cell>
          <cell r="O322" t="e">
            <v>#N/A</v>
          </cell>
          <cell r="P322">
            <v>56.229996</v>
          </cell>
          <cell r="Q322">
            <v>10.198028000000001</v>
          </cell>
          <cell r="R322" t="e">
            <v>#N/A</v>
          </cell>
        </row>
        <row r="323">
          <cell r="A323">
            <v>40619</v>
          </cell>
          <cell r="B323">
            <v>40619</v>
          </cell>
          <cell r="C323" t="str">
            <v>Past</v>
          </cell>
          <cell r="D323">
            <v>54.679993000000003</v>
          </cell>
          <cell r="E323" t="e">
            <v>#N/A</v>
          </cell>
          <cell r="F323" t="e">
            <v>#N/A</v>
          </cell>
          <cell r="G323" t="e">
            <v>#N/A</v>
          </cell>
          <cell r="H323" t="e">
            <v>#N/A</v>
          </cell>
          <cell r="I323" t="e">
            <v>#N/A</v>
          </cell>
          <cell r="J323" t="e">
            <v>#N/A</v>
          </cell>
          <cell r="K323" t="e">
            <v>#N/A</v>
          </cell>
          <cell r="L323" t="e">
            <v>#N/A</v>
          </cell>
          <cell r="M323" t="e">
            <v>#N/A</v>
          </cell>
          <cell r="N323" t="e">
            <v>#N/A</v>
          </cell>
          <cell r="O323" t="e">
            <v>#N/A</v>
          </cell>
          <cell r="P323">
            <v>54.679993000000003</v>
          </cell>
          <cell r="Q323">
            <v>20.886536</v>
          </cell>
          <cell r="R323" t="e">
            <v>#N/A</v>
          </cell>
        </row>
        <row r="324">
          <cell r="A324">
            <v>40620</v>
          </cell>
          <cell r="B324">
            <v>40620</v>
          </cell>
          <cell r="C324" t="str">
            <v>Past</v>
          </cell>
          <cell r="D324">
            <v>53.189988</v>
          </cell>
          <cell r="E324" t="e">
            <v>#N/A</v>
          </cell>
          <cell r="F324" t="e">
            <v>#N/A</v>
          </cell>
          <cell r="G324" t="e">
            <v>#N/A</v>
          </cell>
          <cell r="H324" t="e">
            <v>#N/A</v>
          </cell>
          <cell r="I324" t="e">
            <v>#N/A</v>
          </cell>
          <cell r="J324" t="e">
            <v>#N/A</v>
          </cell>
          <cell r="K324" t="e">
            <v>#N/A</v>
          </cell>
          <cell r="L324" t="e">
            <v>#N/A</v>
          </cell>
          <cell r="M324" t="e">
            <v>#N/A</v>
          </cell>
          <cell r="N324" t="e">
            <v>#N/A</v>
          </cell>
          <cell r="O324" t="e">
            <v>#N/A</v>
          </cell>
          <cell r="P324">
            <v>53.189988</v>
          </cell>
          <cell r="Q324">
            <v>14.106973</v>
          </cell>
          <cell r="R324" t="e">
            <v>#N/A</v>
          </cell>
        </row>
        <row r="325">
          <cell r="A325">
            <v>40623</v>
          </cell>
          <cell r="B325">
            <v>40623</v>
          </cell>
          <cell r="C325" t="str">
            <v>Past</v>
          </cell>
          <cell r="D325">
            <v>52.449997000000003</v>
          </cell>
          <cell r="E325" t="e">
            <v>#N/A</v>
          </cell>
          <cell r="F325" t="e">
            <v>#N/A</v>
          </cell>
          <cell r="G325" t="e">
            <v>#N/A</v>
          </cell>
          <cell r="H325" t="e">
            <v>#N/A</v>
          </cell>
          <cell r="I325" t="e">
            <v>#N/A</v>
          </cell>
          <cell r="J325" t="e">
            <v>#N/A</v>
          </cell>
          <cell r="K325" t="e">
            <v>#N/A</v>
          </cell>
          <cell r="L325" t="e">
            <v>#N/A</v>
          </cell>
          <cell r="M325" t="e">
            <v>#N/A</v>
          </cell>
          <cell r="N325" t="e">
            <v>#N/A</v>
          </cell>
          <cell r="O325" t="e">
            <v>#N/A</v>
          </cell>
          <cell r="P325">
            <v>52.449997000000003</v>
          </cell>
          <cell r="Q325">
            <v>9.1845470000000002</v>
          </cell>
          <cell r="R325" t="e">
            <v>#N/A</v>
          </cell>
        </row>
        <row r="326">
          <cell r="A326">
            <v>40624</v>
          </cell>
          <cell r="B326">
            <v>40624</v>
          </cell>
          <cell r="C326" t="str">
            <v>Past</v>
          </cell>
          <cell r="D326">
            <v>53.379989999999999</v>
          </cell>
          <cell r="E326" t="e">
            <v>#N/A</v>
          </cell>
          <cell r="F326" t="e">
            <v>#N/A</v>
          </cell>
          <cell r="G326" t="e">
            <v>#N/A</v>
          </cell>
          <cell r="H326" t="e">
            <v>#N/A</v>
          </cell>
          <cell r="I326" t="e">
            <v>#N/A</v>
          </cell>
          <cell r="J326" t="e">
            <v>#N/A</v>
          </cell>
          <cell r="K326" t="e">
            <v>#N/A</v>
          </cell>
          <cell r="L326" t="e">
            <v>#N/A</v>
          </cell>
          <cell r="M326" t="e">
            <v>#N/A</v>
          </cell>
          <cell r="N326" t="e">
            <v>#N/A</v>
          </cell>
          <cell r="O326" t="e">
            <v>#N/A</v>
          </cell>
          <cell r="P326">
            <v>53.379989999999999</v>
          </cell>
          <cell r="Q326">
            <v>9.2024179999999998</v>
          </cell>
          <cell r="R326" t="e">
            <v>#N/A</v>
          </cell>
        </row>
        <row r="327">
          <cell r="A327">
            <v>40625</v>
          </cell>
          <cell r="B327">
            <v>40625</v>
          </cell>
          <cell r="C327" t="str">
            <v>Past</v>
          </cell>
          <cell r="D327">
            <v>52.199997000000003</v>
          </cell>
          <cell r="E327" t="e">
            <v>#N/A</v>
          </cell>
          <cell r="F327" t="e">
            <v>#N/A</v>
          </cell>
          <cell r="G327" t="e">
            <v>#N/A</v>
          </cell>
          <cell r="H327" t="e">
            <v>#N/A</v>
          </cell>
          <cell r="I327" t="e">
            <v>#N/A</v>
          </cell>
          <cell r="J327" t="e">
            <v>#N/A</v>
          </cell>
          <cell r="K327" t="e">
            <v>#N/A</v>
          </cell>
          <cell r="L327" t="e">
            <v>#N/A</v>
          </cell>
          <cell r="M327" t="e">
            <v>#N/A</v>
          </cell>
          <cell r="N327" t="e">
            <v>#N/A</v>
          </cell>
          <cell r="O327" t="e">
            <v>#N/A</v>
          </cell>
          <cell r="P327">
            <v>52.199997000000003</v>
          </cell>
          <cell r="Q327">
            <v>5.9833559999999997</v>
          </cell>
          <cell r="R327" t="e">
            <v>#N/A</v>
          </cell>
        </row>
        <row r="328">
          <cell r="A328">
            <v>40626</v>
          </cell>
          <cell r="B328">
            <v>40626</v>
          </cell>
          <cell r="C328" t="str">
            <v>Past</v>
          </cell>
          <cell r="D328">
            <v>52.239991000000003</v>
          </cell>
          <cell r="E328" t="e">
            <v>#N/A</v>
          </cell>
          <cell r="F328" t="e">
            <v>#N/A</v>
          </cell>
          <cell r="G328" t="e">
            <v>#N/A</v>
          </cell>
          <cell r="H328" t="e">
            <v>#N/A</v>
          </cell>
          <cell r="I328" t="e">
            <v>#N/A</v>
          </cell>
          <cell r="J328" t="e">
            <v>#N/A</v>
          </cell>
          <cell r="K328" t="e">
            <v>#N/A</v>
          </cell>
          <cell r="L328" t="e">
            <v>#N/A</v>
          </cell>
          <cell r="M328" t="e">
            <v>#N/A</v>
          </cell>
          <cell r="N328" t="e">
            <v>#N/A</v>
          </cell>
          <cell r="O328" t="e">
            <v>#N/A</v>
          </cell>
          <cell r="P328">
            <v>52.239991000000003</v>
          </cell>
          <cell r="Q328">
            <v>6.270848</v>
          </cell>
          <cell r="R328" t="e">
            <v>#N/A</v>
          </cell>
        </row>
        <row r="329">
          <cell r="A329">
            <v>40627</v>
          </cell>
          <cell r="B329">
            <v>40627</v>
          </cell>
          <cell r="C329" t="str">
            <v>Past</v>
          </cell>
          <cell r="D329">
            <v>53.719985999999999</v>
          </cell>
          <cell r="E329" t="e">
            <v>#N/A</v>
          </cell>
          <cell r="F329" t="e">
            <v>#N/A</v>
          </cell>
          <cell r="G329" t="e">
            <v>#N/A</v>
          </cell>
          <cell r="H329" t="e">
            <v>#N/A</v>
          </cell>
          <cell r="I329" t="e">
            <v>#N/A</v>
          </cell>
          <cell r="J329" t="e">
            <v>#N/A</v>
          </cell>
          <cell r="K329" t="e">
            <v>#N/A</v>
          </cell>
          <cell r="L329" t="e">
            <v>#N/A</v>
          </cell>
          <cell r="M329" t="e">
            <v>#N/A</v>
          </cell>
          <cell r="N329" t="e">
            <v>#N/A</v>
          </cell>
          <cell r="O329" t="e">
            <v>#N/A</v>
          </cell>
          <cell r="P329">
            <v>53.719985999999999</v>
          </cell>
          <cell r="Q329">
            <v>5.5803240000000001</v>
          </cell>
          <cell r="R329" t="e">
            <v>#N/A</v>
          </cell>
        </row>
        <row r="330">
          <cell r="A330">
            <v>40630</v>
          </cell>
          <cell r="B330">
            <v>40630</v>
          </cell>
          <cell r="C330" t="str">
            <v>Past</v>
          </cell>
          <cell r="D330">
            <v>55.009995000000004</v>
          </cell>
          <cell r="E330" t="e">
            <v>#N/A</v>
          </cell>
          <cell r="F330" t="e">
            <v>#N/A</v>
          </cell>
          <cell r="G330" t="e">
            <v>#N/A</v>
          </cell>
          <cell r="H330" t="e">
            <v>#N/A</v>
          </cell>
          <cell r="I330" t="e">
            <v>#N/A</v>
          </cell>
          <cell r="J330" t="e">
            <v>#N/A</v>
          </cell>
          <cell r="K330" t="e">
            <v>#N/A</v>
          </cell>
          <cell r="L330" t="e">
            <v>#N/A</v>
          </cell>
          <cell r="M330" t="e">
            <v>#N/A</v>
          </cell>
          <cell r="N330" t="e">
            <v>#N/A</v>
          </cell>
          <cell r="O330" t="e">
            <v>#N/A</v>
          </cell>
          <cell r="P330">
            <v>55.009995000000004</v>
          </cell>
          <cell r="Q330">
            <v>7.3031519999999999</v>
          </cell>
          <cell r="R330" t="e">
            <v>#N/A</v>
          </cell>
        </row>
        <row r="331">
          <cell r="A331">
            <v>40631</v>
          </cell>
          <cell r="B331">
            <v>40631</v>
          </cell>
          <cell r="C331" t="str">
            <v>Past</v>
          </cell>
          <cell r="D331">
            <v>55.219985999999999</v>
          </cell>
          <cell r="E331" t="e">
            <v>#N/A</v>
          </cell>
          <cell r="F331" t="e">
            <v>#N/A</v>
          </cell>
          <cell r="G331" t="e">
            <v>#N/A</v>
          </cell>
          <cell r="H331" t="e">
            <v>#N/A</v>
          </cell>
          <cell r="I331" t="e">
            <v>#N/A</v>
          </cell>
          <cell r="J331" t="e">
            <v>#N/A</v>
          </cell>
          <cell r="K331" t="e">
            <v>#N/A</v>
          </cell>
          <cell r="L331" t="e">
            <v>#N/A</v>
          </cell>
          <cell r="M331" t="e">
            <v>#N/A</v>
          </cell>
          <cell r="N331" t="e">
            <v>#N/A</v>
          </cell>
          <cell r="O331" t="e">
            <v>#N/A</v>
          </cell>
          <cell r="P331">
            <v>55.219985999999999</v>
          </cell>
          <cell r="Q331">
            <v>4.3827379999999998</v>
          </cell>
          <cell r="R331" t="e">
            <v>#N/A</v>
          </cell>
        </row>
        <row r="332">
          <cell r="A332">
            <v>40632</v>
          </cell>
          <cell r="B332">
            <v>40632</v>
          </cell>
          <cell r="C332" t="str">
            <v>Past</v>
          </cell>
          <cell r="D332">
            <v>55.319992999999997</v>
          </cell>
          <cell r="E332" t="e">
            <v>#N/A</v>
          </cell>
          <cell r="F332" t="e">
            <v>#N/A</v>
          </cell>
          <cell r="G332" t="e">
            <v>#N/A</v>
          </cell>
          <cell r="H332" t="e">
            <v>#N/A</v>
          </cell>
          <cell r="I332" t="e">
            <v>#N/A</v>
          </cell>
          <cell r="J332" t="e">
            <v>#N/A</v>
          </cell>
          <cell r="K332" t="e">
            <v>#N/A</v>
          </cell>
          <cell r="L332" t="e">
            <v>#N/A</v>
          </cell>
          <cell r="M332" t="e">
            <v>#N/A</v>
          </cell>
          <cell r="N332" t="e">
            <v>#N/A</v>
          </cell>
          <cell r="O332" t="e">
            <v>#N/A</v>
          </cell>
          <cell r="P332">
            <v>55.319992999999997</v>
          </cell>
          <cell r="Q332">
            <v>3.0209999999999999</v>
          </cell>
          <cell r="R332" t="e">
            <v>#N/A</v>
          </cell>
        </row>
        <row r="333">
          <cell r="A333">
            <v>40633</v>
          </cell>
          <cell r="B333">
            <v>40633</v>
          </cell>
          <cell r="C333" t="str">
            <v>Past</v>
          </cell>
          <cell r="D333">
            <v>56.159989000000003</v>
          </cell>
          <cell r="E333" t="e">
            <v>#N/A</v>
          </cell>
          <cell r="F333" t="e">
            <v>#N/A</v>
          </cell>
          <cell r="G333" t="e">
            <v>#N/A</v>
          </cell>
          <cell r="H333" t="e">
            <v>#N/A</v>
          </cell>
          <cell r="I333" t="e">
            <v>#N/A</v>
          </cell>
          <cell r="J333" t="e">
            <v>#N/A</v>
          </cell>
          <cell r="K333" t="e">
            <v>#N/A</v>
          </cell>
          <cell r="L333" t="e">
            <v>#N/A</v>
          </cell>
          <cell r="M333" t="e">
            <v>#N/A</v>
          </cell>
          <cell r="N333" t="e">
            <v>#N/A</v>
          </cell>
          <cell r="O333" t="e">
            <v>#N/A</v>
          </cell>
          <cell r="P333">
            <v>56.159989000000003</v>
          </cell>
          <cell r="Q333">
            <v>4.1229449999999996</v>
          </cell>
          <cell r="R333" t="e">
            <v>#N/A</v>
          </cell>
        </row>
        <row r="334">
          <cell r="A334">
            <v>40634</v>
          </cell>
          <cell r="B334">
            <v>40634</v>
          </cell>
          <cell r="C334" t="str">
            <v>Past</v>
          </cell>
          <cell r="D334">
            <v>56.739991000000003</v>
          </cell>
          <cell r="E334" t="e">
            <v>#N/A</v>
          </cell>
          <cell r="F334" t="e">
            <v>#N/A</v>
          </cell>
          <cell r="G334" t="e">
            <v>#N/A</v>
          </cell>
          <cell r="H334" t="e">
            <v>#N/A</v>
          </cell>
          <cell r="I334" t="e">
            <v>#N/A</v>
          </cell>
          <cell r="J334" t="e">
            <v>#N/A</v>
          </cell>
          <cell r="K334" t="e">
            <v>#N/A</v>
          </cell>
          <cell r="L334" t="e">
            <v>#N/A</v>
          </cell>
          <cell r="M334" t="e">
            <v>#N/A</v>
          </cell>
          <cell r="N334" t="e">
            <v>#N/A</v>
          </cell>
          <cell r="O334" t="e">
            <v>#N/A</v>
          </cell>
          <cell r="P334">
            <v>56.739991000000003</v>
          </cell>
          <cell r="Q334">
            <v>4.28409</v>
          </cell>
          <cell r="R334" t="e">
            <v>#N/A</v>
          </cell>
        </row>
        <row r="335">
          <cell r="A335">
            <v>40637</v>
          </cell>
          <cell r="B335">
            <v>40637</v>
          </cell>
          <cell r="C335" t="str">
            <v>Past</v>
          </cell>
          <cell r="D335">
            <v>56.919998999999997</v>
          </cell>
          <cell r="E335" t="e">
            <v>#N/A</v>
          </cell>
          <cell r="F335" t="e">
            <v>#N/A</v>
          </cell>
          <cell r="G335" t="e">
            <v>#N/A</v>
          </cell>
          <cell r="H335" t="e">
            <v>#N/A</v>
          </cell>
          <cell r="I335" t="e">
            <v>#N/A</v>
          </cell>
          <cell r="J335" t="e">
            <v>#N/A</v>
          </cell>
          <cell r="K335" t="e">
            <v>#N/A</v>
          </cell>
          <cell r="L335" t="e">
            <v>#N/A</v>
          </cell>
          <cell r="M335" t="e">
            <v>#N/A</v>
          </cell>
          <cell r="N335" t="e">
            <v>#N/A</v>
          </cell>
          <cell r="O335" t="e">
            <v>#N/A</v>
          </cell>
          <cell r="P335">
            <v>56.919998999999997</v>
          </cell>
          <cell r="Q335">
            <v>4.1607969999999996</v>
          </cell>
          <cell r="R335" t="e">
            <v>#N/A</v>
          </cell>
        </row>
        <row r="336">
          <cell r="A336">
            <v>40638</v>
          </cell>
          <cell r="B336">
            <v>40638</v>
          </cell>
          <cell r="C336" t="str">
            <v>Past</v>
          </cell>
          <cell r="D336">
            <v>56.169998999999997</v>
          </cell>
          <cell r="E336" t="e">
            <v>#N/A</v>
          </cell>
          <cell r="F336" t="e">
            <v>#N/A</v>
          </cell>
          <cell r="G336" t="e">
            <v>#N/A</v>
          </cell>
          <cell r="H336" t="e">
            <v>#N/A</v>
          </cell>
          <cell r="I336" t="e">
            <v>#N/A</v>
          </cell>
          <cell r="J336" t="e">
            <v>#N/A</v>
          </cell>
          <cell r="K336" t="e">
            <v>#N/A</v>
          </cell>
          <cell r="L336" t="e">
            <v>#N/A</v>
          </cell>
          <cell r="M336" t="e">
            <v>#N/A</v>
          </cell>
          <cell r="N336" t="e">
            <v>#N/A</v>
          </cell>
          <cell r="O336" t="e">
            <v>#N/A</v>
          </cell>
          <cell r="P336">
            <v>56.169998999999997</v>
          </cell>
          <cell r="Q336">
            <v>2.884792</v>
          </cell>
          <cell r="R336" t="e">
            <v>#N/A</v>
          </cell>
        </row>
        <row r="337">
          <cell r="A337">
            <v>40639</v>
          </cell>
          <cell r="B337">
            <v>40639</v>
          </cell>
          <cell r="C337" t="str">
            <v>Past</v>
          </cell>
          <cell r="D337">
            <v>56.25</v>
          </cell>
          <cell r="E337" t="e">
            <v>#N/A</v>
          </cell>
          <cell r="F337" t="e">
            <v>#N/A</v>
          </cell>
          <cell r="G337" t="e">
            <v>#N/A</v>
          </cell>
          <cell r="H337" t="e">
            <v>#N/A</v>
          </cell>
          <cell r="I337" t="e">
            <v>#N/A</v>
          </cell>
          <cell r="J337" t="e">
            <v>#N/A</v>
          </cell>
          <cell r="K337" t="e">
            <v>#N/A</v>
          </cell>
          <cell r="L337" t="e">
            <v>#N/A</v>
          </cell>
          <cell r="M337" t="e">
            <v>#N/A</v>
          </cell>
          <cell r="N337" t="e">
            <v>#N/A</v>
          </cell>
          <cell r="O337" t="e">
            <v>#N/A</v>
          </cell>
          <cell r="P337">
            <v>56.25</v>
          </cell>
          <cell r="Q337">
            <v>2.945424</v>
          </cell>
          <cell r="R337" t="e">
            <v>#N/A</v>
          </cell>
        </row>
        <row r="338">
          <cell r="A338">
            <v>40640</v>
          </cell>
          <cell r="B338">
            <v>40640</v>
          </cell>
          <cell r="C338" t="str">
            <v>Past</v>
          </cell>
          <cell r="D338">
            <v>55.729996</v>
          </cell>
          <cell r="E338" t="e">
            <v>#N/A</v>
          </cell>
          <cell r="F338" t="e">
            <v>#N/A</v>
          </cell>
          <cell r="G338" t="e">
            <v>#N/A</v>
          </cell>
          <cell r="H338" t="e">
            <v>#N/A</v>
          </cell>
          <cell r="I338" t="e">
            <v>#N/A</v>
          </cell>
          <cell r="J338" t="e">
            <v>#N/A</v>
          </cell>
          <cell r="K338" t="e">
            <v>#N/A</v>
          </cell>
          <cell r="L338" t="e">
            <v>#N/A</v>
          </cell>
          <cell r="M338" t="e">
            <v>#N/A</v>
          </cell>
          <cell r="N338" t="e">
            <v>#N/A</v>
          </cell>
          <cell r="O338" t="e">
            <v>#N/A</v>
          </cell>
          <cell r="P338">
            <v>55.729996</v>
          </cell>
          <cell r="Q338">
            <v>2.7035710000000002</v>
          </cell>
          <cell r="R338" t="e">
            <v>#N/A</v>
          </cell>
        </row>
        <row r="339">
          <cell r="A339">
            <v>40641</v>
          </cell>
          <cell r="B339">
            <v>40641</v>
          </cell>
          <cell r="C339" t="str">
            <v>Past</v>
          </cell>
          <cell r="D339">
            <v>55.819992999999997</v>
          </cell>
          <cell r="E339" t="e">
            <v>#N/A</v>
          </cell>
          <cell r="F339" t="e">
            <v>#N/A</v>
          </cell>
          <cell r="G339" t="e">
            <v>#N/A</v>
          </cell>
          <cell r="H339" t="e">
            <v>#N/A</v>
          </cell>
          <cell r="I339" t="e">
            <v>#N/A</v>
          </cell>
          <cell r="J339" t="e">
            <v>#N/A</v>
          </cell>
          <cell r="K339" t="e">
            <v>#N/A</v>
          </cell>
          <cell r="L339" t="e">
            <v>#N/A</v>
          </cell>
          <cell r="M339" t="e">
            <v>#N/A</v>
          </cell>
          <cell r="N339" t="e">
            <v>#N/A</v>
          </cell>
          <cell r="O339" t="e">
            <v>#N/A</v>
          </cell>
          <cell r="P339">
            <v>55.819992999999997</v>
          </cell>
          <cell r="Q339">
            <v>2.5636239999999999</v>
          </cell>
          <cell r="R339" t="e">
            <v>#N/A</v>
          </cell>
        </row>
        <row r="340">
          <cell r="A340">
            <v>40644</v>
          </cell>
          <cell r="B340">
            <v>40644</v>
          </cell>
          <cell r="C340" t="str">
            <v>Past</v>
          </cell>
          <cell r="D340">
            <v>55.289994</v>
          </cell>
          <cell r="E340" t="e">
            <v>#N/A</v>
          </cell>
          <cell r="F340" t="e">
            <v>#N/A</v>
          </cell>
          <cell r="G340" t="e">
            <v>#N/A</v>
          </cell>
          <cell r="H340" t="e">
            <v>#N/A</v>
          </cell>
          <cell r="I340" t="e">
            <v>#N/A</v>
          </cell>
          <cell r="J340" t="e">
            <v>#N/A</v>
          </cell>
          <cell r="K340" t="e">
            <v>#N/A</v>
          </cell>
          <cell r="L340" t="e">
            <v>#N/A</v>
          </cell>
          <cell r="M340" t="e">
            <v>#N/A</v>
          </cell>
          <cell r="N340" t="e">
            <v>#N/A</v>
          </cell>
          <cell r="O340" t="e">
            <v>#N/A</v>
          </cell>
          <cell r="P340">
            <v>55.289994</v>
          </cell>
          <cell r="Q340">
            <v>2.500159</v>
          </cell>
          <cell r="R340" t="e">
            <v>#N/A</v>
          </cell>
        </row>
        <row r="341">
          <cell r="A341">
            <v>40645</v>
          </cell>
          <cell r="B341">
            <v>40645</v>
          </cell>
          <cell r="C341" t="str">
            <v>Past</v>
          </cell>
          <cell r="D341">
            <v>55.539994</v>
          </cell>
          <cell r="E341" t="e">
            <v>#N/A</v>
          </cell>
          <cell r="F341" t="e">
            <v>#N/A</v>
          </cell>
          <cell r="G341" t="e">
            <v>#N/A</v>
          </cell>
          <cell r="H341" t="e">
            <v>#N/A</v>
          </cell>
          <cell r="I341" t="e">
            <v>#N/A</v>
          </cell>
          <cell r="J341" t="e">
            <v>#N/A</v>
          </cell>
          <cell r="K341" t="e">
            <v>#N/A</v>
          </cell>
          <cell r="L341" t="e">
            <v>#N/A</v>
          </cell>
          <cell r="M341" t="e">
            <v>#N/A</v>
          </cell>
          <cell r="N341" t="e">
            <v>#N/A</v>
          </cell>
          <cell r="O341" t="e">
            <v>#N/A</v>
          </cell>
          <cell r="P341">
            <v>55.539994</v>
          </cell>
          <cell r="Q341">
            <v>2.133057</v>
          </cell>
          <cell r="R341" t="e">
            <v>#N/A</v>
          </cell>
        </row>
        <row r="342">
          <cell r="A342">
            <v>40646</v>
          </cell>
          <cell r="B342">
            <v>40646</v>
          </cell>
          <cell r="C342" t="str">
            <v>Past</v>
          </cell>
          <cell r="D342">
            <v>55.069992999999997</v>
          </cell>
          <cell r="E342" t="e">
            <v>#N/A</v>
          </cell>
          <cell r="F342" t="e">
            <v>#N/A</v>
          </cell>
          <cell r="G342" t="e">
            <v>#N/A</v>
          </cell>
          <cell r="H342" t="e">
            <v>#N/A</v>
          </cell>
          <cell r="I342" t="e">
            <v>#N/A</v>
          </cell>
          <cell r="J342" t="e">
            <v>#N/A</v>
          </cell>
          <cell r="K342" t="e">
            <v>#N/A</v>
          </cell>
          <cell r="L342" t="e">
            <v>#N/A</v>
          </cell>
          <cell r="M342" t="e">
            <v>#N/A</v>
          </cell>
          <cell r="N342" t="e">
            <v>#N/A</v>
          </cell>
          <cell r="O342" t="e">
            <v>#N/A</v>
          </cell>
          <cell r="P342">
            <v>55.069992999999997</v>
          </cell>
          <cell r="Q342">
            <v>2.267166</v>
          </cell>
          <cell r="R342" t="e">
            <v>#N/A</v>
          </cell>
        </row>
        <row r="343">
          <cell r="A343">
            <v>40647</v>
          </cell>
          <cell r="B343">
            <v>40647</v>
          </cell>
          <cell r="C343" t="str">
            <v>Past</v>
          </cell>
          <cell r="D343">
            <v>55.529998999999997</v>
          </cell>
          <cell r="E343" t="e">
            <v>#N/A</v>
          </cell>
          <cell r="F343" t="e">
            <v>#N/A</v>
          </cell>
          <cell r="G343" t="e">
            <v>#N/A</v>
          </cell>
          <cell r="H343" t="e">
            <v>#N/A</v>
          </cell>
          <cell r="I343" t="e">
            <v>#N/A</v>
          </cell>
          <cell r="J343" t="e">
            <v>#N/A</v>
          </cell>
          <cell r="K343" t="e">
            <v>#N/A</v>
          </cell>
          <cell r="L343" t="e">
            <v>#N/A</v>
          </cell>
          <cell r="M343" t="e">
            <v>#N/A</v>
          </cell>
          <cell r="N343" t="e">
            <v>#N/A</v>
          </cell>
          <cell r="O343" t="e">
            <v>#N/A</v>
          </cell>
          <cell r="P343">
            <v>55.529998999999997</v>
          </cell>
          <cell r="Q343">
            <v>2.5727530000000001</v>
          </cell>
          <cell r="R343" t="e">
            <v>#N/A</v>
          </cell>
        </row>
        <row r="344">
          <cell r="A344">
            <v>40648</v>
          </cell>
          <cell r="B344">
            <v>40648</v>
          </cell>
          <cell r="C344" t="str">
            <v>Past</v>
          </cell>
          <cell r="D344">
            <v>55.829987000000003</v>
          </cell>
          <cell r="E344" t="e">
            <v>#N/A</v>
          </cell>
          <cell r="F344" t="e">
            <v>#N/A</v>
          </cell>
          <cell r="G344" t="e">
            <v>#N/A</v>
          </cell>
          <cell r="H344" t="e">
            <v>#N/A</v>
          </cell>
          <cell r="I344" t="e">
            <v>#N/A</v>
          </cell>
          <cell r="J344" t="e">
            <v>#N/A</v>
          </cell>
          <cell r="K344" t="e">
            <v>#N/A</v>
          </cell>
          <cell r="L344" t="e">
            <v>#N/A</v>
          </cell>
          <cell r="M344" t="e">
            <v>#N/A</v>
          </cell>
          <cell r="N344" t="e">
            <v>#N/A</v>
          </cell>
          <cell r="O344" t="e">
            <v>#N/A</v>
          </cell>
          <cell r="P344">
            <v>55.829987000000003</v>
          </cell>
          <cell r="Q344">
            <v>2.759795</v>
          </cell>
          <cell r="R344" t="e">
            <v>#N/A</v>
          </cell>
        </row>
        <row r="345">
          <cell r="A345">
            <v>40651</v>
          </cell>
          <cell r="B345">
            <v>40651</v>
          </cell>
          <cell r="C345" t="str">
            <v>Past</v>
          </cell>
          <cell r="D345">
            <v>55.969985999999999</v>
          </cell>
          <cell r="E345" t="e">
            <v>#N/A</v>
          </cell>
          <cell r="F345" t="e">
            <v>#N/A</v>
          </cell>
          <cell r="G345" t="e">
            <v>#N/A</v>
          </cell>
          <cell r="H345" t="e">
            <v>#N/A</v>
          </cell>
          <cell r="I345" t="e">
            <v>#N/A</v>
          </cell>
          <cell r="J345" t="e">
            <v>#N/A</v>
          </cell>
          <cell r="K345" t="e">
            <v>#N/A</v>
          </cell>
          <cell r="L345" t="e">
            <v>#N/A</v>
          </cell>
          <cell r="M345" t="e">
            <v>#N/A</v>
          </cell>
          <cell r="N345" t="e">
            <v>#N/A</v>
          </cell>
          <cell r="O345" t="e">
            <v>#N/A</v>
          </cell>
          <cell r="P345">
            <v>55.969985999999999</v>
          </cell>
          <cell r="Q345">
            <v>3.0700240000000001</v>
          </cell>
          <cell r="R345" t="e">
            <v>#N/A</v>
          </cell>
        </row>
        <row r="346">
          <cell r="A346">
            <v>40652</v>
          </cell>
          <cell r="B346">
            <v>40652</v>
          </cell>
          <cell r="C346" t="str">
            <v>Past</v>
          </cell>
          <cell r="D346">
            <v>58.329987000000003</v>
          </cell>
          <cell r="E346" t="e">
            <v>#N/A</v>
          </cell>
          <cell r="F346" t="e">
            <v>#N/A</v>
          </cell>
          <cell r="G346" t="e">
            <v>#N/A</v>
          </cell>
          <cell r="H346" t="e">
            <v>#N/A</v>
          </cell>
          <cell r="I346" t="e">
            <v>#N/A</v>
          </cell>
          <cell r="J346" t="e">
            <v>#N/A</v>
          </cell>
          <cell r="K346" t="e">
            <v>#N/A</v>
          </cell>
          <cell r="L346" t="e">
            <v>#N/A</v>
          </cell>
          <cell r="M346" t="e">
            <v>#N/A</v>
          </cell>
          <cell r="N346" t="e">
            <v>#N/A</v>
          </cell>
          <cell r="O346" t="e">
            <v>#N/A</v>
          </cell>
          <cell r="P346">
            <v>58.329987000000003</v>
          </cell>
          <cell r="Q346">
            <v>6.5286559999999998</v>
          </cell>
          <cell r="R346" t="e">
            <v>#N/A</v>
          </cell>
        </row>
        <row r="347">
          <cell r="A347">
            <v>40653</v>
          </cell>
          <cell r="B347">
            <v>40653</v>
          </cell>
          <cell r="C347" t="str">
            <v>Past</v>
          </cell>
          <cell r="D347">
            <v>58.619996</v>
          </cell>
          <cell r="E347" t="e">
            <v>#N/A</v>
          </cell>
          <cell r="F347" t="e">
            <v>#N/A</v>
          </cell>
          <cell r="G347" t="e">
            <v>#N/A</v>
          </cell>
          <cell r="H347" t="e">
            <v>#N/A</v>
          </cell>
          <cell r="I347" t="e">
            <v>#N/A</v>
          </cell>
          <cell r="J347" t="e">
            <v>#N/A</v>
          </cell>
          <cell r="K347" t="e">
            <v>#N/A</v>
          </cell>
          <cell r="L347" t="e">
            <v>#N/A</v>
          </cell>
          <cell r="M347" t="e">
            <v>#N/A</v>
          </cell>
          <cell r="N347" t="e">
            <v>#N/A</v>
          </cell>
          <cell r="O347" t="e">
            <v>#N/A</v>
          </cell>
          <cell r="P347">
            <v>58.619996</v>
          </cell>
          <cell r="Q347">
            <v>5.5340389999999999</v>
          </cell>
          <cell r="R347" t="e">
            <v>#N/A</v>
          </cell>
        </row>
        <row r="348">
          <cell r="A348">
            <v>40654</v>
          </cell>
          <cell r="B348">
            <v>40654</v>
          </cell>
          <cell r="C348" t="str">
            <v>Past</v>
          </cell>
          <cell r="D348">
            <v>58.129989999999999</v>
          </cell>
          <cell r="E348" t="e">
            <v>#N/A</v>
          </cell>
          <cell r="F348" t="e">
            <v>#N/A</v>
          </cell>
          <cell r="G348" t="e">
            <v>#N/A</v>
          </cell>
          <cell r="H348" t="e">
            <v>#N/A</v>
          </cell>
          <cell r="I348" t="e">
            <v>#N/A</v>
          </cell>
          <cell r="J348" t="e">
            <v>#N/A</v>
          </cell>
          <cell r="K348" t="e">
            <v>#N/A</v>
          </cell>
          <cell r="L348" t="e">
            <v>#N/A</v>
          </cell>
          <cell r="M348" t="e">
            <v>#N/A</v>
          </cell>
          <cell r="N348" t="e">
            <v>#N/A</v>
          </cell>
          <cell r="O348" t="e">
            <v>#N/A</v>
          </cell>
          <cell r="P348">
            <v>58.129989999999999</v>
          </cell>
          <cell r="Q348">
            <v>3.3395980000000001</v>
          </cell>
          <cell r="R348" t="e">
            <v>#N/A</v>
          </cell>
        </row>
        <row r="349">
          <cell r="A349">
            <v>40658</v>
          </cell>
          <cell r="B349">
            <v>40658</v>
          </cell>
          <cell r="C349" t="str">
            <v>Past</v>
          </cell>
          <cell r="D349">
            <v>57.989991000000003</v>
          </cell>
          <cell r="E349" t="e">
            <v>#N/A</v>
          </cell>
          <cell r="F349" t="e">
            <v>#N/A</v>
          </cell>
          <cell r="G349" t="e">
            <v>#N/A</v>
          </cell>
          <cell r="H349" t="e">
            <v>#N/A</v>
          </cell>
          <cell r="I349" t="e">
            <v>#N/A</v>
          </cell>
          <cell r="J349" t="e">
            <v>#N/A</v>
          </cell>
          <cell r="K349" t="e">
            <v>#N/A</v>
          </cell>
          <cell r="L349" t="e">
            <v>#N/A</v>
          </cell>
          <cell r="M349" t="e">
            <v>#N/A</v>
          </cell>
          <cell r="N349" t="e">
            <v>#N/A</v>
          </cell>
          <cell r="O349" t="e">
            <v>#N/A</v>
          </cell>
          <cell r="P349">
            <v>57.989991000000003</v>
          </cell>
          <cell r="Q349">
            <v>2.0747499999999999</v>
          </cell>
          <cell r="R349" t="e">
            <v>#N/A</v>
          </cell>
        </row>
        <row r="350">
          <cell r="A350">
            <v>40659</v>
          </cell>
          <cell r="B350">
            <v>40659</v>
          </cell>
          <cell r="C350" t="str">
            <v>Past</v>
          </cell>
          <cell r="D350">
            <v>58.039994</v>
          </cell>
          <cell r="E350" t="e">
            <v>#N/A</v>
          </cell>
          <cell r="F350" t="e">
            <v>#N/A</v>
          </cell>
          <cell r="G350" t="e">
            <v>#N/A</v>
          </cell>
          <cell r="H350" t="e">
            <v>#N/A</v>
          </cell>
          <cell r="I350" t="e">
            <v>#N/A</v>
          </cell>
          <cell r="J350" t="e">
            <v>#N/A</v>
          </cell>
          <cell r="K350" t="e">
            <v>#N/A</v>
          </cell>
          <cell r="L350" t="e">
            <v>#N/A</v>
          </cell>
          <cell r="M350" t="e">
            <v>#N/A</v>
          </cell>
          <cell r="N350" t="e">
            <v>#N/A</v>
          </cell>
          <cell r="O350" t="e">
            <v>#N/A</v>
          </cell>
          <cell r="P350">
            <v>58.039994</v>
          </cell>
          <cell r="Q350">
            <v>3.1891790000000002</v>
          </cell>
          <cell r="R350" t="e">
            <v>#N/A</v>
          </cell>
        </row>
        <row r="351">
          <cell r="A351">
            <v>40660</v>
          </cell>
          <cell r="B351">
            <v>40660</v>
          </cell>
          <cell r="C351" t="str">
            <v>Past</v>
          </cell>
          <cell r="D351">
            <v>58.939988</v>
          </cell>
          <cell r="E351" t="e">
            <v>#N/A</v>
          </cell>
          <cell r="F351" t="e">
            <v>#N/A</v>
          </cell>
          <cell r="G351" t="e">
            <v>#N/A</v>
          </cell>
          <cell r="H351" t="e">
            <v>#N/A</v>
          </cell>
          <cell r="I351" t="e">
            <v>#N/A</v>
          </cell>
          <cell r="J351" t="e">
            <v>#N/A</v>
          </cell>
          <cell r="K351" t="e">
            <v>#N/A</v>
          </cell>
          <cell r="L351" t="e">
            <v>#N/A</v>
          </cell>
          <cell r="M351" t="e">
            <v>#N/A</v>
          </cell>
          <cell r="N351" t="e">
            <v>#N/A</v>
          </cell>
          <cell r="O351" t="e">
            <v>#N/A</v>
          </cell>
          <cell r="P351">
            <v>58.939988</v>
          </cell>
          <cell r="Q351">
            <v>5.0605200000000004</v>
          </cell>
          <cell r="R351" t="e">
            <v>#N/A</v>
          </cell>
        </row>
        <row r="352">
          <cell r="A352">
            <v>40661</v>
          </cell>
          <cell r="B352">
            <v>40661</v>
          </cell>
          <cell r="C352" t="str">
            <v>Past</v>
          </cell>
          <cell r="D352">
            <v>60.159989000000003</v>
          </cell>
          <cell r="E352" t="e">
            <v>#N/A</v>
          </cell>
          <cell r="F352" t="e">
            <v>#N/A</v>
          </cell>
          <cell r="G352" t="e">
            <v>#N/A</v>
          </cell>
          <cell r="H352" t="e">
            <v>#N/A</v>
          </cell>
          <cell r="I352" t="e">
            <v>#N/A</v>
          </cell>
          <cell r="J352" t="e">
            <v>#N/A</v>
          </cell>
          <cell r="K352" t="e">
            <v>#N/A</v>
          </cell>
          <cell r="L352" t="e">
            <v>#N/A</v>
          </cell>
          <cell r="M352" t="e">
            <v>#N/A</v>
          </cell>
          <cell r="N352" t="e">
            <v>#N/A</v>
          </cell>
          <cell r="O352" t="e">
            <v>#N/A</v>
          </cell>
          <cell r="P352">
            <v>60.159989000000003</v>
          </cell>
          <cell r="Q352">
            <v>4.9890080000000001</v>
          </cell>
          <cell r="R352" t="e">
            <v>#N/A</v>
          </cell>
        </row>
        <row r="353">
          <cell r="A353">
            <v>40662</v>
          </cell>
          <cell r="B353">
            <v>40662</v>
          </cell>
          <cell r="C353" t="str">
            <v>Past</v>
          </cell>
          <cell r="D353">
            <v>59.329987000000003</v>
          </cell>
          <cell r="E353" t="e">
            <v>#N/A</v>
          </cell>
          <cell r="F353" t="e">
            <v>#N/A</v>
          </cell>
          <cell r="G353" t="e">
            <v>#N/A</v>
          </cell>
          <cell r="H353" t="e">
            <v>#N/A</v>
          </cell>
          <cell r="I353" t="e">
            <v>#N/A</v>
          </cell>
          <cell r="J353" t="e">
            <v>#N/A</v>
          </cell>
          <cell r="K353" t="e">
            <v>#N/A</v>
          </cell>
          <cell r="L353" t="e">
            <v>#N/A</v>
          </cell>
          <cell r="M353" t="e">
            <v>#N/A</v>
          </cell>
          <cell r="N353" t="e">
            <v>#N/A</v>
          </cell>
          <cell r="O353" t="e">
            <v>#N/A</v>
          </cell>
          <cell r="P353">
            <v>59.329987000000003</v>
          </cell>
          <cell r="Q353">
            <v>2.5770240000000002</v>
          </cell>
          <cell r="R353" t="e">
            <v>#N/A</v>
          </cell>
        </row>
        <row r="354">
          <cell r="A354">
            <v>40665</v>
          </cell>
          <cell r="B354">
            <v>40665</v>
          </cell>
          <cell r="C354" t="str">
            <v>Past</v>
          </cell>
          <cell r="D354">
            <v>60.199997000000003</v>
          </cell>
          <cell r="E354" t="e">
            <v>#N/A</v>
          </cell>
          <cell r="F354" t="e">
            <v>#N/A</v>
          </cell>
          <cell r="G354" t="e">
            <v>#N/A</v>
          </cell>
          <cell r="H354" t="e">
            <v>#N/A</v>
          </cell>
          <cell r="I354" t="e">
            <v>#N/A</v>
          </cell>
          <cell r="J354" t="e">
            <v>#N/A</v>
          </cell>
          <cell r="K354" t="e">
            <v>#N/A</v>
          </cell>
          <cell r="L354" t="e">
            <v>#N/A</v>
          </cell>
          <cell r="M354" t="e">
            <v>#N/A</v>
          </cell>
          <cell r="N354" t="e">
            <v>#N/A</v>
          </cell>
          <cell r="O354" t="e">
            <v>#N/A</v>
          </cell>
          <cell r="P354">
            <v>60.199997000000003</v>
          </cell>
          <cell r="Q354">
            <v>2.5896300000000001</v>
          </cell>
          <cell r="R354" t="e">
            <v>#N/A</v>
          </cell>
        </row>
        <row r="355">
          <cell r="A355">
            <v>40666</v>
          </cell>
          <cell r="B355">
            <v>40666</v>
          </cell>
          <cell r="C355" t="str">
            <v>Past</v>
          </cell>
          <cell r="D355">
            <v>60.049987999999999</v>
          </cell>
          <cell r="E355" t="e">
            <v>#N/A</v>
          </cell>
          <cell r="F355" t="e">
            <v>#N/A</v>
          </cell>
          <cell r="G355" t="e">
            <v>#N/A</v>
          </cell>
          <cell r="H355" t="e">
            <v>#N/A</v>
          </cell>
          <cell r="I355" t="e">
            <v>#N/A</v>
          </cell>
          <cell r="J355" t="e">
            <v>#N/A</v>
          </cell>
          <cell r="K355" t="e">
            <v>#N/A</v>
          </cell>
          <cell r="L355" t="e">
            <v>#N/A</v>
          </cell>
          <cell r="M355" t="e">
            <v>#N/A</v>
          </cell>
          <cell r="N355" t="e">
            <v>#N/A</v>
          </cell>
          <cell r="O355" t="e">
            <v>#N/A</v>
          </cell>
          <cell r="P355">
            <v>60.049987999999999</v>
          </cell>
          <cell r="Q355">
            <v>2.3025280000000001</v>
          </cell>
          <cell r="R355" t="e">
            <v>#N/A</v>
          </cell>
        </row>
        <row r="356">
          <cell r="A356">
            <v>40667</v>
          </cell>
          <cell r="B356">
            <v>40667</v>
          </cell>
          <cell r="C356" t="str">
            <v>Past</v>
          </cell>
          <cell r="D356">
            <v>61.809998</v>
          </cell>
          <cell r="E356" t="e">
            <v>#N/A</v>
          </cell>
          <cell r="F356" t="e">
            <v>#N/A</v>
          </cell>
          <cell r="G356" t="e">
            <v>#N/A</v>
          </cell>
          <cell r="H356" t="e">
            <v>#N/A</v>
          </cell>
          <cell r="I356" t="e">
            <v>#N/A</v>
          </cell>
          <cell r="J356" t="e">
            <v>#N/A</v>
          </cell>
          <cell r="K356" t="e">
            <v>#N/A</v>
          </cell>
          <cell r="L356" t="e">
            <v>#N/A</v>
          </cell>
          <cell r="M356" t="e">
            <v>#N/A</v>
          </cell>
          <cell r="N356" t="e">
            <v>#N/A</v>
          </cell>
          <cell r="O356" t="e">
            <v>#N/A</v>
          </cell>
          <cell r="P356">
            <v>61.809998</v>
          </cell>
          <cell r="Q356">
            <v>5.4141880000000002</v>
          </cell>
          <cell r="R356" t="e">
            <v>#N/A</v>
          </cell>
        </row>
        <row r="357">
          <cell r="A357">
            <v>40668</v>
          </cell>
          <cell r="B357">
            <v>40668</v>
          </cell>
          <cell r="C357" t="str">
            <v>Past</v>
          </cell>
          <cell r="D357">
            <v>62</v>
          </cell>
          <cell r="E357" t="e">
            <v>#N/A</v>
          </cell>
          <cell r="F357" t="e">
            <v>#N/A</v>
          </cell>
          <cell r="G357" t="e">
            <v>#N/A</v>
          </cell>
          <cell r="H357" t="e">
            <v>#N/A</v>
          </cell>
          <cell r="I357" t="e">
            <v>#N/A</v>
          </cell>
          <cell r="J357" t="e">
            <v>#N/A</v>
          </cell>
          <cell r="K357" t="e">
            <v>#N/A</v>
          </cell>
          <cell r="L357" t="e">
            <v>#N/A</v>
          </cell>
          <cell r="M357" t="e">
            <v>#N/A</v>
          </cell>
          <cell r="N357" t="e">
            <v>#N/A</v>
          </cell>
          <cell r="O357" t="e">
            <v>#N/A</v>
          </cell>
          <cell r="P357">
            <v>62</v>
          </cell>
          <cell r="Q357">
            <v>3.7081879999999998</v>
          </cell>
          <cell r="R357" t="e">
            <v>#N/A</v>
          </cell>
        </row>
        <row r="358">
          <cell r="A358">
            <v>40669</v>
          </cell>
          <cell r="B358">
            <v>40669</v>
          </cell>
          <cell r="C358" t="str">
            <v>Past</v>
          </cell>
          <cell r="D358">
            <v>62.549987999999999</v>
          </cell>
          <cell r="E358" t="e">
            <v>#N/A</v>
          </cell>
          <cell r="F358" t="e">
            <v>#N/A</v>
          </cell>
          <cell r="G358" t="e">
            <v>#N/A</v>
          </cell>
          <cell r="H358" t="e">
            <v>#N/A</v>
          </cell>
          <cell r="I358" t="e">
            <v>#N/A</v>
          </cell>
          <cell r="J358" t="e">
            <v>#N/A</v>
          </cell>
          <cell r="K358" t="e">
            <v>#N/A</v>
          </cell>
          <cell r="L358" t="e">
            <v>#N/A</v>
          </cell>
          <cell r="M358" t="e">
            <v>#N/A</v>
          </cell>
          <cell r="N358" t="e">
            <v>#N/A</v>
          </cell>
          <cell r="O358" t="e">
            <v>#N/A</v>
          </cell>
          <cell r="P358">
            <v>62.549987999999999</v>
          </cell>
          <cell r="Q358">
            <v>4.2703239999999996</v>
          </cell>
          <cell r="R358" t="e">
            <v>#N/A</v>
          </cell>
        </row>
        <row r="359">
          <cell r="A359">
            <v>40672</v>
          </cell>
          <cell r="B359">
            <v>40672</v>
          </cell>
          <cell r="C359" t="str">
            <v>Past</v>
          </cell>
          <cell r="D359">
            <v>63.039994</v>
          </cell>
          <cell r="E359" t="e">
            <v>#N/A</v>
          </cell>
          <cell r="F359" t="e">
            <v>#N/A</v>
          </cell>
          <cell r="G359" t="e">
            <v>#N/A</v>
          </cell>
          <cell r="H359" t="e">
            <v>#N/A</v>
          </cell>
          <cell r="I359" t="e">
            <v>#N/A</v>
          </cell>
          <cell r="J359" t="e">
            <v>#N/A</v>
          </cell>
          <cell r="K359" t="e">
            <v>#N/A</v>
          </cell>
          <cell r="L359" t="e">
            <v>#N/A</v>
          </cell>
          <cell r="M359" t="e">
            <v>#N/A</v>
          </cell>
          <cell r="N359" t="e">
            <v>#N/A</v>
          </cell>
          <cell r="O359" t="e">
            <v>#N/A</v>
          </cell>
          <cell r="P359">
            <v>63.039994</v>
          </cell>
          <cell r="Q359">
            <v>2.4183020000000002</v>
          </cell>
          <cell r="R359" t="e">
            <v>#N/A</v>
          </cell>
        </row>
        <row r="360">
          <cell r="A360">
            <v>40673</v>
          </cell>
          <cell r="B360">
            <v>40673</v>
          </cell>
          <cell r="C360" t="str">
            <v>Past</v>
          </cell>
          <cell r="D360">
            <v>64.259995000000004</v>
          </cell>
          <cell r="E360" t="e">
            <v>#N/A</v>
          </cell>
          <cell r="F360" t="e">
            <v>#N/A</v>
          </cell>
          <cell r="G360" t="e">
            <v>#N/A</v>
          </cell>
          <cell r="H360" t="e">
            <v>#N/A</v>
          </cell>
          <cell r="I360" t="e">
            <v>#N/A</v>
          </cell>
          <cell r="J360" t="e">
            <v>#N/A</v>
          </cell>
          <cell r="K360" t="e">
            <v>#N/A</v>
          </cell>
          <cell r="L360" t="e">
            <v>#N/A</v>
          </cell>
          <cell r="M360" t="e">
            <v>#N/A</v>
          </cell>
          <cell r="N360" t="e">
            <v>#N/A</v>
          </cell>
          <cell r="O360" t="e">
            <v>#N/A</v>
          </cell>
          <cell r="P360">
            <v>64.259995000000004</v>
          </cell>
          <cell r="Q360">
            <v>3.559453</v>
          </cell>
          <cell r="R360" t="e">
            <v>#N/A</v>
          </cell>
        </row>
        <row r="361">
          <cell r="A361">
            <v>40674</v>
          </cell>
          <cell r="B361">
            <v>40674</v>
          </cell>
          <cell r="C361" t="str">
            <v>Past</v>
          </cell>
          <cell r="D361">
            <v>63.909989000000003</v>
          </cell>
          <cell r="E361" t="e">
            <v>#N/A</v>
          </cell>
          <cell r="F361" t="e">
            <v>#N/A</v>
          </cell>
          <cell r="G361" t="e">
            <v>#N/A</v>
          </cell>
          <cell r="H361" t="e">
            <v>#N/A</v>
          </cell>
          <cell r="I361" t="e">
            <v>#N/A</v>
          </cell>
          <cell r="J361" t="e">
            <v>#N/A</v>
          </cell>
          <cell r="K361" t="e">
            <v>#N/A</v>
          </cell>
          <cell r="L361" t="e">
            <v>#N/A</v>
          </cell>
          <cell r="M361" t="e">
            <v>#N/A</v>
          </cell>
          <cell r="N361" t="e">
            <v>#N/A</v>
          </cell>
          <cell r="O361" t="e">
            <v>#N/A</v>
          </cell>
          <cell r="P361">
            <v>63.909989000000003</v>
          </cell>
          <cell r="Q361">
            <v>2.3082919999999998</v>
          </cell>
          <cell r="R361" t="e">
            <v>#N/A</v>
          </cell>
        </row>
        <row r="362">
          <cell r="A362">
            <v>40675</v>
          </cell>
          <cell r="B362">
            <v>40675</v>
          </cell>
          <cell r="C362" t="str">
            <v>Past</v>
          </cell>
          <cell r="D362">
            <v>64.309997999999993</v>
          </cell>
          <cell r="E362" t="e">
            <v>#N/A</v>
          </cell>
          <cell r="F362" t="e">
            <v>#N/A</v>
          </cell>
          <cell r="G362" t="e">
            <v>#N/A</v>
          </cell>
          <cell r="H362" t="e">
            <v>#N/A</v>
          </cell>
          <cell r="I362" t="e">
            <v>#N/A</v>
          </cell>
          <cell r="J362" t="e">
            <v>#N/A</v>
          </cell>
          <cell r="K362" t="e">
            <v>#N/A</v>
          </cell>
          <cell r="L362" t="e">
            <v>#N/A</v>
          </cell>
          <cell r="M362" t="e">
            <v>#N/A</v>
          </cell>
          <cell r="N362" t="e">
            <v>#N/A</v>
          </cell>
          <cell r="O362" t="e">
            <v>#N/A</v>
          </cell>
          <cell r="P362">
            <v>64.309997999999993</v>
          </cell>
          <cell r="Q362">
            <v>2.340681</v>
          </cell>
          <cell r="R362" t="e">
            <v>#N/A</v>
          </cell>
        </row>
        <row r="363">
          <cell r="A363">
            <v>40676</v>
          </cell>
          <cell r="B363">
            <v>40676</v>
          </cell>
          <cell r="C363" t="str">
            <v>Past</v>
          </cell>
          <cell r="D363">
            <v>64.669999000000004</v>
          </cell>
          <cell r="E363" t="e">
            <v>#N/A</v>
          </cell>
          <cell r="F363" t="e">
            <v>#N/A</v>
          </cell>
          <cell r="G363" t="e">
            <v>#N/A</v>
          </cell>
          <cell r="H363" t="e">
            <v>#N/A</v>
          </cell>
          <cell r="I363" t="e">
            <v>#N/A</v>
          </cell>
          <cell r="J363" t="e">
            <v>#N/A</v>
          </cell>
          <cell r="K363" t="e">
            <v>#N/A</v>
          </cell>
          <cell r="L363" t="e">
            <v>#N/A</v>
          </cell>
          <cell r="M363" t="e">
            <v>#N/A</v>
          </cell>
          <cell r="N363" t="e">
            <v>#N/A</v>
          </cell>
          <cell r="O363" t="e">
            <v>#N/A</v>
          </cell>
          <cell r="P363">
            <v>64.669999000000004</v>
          </cell>
          <cell r="Q363">
            <v>2.6946979999999998</v>
          </cell>
          <cell r="R363" t="e">
            <v>#N/A</v>
          </cell>
        </row>
        <row r="364">
          <cell r="A364">
            <v>40679</v>
          </cell>
          <cell r="B364">
            <v>40679</v>
          </cell>
          <cell r="C364" t="str">
            <v>Past</v>
          </cell>
          <cell r="D364">
            <v>64.449996999999996</v>
          </cell>
          <cell r="E364" t="e">
            <v>#N/A</v>
          </cell>
          <cell r="F364" t="e">
            <v>#N/A</v>
          </cell>
          <cell r="G364" t="e">
            <v>#N/A</v>
          </cell>
          <cell r="H364" t="e">
            <v>#N/A</v>
          </cell>
          <cell r="I364" t="e">
            <v>#N/A</v>
          </cell>
          <cell r="J364" t="e">
            <v>#N/A</v>
          </cell>
          <cell r="K364" t="e">
            <v>#N/A</v>
          </cell>
          <cell r="L364" t="e">
            <v>#N/A</v>
          </cell>
          <cell r="M364" t="e">
            <v>#N/A</v>
          </cell>
          <cell r="N364" t="e">
            <v>#N/A</v>
          </cell>
          <cell r="O364" t="e">
            <v>#N/A</v>
          </cell>
          <cell r="P364">
            <v>64.449996999999996</v>
          </cell>
          <cell r="Q364">
            <v>1.914976</v>
          </cell>
          <cell r="R364" t="e">
            <v>#N/A</v>
          </cell>
        </row>
        <row r="365">
          <cell r="A365">
            <v>40680</v>
          </cell>
          <cell r="B365">
            <v>40680</v>
          </cell>
          <cell r="C365" t="str">
            <v>Past</v>
          </cell>
          <cell r="D365">
            <v>64.709992</v>
          </cell>
          <cell r="E365" t="e">
            <v>#N/A</v>
          </cell>
          <cell r="F365" t="e">
            <v>#N/A</v>
          </cell>
          <cell r="G365" t="e">
            <v>#N/A</v>
          </cell>
          <cell r="H365" t="e">
            <v>#N/A</v>
          </cell>
          <cell r="I365" t="e">
            <v>#N/A</v>
          </cell>
          <cell r="J365" t="e">
            <v>#N/A</v>
          </cell>
          <cell r="K365" t="e">
            <v>#N/A</v>
          </cell>
          <cell r="L365" t="e">
            <v>#N/A</v>
          </cell>
          <cell r="M365" t="e">
            <v>#N/A</v>
          </cell>
          <cell r="N365" t="e">
            <v>#N/A</v>
          </cell>
          <cell r="O365" t="e">
            <v>#N/A</v>
          </cell>
          <cell r="P365">
            <v>64.709992</v>
          </cell>
          <cell r="Q365">
            <v>2.5096989999999999</v>
          </cell>
          <cell r="R365" t="e">
            <v>#N/A</v>
          </cell>
        </row>
        <row r="366">
          <cell r="A366">
            <v>40681</v>
          </cell>
          <cell r="B366">
            <v>40681</v>
          </cell>
          <cell r="C366" t="str">
            <v>Past</v>
          </cell>
          <cell r="D366">
            <v>64.649994000000007</v>
          </cell>
          <cell r="E366" t="e">
            <v>#N/A</v>
          </cell>
          <cell r="F366" t="e">
            <v>#N/A</v>
          </cell>
          <cell r="G366" t="e">
            <v>#N/A</v>
          </cell>
          <cell r="H366" t="e">
            <v>#N/A</v>
          </cell>
          <cell r="I366" t="e">
            <v>#N/A</v>
          </cell>
          <cell r="J366" t="e">
            <v>#N/A</v>
          </cell>
          <cell r="K366" t="e">
            <v>#N/A</v>
          </cell>
          <cell r="L366" t="e">
            <v>#N/A</v>
          </cell>
          <cell r="M366" t="e">
            <v>#N/A</v>
          </cell>
          <cell r="N366" t="e">
            <v>#N/A</v>
          </cell>
          <cell r="O366" t="e">
            <v>#N/A</v>
          </cell>
          <cell r="P366">
            <v>64.649994000000007</v>
          </cell>
          <cell r="Q366">
            <v>2.5714670000000002</v>
          </cell>
          <cell r="R366" t="e">
            <v>#N/A</v>
          </cell>
        </row>
        <row r="367">
          <cell r="A367">
            <v>40682</v>
          </cell>
          <cell r="B367">
            <v>40682</v>
          </cell>
          <cell r="C367" t="str">
            <v>Past</v>
          </cell>
          <cell r="D367">
            <v>64.649994000000007</v>
          </cell>
          <cell r="E367" t="e">
            <v>#N/A</v>
          </cell>
          <cell r="F367" t="e">
            <v>#N/A</v>
          </cell>
          <cell r="G367" t="e">
            <v>#N/A</v>
          </cell>
          <cell r="H367" t="e">
            <v>#N/A</v>
          </cell>
          <cell r="I367" t="e">
            <v>#N/A</v>
          </cell>
          <cell r="J367" t="e">
            <v>#N/A</v>
          </cell>
          <cell r="K367" t="e">
            <v>#N/A</v>
          </cell>
          <cell r="L367" t="e">
            <v>#N/A</v>
          </cell>
          <cell r="M367" t="e">
            <v>#N/A</v>
          </cell>
          <cell r="N367" t="e">
            <v>#N/A</v>
          </cell>
          <cell r="O367" t="e">
            <v>#N/A</v>
          </cell>
          <cell r="P367">
            <v>64.649994000000007</v>
          </cell>
          <cell r="Q367">
            <v>2.2066940000000002</v>
          </cell>
          <cell r="R367" t="e">
            <v>#N/A</v>
          </cell>
        </row>
        <row r="368">
          <cell r="A368">
            <v>40683</v>
          </cell>
          <cell r="B368">
            <v>40683</v>
          </cell>
          <cell r="C368" t="str">
            <v>Past</v>
          </cell>
          <cell r="D368">
            <v>64.299987999999999</v>
          </cell>
          <cell r="E368" t="e">
            <v>#N/A</v>
          </cell>
          <cell r="F368" t="e">
            <v>#N/A</v>
          </cell>
          <cell r="G368" t="e">
            <v>#N/A</v>
          </cell>
          <cell r="H368" t="e">
            <v>#N/A</v>
          </cell>
          <cell r="I368" t="e">
            <v>#N/A</v>
          </cell>
          <cell r="J368" t="e">
            <v>#N/A</v>
          </cell>
          <cell r="K368" t="e">
            <v>#N/A</v>
          </cell>
          <cell r="L368" t="e">
            <v>#N/A</v>
          </cell>
          <cell r="M368" t="e">
            <v>#N/A</v>
          </cell>
          <cell r="N368" t="e">
            <v>#N/A</v>
          </cell>
          <cell r="O368" t="e">
            <v>#N/A</v>
          </cell>
          <cell r="P368">
            <v>64.299987999999999</v>
          </cell>
          <cell r="Q368">
            <v>1.9874700000000001</v>
          </cell>
          <cell r="R368" t="e">
            <v>#N/A</v>
          </cell>
        </row>
        <row r="369">
          <cell r="A369">
            <v>40686</v>
          </cell>
          <cell r="B369">
            <v>40686</v>
          </cell>
          <cell r="C369" t="str">
            <v>Past</v>
          </cell>
          <cell r="D369">
            <v>63.659989000000003</v>
          </cell>
          <cell r="E369" t="e">
            <v>#N/A</v>
          </cell>
          <cell r="F369" t="e">
            <v>#N/A</v>
          </cell>
          <cell r="G369" t="e">
            <v>#N/A</v>
          </cell>
          <cell r="H369" t="e">
            <v>#N/A</v>
          </cell>
          <cell r="I369" t="e">
            <v>#N/A</v>
          </cell>
          <cell r="J369" t="e">
            <v>#N/A</v>
          </cell>
          <cell r="K369" t="e">
            <v>#N/A</v>
          </cell>
          <cell r="L369" t="e">
            <v>#N/A</v>
          </cell>
          <cell r="M369" t="e">
            <v>#N/A</v>
          </cell>
          <cell r="N369" t="e">
            <v>#N/A</v>
          </cell>
          <cell r="O369" t="e">
            <v>#N/A</v>
          </cell>
          <cell r="P369">
            <v>63.659989000000003</v>
          </cell>
          <cell r="Q369">
            <v>2.3076569999999998</v>
          </cell>
          <cell r="R369" t="e">
            <v>#N/A</v>
          </cell>
        </row>
        <row r="370">
          <cell r="A370">
            <v>40687</v>
          </cell>
          <cell r="B370">
            <v>40687</v>
          </cell>
          <cell r="C370" t="str">
            <v>Past</v>
          </cell>
          <cell r="D370">
            <v>63.409989000000003</v>
          </cell>
          <cell r="E370" t="e">
            <v>#N/A</v>
          </cell>
          <cell r="F370" t="e">
            <v>#N/A</v>
          </cell>
          <cell r="G370" t="e">
            <v>#N/A</v>
          </cell>
          <cell r="H370" t="e">
            <v>#N/A</v>
          </cell>
          <cell r="I370" t="e">
            <v>#N/A</v>
          </cell>
          <cell r="J370" t="e">
            <v>#N/A</v>
          </cell>
          <cell r="K370" t="e">
            <v>#N/A</v>
          </cell>
          <cell r="L370" t="e">
            <v>#N/A</v>
          </cell>
          <cell r="M370" t="e">
            <v>#N/A</v>
          </cell>
          <cell r="N370" t="e">
            <v>#N/A</v>
          </cell>
          <cell r="O370" t="e">
            <v>#N/A</v>
          </cell>
          <cell r="P370">
            <v>63.409989000000003</v>
          </cell>
          <cell r="Q370">
            <v>2.1096300000000001</v>
          </cell>
          <cell r="R370" t="e">
            <v>#N/A</v>
          </cell>
        </row>
        <row r="371">
          <cell r="A371">
            <v>40688</v>
          </cell>
          <cell r="B371">
            <v>40688</v>
          </cell>
          <cell r="C371" t="str">
            <v>Past</v>
          </cell>
          <cell r="D371">
            <v>64.349991000000003</v>
          </cell>
          <cell r="E371" t="e">
            <v>#N/A</v>
          </cell>
          <cell r="F371" t="e">
            <v>#N/A</v>
          </cell>
          <cell r="G371" t="e">
            <v>#N/A</v>
          </cell>
          <cell r="H371" t="e">
            <v>#N/A</v>
          </cell>
          <cell r="I371" t="e">
            <v>#N/A</v>
          </cell>
          <cell r="J371" t="e">
            <v>#N/A</v>
          </cell>
          <cell r="K371" t="e">
            <v>#N/A</v>
          </cell>
          <cell r="L371" t="e">
            <v>#N/A</v>
          </cell>
          <cell r="M371" t="e">
            <v>#N/A</v>
          </cell>
          <cell r="N371" t="e">
            <v>#N/A</v>
          </cell>
          <cell r="O371" t="e">
            <v>#N/A</v>
          </cell>
          <cell r="P371">
            <v>64.349991000000003</v>
          </cell>
          <cell r="Q371">
            <v>3.47905</v>
          </cell>
          <cell r="R371" t="e">
            <v>#N/A</v>
          </cell>
        </row>
        <row r="372">
          <cell r="A372">
            <v>40689</v>
          </cell>
          <cell r="B372">
            <v>40689</v>
          </cell>
          <cell r="C372" t="str">
            <v>Past</v>
          </cell>
          <cell r="D372">
            <v>64.439988</v>
          </cell>
          <cell r="E372" t="e">
            <v>#N/A</v>
          </cell>
          <cell r="F372" t="e">
            <v>#N/A</v>
          </cell>
          <cell r="G372" t="e">
            <v>#N/A</v>
          </cell>
          <cell r="H372" t="e">
            <v>#N/A</v>
          </cell>
          <cell r="I372" t="e">
            <v>#N/A</v>
          </cell>
          <cell r="J372" t="e">
            <v>#N/A</v>
          </cell>
          <cell r="K372" t="e">
            <v>#N/A</v>
          </cell>
          <cell r="L372" t="e">
            <v>#N/A</v>
          </cell>
          <cell r="M372" t="e">
            <v>#N/A</v>
          </cell>
          <cell r="N372" t="e">
            <v>#N/A</v>
          </cell>
          <cell r="O372" t="e">
            <v>#N/A</v>
          </cell>
          <cell r="P372">
            <v>64.439988</v>
          </cell>
          <cell r="Q372">
            <v>2.2676090000000002</v>
          </cell>
          <cell r="R372" t="e">
            <v>#N/A</v>
          </cell>
        </row>
        <row r="373">
          <cell r="A373">
            <v>40690</v>
          </cell>
          <cell r="B373">
            <v>40690</v>
          </cell>
          <cell r="C373" t="str">
            <v>Past</v>
          </cell>
          <cell r="D373">
            <v>58.659989000000003</v>
          </cell>
          <cell r="E373" t="e">
            <v>#N/A</v>
          </cell>
          <cell r="F373" t="e">
            <v>#N/A</v>
          </cell>
          <cell r="G373" t="e">
            <v>#N/A</v>
          </cell>
          <cell r="H373" t="e">
            <v>#N/A</v>
          </cell>
          <cell r="I373" t="e">
            <v>#N/A</v>
          </cell>
          <cell r="J373" t="e">
            <v>#N/A</v>
          </cell>
          <cell r="K373" t="e">
            <v>#N/A</v>
          </cell>
          <cell r="L373" t="e">
            <v>#N/A</v>
          </cell>
          <cell r="M373" t="e">
            <v>#N/A</v>
          </cell>
          <cell r="N373" t="e">
            <v>#N/A</v>
          </cell>
          <cell r="O373" t="e">
            <v>#N/A</v>
          </cell>
          <cell r="P373">
            <v>58.659989000000003</v>
          </cell>
          <cell r="Q373">
            <v>20.327960999999998</v>
          </cell>
          <cell r="R373" t="e">
            <v>#N/A</v>
          </cell>
        </row>
        <row r="374">
          <cell r="A374">
            <v>40694</v>
          </cell>
          <cell r="B374">
            <v>40694</v>
          </cell>
          <cell r="C374" t="str">
            <v>Past</v>
          </cell>
          <cell r="D374">
            <v>59.859985999999999</v>
          </cell>
          <cell r="E374" t="e">
            <v>#N/A</v>
          </cell>
          <cell r="F374" t="e">
            <v>#N/A</v>
          </cell>
          <cell r="G374" t="e">
            <v>#N/A</v>
          </cell>
          <cell r="H374" t="e">
            <v>#N/A</v>
          </cell>
          <cell r="I374" t="e">
            <v>#N/A</v>
          </cell>
          <cell r="J374" t="e">
            <v>#N/A</v>
          </cell>
          <cell r="K374" t="e">
            <v>#N/A</v>
          </cell>
          <cell r="L374" t="e">
            <v>#N/A</v>
          </cell>
          <cell r="M374" t="e">
            <v>#N/A</v>
          </cell>
          <cell r="N374" t="e">
            <v>#N/A</v>
          </cell>
          <cell r="O374" t="e">
            <v>#N/A</v>
          </cell>
          <cell r="P374">
            <v>59.859985999999999</v>
          </cell>
          <cell r="Q374">
            <v>6.641184</v>
          </cell>
          <cell r="R374" t="e">
            <v>#N/A</v>
          </cell>
        </row>
        <row r="375">
          <cell r="A375">
            <v>40695</v>
          </cell>
          <cell r="B375">
            <v>40695</v>
          </cell>
          <cell r="C375" t="str">
            <v>Past</v>
          </cell>
          <cell r="D375">
            <v>60.209992</v>
          </cell>
          <cell r="E375" t="e">
            <v>#N/A</v>
          </cell>
          <cell r="F375" t="e">
            <v>#N/A</v>
          </cell>
          <cell r="G375" t="e">
            <v>#N/A</v>
          </cell>
          <cell r="H375" t="e">
            <v>#N/A</v>
          </cell>
          <cell r="I375" t="e">
            <v>#N/A</v>
          </cell>
          <cell r="J375" t="e">
            <v>#N/A</v>
          </cell>
          <cell r="K375" t="e">
            <v>#N/A</v>
          </cell>
          <cell r="L375" t="e">
            <v>#N/A</v>
          </cell>
          <cell r="M375" t="e">
            <v>#N/A</v>
          </cell>
          <cell r="N375" t="e">
            <v>#N/A</v>
          </cell>
          <cell r="O375" t="e">
            <v>#N/A</v>
          </cell>
          <cell r="P375">
            <v>60.209992</v>
          </cell>
          <cell r="Q375">
            <v>4.5227029999999999</v>
          </cell>
          <cell r="R375" t="e">
            <v>#N/A</v>
          </cell>
        </row>
        <row r="376">
          <cell r="A376">
            <v>40696</v>
          </cell>
          <cell r="B376">
            <v>40696</v>
          </cell>
          <cell r="C376" t="str">
            <v>Past</v>
          </cell>
          <cell r="D376">
            <v>59.589996999999997</v>
          </cell>
          <cell r="E376" t="e">
            <v>#N/A</v>
          </cell>
          <cell r="F376" t="e">
            <v>#N/A</v>
          </cell>
          <cell r="G376" t="e">
            <v>#N/A</v>
          </cell>
          <cell r="H376" t="e">
            <v>#N/A</v>
          </cell>
          <cell r="I376" t="e">
            <v>#N/A</v>
          </cell>
          <cell r="J376" t="e">
            <v>#N/A</v>
          </cell>
          <cell r="K376" t="e">
            <v>#N/A</v>
          </cell>
          <cell r="L376" t="e">
            <v>#N/A</v>
          </cell>
          <cell r="M376" t="e">
            <v>#N/A</v>
          </cell>
          <cell r="N376" t="e">
            <v>#N/A</v>
          </cell>
          <cell r="O376" t="e">
            <v>#N/A</v>
          </cell>
          <cell r="P376">
            <v>59.589996999999997</v>
          </cell>
          <cell r="Q376">
            <v>5.1792889999999998</v>
          </cell>
          <cell r="R376" t="e">
            <v>#N/A</v>
          </cell>
        </row>
        <row r="377">
          <cell r="A377">
            <v>40697</v>
          </cell>
          <cell r="B377">
            <v>40697</v>
          </cell>
          <cell r="C377" t="str">
            <v>Past</v>
          </cell>
          <cell r="D377">
            <v>57.789994</v>
          </cell>
          <cell r="E377" t="e">
            <v>#N/A</v>
          </cell>
          <cell r="F377" t="e">
            <v>#N/A</v>
          </cell>
          <cell r="G377" t="e">
            <v>#N/A</v>
          </cell>
          <cell r="H377" t="e">
            <v>#N/A</v>
          </cell>
          <cell r="I377" t="e">
            <v>#N/A</v>
          </cell>
          <cell r="J377" t="e">
            <v>#N/A</v>
          </cell>
          <cell r="K377" t="e">
            <v>#N/A</v>
          </cell>
          <cell r="L377" t="e">
            <v>#N/A</v>
          </cell>
          <cell r="M377" t="e">
            <v>#N/A</v>
          </cell>
          <cell r="N377" t="e">
            <v>#N/A</v>
          </cell>
          <cell r="O377" t="e">
            <v>#N/A</v>
          </cell>
          <cell r="P377">
            <v>57.789994</v>
          </cell>
          <cell r="Q377">
            <v>4.8337890000000003</v>
          </cell>
          <cell r="R377" t="e">
            <v>#N/A</v>
          </cell>
        </row>
        <row r="378">
          <cell r="A378">
            <v>40700</v>
          </cell>
          <cell r="B378">
            <v>40700</v>
          </cell>
          <cell r="C378" t="str">
            <v>Past</v>
          </cell>
          <cell r="D378">
            <v>56.76999</v>
          </cell>
          <cell r="E378" t="e">
            <v>#N/A</v>
          </cell>
          <cell r="F378" t="e">
            <v>#N/A</v>
          </cell>
          <cell r="G378" t="e">
            <v>#N/A</v>
          </cell>
          <cell r="H378" t="e">
            <v>#N/A</v>
          </cell>
          <cell r="I378" t="e">
            <v>#N/A</v>
          </cell>
          <cell r="J378" t="e">
            <v>#N/A</v>
          </cell>
          <cell r="K378" t="e">
            <v>#N/A</v>
          </cell>
          <cell r="L378" t="e">
            <v>#N/A</v>
          </cell>
          <cell r="M378" t="e">
            <v>#N/A</v>
          </cell>
          <cell r="N378" t="e">
            <v>#N/A</v>
          </cell>
          <cell r="O378" t="e">
            <v>#N/A</v>
          </cell>
          <cell r="P378">
            <v>56.76999</v>
          </cell>
          <cell r="Q378">
            <v>3.5279389999999999</v>
          </cell>
          <cell r="R378" t="e">
            <v>#N/A</v>
          </cell>
        </row>
        <row r="379">
          <cell r="A379">
            <v>40701</v>
          </cell>
          <cell r="B379">
            <v>40701</v>
          </cell>
          <cell r="C379" t="str">
            <v>Past</v>
          </cell>
          <cell r="D379">
            <v>57.129989999999999</v>
          </cell>
          <cell r="E379" t="e">
            <v>#N/A</v>
          </cell>
          <cell r="F379" t="e">
            <v>#N/A</v>
          </cell>
          <cell r="G379" t="e">
            <v>#N/A</v>
          </cell>
          <cell r="H379" t="e">
            <v>#N/A</v>
          </cell>
          <cell r="I379" t="e">
            <v>#N/A</v>
          </cell>
          <cell r="J379" t="e">
            <v>#N/A</v>
          </cell>
          <cell r="K379" t="e">
            <v>#N/A</v>
          </cell>
          <cell r="L379" t="e">
            <v>#N/A</v>
          </cell>
          <cell r="M379" t="e">
            <v>#N/A</v>
          </cell>
          <cell r="N379" t="e">
            <v>#N/A</v>
          </cell>
          <cell r="O379" t="e">
            <v>#N/A</v>
          </cell>
          <cell r="P379">
            <v>57.129989999999999</v>
          </cell>
          <cell r="Q379">
            <v>4.0882630000000004</v>
          </cell>
          <cell r="R379" t="e">
            <v>#N/A</v>
          </cell>
        </row>
        <row r="380">
          <cell r="A380">
            <v>40702</v>
          </cell>
          <cell r="B380">
            <v>40702</v>
          </cell>
          <cell r="C380" t="str">
            <v>Past</v>
          </cell>
          <cell r="D380">
            <v>57.39</v>
          </cell>
          <cell r="E380" t="e">
            <v>#N/A</v>
          </cell>
          <cell r="F380" t="e">
            <v>#N/A</v>
          </cell>
          <cell r="G380" t="e">
            <v>#N/A</v>
          </cell>
          <cell r="H380" t="e">
            <v>#N/A</v>
          </cell>
          <cell r="I380" t="e">
            <v>#N/A</v>
          </cell>
          <cell r="J380" t="e">
            <v>#N/A</v>
          </cell>
          <cell r="K380" t="e">
            <v>#N/A</v>
          </cell>
          <cell r="L380" t="e">
            <v>#N/A</v>
          </cell>
          <cell r="M380" t="e">
            <v>#N/A</v>
          </cell>
          <cell r="N380" t="e">
            <v>#N/A</v>
          </cell>
          <cell r="O380" t="e">
            <v>#N/A</v>
          </cell>
          <cell r="P380">
            <v>57.39</v>
          </cell>
          <cell r="Q380">
            <v>2.6381329999999998</v>
          </cell>
          <cell r="R380" t="e">
            <v>#N/A</v>
          </cell>
        </row>
        <row r="381">
          <cell r="A381">
            <v>40703</v>
          </cell>
          <cell r="B381">
            <v>40703</v>
          </cell>
          <cell r="C381" t="str">
            <v>Past</v>
          </cell>
          <cell r="D381">
            <v>57.439988</v>
          </cell>
          <cell r="E381" t="e">
            <v>#N/A</v>
          </cell>
          <cell r="F381" t="e">
            <v>#N/A</v>
          </cell>
          <cell r="G381" t="e">
            <v>#N/A</v>
          </cell>
          <cell r="H381" t="e">
            <v>#N/A</v>
          </cell>
          <cell r="I381" t="e">
            <v>#N/A</v>
          </cell>
          <cell r="J381" t="e">
            <v>#N/A</v>
          </cell>
          <cell r="K381" t="e">
            <v>#N/A</v>
          </cell>
          <cell r="L381" t="e">
            <v>#N/A</v>
          </cell>
          <cell r="M381" t="e">
            <v>#N/A</v>
          </cell>
          <cell r="N381" t="e">
            <v>#N/A</v>
          </cell>
          <cell r="O381" t="e">
            <v>#N/A</v>
          </cell>
          <cell r="P381">
            <v>57.439988</v>
          </cell>
          <cell r="Q381">
            <v>3.4944449999999998</v>
          </cell>
          <cell r="R381" t="e">
            <v>#N/A</v>
          </cell>
        </row>
        <row r="382">
          <cell r="A382">
            <v>40704</v>
          </cell>
          <cell r="B382">
            <v>40704</v>
          </cell>
          <cell r="C382" t="str">
            <v>Past</v>
          </cell>
          <cell r="D382">
            <v>56.339996999999997</v>
          </cell>
          <cell r="E382" t="e">
            <v>#N/A</v>
          </cell>
          <cell r="F382" t="e">
            <v>#N/A</v>
          </cell>
          <cell r="G382" t="e">
            <v>#N/A</v>
          </cell>
          <cell r="H382" t="e">
            <v>#N/A</v>
          </cell>
          <cell r="I382" t="e">
            <v>#N/A</v>
          </cell>
          <cell r="J382" t="e">
            <v>#N/A</v>
          </cell>
          <cell r="K382" t="e">
            <v>#N/A</v>
          </cell>
          <cell r="L382" t="e">
            <v>#N/A</v>
          </cell>
          <cell r="M382" t="e">
            <v>#N/A</v>
          </cell>
          <cell r="N382" t="e">
            <v>#N/A</v>
          </cell>
          <cell r="O382" t="e">
            <v>#N/A</v>
          </cell>
          <cell r="P382">
            <v>56.339996999999997</v>
          </cell>
          <cell r="Q382">
            <v>3.2940640000000001</v>
          </cell>
          <cell r="R382" t="e">
            <v>#N/A</v>
          </cell>
        </row>
        <row r="383">
          <cell r="A383">
            <v>40707</v>
          </cell>
          <cell r="B383">
            <v>40707</v>
          </cell>
          <cell r="C383" t="str">
            <v>Past</v>
          </cell>
          <cell r="D383">
            <v>56.01999</v>
          </cell>
          <cell r="E383" t="e">
            <v>#N/A</v>
          </cell>
          <cell r="F383" t="e">
            <v>#N/A</v>
          </cell>
          <cell r="G383" t="e">
            <v>#N/A</v>
          </cell>
          <cell r="H383" t="e">
            <v>#N/A</v>
          </cell>
          <cell r="I383" t="e">
            <v>#N/A</v>
          </cell>
          <cell r="J383" t="e">
            <v>#N/A</v>
          </cell>
          <cell r="K383" t="e">
            <v>#N/A</v>
          </cell>
          <cell r="L383" t="e">
            <v>#N/A</v>
          </cell>
          <cell r="M383" t="e">
            <v>#N/A</v>
          </cell>
          <cell r="N383" t="e">
            <v>#N/A</v>
          </cell>
          <cell r="O383" t="e">
            <v>#N/A</v>
          </cell>
          <cell r="P383">
            <v>56.01999</v>
          </cell>
          <cell r="Q383">
            <v>2.4218730000000002</v>
          </cell>
          <cell r="R383" t="e">
            <v>#N/A</v>
          </cell>
        </row>
        <row r="384">
          <cell r="A384">
            <v>40708</v>
          </cell>
          <cell r="B384">
            <v>40708</v>
          </cell>
          <cell r="C384" t="str">
            <v>Past</v>
          </cell>
          <cell r="D384">
            <v>55.859985999999999</v>
          </cell>
          <cell r="E384" t="e">
            <v>#N/A</v>
          </cell>
          <cell r="F384" t="e">
            <v>#N/A</v>
          </cell>
          <cell r="G384" t="e">
            <v>#N/A</v>
          </cell>
          <cell r="H384" t="e">
            <v>#N/A</v>
          </cell>
          <cell r="I384" t="e">
            <v>#N/A</v>
          </cell>
          <cell r="J384" t="e">
            <v>#N/A</v>
          </cell>
          <cell r="K384" t="e">
            <v>#N/A</v>
          </cell>
          <cell r="L384" t="e">
            <v>#N/A</v>
          </cell>
          <cell r="M384" t="e">
            <v>#N/A</v>
          </cell>
          <cell r="N384" t="e">
            <v>#N/A</v>
          </cell>
          <cell r="O384" t="e">
            <v>#N/A</v>
          </cell>
          <cell r="P384">
            <v>55.859985999999999</v>
          </cell>
          <cell r="Q384">
            <v>3.6073230000000001</v>
          </cell>
          <cell r="R384" t="e">
            <v>#N/A</v>
          </cell>
        </row>
        <row r="385">
          <cell r="A385">
            <v>40709</v>
          </cell>
          <cell r="B385">
            <v>40709</v>
          </cell>
          <cell r="C385" t="str">
            <v>Past</v>
          </cell>
          <cell r="D385">
            <v>55.279998999999997</v>
          </cell>
          <cell r="E385" t="e">
            <v>#N/A</v>
          </cell>
          <cell r="F385" t="e">
            <v>#N/A</v>
          </cell>
          <cell r="G385" t="e">
            <v>#N/A</v>
          </cell>
          <cell r="H385" t="e">
            <v>#N/A</v>
          </cell>
          <cell r="I385" t="e">
            <v>#N/A</v>
          </cell>
          <cell r="J385" t="e">
            <v>#N/A</v>
          </cell>
          <cell r="K385" t="e">
            <v>#N/A</v>
          </cell>
          <cell r="L385" t="e">
            <v>#N/A</v>
          </cell>
          <cell r="M385" t="e">
            <v>#N/A</v>
          </cell>
          <cell r="N385" t="e">
            <v>#N/A</v>
          </cell>
          <cell r="O385" t="e">
            <v>#N/A</v>
          </cell>
          <cell r="P385">
            <v>55.279998999999997</v>
          </cell>
          <cell r="Q385">
            <v>2.816573</v>
          </cell>
          <cell r="R385" t="e">
            <v>#N/A</v>
          </cell>
        </row>
        <row r="386">
          <cell r="A386">
            <v>40710</v>
          </cell>
          <cell r="B386">
            <v>40710</v>
          </cell>
          <cell r="C386" t="str">
            <v>Past</v>
          </cell>
          <cell r="D386">
            <v>55.759995000000004</v>
          </cell>
          <cell r="E386" t="e">
            <v>#N/A</v>
          </cell>
          <cell r="F386" t="e">
            <v>#N/A</v>
          </cell>
          <cell r="G386" t="e">
            <v>#N/A</v>
          </cell>
          <cell r="H386" t="e">
            <v>#N/A</v>
          </cell>
          <cell r="I386" t="e">
            <v>#N/A</v>
          </cell>
          <cell r="J386" t="e">
            <v>#N/A</v>
          </cell>
          <cell r="K386" t="e">
            <v>#N/A</v>
          </cell>
          <cell r="L386" t="e">
            <v>#N/A</v>
          </cell>
          <cell r="M386" t="e">
            <v>#N/A</v>
          </cell>
          <cell r="N386" t="e">
            <v>#N/A</v>
          </cell>
          <cell r="O386" t="e">
            <v>#N/A</v>
          </cell>
          <cell r="P386">
            <v>55.759995000000004</v>
          </cell>
          <cell r="Q386">
            <v>3.93344</v>
          </cell>
          <cell r="R386" t="e">
            <v>#N/A</v>
          </cell>
        </row>
        <row r="387">
          <cell r="A387">
            <v>40711</v>
          </cell>
          <cell r="B387">
            <v>40711</v>
          </cell>
          <cell r="C387" t="str">
            <v>Past</v>
          </cell>
          <cell r="D387">
            <v>55.179993000000003</v>
          </cell>
          <cell r="E387" t="e">
            <v>#N/A</v>
          </cell>
          <cell r="F387" t="e">
            <v>#N/A</v>
          </cell>
          <cell r="G387" t="e">
            <v>#N/A</v>
          </cell>
          <cell r="H387" t="e">
            <v>#N/A</v>
          </cell>
          <cell r="I387" t="e">
            <v>#N/A</v>
          </cell>
          <cell r="J387" t="e">
            <v>#N/A</v>
          </cell>
          <cell r="K387" t="e">
            <v>#N/A</v>
          </cell>
          <cell r="L387" t="e">
            <v>#N/A</v>
          </cell>
          <cell r="M387" t="e">
            <v>#N/A</v>
          </cell>
          <cell r="N387" t="e">
            <v>#N/A</v>
          </cell>
          <cell r="O387" t="e">
            <v>#N/A</v>
          </cell>
          <cell r="P387">
            <v>55.179993000000003</v>
          </cell>
          <cell r="Q387">
            <v>3.5958939999999999</v>
          </cell>
          <cell r="R387" t="e">
            <v>#N/A</v>
          </cell>
        </row>
        <row r="388">
          <cell r="A388">
            <v>40714</v>
          </cell>
          <cell r="B388">
            <v>40714</v>
          </cell>
          <cell r="C388" t="str">
            <v>Past</v>
          </cell>
          <cell r="D388">
            <v>55.279998999999997</v>
          </cell>
          <cell r="E388" t="e">
            <v>#N/A</v>
          </cell>
          <cell r="F388" t="e">
            <v>#N/A</v>
          </cell>
          <cell r="G388" t="e">
            <v>#N/A</v>
          </cell>
          <cell r="H388" t="e">
            <v>#N/A</v>
          </cell>
          <cell r="I388" t="e">
            <v>#N/A</v>
          </cell>
          <cell r="J388" t="e">
            <v>#N/A</v>
          </cell>
          <cell r="K388" t="e">
            <v>#N/A</v>
          </cell>
          <cell r="L388" t="e">
            <v>#N/A</v>
          </cell>
          <cell r="M388" t="e">
            <v>#N/A</v>
          </cell>
          <cell r="N388" t="e">
            <v>#N/A</v>
          </cell>
          <cell r="O388" t="e">
            <v>#N/A</v>
          </cell>
          <cell r="P388">
            <v>55.279998999999997</v>
          </cell>
          <cell r="Q388">
            <v>1.7335780000000001</v>
          </cell>
          <cell r="R388" t="e">
            <v>#N/A</v>
          </cell>
        </row>
        <row r="389">
          <cell r="A389">
            <v>40715</v>
          </cell>
          <cell r="B389">
            <v>40715</v>
          </cell>
          <cell r="C389" t="str">
            <v>Past</v>
          </cell>
          <cell r="D389">
            <v>56.259995000000004</v>
          </cell>
          <cell r="E389" t="e">
            <v>#N/A</v>
          </cell>
          <cell r="F389" t="e">
            <v>#N/A</v>
          </cell>
          <cell r="G389" t="e">
            <v>#N/A</v>
          </cell>
          <cell r="H389" t="e">
            <v>#N/A</v>
          </cell>
          <cell r="I389" t="e">
            <v>#N/A</v>
          </cell>
          <cell r="J389" t="e">
            <v>#N/A</v>
          </cell>
          <cell r="K389" t="e">
            <v>#N/A</v>
          </cell>
          <cell r="L389" t="e">
            <v>#N/A</v>
          </cell>
          <cell r="M389" t="e">
            <v>#N/A</v>
          </cell>
          <cell r="N389" t="e">
            <v>#N/A</v>
          </cell>
          <cell r="O389" t="e">
            <v>#N/A</v>
          </cell>
          <cell r="P389">
            <v>56.259995000000004</v>
          </cell>
          <cell r="Q389">
            <v>3.046408</v>
          </cell>
          <cell r="R389" t="e">
            <v>#N/A</v>
          </cell>
        </row>
        <row r="390">
          <cell r="A390">
            <v>40716</v>
          </cell>
          <cell r="B390">
            <v>40716</v>
          </cell>
          <cell r="C390" t="str">
            <v>Past</v>
          </cell>
          <cell r="D390">
            <v>54.809998</v>
          </cell>
          <cell r="E390" t="e">
            <v>#N/A</v>
          </cell>
          <cell r="F390" t="e">
            <v>#N/A</v>
          </cell>
          <cell r="G390" t="e">
            <v>#N/A</v>
          </cell>
          <cell r="H390" t="e">
            <v>#N/A</v>
          </cell>
          <cell r="I390" t="e">
            <v>#N/A</v>
          </cell>
          <cell r="J390" t="e">
            <v>#N/A</v>
          </cell>
          <cell r="K390" t="e">
            <v>#N/A</v>
          </cell>
          <cell r="L390" t="e">
            <v>#N/A</v>
          </cell>
          <cell r="M390" t="e">
            <v>#N/A</v>
          </cell>
          <cell r="N390" t="e">
            <v>#N/A</v>
          </cell>
          <cell r="O390" t="e">
            <v>#N/A</v>
          </cell>
          <cell r="P390">
            <v>54.809998</v>
          </cell>
          <cell r="Q390">
            <v>2.7746529999999998</v>
          </cell>
          <cell r="R390" t="e">
            <v>#N/A</v>
          </cell>
        </row>
        <row r="391">
          <cell r="A391">
            <v>40717</v>
          </cell>
          <cell r="B391">
            <v>40717</v>
          </cell>
          <cell r="C391" t="str">
            <v>Past</v>
          </cell>
          <cell r="D391">
            <v>54.419998999999997</v>
          </cell>
          <cell r="E391" t="e">
            <v>#N/A</v>
          </cell>
          <cell r="F391" t="e">
            <v>#N/A</v>
          </cell>
          <cell r="G391" t="e">
            <v>#N/A</v>
          </cell>
          <cell r="H391" t="e">
            <v>#N/A</v>
          </cell>
          <cell r="I391" t="e">
            <v>#N/A</v>
          </cell>
          <cell r="J391" t="e">
            <v>#N/A</v>
          </cell>
          <cell r="K391" t="e">
            <v>#N/A</v>
          </cell>
          <cell r="L391" t="e">
            <v>#N/A</v>
          </cell>
          <cell r="M391" t="e">
            <v>#N/A</v>
          </cell>
          <cell r="N391" t="e">
            <v>#N/A</v>
          </cell>
          <cell r="O391" t="e">
            <v>#N/A</v>
          </cell>
          <cell r="P391">
            <v>54.419998999999997</v>
          </cell>
          <cell r="Q391">
            <v>3.468458</v>
          </cell>
          <cell r="R391" t="e">
            <v>#N/A</v>
          </cell>
        </row>
        <row r="392">
          <cell r="A392">
            <v>40718</v>
          </cell>
          <cell r="B392">
            <v>40718</v>
          </cell>
          <cell r="C392" t="str">
            <v>Past</v>
          </cell>
          <cell r="D392">
            <v>53.309998</v>
          </cell>
          <cell r="E392" t="e">
            <v>#N/A</v>
          </cell>
          <cell r="F392" t="e">
            <v>#N/A</v>
          </cell>
          <cell r="G392" t="e">
            <v>#N/A</v>
          </cell>
          <cell r="H392" t="e">
            <v>#N/A</v>
          </cell>
          <cell r="I392" t="e">
            <v>#N/A</v>
          </cell>
          <cell r="J392" t="e">
            <v>#N/A</v>
          </cell>
          <cell r="K392" t="e">
            <v>#N/A</v>
          </cell>
          <cell r="L392" t="e">
            <v>#N/A</v>
          </cell>
          <cell r="M392" t="e">
            <v>#N/A</v>
          </cell>
          <cell r="N392" t="e">
            <v>#N/A</v>
          </cell>
          <cell r="O392" t="e">
            <v>#N/A</v>
          </cell>
          <cell r="P392">
            <v>53.309998</v>
          </cell>
          <cell r="Q392">
            <v>4.9945979999999999</v>
          </cell>
          <cell r="R392" t="e">
            <v>#N/A</v>
          </cell>
        </row>
        <row r="393">
          <cell r="A393">
            <v>40721</v>
          </cell>
          <cell r="B393">
            <v>40721</v>
          </cell>
          <cell r="C393" t="str">
            <v>Past</v>
          </cell>
          <cell r="D393">
            <v>54.419998999999997</v>
          </cell>
          <cell r="E393" t="e">
            <v>#N/A</v>
          </cell>
          <cell r="F393" t="e">
            <v>#N/A</v>
          </cell>
          <cell r="G393" t="e">
            <v>#N/A</v>
          </cell>
          <cell r="H393" t="e">
            <v>#N/A</v>
          </cell>
          <cell r="I393" t="e">
            <v>#N/A</v>
          </cell>
          <cell r="J393" t="e">
            <v>#N/A</v>
          </cell>
          <cell r="K393" t="e">
            <v>#N/A</v>
          </cell>
          <cell r="L393" t="e">
            <v>#N/A</v>
          </cell>
          <cell r="M393" t="e">
            <v>#N/A</v>
          </cell>
          <cell r="N393" t="e">
            <v>#N/A</v>
          </cell>
          <cell r="O393" t="e">
            <v>#N/A</v>
          </cell>
          <cell r="P393">
            <v>54.419998999999997</v>
          </cell>
          <cell r="Q393">
            <v>2.7003360000000001</v>
          </cell>
          <cell r="R393" t="e">
            <v>#N/A</v>
          </cell>
        </row>
        <row r="394">
          <cell r="A394">
            <v>40722</v>
          </cell>
          <cell r="B394">
            <v>40722</v>
          </cell>
          <cell r="C394" t="str">
            <v>Past</v>
          </cell>
          <cell r="D394">
            <v>55.829987000000003</v>
          </cell>
          <cell r="E394" t="e">
            <v>#N/A</v>
          </cell>
          <cell r="F394" t="e">
            <v>#N/A</v>
          </cell>
          <cell r="G394" t="e">
            <v>#N/A</v>
          </cell>
          <cell r="H394" t="e">
            <v>#N/A</v>
          </cell>
          <cell r="I394" t="e">
            <v>#N/A</v>
          </cell>
          <cell r="J394" t="e">
            <v>#N/A</v>
          </cell>
          <cell r="K394" t="e">
            <v>#N/A</v>
          </cell>
          <cell r="L394" t="e">
            <v>#N/A</v>
          </cell>
          <cell r="M394" t="e">
            <v>#N/A</v>
          </cell>
          <cell r="N394" t="e">
            <v>#N/A</v>
          </cell>
          <cell r="O394" t="e">
            <v>#N/A</v>
          </cell>
          <cell r="P394">
            <v>55.829987000000003</v>
          </cell>
          <cell r="Q394">
            <v>3.23963</v>
          </cell>
          <cell r="R394" t="e">
            <v>#N/A</v>
          </cell>
        </row>
        <row r="395">
          <cell r="A395">
            <v>40723</v>
          </cell>
          <cell r="B395">
            <v>40723</v>
          </cell>
          <cell r="C395" t="str">
            <v>Past</v>
          </cell>
          <cell r="D395">
            <v>56.339996999999997</v>
          </cell>
          <cell r="E395" t="e">
            <v>#N/A</v>
          </cell>
          <cell r="F395" t="e">
            <v>#N/A</v>
          </cell>
          <cell r="G395" t="e">
            <v>#N/A</v>
          </cell>
          <cell r="H395" t="e">
            <v>#N/A</v>
          </cell>
          <cell r="I395" t="e">
            <v>#N/A</v>
          </cell>
          <cell r="J395" t="e">
            <v>#N/A</v>
          </cell>
          <cell r="K395" t="e">
            <v>#N/A</v>
          </cell>
          <cell r="L395" t="e">
            <v>#N/A</v>
          </cell>
          <cell r="M395" t="e">
            <v>#N/A</v>
          </cell>
          <cell r="N395" t="e">
            <v>#N/A</v>
          </cell>
          <cell r="O395" t="e">
            <v>#N/A</v>
          </cell>
          <cell r="P395">
            <v>56.339996999999997</v>
          </cell>
          <cell r="Q395">
            <v>2.9237280000000001</v>
          </cell>
          <cell r="R395" t="e">
            <v>#N/A</v>
          </cell>
        </row>
        <row r="396">
          <cell r="A396">
            <v>40724</v>
          </cell>
          <cell r="B396">
            <v>40724</v>
          </cell>
          <cell r="C396" t="str">
            <v>Past</v>
          </cell>
          <cell r="D396">
            <v>56.51999</v>
          </cell>
          <cell r="E396" t="e">
            <v>#N/A</v>
          </cell>
          <cell r="F396" t="e">
            <v>#N/A</v>
          </cell>
          <cell r="G396" t="e">
            <v>#N/A</v>
          </cell>
          <cell r="H396" t="e">
            <v>#N/A</v>
          </cell>
          <cell r="I396" t="e">
            <v>#N/A</v>
          </cell>
          <cell r="J396" t="e">
            <v>#N/A</v>
          </cell>
          <cell r="K396" t="e">
            <v>#N/A</v>
          </cell>
          <cell r="L396" t="e">
            <v>#N/A</v>
          </cell>
          <cell r="M396" t="e">
            <v>#N/A</v>
          </cell>
          <cell r="N396" t="e">
            <v>#N/A</v>
          </cell>
          <cell r="O396" t="e">
            <v>#N/A</v>
          </cell>
          <cell r="P396">
            <v>56.51999</v>
          </cell>
          <cell r="Q396">
            <v>2.5959840000000001</v>
          </cell>
          <cell r="R396" t="e">
            <v>#N/A</v>
          </cell>
        </row>
        <row r="397">
          <cell r="A397">
            <v>40725</v>
          </cell>
          <cell r="B397">
            <v>40725</v>
          </cell>
          <cell r="C397" t="str">
            <v>Past</v>
          </cell>
          <cell r="D397">
            <v>56.829987000000003</v>
          </cell>
          <cell r="E397" t="e">
            <v>#N/A</v>
          </cell>
          <cell r="F397" t="e">
            <v>#N/A</v>
          </cell>
          <cell r="G397" t="e">
            <v>#N/A</v>
          </cell>
          <cell r="H397" t="e">
            <v>#N/A</v>
          </cell>
          <cell r="I397" t="e">
            <v>#N/A</v>
          </cell>
          <cell r="J397" t="e">
            <v>#N/A</v>
          </cell>
          <cell r="K397" t="e">
            <v>#N/A</v>
          </cell>
          <cell r="L397" t="e">
            <v>#N/A</v>
          </cell>
          <cell r="M397" t="e">
            <v>#N/A</v>
          </cell>
          <cell r="N397" t="e">
            <v>#N/A</v>
          </cell>
          <cell r="O397" t="e">
            <v>#N/A</v>
          </cell>
          <cell r="P397">
            <v>56.829987000000003</v>
          </cell>
          <cell r="Q397">
            <v>2.7661180000000001</v>
          </cell>
          <cell r="R397" t="e">
            <v>#N/A</v>
          </cell>
        </row>
        <row r="398">
          <cell r="A398">
            <v>40729</v>
          </cell>
          <cell r="B398">
            <v>40729</v>
          </cell>
          <cell r="C398" t="str">
            <v>Past</v>
          </cell>
          <cell r="D398">
            <v>56.189988</v>
          </cell>
          <cell r="E398" t="e">
            <v>#N/A</v>
          </cell>
          <cell r="F398" t="e">
            <v>#N/A</v>
          </cell>
          <cell r="G398" t="e">
            <v>#N/A</v>
          </cell>
          <cell r="H398" t="e">
            <v>#N/A</v>
          </cell>
          <cell r="I398" t="e">
            <v>#N/A</v>
          </cell>
          <cell r="J398" t="e">
            <v>#N/A</v>
          </cell>
          <cell r="K398" t="e">
            <v>#N/A</v>
          </cell>
          <cell r="L398" t="e">
            <v>#N/A</v>
          </cell>
          <cell r="M398" t="e">
            <v>#N/A</v>
          </cell>
          <cell r="N398" t="e">
            <v>#N/A</v>
          </cell>
          <cell r="O398" t="e">
            <v>#N/A</v>
          </cell>
          <cell r="P398">
            <v>56.189988</v>
          </cell>
          <cell r="Q398">
            <v>3.1481870000000001</v>
          </cell>
          <cell r="R398" t="e">
            <v>#N/A</v>
          </cell>
        </row>
        <row r="399">
          <cell r="A399">
            <v>40730</v>
          </cell>
          <cell r="B399">
            <v>40730</v>
          </cell>
          <cell r="C399" t="str">
            <v>Past</v>
          </cell>
          <cell r="D399">
            <v>56.26999</v>
          </cell>
          <cell r="E399" t="e">
            <v>#N/A</v>
          </cell>
          <cell r="F399" t="e">
            <v>#N/A</v>
          </cell>
          <cell r="G399" t="e">
            <v>#N/A</v>
          </cell>
          <cell r="H399" t="e">
            <v>#N/A</v>
          </cell>
          <cell r="I399" t="e">
            <v>#N/A</v>
          </cell>
          <cell r="J399" t="e">
            <v>#N/A</v>
          </cell>
          <cell r="K399" t="e">
            <v>#N/A</v>
          </cell>
          <cell r="L399" t="e">
            <v>#N/A</v>
          </cell>
          <cell r="M399" t="e">
            <v>#N/A</v>
          </cell>
          <cell r="N399" t="e">
            <v>#N/A</v>
          </cell>
          <cell r="O399" t="e">
            <v>#N/A</v>
          </cell>
          <cell r="P399">
            <v>56.26999</v>
          </cell>
          <cell r="Q399">
            <v>2.9226770000000002</v>
          </cell>
          <cell r="R399" t="e">
            <v>#N/A</v>
          </cell>
        </row>
        <row r="400">
          <cell r="A400">
            <v>40731</v>
          </cell>
          <cell r="B400">
            <v>40731</v>
          </cell>
          <cell r="C400" t="str">
            <v>Past</v>
          </cell>
          <cell r="D400">
            <v>55.859985999999999</v>
          </cell>
          <cell r="E400" t="e">
            <v>#N/A</v>
          </cell>
          <cell r="F400" t="e">
            <v>#N/A</v>
          </cell>
          <cell r="G400" t="e">
            <v>#N/A</v>
          </cell>
          <cell r="H400" t="e">
            <v>#N/A</v>
          </cell>
          <cell r="I400" t="e">
            <v>#N/A</v>
          </cell>
          <cell r="J400" t="e">
            <v>#N/A</v>
          </cell>
          <cell r="K400" t="e">
            <v>#N/A</v>
          </cell>
          <cell r="L400" t="e">
            <v>#N/A</v>
          </cell>
          <cell r="M400" t="e">
            <v>#N/A</v>
          </cell>
          <cell r="N400" t="e">
            <v>#N/A</v>
          </cell>
          <cell r="O400" t="e">
            <v>#N/A</v>
          </cell>
          <cell r="P400">
            <v>55.859985999999999</v>
          </cell>
          <cell r="Q400">
            <v>3.4080309999999998</v>
          </cell>
          <cell r="R400" t="e">
            <v>#N/A</v>
          </cell>
        </row>
        <row r="401">
          <cell r="A401">
            <v>40732</v>
          </cell>
          <cell r="B401">
            <v>40732</v>
          </cell>
          <cell r="C401" t="str">
            <v>Past</v>
          </cell>
          <cell r="D401">
            <v>55.259995000000004</v>
          </cell>
          <cell r="E401" t="e">
            <v>#N/A</v>
          </cell>
          <cell r="F401" t="e">
            <v>#N/A</v>
          </cell>
          <cell r="G401" t="e">
            <v>#N/A</v>
          </cell>
          <cell r="H401" t="e">
            <v>#N/A</v>
          </cell>
          <cell r="I401" t="e">
            <v>#N/A</v>
          </cell>
          <cell r="J401" t="e">
            <v>#N/A</v>
          </cell>
          <cell r="K401" t="e">
            <v>#N/A</v>
          </cell>
          <cell r="L401" t="e">
            <v>#N/A</v>
          </cell>
          <cell r="M401" t="e">
            <v>#N/A</v>
          </cell>
          <cell r="N401" t="e">
            <v>#N/A</v>
          </cell>
          <cell r="O401" t="e">
            <v>#N/A</v>
          </cell>
          <cell r="P401">
            <v>55.259995000000004</v>
          </cell>
          <cell r="Q401">
            <v>4.1596289999999998</v>
          </cell>
          <cell r="R401" t="e">
            <v>#N/A</v>
          </cell>
        </row>
        <row r="402">
          <cell r="A402">
            <v>40735</v>
          </cell>
          <cell r="B402">
            <v>40735</v>
          </cell>
          <cell r="C402" t="str">
            <v>Past</v>
          </cell>
          <cell r="D402">
            <v>54.869996</v>
          </cell>
          <cell r="E402" t="e">
            <v>#N/A</v>
          </cell>
          <cell r="F402" t="e">
            <v>#N/A</v>
          </cell>
          <cell r="G402" t="e">
            <v>#N/A</v>
          </cell>
          <cell r="H402" t="e">
            <v>#N/A</v>
          </cell>
          <cell r="I402" t="e">
            <v>#N/A</v>
          </cell>
          <cell r="J402" t="e">
            <v>#N/A</v>
          </cell>
          <cell r="K402" t="e">
            <v>#N/A</v>
          </cell>
          <cell r="L402" t="e">
            <v>#N/A</v>
          </cell>
          <cell r="M402" t="e">
            <v>#N/A</v>
          </cell>
          <cell r="N402" t="e">
            <v>#N/A</v>
          </cell>
          <cell r="O402" t="e">
            <v>#N/A</v>
          </cell>
          <cell r="P402">
            <v>54.869996</v>
          </cell>
          <cell r="Q402">
            <v>3.1412059999999999</v>
          </cell>
          <cell r="R402" t="e">
            <v>#N/A</v>
          </cell>
        </row>
        <row r="403">
          <cell r="A403">
            <v>40736</v>
          </cell>
          <cell r="B403">
            <v>40736</v>
          </cell>
          <cell r="C403" t="str">
            <v>Past</v>
          </cell>
          <cell r="D403">
            <v>54.599991000000003</v>
          </cell>
          <cell r="E403" t="e">
            <v>#N/A</v>
          </cell>
          <cell r="F403" t="e">
            <v>#N/A</v>
          </cell>
          <cell r="G403" t="e">
            <v>#N/A</v>
          </cell>
          <cell r="H403" t="e">
            <v>#N/A</v>
          </cell>
          <cell r="I403" t="e">
            <v>#N/A</v>
          </cell>
          <cell r="J403" t="e">
            <v>#N/A</v>
          </cell>
          <cell r="K403" t="e">
            <v>#N/A</v>
          </cell>
          <cell r="L403" t="e">
            <v>#N/A</v>
          </cell>
          <cell r="M403" t="e">
            <v>#N/A</v>
          </cell>
          <cell r="N403" t="e">
            <v>#N/A</v>
          </cell>
          <cell r="O403" t="e">
            <v>#N/A</v>
          </cell>
          <cell r="P403">
            <v>54.599991000000003</v>
          </cell>
          <cell r="Q403">
            <v>2.5667369999999998</v>
          </cell>
          <cell r="R403" t="e">
            <v>#N/A</v>
          </cell>
        </row>
        <row r="404">
          <cell r="A404">
            <v>40737</v>
          </cell>
          <cell r="B404">
            <v>40737</v>
          </cell>
          <cell r="C404" t="str">
            <v>Past</v>
          </cell>
          <cell r="D404">
            <v>54.699997000000003</v>
          </cell>
          <cell r="E404" t="e">
            <v>#N/A</v>
          </cell>
          <cell r="F404" t="e">
            <v>#N/A</v>
          </cell>
          <cell r="G404" t="e">
            <v>#N/A</v>
          </cell>
          <cell r="H404" t="e">
            <v>#N/A</v>
          </cell>
          <cell r="I404" t="e">
            <v>#N/A</v>
          </cell>
          <cell r="J404" t="e">
            <v>#N/A</v>
          </cell>
          <cell r="K404" t="e">
            <v>#N/A</v>
          </cell>
          <cell r="L404" t="e">
            <v>#N/A</v>
          </cell>
          <cell r="M404" t="e">
            <v>#N/A</v>
          </cell>
          <cell r="N404" t="e">
            <v>#N/A</v>
          </cell>
          <cell r="O404" t="e">
            <v>#N/A</v>
          </cell>
          <cell r="P404">
            <v>54.699997000000003</v>
          </cell>
          <cell r="Q404">
            <v>3.9236019999999998</v>
          </cell>
          <cell r="R404" t="e">
            <v>#N/A</v>
          </cell>
        </row>
        <row r="405">
          <cell r="A405">
            <v>40738</v>
          </cell>
          <cell r="B405">
            <v>40738</v>
          </cell>
          <cell r="C405" t="str">
            <v>Past</v>
          </cell>
          <cell r="D405">
            <v>54.279998999999997</v>
          </cell>
          <cell r="E405" t="e">
            <v>#N/A</v>
          </cell>
          <cell r="F405" t="e">
            <v>#N/A</v>
          </cell>
          <cell r="G405" t="e">
            <v>#N/A</v>
          </cell>
          <cell r="H405" t="e">
            <v>#N/A</v>
          </cell>
          <cell r="I405" t="e">
            <v>#N/A</v>
          </cell>
          <cell r="J405" t="e">
            <v>#N/A</v>
          </cell>
          <cell r="K405" t="e">
            <v>#N/A</v>
          </cell>
          <cell r="L405" t="e">
            <v>#N/A</v>
          </cell>
          <cell r="M405" t="e">
            <v>#N/A</v>
          </cell>
          <cell r="N405" t="e">
            <v>#N/A</v>
          </cell>
          <cell r="O405" t="e">
            <v>#N/A</v>
          </cell>
          <cell r="P405">
            <v>54.279998999999997</v>
          </cell>
          <cell r="Q405">
            <v>3.2127150000000002</v>
          </cell>
          <cell r="R405" t="e">
            <v>#N/A</v>
          </cell>
        </row>
        <row r="406">
          <cell r="A406">
            <v>40739</v>
          </cell>
          <cell r="B406">
            <v>40739</v>
          </cell>
          <cell r="C406" t="str">
            <v>Past</v>
          </cell>
          <cell r="D406">
            <v>54</v>
          </cell>
          <cell r="E406" t="e">
            <v>#N/A</v>
          </cell>
          <cell r="F406" t="e">
            <v>#N/A</v>
          </cell>
          <cell r="G406" t="e">
            <v>#N/A</v>
          </cell>
          <cell r="H406" t="e">
            <v>#N/A</v>
          </cell>
          <cell r="I406" t="e">
            <v>#N/A</v>
          </cell>
          <cell r="J406" t="e">
            <v>#N/A</v>
          </cell>
          <cell r="K406" t="e">
            <v>#N/A</v>
          </cell>
          <cell r="L406" t="e">
            <v>#N/A</v>
          </cell>
          <cell r="M406" t="e">
            <v>#N/A</v>
          </cell>
          <cell r="N406" t="e">
            <v>#N/A</v>
          </cell>
          <cell r="O406" t="e">
            <v>#N/A</v>
          </cell>
          <cell r="P406">
            <v>54</v>
          </cell>
          <cell r="Q406">
            <v>3.502294</v>
          </cell>
          <cell r="R406" t="e">
            <v>#N/A</v>
          </cell>
        </row>
        <row r="407">
          <cell r="A407">
            <v>40742</v>
          </cell>
          <cell r="B407">
            <v>40742</v>
          </cell>
          <cell r="C407" t="str">
            <v>Past</v>
          </cell>
          <cell r="D407">
            <v>53.819992999999997</v>
          </cell>
          <cell r="E407" t="e">
            <v>#N/A</v>
          </cell>
          <cell r="F407" t="e">
            <v>#N/A</v>
          </cell>
          <cell r="G407" t="e">
            <v>#N/A</v>
          </cell>
          <cell r="H407" t="e">
            <v>#N/A</v>
          </cell>
          <cell r="I407" t="e">
            <v>#N/A</v>
          </cell>
          <cell r="J407" t="e">
            <v>#N/A</v>
          </cell>
          <cell r="K407" t="e">
            <v>#N/A</v>
          </cell>
          <cell r="L407" t="e">
            <v>#N/A</v>
          </cell>
          <cell r="M407" t="e">
            <v>#N/A</v>
          </cell>
          <cell r="N407" t="e">
            <v>#N/A</v>
          </cell>
          <cell r="O407" t="e">
            <v>#N/A</v>
          </cell>
          <cell r="P407">
            <v>53.819992999999997</v>
          </cell>
          <cell r="Q407">
            <v>3.241206</v>
          </cell>
          <cell r="R407" t="e">
            <v>#N/A</v>
          </cell>
        </row>
        <row r="408">
          <cell r="A408">
            <v>40743</v>
          </cell>
          <cell r="B408">
            <v>40743</v>
          </cell>
          <cell r="C408" t="str">
            <v>Past</v>
          </cell>
          <cell r="D408">
            <v>54.529998999999997</v>
          </cell>
          <cell r="E408" t="e">
            <v>#N/A</v>
          </cell>
          <cell r="F408" t="e">
            <v>#N/A</v>
          </cell>
          <cell r="G408" t="e">
            <v>#N/A</v>
          </cell>
          <cell r="H408" t="e">
            <v>#N/A</v>
          </cell>
          <cell r="I408" t="e">
            <v>#N/A</v>
          </cell>
          <cell r="J408" t="e">
            <v>#N/A</v>
          </cell>
          <cell r="K408" t="e">
            <v>#N/A</v>
          </cell>
          <cell r="L408" t="e">
            <v>#N/A</v>
          </cell>
          <cell r="M408" t="e">
            <v>#N/A</v>
          </cell>
          <cell r="N408" t="e">
            <v>#N/A</v>
          </cell>
          <cell r="O408" t="e">
            <v>#N/A</v>
          </cell>
          <cell r="P408">
            <v>54.529998999999997</v>
          </cell>
          <cell r="Q408">
            <v>3.7987220000000002</v>
          </cell>
          <cell r="R408" t="e">
            <v>#N/A</v>
          </cell>
        </row>
        <row r="409">
          <cell r="A409">
            <v>40744</v>
          </cell>
          <cell r="B409">
            <v>40744</v>
          </cell>
          <cell r="C409" t="str">
            <v>Past</v>
          </cell>
          <cell r="D409">
            <v>55.779998999999997</v>
          </cell>
          <cell r="E409" t="e">
            <v>#N/A</v>
          </cell>
          <cell r="F409" t="e">
            <v>#N/A</v>
          </cell>
          <cell r="G409" t="e">
            <v>#N/A</v>
          </cell>
          <cell r="H409" t="e">
            <v>#N/A</v>
          </cell>
          <cell r="I409" t="e">
            <v>#N/A</v>
          </cell>
          <cell r="J409" t="e">
            <v>#N/A</v>
          </cell>
          <cell r="K409" t="e">
            <v>#N/A</v>
          </cell>
          <cell r="L409" t="e">
            <v>#N/A</v>
          </cell>
          <cell r="M409" t="e">
            <v>#N/A</v>
          </cell>
          <cell r="N409" t="e">
            <v>#N/A</v>
          </cell>
          <cell r="O409" t="e">
            <v>#N/A</v>
          </cell>
          <cell r="P409">
            <v>55.779998999999997</v>
          </cell>
          <cell r="Q409">
            <v>4.2694020000000004</v>
          </cell>
          <cell r="R409" t="e">
            <v>#N/A</v>
          </cell>
        </row>
        <row r="410">
          <cell r="A410">
            <v>40745</v>
          </cell>
          <cell r="B410">
            <v>40745</v>
          </cell>
          <cell r="C410" t="str">
            <v>Past</v>
          </cell>
          <cell r="D410">
            <v>63.829987000000003</v>
          </cell>
          <cell r="E410" t="e">
            <v>#N/A</v>
          </cell>
          <cell r="F410" t="e">
            <v>#N/A</v>
          </cell>
          <cell r="G410" t="e">
            <v>#N/A</v>
          </cell>
          <cell r="H410" t="e">
            <v>#N/A</v>
          </cell>
          <cell r="I410" t="e">
            <v>#N/A</v>
          </cell>
          <cell r="J410" t="e">
            <v>#N/A</v>
          </cell>
          <cell r="K410" t="e">
            <v>#N/A</v>
          </cell>
          <cell r="L410" t="e">
            <v>#N/A</v>
          </cell>
          <cell r="M410" t="e">
            <v>#N/A</v>
          </cell>
          <cell r="N410" t="e">
            <v>#N/A</v>
          </cell>
          <cell r="O410" t="e">
            <v>#N/A</v>
          </cell>
          <cell r="P410">
            <v>63.829987000000003</v>
          </cell>
          <cell r="Q410">
            <v>70.980563000000004</v>
          </cell>
          <cell r="R410" t="e">
            <v>#N/A</v>
          </cell>
        </row>
        <row r="411">
          <cell r="A411">
            <v>40746</v>
          </cell>
          <cell r="B411">
            <v>40746</v>
          </cell>
          <cell r="C411" t="str">
            <v>Past</v>
          </cell>
          <cell r="D411">
            <v>65.959992</v>
          </cell>
          <cell r="E411" t="e">
            <v>#N/A</v>
          </cell>
          <cell r="F411" t="e">
            <v>#N/A</v>
          </cell>
          <cell r="G411" t="e">
            <v>#N/A</v>
          </cell>
          <cell r="H411" t="e">
            <v>#N/A</v>
          </cell>
          <cell r="I411" t="e">
            <v>#N/A</v>
          </cell>
          <cell r="J411" t="e">
            <v>#N/A</v>
          </cell>
          <cell r="K411" t="e">
            <v>#N/A</v>
          </cell>
          <cell r="L411" t="e">
            <v>#N/A</v>
          </cell>
          <cell r="M411" t="e">
            <v>#N/A</v>
          </cell>
          <cell r="N411" t="e">
            <v>#N/A</v>
          </cell>
          <cell r="O411" t="e">
            <v>#N/A</v>
          </cell>
          <cell r="P411">
            <v>65.959992</v>
          </cell>
          <cell r="Q411">
            <v>15.726696</v>
          </cell>
          <cell r="R411" t="e">
            <v>#N/A</v>
          </cell>
        </row>
        <row r="412">
          <cell r="A412">
            <v>40749</v>
          </cell>
          <cell r="B412">
            <v>40749</v>
          </cell>
          <cell r="C412" t="str">
            <v>Past</v>
          </cell>
          <cell r="D412">
            <v>65.509995000000004</v>
          </cell>
          <cell r="E412" t="e">
            <v>#N/A</v>
          </cell>
          <cell r="F412" t="e">
            <v>#N/A</v>
          </cell>
          <cell r="G412" t="e">
            <v>#N/A</v>
          </cell>
          <cell r="H412" t="e">
            <v>#N/A</v>
          </cell>
          <cell r="I412" t="e">
            <v>#N/A</v>
          </cell>
          <cell r="J412" t="e">
            <v>#N/A</v>
          </cell>
          <cell r="K412" t="e">
            <v>#N/A</v>
          </cell>
          <cell r="L412" t="e">
            <v>#N/A</v>
          </cell>
          <cell r="M412" t="e">
            <v>#N/A</v>
          </cell>
          <cell r="N412" t="e">
            <v>#N/A</v>
          </cell>
          <cell r="O412" t="e">
            <v>#N/A</v>
          </cell>
          <cell r="P412">
            <v>65.509995000000004</v>
          </cell>
          <cell r="Q412">
            <v>7.5194020000000004</v>
          </cell>
          <cell r="R412" t="e">
            <v>#N/A</v>
          </cell>
        </row>
        <row r="413">
          <cell r="A413">
            <v>40750</v>
          </cell>
          <cell r="B413">
            <v>40750</v>
          </cell>
          <cell r="C413" t="str">
            <v>Past</v>
          </cell>
          <cell r="D413">
            <v>64.579987000000003</v>
          </cell>
          <cell r="E413" t="e">
            <v>#N/A</v>
          </cell>
          <cell r="F413" t="e">
            <v>#N/A</v>
          </cell>
          <cell r="G413" t="e">
            <v>#N/A</v>
          </cell>
          <cell r="H413" t="e">
            <v>#N/A</v>
          </cell>
          <cell r="I413" t="e">
            <v>#N/A</v>
          </cell>
          <cell r="J413" t="e">
            <v>#N/A</v>
          </cell>
          <cell r="K413" t="e">
            <v>#N/A</v>
          </cell>
          <cell r="L413" t="e">
            <v>#N/A</v>
          </cell>
          <cell r="M413" t="e">
            <v>#N/A</v>
          </cell>
          <cell r="N413" t="e">
            <v>#N/A</v>
          </cell>
          <cell r="O413" t="e">
            <v>#N/A</v>
          </cell>
          <cell r="P413">
            <v>64.579987000000003</v>
          </cell>
          <cell r="Q413">
            <v>10.099508</v>
          </cell>
          <cell r="R413" t="e">
            <v>#N/A</v>
          </cell>
        </row>
        <row r="414">
          <cell r="A414">
            <v>40751</v>
          </cell>
          <cell r="B414">
            <v>40751</v>
          </cell>
          <cell r="C414" t="str">
            <v>Past</v>
          </cell>
          <cell r="D414">
            <v>63.119996</v>
          </cell>
          <cell r="E414" t="e">
            <v>#N/A</v>
          </cell>
          <cell r="F414" t="e">
            <v>#N/A</v>
          </cell>
          <cell r="G414" t="e">
            <v>#N/A</v>
          </cell>
          <cell r="H414" t="e">
            <v>#N/A</v>
          </cell>
          <cell r="I414" t="e">
            <v>#N/A</v>
          </cell>
          <cell r="J414" t="e">
            <v>#N/A</v>
          </cell>
          <cell r="K414" t="e">
            <v>#N/A</v>
          </cell>
          <cell r="L414" t="e">
            <v>#N/A</v>
          </cell>
          <cell r="M414" t="e">
            <v>#N/A</v>
          </cell>
          <cell r="N414" t="e">
            <v>#N/A</v>
          </cell>
          <cell r="O414" t="e">
            <v>#N/A</v>
          </cell>
          <cell r="P414">
            <v>63.119996</v>
          </cell>
          <cell r="Q414">
            <v>5.8878089999999998</v>
          </cell>
          <cell r="R414" t="e">
            <v>#N/A</v>
          </cell>
        </row>
        <row r="415">
          <cell r="A415">
            <v>40752</v>
          </cell>
          <cell r="B415">
            <v>40752</v>
          </cell>
          <cell r="C415" t="str">
            <v>Past</v>
          </cell>
          <cell r="D415">
            <v>63</v>
          </cell>
          <cell r="E415" t="e">
            <v>#N/A</v>
          </cell>
          <cell r="F415" t="e">
            <v>#N/A</v>
          </cell>
          <cell r="G415" t="e">
            <v>#N/A</v>
          </cell>
          <cell r="H415" t="e">
            <v>#N/A</v>
          </cell>
          <cell r="I415" t="e">
            <v>#N/A</v>
          </cell>
          <cell r="J415" t="e">
            <v>#N/A</v>
          </cell>
          <cell r="K415" t="e">
            <v>#N/A</v>
          </cell>
          <cell r="L415" t="e">
            <v>#N/A</v>
          </cell>
          <cell r="M415" t="e">
            <v>#N/A</v>
          </cell>
          <cell r="N415" t="e">
            <v>#N/A</v>
          </cell>
          <cell r="O415" t="e">
            <v>#N/A</v>
          </cell>
          <cell r="P415">
            <v>63</v>
          </cell>
          <cell r="Q415">
            <v>5.2102029999999999</v>
          </cell>
          <cell r="R415" t="e">
            <v>#N/A</v>
          </cell>
        </row>
        <row r="416">
          <cell r="A416">
            <v>40753</v>
          </cell>
          <cell r="B416">
            <v>40753</v>
          </cell>
          <cell r="C416" t="str">
            <v>Past</v>
          </cell>
          <cell r="D416">
            <v>62.879989999999999</v>
          </cell>
          <cell r="E416" t="e">
            <v>#N/A</v>
          </cell>
          <cell r="F416" t="e">
            <v>#N/A</v>
          </cell>
          <cell r="G416" t="e">
            <v>#N/A</v>
          </cell>
          <cell r="H416" t="e">
            <v>#N/A</v>
          </cell>
          <cell r="I416" t="e">
            <v>#N/A</v>
          </cell>
          <cell r="J416" t="e">
            <v>#N/A</v>
          </cell>
          <cell r="K416" t="e">
            <v>#N/A</v>
          </cell>
          <cell r="L416" t="e">
            <v>#N/A</v>
          </cell>
          <cell r="M416" t="e">
            <v>#N/A</v>
          </cell>
          <cell r="N416" t="e">
            <v>#N/A</v>
          </cell>
          <cell r="O416" t="e">
            <v>#N/A</v>
          </cell>
          <cell r="P416">
            <v>62.879989999999999</v>
          </cell>
          <cell r="Q416">
            <v>5.9893710000000002</v>
          </cell>
          <cell r="R416" t="e">
            <v>#N/A</v>
          </cell>
        </row>
        <row r="417">
          <cell r="A417">
            <v>40756</v>
          </cell>
          <cell r="B417">
            <v>40756</v>
          </cell>
          <cell r="C417" t="str">
            <v>Past</v>
          </cell>
          <cell r="D417">
            <v>62.049987999999999</v>
          </cell>
          <cell r="E417" t="e">
            <v>#N/A</v>
          </cell>
          <cell r="F417" t="e">
            <v>#N/A</v>
          </cell>
          <cell r="G417" t="e">
            <v>#N/A</v>
          </cell>
          <cell r="H417" t="e">
            <v>#N/A</v>
          </cell>
          <cell r="I417" t="e">
            <v>#N/A</v>
          </cell>
          <cell r="J417" t="e">
            <v>#N/A</v>
          </cell>
          <cell r="K417" t="e">
            <v>#N/A</v>
          </cell>
          <cell r="L417" t="e">
            <v>#N/A</v>
          </cell>
          <cell r="M417" t="e">
            <v>#N/A</v>
          </cell>
          <cell r="N417" t="e">
            <v>#N/A</v>
          </cell>
          <cell r="O417" t="e">
            <v>#N/A</v>
          </cell>
          <cell r="P417">
            <v>62.049987999999999</v>
          </cell>
          <cell r="Q417">
            <v>4.4132340000000001</v>
          </cell>
          <cell r="R417" t="e">
            <v>#N/A</v>
          </cell>
        </row>
        <row r="418">
          <cell r="A418">
            <v>40757</v>
          </cell>
          <cell r="B418">
            <v>40757</v>
          </cell>
          <cell r="C418" t="str">
            <v>Past</v>
          </cell>
          <cell r="D418">
            <v>60.459992</v>
          </cell>
          <cell r="E418" t="e">
            <v>#N/A</v>
          </cell>
          <cell r="F418" t="e">
            <v>#N/A</v>
          </cell>
          <cell r="G418" t="e">
            <v>#N/A</v>
          </cell>
          <cell r="H418" t="e">
            <v>#N/A</v>
          </cell>
          <cell r="I418" t="e">
            <v>#N/A</v>
          </cell>
          <cell r="J418" t="e">
            <v>#N/A</v>
          </cell>
          <cell r="K418" t="e">
            <v>#N/A</v>
          </cell>
          <cell r="L418" t="e">
            <v>#N/A</v>
          </cell>
          <cell r="M418" t="e">
            <v>#N/A</v>
          </cell>
          <cell r="N418" t="e">
            <v>#N/A</v>
          </cell>
          <cell r="O418" t="e">
            <v>#N/A</v>
          </cell>
          <cell r="P418">
            <v>60.459992</v>
          </cell>
          <cell r="Q418">
            <v>4.7107619999999999</v>
          </cell>
          <cell r="R418" t="e">
            <v>#N/A</v>
          </cell>
        </row>
        <row r="419">
          <cell r="A419">
            <v>40758</v>
          </cell>
          <cell r="B419">
            <v>40758</v>
          </cell>
          <cell r="C419" t="str">
            <v>Past</v>
          </cell>
          <cell r="D419">
            <v>59.849991000000003</v>
          </cell>
          <cell r="E419" t="e">
            <v>#N/A</v>
          </cell>
          <cell r="F419" t="e">
            <v>#N/A</v>
          </cell>
          <cell r="G419" t="e">
            <v>#N/A</v>
          </cell>
          <cell r="H419" t="e">
            <v>#N/A</v>
          </cell>
          <cell r="I419" t="e">
            <v>#N/A</v>
          </cell>
          <cell r="J419" t="e">
            <v>#N/A</v>
          </cell>
          <cell r="K419" t="e">
            <v>#N/A</v>
          </cell>
          <cell r="L419" t="e">
            <v>#N/A</v>
          </cell>
          <cell r="M419" t="e">
            <v>#N/A</v>
          </cell>
          <cell r="N419" t="e">
            <v>#N/A</v>
          </cell>
          <cell r="O419" t="e">
            <v>#N/A</v>
          </cell>
          <cell r="P419">
            <v>59.849991000000003</v>
          </cell>
          <cell r="Q419">
            <v>7.4547230000000004</v>
          </cell>
          <cell r="R419" t="e">
            <v>#N/A</v>
          </cell>
        </row>
        <row r="420">
          <cell r="A420">
            <v>40759</v>
          </cell>
          <cell r="B420">
            <v>40759</v>
          </cell>
          <cell r="C420" t="str">
            <v>Past</v>
          </cell>
          <cell r="D420">
            <v>55.969985999999999</v>
          </cell>
          <cell r="E420" t="e">
            <v>#N/A</v>
          </cell>
          <cell r="F420" t="e">
            <v>#N/A</v>
          </cell>
          <cell r="G420" t="e">
            <v>#N/A</v>
          </cell>
          <cell r="H420" t="e">
            <v>#N/A</v>
          </cell>
          <cell r="I420" t="e">
            <v>#N/A</v>
          </cell>
          <cell r="J420" t="e">
            <v>#N/A</v>
          </cell>
          <cell r="K420" t="e">
            <v>#N/A</v>
          </cell>
          <cell r="L420" t="e">
            <v>#N/A</v>
          </cell>
          <cell r="M420" t="e">
            <v>#N/A</v>
          </cell>
          <cell r="N420" t="e">
            <v>#N/A</v>
          </cell>
          <cell r="O420" t="e">
            <v>#N/A</v>
          </cell>
          <cell r="P420">
            <v>55.969985999999999</v>
          </cell>
          <cell r="Q420">
            <v>9.9255630000000004</v>
          </cell>
          <cell r="R420" t="e">
            <v>#N/A</v>
          </cell>
        </row>
        <row r="421">
          <cell r="A421">
            <v>40760</v>
          </cell>
          <cell r="B421">
            <v>40760</v>
          </cell>
          <cell r="C421" t="str">
            <v>Past</v>
          </cell>
          <cell r="D421">
            <v>55.479996</v>
          </cell>
          <cell r="E421" t="e">
            <v>#N/A</v>
          </cell>
          <cell r="F421" t="e">
            <v>#N/A</v>
          </cell>
          <cell r="G421" t="e">
            <v>#N/A</v>
          </cell>
          <cell r="H421" t="e">
            <v>#N/A</v>
          </cell>
          <cell r="I421" t="e">
            <v>#N/A</v>
          </cell>
          <cell r="J421" t="e">
            <v>#N/A</v>
          </cell>
          <cell r="K421" t="e">
            <v>#N/A</v>
          </cell>
          <cell r="L421" t="e">
            <v>#N/A</v>
          </cell>
          <cell r="M421" t="e">
            <v>#N/A</v>
          </cell>
          <cell r="N421" t="e">
            <v>#N/A</v>
          </cell>
          <cell r="O421" t="e">
            <v>#N/A</v>
          </cell>
          <cell r="P421">
            <v>55.479996</v>
          </cell>
          <cell r="Q421">
            <v>10.83986</v>
          </cell>
          <cell r="R421" t="e">
            <v>#N/A</v>
          </cell>
        </row>
        <row r="422">
          <cell r="A422">
            <v>40763</v>
          </cell>
          <cell r="B422">
            <v>40763</v>
          </cell>
          <cell r="C422" t="str">
            <v>Past</v>
          </cell>
          <cell r="D422">
            <v>50.979996</v>
          </cell>
          <cell r="E422" t="e">
            <v>#N/A</v>
          </cell>
          <cell r="F422" t="e">
            <v>#N/A</v>
          </cell>
          <cell r="G422" t="e">
            <v>#N/A</v>
          </cell>
          <cell r="H422" t="e">
            <v>#N/A</v>
          </cell>
          <cell r="I422" t="e">
            <v>#N/A</v>
          </cell>
          <cell r="J422" t="e">
            <v>#N/A</v>
          </cell>
          <cell r="K422" t="e">
            <v>#N/A</v>
          </cell>
          <cell r="L422" t="e">
            <v>#N/A</v>
          </cell>
          <cell r="M422" t="e">
            <v>#N/A</v>
          </cell>
          <cell r="N422" t="e">
            <v>#N/A</v>
          </cell>
          <cell r="O422" t="e">
            <v>#N/A</v>
          </cell>
          <cell r="P422">
            <v>50.979996</v>
          </cell>
          <cell r="Q422">
            <v>9.4749920000000003</v>
          </cell>
          <cell r="R422" t="e">
            <v>#N/A</v>
          </cell>
        </row>
        <row r="423">
          <cell r="A423">
            <v>40764</v>
          </cell>
          <cell r="B423">
            <v>40764</v>
          </cell>
          <cell r="C423" t="str">
            <v>Past</v>
          </cell>
          <cell r="D423">
            <v>53.799987999999999</v>
          </cell>
          <cell r="E423" t="e">
            <v>#N/A</v>
          </cell>
          <cell r="F423" t="e">
            <v>#N/A</v>
          </cell>
          <cell r="G423" t="e">
            <v>#N/A</v>
          </cell>
          <cell r="H423" t="e">
            <v>#N/A</v>
          </cell>
          <cell r="I423" t="e">
            <v>#N/A</v>
          </cell>
          <cell r="J423" t="e">
            <v>#N/A</v>
          </cell>
          <cell r="K423" t="e">
            <v>#N/A</v>
          </cell>
          <cell r="L423" t="e">
            <v>#N/A</v>
          </cell>
          <cell r="M423" t="e">
            <v>#N/A</v>
          </cell>
          <cell r="N423" t="e">
            <v>#N/A</v>
          </cell>
          <cell r="O423" t="e">
            <v>#N/A</v>
          </cell>
          <cell r="P423">
            <v>53.799987999999999</v>
          </cell>
          <cell r="Q423">
            <v>9.5307069999999996</v>
          </cell>
          <cell r="R423" t="e">
            <v>#N/A</v>
          </cell>
        </row>
        <row r="424">
          <cell r="A424">
            <v>40765</v>
          </cell>
          <cell r="B424">
            <v>40765</v>
          </cell>
          <cell r="C424" t="str">
            <v>Past</v>
          </cell>
          <cell r="D424">
            <v>52.01999</v>
          </cell>
          <cell r="E424" t="e">
            <v>#N/A</v>
          </cell>
          <cell r="F424" t="e">
            <v>#N/A</v>
          </cell>
          <cell r="G424" t="e">
            <v>#N/A</v>
          </cell>
          <cell r="H424" t="e">
            <v>#N/A</v>
          </cell>
          <cell r="I424" t="e">
            <v>#N/A</v>
          </cell>
          <cell r="J424" t="e">
            <v>#N/A</v>
          </cell>
          <cell r="K424" t="e">
            <v>#N/A</v>
          </cell>
          <cell r="L424" t="e">
            <v>#N/A</v>
          </cell>
          <cell r="M424" t="e">
            <v>#N/A</v>
          </cell>
          <cell r="N424" t="e">
            <v>#N/A</v>
          </cell>
          <cell r="O424" t="e">
            <v>#N/A</v>
          </cell>
          <cell r="P424">
            <v>52.01999</v>
          </cell>
          <cell r="Q424">
            <v>8.2551410000000001</v>
          </cell>
          <cell r="R424" t="e">
            <v>#N/A</v>
          </cell>
        </row>
        <row r="425">
          <cell r="A425">
            <v>40766</v>
          </cell>
          <cell r="B425">
            <v>40766</v>
          </cell>
          <cell r="C425" t="str">
            <v>Past</v>
          </cell>
          <cell r="D425">
            <v>54.149994</v>
          </cell>
          <cell r="E425" t="e">
            <v>#N/A</v>
          </cell>
          <cell r="F425" t="e">
            <v>#N/A</v>
          </cell>
          <cell r="G425" t="e">
            <v>#N/A</v>
          </cell>
          <cell r="H425" t="e">
            <v>#N/A</v>
          </cell>
          <cell r="I425" t="e">
            <v>#N/A</v>
          </cell>
          <cell r="J425" t="e">
            <v>#N/A</v>
          </cell>
          <cell r="K425" t="e">
            <v>#N/A</v>
          </cell>
          <cell r="L425" t="e">
            <v>#N/A</v>
          </cell>
          <cell r="M425" t="e">
            <v>#N/A</v>
          </cell>
          <cell r="N425" t="e">
            <v>#N/A</v>
          </cell>
          <cell r="O425" t="e">
            <v>#N/A</v>
          </cell>
          <cell r="P425">
            <v>54.149994</v>
          </cell>
          <cell r="Q425">
            <v>7.190785</v>
          </cell>
          <cell r="R425" t="e">
            <v>#N/A</v>
          </cell>
        </row>
        <row r="426">
          <cell r="A426">
            <v>40767</v>
          </cell>
          <cell r="B426">
            <v>40767</v>
          </cell>
          <cell r="C426" t="str">
            <v>Past</v>
          </cell>
          <cell r="D426">
            <v>53.939988</v>
          </cell>
          <cell r="E426" t="e">
            <v>#N/A</v>
          </cell>
          <cell r="F426" t="e">
            <v>#N/A</v>
          </cell>
          <cell r="G426" t="e">
            <v>#N/A</v>
          </cell>
          <cell r="H426" t="e">
            <v>#N/A</v>
          </cell>
          <cell r="I426" t="e">
            <v>#N/A</v>
          </cell>
          <cell r="J426" t="e">
            <v>#N/A</v>
          </cell>
          <cell r="K426" t="e">
            <v>#N/A</v>
          </cell>
          <cell r="L426" t="e">
            <v>#N/A</v>
          </cell>
          <cell r="M426" t="e">
            <v>#N/A</v>
          </cell>
          <cell r="N426" t="e">
            <v>#N/A</v>
          </cell>
          <cell r="O426" t="e">
            <v>#N/A</v>
          </cell>
          <cell r="P426">
            <v>53.939988</v>
          </cell>
          <cell r="Q426">
            <v>4.7052969999999998</v>
          </cell>
          <cell r="R426" t="e">
            <v>#N/A</v>
          </cell>
        </row>
        <row r="427">
          <cell r="A427">
            <v>40770</v>
          </cell>
          <cell r="B427">
            <v>40770</v>
          </cell>
          <cell r="C427" t="str">
            <v>Past</v>
          </cell>
          <cell r="D427">
            <v>54.89</v>
          </cell>
          <cell r="E427" t="e">
            <v>#N/A</v>
          </cell>
          <cell r="F427" t="e">
            <v>#N/A</v>
          </cell>
          <cell r="G427" t="e">
            <v>#N/A</v>
          </cell>
          <cell r="H427" t="e">
            <v>#N/A</v>
          </cell>
          <cell r="I427" t="e">
            <v>#N/A</v>
          </cell>
          <cell r="J427" t="e">
            <v>#N/A</v>
          </cell>
          <cell r="K427" t="e">
            <v>#N/A</v>
          </cell>
          <cell r="L427" t="e">
            <v>#N/A</v>
          </cell>
          <cell r="M427" t="e">
            <v>#N/A</v>
          </cell>
          <cell r="N427" t="e">
            <v>#N/A</v>
          </cell>
          <cell r="O427" t="e">
            <v>#N/A</v>
          </cell>
          <cell r="P427">
            <v>54.89</v>
          </cell>
          <cell r="Q427">
            <v>3.1355110000000002</v>
          </cell>
          <cell r="R427" t="e">
            <v>#N/A</v>
          </cell>
        </row>
        <row r="428">
          <cell r="A428">
            <v>40771</v>
          </cell>
          <cell r="B428">
            <v>40771</v>
          </cell>
          <cell r="C428" t="str">
            <v>Past</v>
          </cell>
          <cell r="D428">
            <v>53.939988</v>
          </cell>
          <cell r="E428" t="e">
            <v>#N/A</v>
          </cell>
          <cell r="F428" t="e">
            <v>#N/A</v>
          </cell>
          <cell r="G428" t="e">
            <v>#N/A</v>
          </cell>
          <cell r="H428" t="e">
            <v>#N/A</v>
          </cell>
          <cell r="I428" t="e">
            <v>#N/A</v>
          </cell>
          <cell r="J428" t="e">
            <v>#N/A</v>
          </cell>
          <cell r="K428" t="e">
            <v>#N/A</v>
          </cell>
          <cell r="L428" t="e">
            <v>#N/A</v>
          </cell>
          <cell r="M428" t="e">
            <v>#N/A</v>
          </cell>
          <cell r="N428" t="e">
            <v>#N/A</v>
          </cell>
          <cell r="O428" t="e">
            <v>#N/A</v>
          </cell>
          <cell r="P428">
            <v>53.939988</v>
          </cell>
          <cell r="Q428">
            <v>3.7211129999999999</v>
          </cell>
          <cell r="R428" t="e">
            <v>#N/A</v>
          </cell>
        </row>
        <row r="429">
          <cell r="A429">
            <v>40772</v>
          </cell>
          <cell r="B429">
            <v>40772</v>
          </cell>
          <cell r="C429" t="str">
            <v>Past</v>
          </cell>
          <cell r="D429">
            <v>53.379989999999999</v>
          </cell>
          <cell r="E429" t="e">
            <v>#N/A</v>
          </cell>
          <cell r="F429" t="e">
            <v>#N/A</v>
          </cell>
          <cell r="G429" t="e">
            <v>#N/A</v>
          </cell>
          <cell r="H429" t="e">
            <v>#N/A</v>
          </cell>
          <cell r="I429" t="e">
            <v>#N/A</v>
          </cell>
          <cell r="J429" t="e">
            <v>#N/A</v>
          </cell>
          <cell r="K429" t="e">
            <v>#N/A</v>
          </cell>
          <cell r="L429" t="e">
            <v>#N/A</v>
          </cell>
          <cell r="M429" t="e">
            <v>#N/A</v>
          </cell>
          <cell r="N429" t="e">
            <v>#N/A</v>
          </cell>
          <cell r="O429" t="e">
            <v>#N/A</v>
          </cell>
          <cell r="P429">
            <v>53.379989999999999</v>
          </cell>
          <cell r="Q429">
            <v>4.8037739999999998</v>
          </cell>
          <cell r="R429" t="e">
            <v>#N/A</v>
          </cell>
        </row>
        <row r="430">
          <cell r="A430">
            <v>40773</v>
          </cell>
          <cell r="B430">
            <v>40773</v>
          </cell>
          <cell r="C430" t="str">
            <v>Past</v>
          </cell>
          <cell r="D430">
            <v>52.359985999999999</v>
          </cell>
          <cell r="E430" t="e">
            <v>#N/A</v>
          </cell>
          <cell r="F430" t="e">
            <v>#N/A</v>
          </cell>
          <cell r="G430" t="e">
            <v>#N/A</v>
          </cell>
          <cell r="H430" t="e">
            <v>#N/A</v>
          </cell>
          <cell r="I430" t="e">
            <v>#N/A</v>
          </cell>
          <cell r="J430" t="e">
            <v>#N/A</v>
          </cell>
          <cell r="K430" t="e">
            <v>#N/A</v>
          </cell>
          <cell r="L430" t="e">
            <v>#N/A</v>
          </cell>
          <cell r="M430" t="e">
            <v>#N/A</v>
          </cell>
          <cell r="N430" t="e">
            <v>#N/A</v>
          </cell>
          <cell r="O430" t="e">
            <v>#N/A</v>
          </cell>
          <cell r="P430">
            <v>52.359985999999999</v>
          </cell>
          <cell r="Q430">
            <v>4.741168</v>
          </cell>
          <cell r="R430" t="e">
            <v>#N/A</v>
          </cell>
        </row>
        <row r="431">
          <cell r="A431">
            <v>40774</v>
          </cell>
          <cell r="B431">
            <v>40774</v>
          </cell>
          <cell r="C431" t="str">
            <v>Past</v>
          </cell>
          <cell r="D431">
            <v>52.369996</v>
          </cell>
          <cell r="E431" t="e">
            <v>#N/A</v>
          </cell>
          <cell r="F431" t="e">
            <v>#N/A</v>
          </cell>
          <cell r="G431" t="e">
            <v>#N/A</v>
          </cell>
          <cell r="H431" t="e">
            <v>#N/A</v>
          </cell>
          <cell r="I431" t="e">
            <v>#N/A</v>
          </cell>
          <cell r="J431" t="e">
            <v>#N/A</v>
          </cell>
          <cell r="K431" t="e">
            <v>#N/A</v>
          </cell>
          <cell r="L431" t="e">
            <v>#N/A</v>
          </cell>
          <cell r="M431" t="e">
            <v>#N/A</v>
          </cell>
          <cell r="N431" t="e">
            <v>#N/A</v>
          </cell>
          <cell r="O431" t="e">
            <v>#N/A</v>
          </cell>
          <cell r="P431">
            <v>52.369996</v>
          </cell>
          <cell r="Q431">
            <v>4.6141800000000002</v>
          </cell>
          <cell r="R431" t="e">
            <v>#N/A</v>
          </cell>
        </row>
        <row r="432">
          <cell r="A432">
            <v>40777</v>
          </cell>
          <cell r="B432">
            <v>40777</v>
          </cell>
          <cell r="C432" t="str">
            <v>Past</v>
          </cell>
          <cell r="D432">
            <v>52.479996</v>
          </cell>
          <cell r="E432" t="e">
            <v>#N/A</v>
          </cell>
          <cell r="F432" t="e">
            <v>#N/A</v>
          </cell>
          <cell r="G432" t="e">
            <v>#N/A</v>
          </cell>
          <cell r="H432" t="e">
            <v>#N/A</v>
          </cell>
          <cell r="I432" t="e">
            <v>#N/A</v>
          </cell>
          <cell r="J432" t="e">
            <v>#N/A</v>
          </cell>
          <cell r="K432" t="e">
            <v>#N/A</v>
          </cell>
          <cell r="L432" t="e">
            <v>#N/A</v>
          </cell>
          <cell r="M432" t="e">
            <v>#N/A</v>
          </cell>
          <cell r="N432" t="e">
            <v>#N/A</v>
          </cell>
          <cell r="O432" t="e">
            <v>#N/A</v>
          </cell>
          <cell r="P432">
            <v>52.479996</v>
          </cell>
          <cell r="Q432">
            <v>3.2497850000000001</v>
          </cell>
          <cell r="R432" t="e">
            <v>#N/A</v>
          </cell>
        </row>
        <row r="433">
          <cell r="A433">
            <v>40778</v>
          </cell>
          <cell r="B433">
            <v>40778</v>
          </cell>
          <cell r="C433" t="str">
            <v>Past</v>
          </cell>
          <cell r="D433">
            <v>53.529998999999997</v>
          </cell>
          <cell r="E433" t="e">
            <v>#N/A</v>
          </cell>
          <cell r="F433" t="e">
            <v>#N/A</v>
          </cell>
          <cell r="G433" t="e">
            <v>#N/A</v>
          </cell>
          <cell r="H433" t="e">
            <v>#N/A</v>
          </cell>
          <cell r="I433" t="e">
            <v>#N/A</v>
          </cell>
          <cell r="J433" t="e">
            <v>#N/A</v>
          </cell>
          <cell r="K433" t="e">
            <v>#N/A</v>
          </cell>
          <cell r="L433" t="e">
            <v>#N/A</v>
          </cell>
          <cell r="M433" t="e">
            <v>#N/A</v>
          </cell>
          <cell r="N433" t="e">
            <v>#N/A</v>
          </cell>
          <cell r="O433" t="e">
            <v>#N/A</v>
          </cell>
          <cell r="P433">
            <v>53.529998999999997</v>
          </cell>
          <cell r="Q433">
            <v>2.7135539999999998</v>
          </cell>
          <cell r="R433" t="e">
            <v>#N/A</v>
          </cell>
        </row>
        <row r="434">
          <cell r="A434">
            <v>40779</v>
          </cell>
          <cell r="B434">
            <v>40779</v>
          </cell>
          <cell r="C434" t="str">
            <v>Past</v>
          </cell>
          <cell r="D434">
            <v>54.069992999999997</v>
          </cell>
          <cell r="E434" t="e">
            <v>#N/A</v>
          </cell>
          <cell r="F434" t="e">
            <v>#N/A</v>
          </cell>
          <cell r="G434" t="e">
            <v>#N/A</v>
          </cell>
          <cell r="H434" t="e">
            <v>#N/A</v>
          </cell>
          <cell r="I434" t="e">
            <v>#N/A</v>
          </cell>
          <cell r="J434" t="e">
            <v>#N/A</v>
          </cell>
          <cell r="K434" t="e">
            <v>#N/A</v>
          </cell>
          <cell r="L434" t="e">
            <v>#N/A</v>
          </cell>
          <cell r="M434" t="e">
            <v>#N/A</v>
          </cell>
          <cell r="N434" t="e">
            <v>#N/A</v>
          </cell>
          <cell r="O434" t="e">
            <v>#N/A</v>
          </cell>
          <cell r="P434">
            <v>54.069992999999997</v>
          </cell>
          <cell r="Q434">
            <v>3.7122069999999998</v>
          </cell>
          <cell r="R434" t="e">
            <v>#N/A</v>
          </cell>
        </row>
        <row r="435">
          <cell r="A435">
            <v>40780</v>
          </cell>
          <cell r="B435">
            <v>40780</v>
          </cell>
          <cell r="C435" t="str">
            <v>Past</v>
          </cell>
          <cell r="D435">
            <v>52.479996</v>
          </cell>
          <cell r="E435" t="e">
            <v>#N/A</v>
          </cell>
          <cell r="F435" t="e">
            <v>#N/A</v>
          </cell>
          <cell r="G435" t="e">
            <v>#N/A</v>
          </cell>
          <cell r="H435" t="e">
            <v>#N/A</v>
          </cell>
          <cell r="I435" t="e">
            <v>#N/A</v>
          </cell>
          <cell r="J435" t="e">
            <v>#N/A</v>
          </cell>
          <cell r="K435" t="e">
            <v>#N/A</v>
          </cell>
          <cell r="L435" t="e">
            <v>#N/A</v>
          </cell>
          <cell r="M435" t="e">
            <v>#N/A</v>
          </cell>
          <cell r="N435" t="e">
            <v>#N/A</v>
          </cell>
          <cell r="O435" t="e">
            <v>#N/A</v>
          </cell>
          <cell r="P435">
            <v>52.479996</v>
          </cell>
          <cell r="Q435">
            <v>3.0350190000000001</v>
          </cell>
          <cell r="R435" t="e">
            <v>#N/A</v>
          </cell>
        </row>
        <row r="436">
          <cell r="A436">
            <v>40781</v>
          </cell>
          <cell r="B436">
            <v>40781</v>
          </cell>
          <cell r="C436" t="str">
            <v>Past</v>
          </cell>
          <cell r="D436">
            <v>53.799987999999999</v>
          </cell>
          <cell r="E436" t="e">
            <v>#N/A</v>
          </cell>
          <cell r="F436" t="e">
            <v>#N/A</v>
          </cell>
          <cell r="G436" t="e">
            <v>#N/A</v>
          </cell>
          <cell r="H436" t="e">
            <v>#N/A</v>
          </cell>
          <cell r="I436" t="e">
            <v>#N/A</v>
          </cell>
          <cell r="J436" t="e">
            <v>#N/A</v>
          </cell>
          <cell r="K436" t="e">
            <v>#N/A</v>
          </cell>
          <cell r="L436" t="e">
            <v>#N/A</v>
          </cell>
          <cell r="M436" t="e">
            <v>#N/A</v>
          </cell>
          <cell r="N436" t="e">
            <v>#N/A</v>
          </cell>
          <cell r="O436" t="e">
            <v>#N/A</v>
          </cell>
          <cell r="P436">
            <v>53.799987999999999</v>
          </cell>
          <cell r="Q436">
            <v>2.4895779999999998</v>
          </cell>
          <cell r="R436" t="e">
            <v>#N/A</v>
          </cell>
        </row>
        <row r="437">
          <cell r="A437">
            <v>40784</v>
          </cell>
          <cell r="B437">
            <v>40784</v>
          </cell>
          <cell r="C437" t="str">
            <v>Past</v>
          </cell>
          <cell r="D437">
            <v>54.849991000000003</v>
          </cell>
          <cell r="E437" t="e">
            <v>#N/A</v>
          </cell>
          <cell r="F437" t="e">
            <v>#N/A</v>
          </cell>
          <cell r="G437" t="e">
            <v>#N/A</v>
          </cell>
          <cell r="H437" t="e">
            <v>#N/A</v>
          </cell>
          <cell r="I437" t="e">
            <v>#N/A</v>
          </cell>
          <cell r="J437" t="e">
            <v>#N/A</v>
          </cell>
          <cell r="K437" t="e">
            <v>#N/A</v>
          </cell>
          <cell r="L437" t="e">
            <v>#N/A</v>
          </cell>
          <cell r="M437" t="e">
            <v>#N/A</v>
          </cell>
          <cell r="N437" t="e">
            <v>#N/A</v>
          </cell>
          <cell r="O437" t="e">
            <v>#N/A</v>
          </cell>
          <cell r="P437">
            <v>54.849991000000003</v>
          </cell>
          <cell r="Q437">
            <v>2.519304</v>
          </cell>
          <cell r="R437" t="e">
            <v>#N/A</v>
          </cell>
        </row>
        <row r="438">
          <cell r="A438">
            <v>40785</v>
          </cell>
          <cell r="B438">
            <v>40785</v>
          </cell>
          <cell r="C438" t="str">
            <v>Past</v>
          </cell>
          <cell r="D438">
            <v>55.049987999999999</v>
          </cell>
          <cell r="E438" t="e">
            <v>#N/A</v>
          </cell>
          <cell r="F438" t="e">
            <v>#N/A</v>
          </cell>
          <cell r="G438" t="e">
            <v>#N/A</v>
          </cell>
          <cell r="H438" t="e">
            <v>#N/A</v>
          </cell>
          <cell r="I438" t="e">
            <v>#N/A</v>
          </cell>
          <cell r="J438" t="e">
            <v>#N/A</v>
          </cell>
          <cell r="K438" t="e">
            <v>#N/A</v>
          </cell>
          <cell r="L438" t="e">
            <v>#N/A</v>
          </cell>
          <cell r="M438" t="e">
            <v>#N/A</v>
          </cell>
          <cell r="N438" t="e">
            <v>#N/A</v>
          </cell>
          <cell r="O438" t="e">
            <v>#N/A</v>
          </cell>
          <cell r="P438">
            <v>55.049987999999999</v>
          </cell>
          <cell r="Q438">
            <v>2.3058610000000002</v>
          </cell>
          <cell r="R438" t="e">
            <v>#N/A</v>
          </cell>
        </row>
        <row r="439">
          <cell r="A439">
            <v>40786</v>
          </cell>
          <cell r="B439">
            <v>40786</v>
          </cell>
          <cell r="C439" t="str">
            <v>Past</v>
          </cell>
          <cell r="D439">
            <v>54.14</v>
          </cell>
          <cell r="E439" t="e">
            <v>#N/A</v>
          </cell>
          <cell r="F439" t="e">
            <v>#N/A</v>
          </cell>
          <cell r="G439" t="e">
            <v>#N/A</v>
          </cell>
          <cell r="H439" t="e">
            <v>#N/A</v>
          </cell>
          <cell r="I439" t="e">
            <v>#N/A</v>
          </cell>
          <cell r="J439" t="e">
            <v>#N/A</v>
          </cell>
          <cell r="K439" t="e">
            <v>#N/A</v>
          </cell>
          <cell r="L439" t="e">
            <v>#N/A</v>
          </cell>
          <cell r="M439" t="e">
            <v>#N/A</v>
          </cell>
          <cell r="N439" t="e">
            <v>#N/A</v>
          </cell>
          <cell r="O439" t="e">
            <v>#N/A</v>
          </cell>
          <cell r="P439">
            <v>54.14</v>
          </cell>
          <cell r="Q439">
            <v>6.2212889999999996</v>
          </cell>
          <cell r="R439" t="e">
            <v>#N/A</v>
          </cell>
        </row>
        <row r="440">
          <cell r="A440">
            <v>40787</v>
          </cell>
          <cell r="B440">
            <v>40787</v>
          </cell>
          <cell r="C440" t="str">
            <v>Past</v>
          </cell>
          <cell r="D440">
            <v>53.879989999999999</v>
          </cell>
          <cell r="E440" t="e">
            <v>#N/A</v>
          </cell>
          <cell r="F440" t="e">
            <v>#N/A</v>
          </cell>
          <cell r="G440" t="e">
            <v>#N/A</v>
          </cell>
          <cell r="H440" t="e">
            <v>#N/A</v>
          </cell>
          <cell r="I440" t="e">
            <v>#N/A</v>
          </cell>
          <cell r="J440" t="e">
            <v>#N/A</v>
          </cell>
          <cell r="K440" t="e">
            <v>#N/A</v>
          </cell>
          <cell r="L440" t="e">
            <v>#N/A</v>
          </cell>
          <cell r="M440" t="e">
            <v>#N/A</v>
          </cell>
          <cell r="N440" t="e">
            <v>#N/A</v>
          </cell>
          <cell r="O440" t="e">
            <v>#N/A</v>
          </cell>
          <cell r="P440">
            <v>53.879989999999999</v>
          </cell>
          <cell r="Q440">
            <v>2.5511550000000001</v>
          </cell>
          <cell r="R440" t="e">
            <v>#N/A</v>
          </cell>
        </row>
        <row r="441">
          <cell r="A441">
            <v>40788</v>
          </cell>
          <cell r="B441">
            <v>40788</v>
          </cell>
          <cell r="C441" t="str">
            <v>Past</v>
          </cell>
          <cell r="D441">
            <v>52.909989000000003</v>
          </cell>
          <cell r="E441" t="e">
            <v>#N/A</v>
          </cell>
          <cell r="F441" t="e">
            <v>#N/A</v>
          </cell>
          <cell r="G441" t="e">
            <v>#N/A</v>
          </cell>
          <cell r="H441" t="e">
            <v>#N/A</v>
          </cell>
          <cell r="I441" t="e">
            <v>#N/A</v>
          </cell>
          <cell r="J441" t="e">
            <v>#N/A</v>
          </cell>
          <cell r="K441" t="e">
            <v>#N/A</v>
          </cell>
          <cell r="L441" t="e">
            <v>#N/A</v>
          </cell>
          <cell r="M441" t="e">
            <v>#N/A</v>
          </cell>
          <cell r="N441" t="e">
            <v>#N/A</v>
          </cell>
          <cell r="O441" t="e">
            <v>#N/A</v>
          </cell>
          <cell r="P441">
            <v>52.909989000000003</v>
          </cell>
          <cell r="Q441">
            <v>2.1155409999999999</v>
          </cell>
          <cell r="R441" t="e">
            <v>#N/A</v>
          </cell>
        </row>
        <row r="442">
          <cell r="A442">
            <v>40792</v>
          </cell>
          <cell r="B442">
            <v>40792</v>
          </cell>
          <cell r="C442" t="str">
            <v>Past</v>
          </cell>
          <cell r="D442">
            <v>52.789994</v>
          </cell>
          <cell r="E442" t="e">
            <v>#N/A</v>
          </cell>
          <cell r="F442" t="e">
            <v>#N/A</v>
          </cell>
          <cell r="G442" t="e">
            <v>#N/A</v>
          </cell>
          <cell r="H442" t="e">
            <v>#N/A</v>
          </cell>
          <cell r="I442" t="e">
            <v>#N/A</v>
          </cell>
          <cell r="J442" t="e">
            <v>#N/A</v>
          </cell>
          <cell r="K442" t="e">
            <v>#N/A</v>
          </cell>
          <cell r="L442" t="e">
            <v>#N/A</v>
          </cell>
          <cell r="M442" t="e">
            <v>#N/A</v>
          </cell>
          <cell r="N442" t="e">
            <v>#N/A</v>
          </cell>
          <cell r="O442" t="e">
            <v>#N/A</v>
          </cell>
          <cell r="P442">
            <v>52.789994</v>
          </cell>
          <cell r="Q442">
            <v>2.204548</v>
          </cell>
          <cell r="R442" t="e">
            <v>#N/A</v>
          </cell>
        </row>
        <row r="443">
          <cell r="A443">
            <v>40793</v>
          </cell>
          <cell r="B443">
            <v>40793</v>
          </cell>
          <cell r="C443" t="str">
            <v>Past</v>
          </cell>
          <cell r="D443">
            <v>53.989991000000003</v>
          </cell>
          <cell r="E443" t="e">
            <v>#N/A</v>
          </cell>
          <cell r="F443" t="e">
            <v>#N/A</v>
          </cell>
          <cell r="G443" t="e">
            <v>#N/A</v>
          </cell>
          <cell r="H443" t="e">
            <v>#N/A</v>
          </cell>
          <cell r="I443" t="e">
            <v>#N/A</v>
          </cell>
          <cell r="J443" t="e">
            <v>#N/A</v>
          </cell>
          <cell r="K443" t="e">
            <v>#N/A</v>
          </cell>
          <cell r="L443" t="e">
            <v>#N/A</v>
          </cell>
          <cell r="M443" t="e">
            <v>#N/A</v>
          </cell>
          <cell r="N443" t="e">
            <v>#N/A</v>
          </cell>
          <cell r="O443" t="e">
            <v>#N/A</v>
          </cell>
          <cell r="P443">
            <v>53.989991000000003</v>
          </cell>
          <cell r="Q443">
            <v>2.7315390000000002</v>
          </cell>
          <cell r="R443" t="e">
            <v>#N/A</v>
          </cell>
        </row>
        <row r="444">
          <cell r="A444">
            <v>40794</v>
          </cell>
          <cell r="B444">
            <v>40794</v>
          </cell>
          <cell r="C444" t="str">
            <v>Past</v>
          </cell>
          <cell r="D444">
            <v>53.439988</v>
          </cell>
          <cell r="E444" t="e">
            <v>#N/A</v>
          </cell>
          <cell r="F444" t="e">
            <v>#N/A</v>
          </cell>
          <cell r="G444" t="e">
            <v>#N/A</v>
          </cell>
          <cell r="H444" t="e">
            <v>#N/A</v>
          </cell>
          <cell r="I444" t="e">
            <v>#N/A</v>
          </cell>
          <cell r="J444" t="e">
            <v>#N/A</v>
          </cell>
          <cell r="K444" t="e">
            <v>#N/A</v>
          </cell>
          <cell r="L444" t="e">
            <v>#N/A</v>
          </cell>
          <cell r="M444" t="e">
            <v>#N/A</v>
          </cell>
          <cell r="N444" t="e">
            <v>#N/A</v>
          </cell>
          <cell r="O444" t="e">
            <v>#N/A</v>
          </cell>
          <cell r="P444">
            <v>53.439988</v>
          </cell>
          <cell r="Q444">
            <v>3.1205310000000002</v>
          </cell>
          <cell r="R444" t="e">
            <v>#N/A</v>
          </cell>
        </row>
        <row r="445">
          <cell r="A445">
            <v>40795</v>
          </cell>
          <cell r="B445">
            <v>40795</v>
          </cell>
          <cell r="C445" t="str">
            <v>Past</v>
          </cell>
          <cell r="D445">
            <v>51.309998</v>
          </cell>
          <cell r="E445" t="e">
            <v>#N/A</v>
          </cell>
          <cell r="F445" t="e">
            <v>#N/A</v>
          </cell>
          <cell r="G445" t="e">
            <v>#N/A</v>
          </cell>
          <cell r="H445" t="e">
            <v>#N/A</v>
          </cell>
          <cell r="I445" t="e">
            <v>#N/A</v>
          </cell>
          <cell r="J445" t="e">
            <v>#N/A</v>
          </cell>
          <cell r="K445" t="e">
            <v>#N/A</v>
          </cell>
          <cell r="L445" t="e">
            <v>#N/A</v>
          </cell>
          <cell r="M445" t="e">
            <v>#N/A</v>
          </cell>
          <cell r="N445" t="e">
            <v>#N/A</v>
          </cell>
          <cell r="O445" t="e">
            <v>#N/A</v>
          </cell>
          <cell r="P445">
            <v>51.309998</v>
          </cell>
          <cell r="Q445">
            <v>4.4375309999999999</v>
          </cell>
          <cell r="R445" t="e">
            <v>#N/A</v>
          </cell>
        </row>
        <row r="446">
          <cell r="A446">
            <v>40798</v>
          </cell>
          <cell r="B446">
            <v>40798</v>
          </cell>
          <cell r="C446" t="str">
            <v>Past</v>
          </cell>
          <cell r="D446">
            <v>51.859985999999999</v>
          </cell>
          <cell r="E446" t="e">
            <v>#N/A</v>
          </cell>
          <cell r="F446" t="e">
            <v>#N/A</v>
          </cell>
          <cell r="G446" t="e">
            <v>#N/A</v>
          </cell>
          <cell r="H446" t="e">
            <v>#N/A</v>
          </cell>
          <cell r="I446" t="e">
            <v>#N/A</v>
          </cell>
          <cell r="J446" t="e">
            <v>#N/A</v>
          </cell>
          <cell r="K446" t="e">
            <v>#N/A</v>
          </cell>
          <cell r="L446" t="e">
            <v>#N/A</v>
          </cell>
          <cell r="M446" t="e">
            <v>#N/A</v>
          </cell>
          <cell r="N446" t="e">
            <v>#N/A</v>
          </cell>
          <cell r="O446" t="e">
            <v>#N/A</v>
          </cell>
          <cell r="P446">
            <v>51.859985999999999</v>
          </cell>
          <cell r="Q446">
            <v>3.1707390000000002</v>
          </cell>
          <cell r="R446" t="e">
            <v>#N/A</v>
          </cell>
        </row>
        <row r="447">
          <cell r="A447">
            <v>40799</v>
          </cell>
          <cell r="B447">
            <v>40799</v>
          </cell>
          <cell r="C447" t="str">
            <v>Past</v>
          </cell>
          <cell r="D447">
            <v>51.649994</v>
          </cell>
          <cell r="E447" t="e">
            <v>#N/A</v>
          </cell>
          <cell r="F447" t="e">
            <v>#N/A</v>
          </cell>
          <cell r="G447" t="e">
            <v>#N/A</v>
          </cell>
          <cell r="H447" t="e">
            <v>#N/A</v>
          </cell>
          <cell r="I447" t="e">
            <v>#N/A</v>
          </cell>
          <cell r="J447" t="e">
            <v>#N/A</v>
          </cell>
          <cell r="K447" t="e">
            <v>#N/A</v>
          </cell>
          <cell r="L447" t="e">
            <v>#N/A</v>
          </cell>
          <cell r="M447" t="e">
            <v>#N/A</v>
          </cell>
          <cell r="N447" t="e">
            <v>#N/A</v>
          </cell>
          <cell r="O447" t="e">
            <v>#N/A</v>
          </cell>
          <cell r="P447">
            <v>51.649994</v>
          </cell>
          <cell r="Q447">
            <v>3.7932190000000001</v>
          </cell>
          <cell r="R447" t="e">
            <v>#N/A</v>
          </cell>
        </row>
        <row r="448">
          <cell r="A448">
            <v>40800</v>
          </cell>
          <cell r="B448">
            <v>40800</v>
          </cell>
          <cell r="C448" t="str">
            <v>Past</v>
          </cell>
          <cell r="D448">
            <v>50.64</v>
          </cell>
          <cell r="E448" t="e">
            <v>#N/A</v>
          </cell>
          <cell r="F448" t="e">
            <v>#N/A</v>
          </cell>
          <cell r="G448" t="e">
            <v>#N/A</v>
          </cell>
          <cell r="H448" t="e">
            <v>#N/A</v>
          </cell>
          <cell r="I448" t="e">
            <v>#N/A</v>
          </cell>
          <cell r="J448" t="e">
            <v>#N/A</v>
          </cell>
          <cell r="K448" t="e">
            <v>#N/A</v>
          </cell>
          <cell r="L448" t="e">
            <v>#N/A</v>
          </cell>
          <cell r="M448" t="e">
            <v>#N/A</v>
          </cell>
          <cell r="N448" t="e">
            <v>#N/A</v>
          </cell>
          <cell r="O448" t="e">
            <v>#N/A</v>
          </cell>
          <cell r="P448">
            <v>50.64</v>
          </cell>
          <cell r="Q448">
            <v>3.7134</v>
          </cell>
          <cell r="R448" t="e">
            <v>#N/A</v>
          </cell>
        </row>
        <row r="449">
          <cell r="A449">
            <v>40801</v>
          </cell>
          <cell r="B449">
            <v>40801</v>
          </cell>
          <cell r="C449" t="str">
            <v>Past</v>
          </cell>
          <cell r="D449">
            <v>50.01999</v>
          </cell>
          <cell r="E449" t="e">
            <v>#N/A</v>
          </cell>
          <cell r="F449" t="e">
            <v>#N/A</v>
          </cell>
          <cell r="G449" t="e">
            <v>#N/A</v>
          </cell>
          <cell r="H449" t="e">
            <v>#N/A</v>
          </cell>
          <cell r="I449" t="e">
            <v>#N/A</v>
          </cell>
          <cell r="J449" t="e">
            <v>#N/A</v>
          </cell>
          <cell r="K449" t="e">
            <v>#N/A</v>
          </cell>
          <cell r="L449" t="e">
            <v>#N/A</v>
          </cell>
          <cell r="M449" t="e">
            <v>#N/A</v>
          </cell>
          <cell r="N449" t="e">
            <v>#N/A</v>
          </cell>
          <cell r="O449" t="e">
            <v>#N/A</v>
          </cell>
          <cell r="P449">
            <v>50.01999</v>
          </cell>
          <cell r="Q449">
            <v>6.265828</v>
          </cell>
          <cell r="R449" t="e">
            <v>#N/A</v>
          </cell>
        </row>
        <row r="450">
          <cell r="A450">
            <v>40802</v>
          </cell>
          <cell r="B450">
            <v>40802</v>
          </cell>
          <cell r="C450" t="str">
            <v>Past</v>
          </cell>
          <cell r="D450">
            <v>50.25</v>
          </cell>
          <cell r="E450" t="e">
            <v>#N/A</v>
          </cell>
          <cell r="F450" t="e">
            <v>#N/A</v>
          </cell>
          <cell r="G450" t="e">
            <v>#N/A</v>
          </cell>
          <cell r="H450" t="e">
            <v>#N/A</v>
          </cell>
          <cell r="I450" t="e">
            <v>#N/A</v>
          </cell>
          <cell r="J450" t="e">
            <v>#N/A</v>
          </cell>
          <cell r="K450" t="e">
            <v>#N/A</v>
          </cell>
          <cell r="L450" t="e">
            <v>#N/A</v>
          </cell>
          <cell r="M450" t="e">
            <v>#N/A</v>
          </cell>
          <cell r="N450" t="e">
            <v>#N/A</v>
          </cell>
          <cell r="O450" t="e">
            <v>#N/A</v>
          </cell>
          <cell r="P450">
            <v>50.25</v>
          </cell>
          <cell r="Q450">
            <v>5.4448559999999997</v>
          </cell>
          <cell r="R450" t="e">
            <v>#N/A</v>
          </cell>
        </row>
        <row r="451">
          <cell r="A451">
            <v>40805</v>
          </cell>
          <cell r="B451">
            <v>40805</v>
          </cell>
          <cell r="C451" t="str">
            <v>Past</v>
          </cell>
          <cell r="D451">
            <v>50.229996</v>
          </cell>
          <cell r="E451" t="e">
            <v>#N/A</v>
          </cell>
          <cell r="F451" t="e">
            <v>#N/A</v>
          </cell>
          <cell r="G451" t="e">
            <v>#N/A</v>
          </cell>
          <cell r="H451" t="e">
            <v>#N/A</v>
          </cell>
          <cell r="I451" t="e">
            <v>#N/A</v>
          </cell>
          <cell r="J451" t="e">
            <v>#N/A</v>
          </cell>
          <cell r="K451" t="e">
            <v>#N/A</v>
          </cell>
          <cell r="L451" t="e">
            <v>#N/A</v>
          </cell>
          <cell r="M451" t="e">
            <v>#N/A</v>
          </cell>
          <cell r="N451" t="e">
            <v>#N/A</v>
          </cell>
          <cell r="O451" t="e">
            <v>#N/A</v>
          </cell>
          <cell r="P451">
            <v>50.229996</v>
          </cell>
          <cell r="Q451">
            <v>2.266435</v>
          </cell>
          <cell r="R451" t="e">
            <v>#N/A</v>
          </cell>
        </row>
        <row r="452">
          <cell r="A452">
            <v>40806</v>
          </cell>
          <cell r="B452">
            <v>40806</v>
          </cell>
          <cell r="C452" t="str">
            <v>Past</v>
          </cell>
          <cell r="D452">
            <v>50.25</v>
          </cell>
          <cell r="E452" t="e">
            <v>#N/A</v>
          </cell>
          <cell r="F452" t="e">
            <v>#N/A</v>
          </cell>
          <cell r="G452" t="e">
            <v>#N/A</v>
          </cell>
          <cell r="H452" t="e">
            <v>#N/A</v>
          </cell>
          <cell r="I452" t="e">
            <v>#N/A</v>
          </cell>
          <cell r="J452" t="e">
            <v>#N/A</v>
          </cell>
          <cell r="K452" t="e">
            <v>#N/A</v>
          </cell>
          <cell r="L452" t="e">
            <v>#N/A</v>
          </cell>
          <cell r="M452" t="e">
            <v>#N/A</v>
          </cell>
          <cell r="N452" t="e">
            <v>#N/A</v>
          </cell>
          <cell r="O452" t="e">
            <v>#N/A</v>
          </cell>
          <cell r="P452">
            <v>50.25</v>
          </cell>
          <cell r="Q452">
            <v>3.3264300000000002</v>
          </cell>
          <cell r="R452" t="e">
            <v>#N/A</v>
          </cell>
        </row>
        <row r="453">
          <cell r="A453">
            <v>40807</v>
          </cell>
          <cell r="B453">
            <v>40807</v>
          </cell>
          <cell r="C453" t="str">
            <v>Past</v>
          </cell>
          <cell r="D453">
            <v>49.399994</v>
          </cell>
          <cell r="E453" t="e">
            <v>#N/A</v>
          </cell>
          <cell r="F453" t="e">
            <v>#N/A</v>
          </cell>
          <cell r="G453" t="e">
            <v>#N/A</v>
          </cell>
          <cell r="H453" t="e">
            <v>#N/A</v>
          </cell>
          <cell r="I453" t="e">
            <v>#N/A</v>
          </cell>
          <cell r="J453" t="e">
            <v>#N/A</v>
          </cell>
          <cell r="K453" t="e">
            <v>#N/A</v>
          </cell>
          <cell r="L453" t="e">
            <v>#N/A</v>
          </cell>
          <cell r="M453" t="e">
            <v>#N/A</v>
          </cell>
          <cell r="N453" t="e">
            <v>#N/A</v>
          </cell>
          <cell r="O453" t="e">
            <v>#N/A</v>
          </cell>
          <cell r="P453">
            <v>49.399994</v>
          </cell>
          <cell r="Q453">
            <v>4.0331210000000004</v>
          </cell>
          <cell r="R453" t="e">
            <v>#N/A</v>
          </cell>
        </row>
        <row r="454">
          <cell r="A454">
            <v>40808</v>
          </cell>
          <cell r="B454">
            <v>40808</v>
          </cell>
          <cell r="C454" t="str">
            <v>Past</v>
          </cell>
          <cell r="D454">
            <v>48.469985999999999</v>
          </cell>
          <cell r="E454" t="e">
            <v>#N/A</v>
          </cell>
          <cell r="F454" t="e">
            <v>#N/A</v>
          </cell>
          <cell r="G454" t="e">
            <v>#N/A</v>
          </cell>
          <cell r="H454" t="e">
            <v>#N/A</v>
          </cell>
          <cell r="I454" t="e">
            <v>#N/A</v>
          </cell>
          <cell r="J454" t="e">
            <v>#N/A</v>
          </cell>
          <cell r="K454" t="e">
            <v>#N/A</v>
          </cell>
          <cell r="L454" t="e">
            <v>#N/A</v>
          </cell>
          <cell r="M454" t="e">
            <v>#N/A</v>
          </cell>
          <cell r="N454" t="e">
            <v>#N/A</v>
          </cell>
          <cell r="O454" t="e">
            <v>#N/A</v>
          </cell>
          <cell r="P454">
            <v>48.469985999999999</v>
          </cell>
          <cell r="Q454">
            <v>6.0875899999999996</v>
          </cell>
          <cell r="R454" t="e">
            <v>#N/A</v>
          </cell>
        </row>
        <row r="455">
          <cell r="A455">
            <v>40809</v>
          </cell>
          <cell r="B455">
            <v>40809</v>
          </cell>
          <cell r="C455" t="str">
            <v>Past</v>
          </cell>
          <cell r="D455">
            <v>47.929993000000003</v>
          </cell>
          <cell r="E455" t="e">
            <v>#N/A</v>
          </cell>
          <cell r="F455" t="e">
            <v>#N/A</v>
          </cell>
          <cell r="G455" t="e">
            <v>#N/A</v>
          </cell>
          <cell r="H455" t="e">
            <v>#N/A</v>
          </cell>
          <cell r="I455" t="e">
            <v>#N/A</v>
          </cell>
          <cell r="J455" t="e">
            <v>#N/A</v>
          </cell>
          <cell r="K455" t="e">
            <v>#N/A</v>
          </cell>
          <cell r="L455" t="e">
            <v>#N/A</v>
          </cell>
          <cell r="M455" t="e">
            <v>#N/A</v>
          </cell>
          <cell r="N455" t="e">
            <v>#N/A</v>
          </cell>
          <cell r="O455" t="e">
            <v>#N/A</v>
          </cell>
          <cell r="P455">
            <v>47.929993000000003</v>
          </cell>
          <cell r="Q455">
            <v>3.070897</v>
          </cell>
          <cell r="R455" t="e">
            <v>#N/A</v>
          </cell>
        </row>
        <row r="456">
          <cell r="A456">
            <v>40812</v>
          </cell>
          <cell r="B456">
            <v>40812</v>
          </cell>
          <cell r="C456" t="str">
            <v>Past</v>
          </cell>
          <cell r="D456">
            <v>48.779998999999997</v>
          </cell>
          <cell r="E456" t="e">
            <v>#N/A</v>
          </cell>
          <cell r="F456" t="e">
            <v>#N/A</v>
          </cell>
          <cell r="G456" t="e">
            <v>#N/A</v>
          </cell>
          <cell r="H456" t="e">
            <v>#N/A</v>
          </cell>
          <cell r="I456" t="e">
            <v>#N/A</v>
          </cell>
          <cell r="J456" t="e">
            <v>#N/A</v>
          </cell>
          <cell r="K456" t="e">
            <v>#N/A</v>
          </cell>
          <cell r="L456" t="e">
            <v>#N/A</v>
          </cell>
          <cell r="M456" t="e">
            <v>#N/A</v>
          </cell>
          <cell r="N456" t="e">
            <v>#N/A</v>
          </cell>
          <cell r="O456" t="e">
            <v>#N/A</v>
          </cell>
          <cell r="P456">
            <v>48.779998999999997</v>
          </cell>
          <cell r="Q456">
            <v>2.2898329999999998</v>
          </cell>
          <cell r="R456" t="e">
            <v>#N/A</v>
          </cell>
        </row>
        <row r="457">
          <cell r="A457">
            <v>40813</v>
          </cell>
          <cell r="B457">
            <v>40813</v>
          </cell>
          <cell r="C457" t="str">
            <v>Past</v>
          </cell>
          <cell r="D457">
            <v>49.209992</v>
          </cell>
          <cell r="E457" t="e">
            <v>#N/A</v>
          </cell>
          <cell r="F457" t="e">
            <v>#N/A</v>
          </cell>
          <cell r="G457" t="e">
            <v>#N/A</v>
          </cell>
          <cell r="H457" t="e">
            <v>#N/A</v>
          </cell>
          <cell r="I457" t="e">
            <v>#N/A</v>
          </cell>
          <cell r="J457" t="e">
            <v>#N/A</v>
          </cell>
          <cell r="K457" t="e">
            <v>#N/A</v>
          </cell>
          <cell r="L457" t="e">
            <v>#N/A</v>
          </cell>
          <cell r="M457" t="e">
            <v>#N/A</v>
          </cell>
          <cell r="N457" t="e">
            <v>#N/A</v>
          </cell>
          <cell r="O457" t="e">
            <v>#N/A</v>
          </cell>
          <cell r="P457">
            <v>49.209992</v>
          </cell>
          <cell r="Q457">
            <v>3.0544959999999999</v>
          </cell>
          <cell r="R457" t="e">
            <v>#N/A</v>
          </cell>
        </row>
        <row r="458">
          <cell r="A458">
            <v>40814</v>
          </cell>
          <cell r="B458">
            <v>40814</v>
          </cell>
          <cell r="C458" t="str">
            <v>Past</v>
          </cell>
          <cell r="D458">
            <v>48.239991000000003</v>
          </cell>
          <cell r="E458" t="e">
            <v>#N/A</v>
          </cell>
          <cell r="F458" t="e">
            <v>#N/A</v>
          </cell>
          <cell r="G458" t="e">
            <v>#N/A</v>
          </cell>
          <cell r="H458" t="e">
            <v>#N/A</v>
          </cell>
          <cell r="I458" t="e">
            <v>#N/A</v>
          </cell>
          <cell r="J458" t="e">
            <v>#N/A</v>
          </cell>
          <cell r="K458" t="e">
            <v>#N/A</v>
          </cell>
          <cell r="L458" t="e">
            <v>#N/A</v>
          </cell>
          <cell r="M458" t="e">
            <v>#N/A</v>
          </cell>
          <cell r="N458" t="e">
            <v>#N/A</v>
          </cell>
          <cell r="O458" t="e">
            <v>#N/A</v>
          </cell>
          <cell r="P458">
            <v>48.239991000000003</v>
          </cell>
          <cell r="Q458">
            <v>4.5085550000000003</v>
          </cell>
          <cell r="R458" t="e">
            <v>#N/A</v>
          </cell>
        </row>
        <row r="459">
          <cell r="A459">
            <v>40815</v>
          </cell>
          <cell r="B459">
            <v>40815</v>
          </cell>
          <cell r="C459" t="str">
            <v>Past</v>
          </cell>
          <cell r="D459">
            <v>48.059998</v>
          </cell>
          <cell r="E459" t="e">
            <v>#N/A</v>
          </cell>
          <cell r="F459" t="e">
            <v>#N/A</v>
          </cell>
          <cell r="G459" t="e">
            <v>#N/A</v>
          </cell>
          <cell r="H459" t="e">
            <v>#N/A</v>
          </cell>
          <cell r="I459" t="e">
            <v>#N/A</v>
          </cell>
          <cell r="J459" t="e">
            <v>#N/A</v>
          </cell>
          <cell r="K459" t="e">
            <v>#N/A</v>
          </cell>
          <cell r="L459" t="e">
            <v>#N/A</v>
          </cell>
          <cell r="M459" t="e">
            <v>#N/A</v>
          </cell>
          <cell r="N459" t="e">
            <v>#N/A</v>
          </cell>
          <cell r="O459" t="e">
            <v>#N/A</v>
          </cell>
          <cell r="P459">
            <v>48.059998</v>
          </cell>
          <cell r="Q459">
            <v>4.375508</v>
          </cell>
          <cell r="R459" t="e">
            <v>#N/A</v>
          </cell>
        </row>
        <row r="460">
          <cell r="A460">
            <v>40816</v>
          </cell>
          <cell r="B460">
            <v>40816</v>
          </cell>
          <cell r="C460" t="str">
            <v>Past</v>
          </cell>
          <cell r="D460">
            <v>46.89</v>
          </cell>
          <cell r="E460" t="e">
            <v>#N/A</v>
          </cell>
          <cell r="F460" t="e">
            <v>#N/A</v>
          </cell>
          <cell r="G460" t="e">
            <v>#N/A</v>
          </cell>
          <cell r="H460" t="e">
            <v>#N/A</v>
          </cell>
          <cell r="I460" t="e">
            <v>#N/A</v>
          </cell>
          <cell r="J460" t="e">
            <v>#N/A</v>
          </cell>
          <cell r="K460" t="e">
            <v>#N/A</v>
          </cell>
          <cell r="L460" t="e">
            <v>#N/A</v>
          </cell>
          <cell r="M460" t="e">
            <v>#N/A</v>
          </cell>
          <cell r="N460" t="e">
            <v>#N/A</v>
          </cell>
          <cell r="O460" t="e">
            <v>#N/A</v>
          </cell>
          <cell r="P460">
            <v>46.89</v>
          </cell>
          <cell r="Q460">
            <v>4.2254880000000004</v>
          </cell>
          <cell r="R460" t="e">
            <v>#N/A</v>
          </cell>
        </row>
        <row r="461">
          <cell r="A461">
            <v>40819</v>
          </cell>
          <cell r="B461">
            <v>40819</v>
          </cell>
          <cell r="C461" t="str">
            <v>Past</v>
          </cell>
          <cell r="D461">
            <v>45.64</v>
          </cell>
          <cell r="E461" t="e">
            <v>#N/A</v>
          </cell>
          <cell r="F461" t="e">
            <v>#N/A</v>
          </cell>
          <cell r="G461" t="e">
            <v>#N/A</v>
          </cell>
          <cell r="H461" t="e">
            <v>#N/A</v>
          </cell>
          <cell r="I461" t="e">
            <v>#N/A</v>
          </cell>
          <cell r="J461" t="e">
            <v>#N/A</v>
          </cell>
          <cell r="K461" t="e">
            <v>#N/A</v>
          </cell>
          <cell r="L461" t="e">
            <v>#N/A</v>
          </cell>
          <cell r="M461" t="e">
            <v>#N/A</v>
          </cell>
          <cell r="N461" t="e">
            <v>#N/A</v>
          </cell>
          <cell r="O461" t="e">
            <v>#N/A</v>
          </cell>
          <cell r="P461">
            <v>45.64</v>
          </cell>
          <cell r="Q461">
            <v>4.9088909999999997</v>
          </cell>
          <cell r="R461" t="e">
            <v>#N/A</v>
          </cell>
        </row>
        <row r="462">
          <cell r="A462">
            <v>40820</v>
          </cell>
          <cell r="B462">
            <v>40820</v>
          </cell>
          <cell r="C462" t="str">
            <v>Past</v>
          </cell>
          <cell r="D462">
            <v>46.39</v>
          </cell>
          <cell r="E462" t="e">
            <v>#N/A</v>
          </cell>
          <cell r="F462" t="e">
            <v>#N/A</v>
          </cell>
          <cell r="G462" t="e">
            <v>#N/A</v>
          </cell>
          <cell r="H462" t="e">
            <v>#N/A</v>
          </cell>
          <cell r="I462" t="e">
            <v>#N/A</v>
          </cell>
          <cell r="J462" t="e">
            <v>#N/A</v>
          </cell>
          <cell r="K462" t="e">
            <v>#N/A</v>
          </cell>
          <cell r="L462" t="e">
            <v>#N/A</v>
          </cell>
          <cell r="M462" t="e">
            <v>#N/A</v>
          </cell>
          <cell r="N462" t="e">
            <v>#N/A</v>
          </cell>
          <cell r="O462" t="e">
            <v>#N/A</v>
          </cell>
          <cell r="P462">
            <v>46.39</v>
          </cell>
          <cell r="Q462">
            <v>4.3341089999999998</v>
          </cell>
          <cell r="R462" t="e">
            <v>#N/A</v>
          </cell>
        </row>
        <row r="463">
          <cell r="A463">
            <v>40821</v>
          </cell>
          <cell r="B463">
            <v>40821</v>
          </cell>
          <cell r="C463" t="str">
            <v>Past</v>
          </cell>
          <cell r="D463">
            <v>45.649994</v>
          </cell>
          <cell r="E463" t="e">
            <v>#N/A</v>
          </cell>
          <cell r="F463" t="e">
            <v>#N/A</v>
          </cell>
          <cell r="G463" t="e">
            <v>#N/A</v>
          </cell>
          <cell r="H463" t="e">
            <v>#N/A</v>
          </cell>
          <cell r="I463" t="e">
            <v>#N/A</v>
          </cell>
          <cell r="J463" t="e">
            <v>#N/A</v>
          </cell>
          <cell r="K463" t="e">
            <v>#N/A</v>
          </cell>
          <cell r="L463" t="e">
            <v>#N/A</v>
          </cell>
          <cell r="M463" t="e">
            <v>#N/A</v>
          </cell>
          <cell r="N463" t="e">
            <v>#N/A</v>
          </cell>
          <cell r="O463" t="e">
            <v>#N/A</v>
          </cell>
          <cell r="P463">
            <v>45.649994</v>
          </cell>
          <cell r="Q463">
            <v>3.777015</v>
          </cell>
          <cell r="R463" t="e">
            <v>#N/A</v>
          </cell>
        </row>
        <row r="464">
          <cell r="A464">
            <v>40822</v>
          </cell>
          <cell r="B464">
            <v>40822</v>
          </cell>
          <cell r="C464" t="str">
            <v>Past</v>
          </cell>
          <cell r="D464">
            <v>48.959992</v>
          </cell>
          <cell r="E464" t="e">
            <v>#N/A</v>
          </cell>
          <cell r="F464" t="e">
            <v>#N/A</v>
          </cell>
          <cell r="G464" t="e">
            <v>#N/A</v>
          </cell>
          <cell r="H464" t="e">
            <v>#N/A</v>
          </cell>
          <cell r="I464" t="e">
            <v>#N/A</v>
          </cell>
          <cell r="J464" t="e">
            <v>#N/A</v>
          </cell>
          <cell r="K464" t="e">
            <v>#N/A</v>
          </cell>
          <cell r="L464" t="e">
            <v>#N/A</v>
          </cell>
          <cell r="M464" t="e">
            <v>#N/A</v>
          </cell>
          <cell r="N464" t="e">
            <v>#N/A</v>
          </cell>
          <cell r="O464" t="e">
            <v>#N/A</v>
          </cell>
          <cell r="P464">
            <v>48.959992</v>
          </cell>
          <cell r="Q464">
            <v>5.5725470000000001</v>
          </cell>
          <cell r="R464" t="e">
            <v>#N/A</v>
          </cell>
        </row>
        <row r="465">
          <cell r="A465">
            <v>40823</v>
          </cell>
          <cell r="B465">
            <v>40823</v>
          </cell>
          <cell r="C465" t="str">
            <v>Past</v>
          </cell>
          <cell r="D465">
            <v>48.469985999999999</v>
          </cell>
          <cell r="E465" t="e">
            <v>#N/A</v>
          </cell>
          <cell r="F465" t="e">
            <v>#N/A</v>
          </cell>
          <cell r="G465" t="e">
            <v>#N/A</v>
          </cell>
          <cell r="H465" t="e">
            <v>#N/A</v>
          </cell>
          <cell r="I465" t="e">
            <v>#N/A</v>
          </cell>
          <cell r="J465" t="e">
            <v>#N/A</v>
          </cell>
          <cell r="K465" t="e">
            <v>#N/A</v>
          </cell>
          <cell r="L465" t="e">
            <v>#N/A</v>
          </cell>
          <cell r="M465" t="e">
            <v>#N/A</v>
          </cell>
          <cell r="N465" t="e">
            <v>#N/A</v>
          </cell>
          <cell r="O465" t="e">
            <v>#N/A</v>
          </cell>
          <cell r="P465">
            <v>48.469985999999999</v>
          </cell>
          <cell r="Q465">
            <v>3.425433</v>
          </cell>
          <cell r="R465" t="e">
            <v>#N/A</v>
          </cell>
        </row>
        <row r="466">
          <cell r="A466">
            <v>40826</v>
          </cell>
          <cell r="B466">
            <v>40826</v>
          </cell>
          <cell r="C466" t="str">
            <v>Past</v>
          </cell>
          <cell r="D466">
            <v>49.679993000000003</v>
          </cell>
          <cell r="E466" t="e">
            <v>#N/A</v>
          </cell>
          <cell r="F466" t="e">
            <v>#N/A</v>
          </cell>
          <cell r="G466" t="e">
            <v>#N/A</v>
          </cell>
          <cell r="H466" t="e">
            <v>#N/A</v>
          </cell>
          <cell r="I466" t="e">
            <v>#N/A</v>
          </cell>
          <cell r="J466" t="e">
            <v>#N/A</v>
          </cell>
          <cell r="K466" t="e">
            <v>#N/A</v>
          </cell>
          <cell r="L466" t="e">
            <v>#N/A</v>
          </cell>
          <cell r="M466" t="e">
            <v>#N/A</v>
          </cell>
          <cell r="N466" t="e">
            <v>#N/A</v>
          </cell>
          <cell r="O466" t="e">
            <v>#N/A</v>
          </cell>
          <cell r="P466">
            <v>49.679993000000003</v>
          </cell>
          <cell r="Q466">
            <v>2.0782729999999998</v>
          </cell>
          <cell r="R466" t="e">
            <v>#N/A</v>
          </cell>
        </row>
        <row r="467">
          <cell r="A467">
            <v>40827</v>
          </cell>
          <cell r="B467">
            <v>40827</v>
          </cell>
          <cell r="C467" t="str">
            <v>Past</v>
          </cell>
          <cell r="D467">
            <v>49.569992999999997</v>
          </cell>
          <cell r="E467" t="e">
            <v>#N/A</v>
          </cell>
          <cell r="F467" t="e">
            <v>#N/A</v>
          </cell>
          <cell r="G467" t="e">
            <v>#N/A</v>
          </cell>
          <cell r="H467" t="e">
            <v>#N/A</v>
          </cell>
          <cell r="I467" t="e">
            <v>#N/A</v>
          </cell>
          <cell r="J467" t="e">
            <v>#N/A</v>
          </cell>
          <cell r="K467" t="e">
            <v>#N/A</v>
          </cell>
          <cell r="L467" t="e">
            <v>#N/A</v>
          </cell>
          <cell r="M467" t="e">
            <v>#N/A</v>
          </cell>
          <cell r="N467" t="e">
            <v>#N/A</v>
          </cell>
          <cell r="O467" t="e">
            <v>#N/A</v>
          </cell>
          <cell r="P467">
            <v>49.569992999999997</v>
          </cell>
          <cell r="Q467">
            <v>2.2546569999999999</v>
          </cell>
          <cell r="R467" t="e">
            <v>#N/A</v>
          </cell>
        </row>
        <row r="468">
          <cell r="A468">
            <v>40828</v>
          </cell>
          <cell r="B468">
            <v>40828</v>
          </cell>
          <cell r="C468" t="str">
            <v>Past</v>
          </cell>
          <cell r="D468">
            <v>49.199997000000003</v>
          </cell>
          <cell r="E468" t="e">
            <v>#N/A</v>
          </cell>
          <cell r="F468" t="e">
            <v>#N/A</v>
          </cell>
          <cell r="G468" t="e">
            <v>#N/A</v>
          </cell>
          <cell r="H468" t="e">
            <v>#N/A</v>
          </cell>
          <cell r="I468" t="e">
            <v>#N/A</v>
          </cell>
          <cell r="J468" t="e">
            <v>#N/A</v>
          </cell>
          <cell r="K468" t="e">
            <v>#N/A</v>
          </cell>
          <cell r="L468" t="e">
            <v>#N/A</v>
          </cell>
          <cell r="M468" t="e">
            <v>#N/A</v>
          </cell>
          <cell r="N468" t="e">
            <v>#N/A</v>
          </cell>
          <cell r="O468" t="e">
            <v>#N/A</v>
          </cell>
          <cell r="P468">
            <v>49.199997000000003</v>
          </cell>
          <cell r="Q468">
            <v>1.926968</v>
          </cell>
          <cell r="R468" t="e">
            <v>#N/A</v>
          </cell>
        </row>
        <row r="469">
          <cell r="A469">
            <v>40829</v>
          </cell>
          <cell r="B469">
            <v>40829</v>
          </cell>
          <cell r="C469" t="str">
            <v>Past</v>
          </cell>
          <cell r="D469">
            <v>49.009995000000004</v>
          </cell>
          <cell r="E469" t="e">
            <v>#N/A</v>
          </cell>
          <cell r="F469" t="e">
            <v>#N/A</v>
          </cell>
          <cell r="G469" t="e">
            <v>#N/A</v>
          </cell>
          <cell r="H469" t="e">
            <v>#N/A</v>
          </cell>
          <cell r="I469" t="e">
            <v>#N/A</v>
          </cell>
          <cell r="J469" t="e">
            <v>#N/A</v>
          </cell>
          <cell r="K469" t="e">
            <v>#N/A</v>
          </cell>
          <cell r="L469" t="e">
            <v>#N/A</v>
          </cell>
          <cell r="M469" t="e">
            <v>#N/A</v>
          </cell>
          <cell r="N469" t="e">
            <v>#N/A</v>
          </cell>
          <cell r="O469" t="e">
            <v>#N/A</v>
          </cell>
          <cell r="P469">
            <v>49.009995000000004</v>
          </cell>
          <cell r="Q469">
            <v>1.3467199999999999</v>
          </cell>
          <cell r="R469" t="e">
            <v>#N/A</v>
          </cell>
        </row>
        <row r="470">
          <cell r="A470">
            <v>40830</v>
          </cell>
          <cell r="B470">
            <v>40830</v>
          </cell>
          <cell r="C470" t="str">
            <v>Past</v>
          </cell>
          <cell r="D470">
            <v>49.119996</v>
          </cell>
          <cell r="E470" t="e">
            <v>#N/A</v>
          </cell>
          <cell r="F470" t="e">
            <v>#N/A</v>
          </cell>
          <cell r="G470" t="e">
            <v>#N/A</v>
          </cell>
          <cell r="H470" t="e">
            <v>#N/A</v>
          </cell>
          <cell r="I470" t="e">
            <v>#N/A</v>
          </cell>
          <cell r="J470" t="e">
            <v>#N/A</v>
          </cell>
          <cell r="K470" t="e">
            <v>#N/A</v>
          </cell>
          <cell r="L470" t="e">
            <v>#N/A</v>
          </cell>
          <cell r="M470" t="e">
            <v>#N/A</v>
          </cell>
          <cell r="N470" t="e">
            <v>#N/A</v>
          </cell>
          <cell r="O470" t="e">
            <v>#N/A</v>
          </cell>
          <cell r="P470">
            <v>49.119996</v>
          </cell>
          <cell r="Q470">
            <v>1.7452129999999999</v>
          </cell>
          <cell r="R470" t="e">
            <v>#N/A</v>
          </cell>
        </row>
        <row r="471">
          <cell r="A471">
            <v>40833</v>
          </cell>
          <cell r="B471">
            <v>40833</v>
          </cell>
          <cell r="C471" t="str">
            <v>Past</v>
          </cell>
          <cell r="D471">
            <v>48.709992</v>
          </cell>
          <cell r="E471" t="e">
            <v>#N/A</v>
          </cell>
          <cell r="F471" t="e">
            <v>#N/A</v>
          </cell>
          <cell r="G471" t="e">
            <v>#N/A</v>
          </cell>
          <cell r="H471" t="e">
            <v>#N/A</v>
          </cell>
          <cell r="I471" t="e">
            <v>#N/A</v>
          </cell>
          <cell r="J471" t="e">
            <v>#N/A</v>
          </cell>
          <cell r="K471" t="e">
            <v>#N/A</v>
          </cell>
          <cell r="L471" t="e">
            <v>#N/A</v>
          </cell>
          <cell r="M471" t="e">
            <v>#N/A</v>
          </cell>
          <cell r="N471" t="e">
            <v>#N/A</v>
          </cell>
          <cell r="O471" t="e">
            <v>#N/A</v>
          </cell>
          <cell r="P471">
            <v>48.709992</v>
          </cell>
          <cell r="Q471">
            <v>2.4215239999999998</v>
          </cell>
          <cell r="R471" t="e">
            <v>#N/A</v>
          </cell>
        </row>
        <row r="472">
          <cell r="A472">
            <v>40834</v>
          </cell>
          <cell r="B472">
            <v>40834</v>
          </cell>
          <cell r="C472" t="str">
            <v>Past</v>
          </cell>
          <cell r="D472">
            <v>48.929993000000003</v>
          </cell>
          <cell r="E472" t="e">
            <v>#N/A</v>
          </cell>
          <cell r="F472" t="e">
            <v>#N/A</v>
          </cell>
          <cell r="G472" t="e">
            <v>#N/A</v>
          </cell>
          <cell r="H472" t="e">
            <v>#N/A</v>
          </cell>
          <cell r="I472" t="e">
            <v>#N/A</v>
          </cell>
          <cell r="J472" t="e">
            <v>#N/A</v>
          </cell>
          <cell r="K472" t="e">
            <v>#N/A</v>
          </cell>
          <cell r="L472" t="e">
            <v>#N/A</v>
          </cell>
          <cell r="M472" t="e">
            <v>#N/A</v>
          </cell>
          <cell r="N472" t="e">
            <v>#N/A</v>
          </cell>
          <cell r="O472" t="e">
            <v>#N/A</v>
          </cell>
          <cell r="P472">
            <v>48.929993000000003</v>
          </cell>
          <cell r="Q472">
            <v>4.9103089999999998</v>
          </cell>
          <cell r="R472" t="e">
            <v>#N/A</v>
          </cell>
        </row>
        <row r="473">
          <cell r="A473">
            <v>40835</v>
          </cell>
          <cell r="B473">
            <v>40835</v>
          </cell>
          <cell r="C473" t="str">
            <v>Past</v>
          </cell>
          <cell r="D473">
            <v>47.909989000000003</v>
          </cell>
          <cell r="E473" t="e">
            <v>#N/A</v>
          </cell>
          <cell r="F473" t="e">
            <v>#N/A</v>
          </cell>
          <cell r="G473" t="e">
            <v>#N/A</v>
          </cell>
          <cell r="H473" t="e">
            <v>#N/A</v>
          </cell>
          <cell r="I473" t="e">
            <v>#N/A</v>
          </cell>
          <cell r="J473" t="e">
            <v>#N/A</v>
          </cell>
          <cell r="K473" t="e">
            <v>#N/A</v>
          </cell>
          <cell r="L473" t="e">
            <v>#N/A</v>
          </cell>
          <cell r="M473" t="e">
            <v>#N/A</v>
          </cell>
          <cell r="N473" t="e">
            <v>#N/A</v>
          </cell>
          <cell r="O473" t="e">
            <v>#N/A</v>
          </cell>
          <cell r="P473">
            <v>47.909989000000003</v>
          </cell>
          <cell r="Q473">
            <v>1.6448419999999999</v>
          </cell>
          <cell r="R473" t="e">
            <v>#N/A</v>
          </cell>
        </row>
        <row r="474">
          <cell r="A474">
            <v>40836</v>
          </cell>
          <cell r="B474">
            <v>40836</v>
          </cell>
          <cell r="C474" t="str">
            <v>Past</v>
          </cell>
          <cell r="D474">
            <v>47.239991000000003</v>
          </cell>
          <cell r="E474" t="e">
            <v>#N/A</v>
          </cell>
          <cell r="F474" t="e">
            <v>#N/A</v>
          </cell>
          <cell r="G474" t="e">
            <v>#N/A</v>
          </cell>
          <cell r="H474" t="e">
            <v>#N/A</v>
          </cell>
          <cell r="I474" t="e">
            <v>#N/A</v>
          </cell>
          <cell r="J474" t="e">
            <v>#N/A</v>
          </cell>
          <cell r="K474" t="e">
            <v>#N/A</v>
          </cell>
          <cell r="L474" t="e">
            <v>#N/A</v>
          </cell>
          <cell r="M474" t="e">
            <v>#N/A</v>
          </cell>
          <cell r="N474" t="e">
            <v>#N/A</v>
          </cell>
          <cell r="O474" t="e">
            <v>#N/A</v>
          </cell>
          <cell r="P474">
            <v>47.239991000000003</v>
          </cell>
          <cell r="Q474">
            <v>3.593089</v>
          </cell>
          <cell r="R474" t="e">
            <v>#N/A</v>
          </cell>
        </row>
        <row r="475">
          <cell r="A475">
            <v>40837</v>
          </cell>
          <cell r="B475">
            <v>40837</v>
          </cell>
          <cell r="C475" t="str">
            <v>Past</v>
          </cell>
          <cell r="D475">
            <v>48.089996999999997</v>
          </cell>
          <cell r="E475" t="e">
            <v>#N/A</v>
          </cell>
          <cell r="F475" t="e">
            <v>#N/A</v>
          </cell>
          <cell r="G475" t="e">
            <v>#N/A</v>
          </cell>
          <cell r="H475" t="e">
            <v>#N/A</v>
          </cell>
          <cell r="I475" t="e">
            <v>#N/A</v>
          </cell>
          <cell r="J475" t="e">
            <v>#N/A</v>
          </cell>
          <cell r="K475" t="e">
            <v>#N/A</v>
          </cell>
          <cell r="L475" t="e">
            <v>#N/A</v>
          </cell>
          <cell r="M475" t="e">
            <v>#N/A</v>
          </cell>
          <cell r="N475" t="e">
            <v>#N/A</v>
          </cell>
          <cell r="O475" t="e">
            <v>#N/A</v>
          </cell>
          <cell r="P475">
            <v>48.089996999999997</v>
          </cell>
          <cell r="Q475">
            <v>3.1189879999999999</v>
          </cell>
          <cell r="R475" t="e">
            <v>#N/A</v>
          </cell>
        </row>
        <row r="476">
          <cell r="A476">
            <v>40840</v>
          </cell>
          <cell r="B476">
            <v>40840</v>
          </cell>
          <cell r="C476" t="str">
            <v>Past</v>
          </cell>
          <cell r="D476">
            <v>49.069992999999997</v>
          </cell>
          <cell r="E476" t="e">
            <v>#N/A</v>
          </cell>
          <cell r="F476" t="e">
            <v>#N/A</v>
          </cell>
          <cell r="G476" t="e">
            <v>#N/A</v>
          </cell>
          <cell r="H476" t="e">
            <v>#N/A</v>
          </cell>
          <cell r="I476" t="e">
            <v>#N/A</v>
          </cell>
          <cell r="J476" t="e">
            <v>#N/A</v>
          </cell>
          <cell r="K476" t="e">
            <v>#N/A</v>
          </cell>
          <cell r="L476" t="e">
            <v>#N/A</v>
          </cell>
          <cell r="M476" t="e">
            <v>#N/A</v>
          </cell>
          <cell r="N476" t="e">
            <v>#N/A</v>
          </cell>
          <cell r="O476" t="e">
            <v>#N/A</v>
          </cell>
          <cell r="P476">
            <v>49.069992999999997</v>
          </cell>
          <cell r="Q476">
            <v>2.5332560000000002</v>
          </cell>
          <cell r="R476" t="e">
            <v>#N/A</v>
          </cell>
        </row>
        <row r="477">
          <cell r="A477">
            <v>40841</v>
          </cell>
          <cell r="B477">
            <v>40841</v>
          </cell>
          <cell r="C477" t="str">
            <v>Past</v>
          </cell>
          <cell r="D477">
            <v>46.939988</v>
          </cell>
          <cell r="E477" t="e">
            <v>#N/A</v>
          </cell>
          <cell r="F477" t="e">
            <v>#N/A</v>
          </cell>
          <cell r="G477" t="e">
            <v>#N/A</v>
          </cell>
          <cell r="H477" t="e">
            <v>#N/A</v>
          </cell>
          <cell r="I477" t="e">
            <v>#N/A</v>
          </cell>
          <cell r="J477" t="e">
            <v>#N/A</v>
          </cell>
          <cell r="K477" t="e">
            <v>#N/A</v>
          </cell>
          <cell r="L477" t="e">
            <v>#N/A</v>
          </cell>
          <cell r="M477" t="e">
            <v>#N/A</v>
          </cell>
          <cell r="N477" t="e">
            <v>#N/A</v>
          </cell>
          <cell r="O477" t="e">
            <v>#N/A</v>
          </cell>
          <cell r="P477">
            <v>46.939988</v>
          </cell>
          <cell r="Q477">
            <v>4.6081919999999998</v>
          </cell>
          <cell r="R477" t="e">
            <v>#N/A</v>
          </cell>
        </row>
        <row r="478">
          <cell r="A478">
            <v>40842</v>
          </cell>
          <cell r="B478">
            <v>40842</v>
          </cell>
          <cell r="C478" t="str">
            <v>Past</v>
          </cell>
          <cell r="D478">
            <v>52.129989999999999</v>
          </cell>
          <cell r="E478" t="e">
            <v>#N/A</v>
          </cell>
          <cell r="F478" t="e">
            <v>#N/A</v>
          </cell>
          <cell r="G478" t="e">
            <v>#N/A</v>
          </cell>
          <cell r="H478" t="e">
            <v>#N/A</v>
          </cell>
          <cell r="I478" t="e">
            <v>#N/A</v>
          </cell>
          <cell r="J478" t="e">
            <v>#N/A</v>
          </cell>
          <cell r="K478" t="e">
            <v>#N/A</v>
          </cell>
          <cell r="L478" t="e">
            <v>#N/A</v>
          </cell>
          <cell r="M478" t="e">
            <v>#N/A</v>
          </cell>
          <cell r="N478" t="e">
            <v>#N/A</v>
          </cell>
          <cell r="O478" t="e">
            <v>#N/A</v>
          </cell>
          <cell r="P478">
            <v>52.129989999999999</v>
          </cell>
          <cell r="Q478">
            <v>12.793215</v>
          </cell>
          <cell r="R478" t="e">
            <v>#N/A</v>
          </cell>
        </row>
        <row r="479">
          <cell r="A479">
            <v>40843</v>
          </cell>
          <cell r="B479">
            <v>40843</v>
          </cell>
          <cell r="C479" t="str">
            <v>Past</v>
          </cell>
          <cell r="D479">
            <v>54.339996999999997</v>
          </cell>
          <cell r="E479" t="e">
            <v>#N/A</v>
          </cell>
          <cell r="F479" t="e">
            <v>#N/A</v>
          </cell>
          <cell r="G479" t="e">
            <v>#N/A</v>
          </cell>
          <cell r="H479" t="e">
            <v>#N/A</v>
          </cell>
          <cell r="I479" t="e">
            <v>#N/A</v>
          </cell>
          <cell r="J479" t="e">
            <v>#N/A</v>
          </cell>
          <cell r="K479" t="e">
            <v>#N/A</v>
          </cell>
          <cell r="L479" t="e">
            <v>#N/A</v>
          </cell>
          <cell r="M479" t="e">
            <v>#N/A</v>
          </cell>
          <cell r="N479" t="e">
            <v>#N/A</v>
          </cell>
          <cell r="O479" t="e">
            <v>#N/A</v>
          </cell>
          <cell r="P479">
            <v>54.339996999999997</v>
          </cell>
          <cell r="Q479">
            <v>5.5595309999999998</v>
          </cell>
          <cell r="R479" t="e">
            <v>#N/A</v>
          </cell>
        </row>
        <row r="480">
          <cell r="A480">
            <v>40844</v>
          </cell>
          <cell r="B480">
            <v>40844</v>
          </cell>
          <cell r="C480" t="str">
            <v>Past</v>
          </cell>
          <cell r="D480">
            <v>55.5</v>
          </cell>
          <cell r="E480" t="e">
            <v>#N/A</v>
          </cell>
          <cell r="F480" t="e">
            <v>#N/A</v>
          </cell>
          <cell r="G480" t="e">
            <v>#N/A</v>
          </cell>
          <cell r="H480" t="e">
            <v>#N/A</v>
          </cell>
          <cell r="I480" t="e">
            <v>#N/A</v>
          </cell>
          <cell r="J480" t="e">
            <v>#N/A</v>
          </cell>
          <cell r="K480" t="e">
            <v>#N/A</v>
          </cell>
          <cell r="L480" t="e">
            <v>#N/A</v>
          </cell>
          <cell r="M480" t="e">
            <v>#N/A</v>
          </cell>
          <cell r="N480" t="e">
            <v>#N/A</v>
          </cell>
          <cell r="O480" t="e">
            <v>#N/A</v>
          </cell>
          <cell r="P480">
            <v>55.5</v>
          </cell>
          <cell r="Q480">
            <v>4.8856489999999999</v>
          </cell>
          <cell r="R480" t="e">
            <v>#N/A</v>
          </cell>
        </row>
        <row r="481">
          <cell r="A481">
            <v>40847</v>
          </cell>
          <cell r="B481">
            <v>40847</v>
          </cell>
          <cell r="C481" t="str">
            <v>Past</v>
          </cell>
          <cell r="D481">
            <v>54.859985999999999</v>
          </cell>
          <cell r="E481" t="e">
            <v>#N/A</v>
          </cell>
          <cell r="F481" t="e">
            <v>#N/A</v>
          </cell>
          <cell r="G481" t="e">
            <v>#N/A</v>
          </cell>
          <cell r="H481" t="e">
            <v>#N/A</v>
          </cell>
          <cell r="I481" t="e">
            <v>#N/A</v>
          </cell>
          <cell r="J481" t="e">
            <v>#N/A</v>
          </cell>
          <cell r="K481" t="e">
            <v>#N/A</v>
          </cell>
          <cell r="L481" t="e">
            <v>#N/A</v>
          </cell>
          <cell r="M481" t="e">
            <v>#N/A</v>
          </cell>
          <cell r="N481" t="e">
            <v>#N/A</v>
          </cell>
          <cell r="O481" t="e">
            <v>#N/A</v>
          </cell>
          <cell r="P481">
            <v>54.859985999999999</v>
          </cell>
          <cell r="Q481">
            <v>3.5170699999999999</v>
          </cell>
          <cell r="R481" t="e">
            <v>#N/A</v>
          </cell>
        </row>
        <row r="482">
          <cell r="A482">
            <v>40848</v>
          </cell>
          <cell r="B482">
            <v>40848</v>
          </cell>
          <cell r="C482" t="str">
            <v>Past</v>
          </cell>
          <cell r="D482">
            <v>53.679993000000003</v>
          </cell>
          <cell r="E482" t="e">
            <v>#N/A</v>
          </cell>
          <cell r="F482" t="e">
            <v>#N/A</v>
          </cell>
          <cell r="G482" t="e">
            <v>#N/A</v>
          </cell>
          <cell r="H482" t="e">
            <v>#N/A</v>
          </cell>
          <cell r="I482" t="e">
            <v>#N/A</v>
          </cell>
          <cell r="J482" t="e">
            <v>#N/A</v>
          </cell>
          <cell r="K482" t="e">
            <v>#N/A</v>
          </cell>
          <cell r="L482" t="e">
            <v>#N/A</v>
          </cell>
          <cell r="M482" t="e">
            <v>#N/A</v>
          </cell>
          <cell r="N482" t="e">
            <v>#N/A</v>
          </cell>
          <cell r="O482" t="e">
            <v>#N/A</v>
          </cell>
          <cell r="P482">
            <v>53.679993000000003</v>
          </cell>
          <cell r="Q482">
            <v>3.1061510000000001</v>
          </cell>
          <cell r="R482" t="e">
            <v>#N/A</v>
          </cell>
        </row>
        <row r="483">
          <cell r="A483">
            <v>40849</v>
          </cell>
          <cell r="B483">
            <v>40849</v>
          </cell>
          <cell r="C483" t="str">
            <v>Past</v>
          </cell>
          <cell r="D483">
            <v>53.609985999999999</v>
          </cell>
          <cell r="E483" t="e">
            <v>#N/A</v>
          </cell>
          <cell r="F483" t="e">
            <v>#N/A</v>
          </cell>
          <cell r="G483" t="e">
            <v>#N/A</v>
          </cell>
          <cell r="H483" t="e">
            <v>#N/A</v>
          </cell>
          <cell r="I483" t="e">
            <v>#N/A</v>
          </cell>
          <cell r="J483" t="e">
            <v>#N/A</v>
          </cell>
          <cell r="K483" t="e">
            <v>#N/A</v>
          </cell>
          <cell r="L483" t="e">
            <v>#N/A</v>
          </cell>
          <cell r="M483" t="e">
            <v>#N/A</v>
          </cell>
          <cell r="N483" t="e">
            <v>#N/A</v>
          </cell>
          <cell r="O483" t="e">
            <v>#N/A</v>
          </cell>
          <cell r="P483">
            <v>53.609985999999999</v>
          </cell>
          <cell r="Q483">
            <v>2.223859</v>
          </cell>
          <cell r="R483" t="e">
            <v>#N/A</v>
          </cell>
        </row>
        <row r="484">
          <cell r="A484">
            <v>40850</v>
          </cell>
          <cell r="B484">
            <v>40850</v>
          </cell>
          <cell r="C484" t="str">
            <v>Past</v>
          </cell>
          <cell r="D484">
            <v>53.449997000000003</v>
          </cell>
          <cell r="E484" t="e">
            <v>#N/A</v>
          </cell>
          <cell r="F484" t="e">
            <v>#N/A</v>
          </cell>
          <cell r="G484" t="e">
            <v>#N/A</v>
          </cell>
          <cell r="H484" t="e">
            <v>#N/A</v>
          </cell>
          <cell r="I484" t="e">
            <v>#N/A</v>
          </cell>
          <cell r="J484" t="e">
            <v>#N/A</v>
          </cell>
          <cell r="K484" t="e">
            <v>#N/A</v>
          </cell>
          <cell r="L484" t="e">
            <v>#N/A</v>
          </cell>
          <cell r="M484" t="e">
            <v>#N/A</v>
          </cell>
          <cell r="N484" t="e">
            <v>#N/A</v>
          </cell>
          <cell r="O484" t="e">
            <v>#N/A</v>
          </cell>
          <cell r="P484">
            <v>53.449997000000003</v>
          </cell>
          <cell r="Q484">
            <v>1.975239</v>
          </cell>
          <cell r="R484" t="e">
            <v>#N/A</v>
          </cell>
        </row>
        <row r="485">
          <cell r="A485">
            <v>40851</v>
          </cell>
          <cell r="B485">
            <v>40851</v>
          </cell>
          <cell r="C485" t="str">
            <v>Past</v>
          </cell>
          <cell r="D485">
            <v>55.059998</v>
          </cell>
          <cell r="E485" t="e">
            <v>#N/A</v>
          </cell>
          <cell r="F485" t="e">
            <v>#N/A</v>
          </cell>
          <cell r="G485" t="e">
            <v>#N/A</v>
          </cell>
          <cell r="H485" t="e">
            <v>#N/A</v>
          </cell>
          <cell r="I485" t="e">
            <v>#N/A</v>
          </cell>
          <cell r="J485" t="e">
            <v>#N/A</v>
          </cell>
          <cell r="K485" t="e">
            <v>#N/A</v>
          </cell>
          <cell r="L485" t="e">
            <v>#N/A</v>
          </cell>
          <cell r="M485" t="e">
            <v>#N/A</v>
          </cell>
          <cell r="N485" t="e">
            <v>#N/A</v>
          </cell>
          <cell r="O485" t="e">
            <v>#N/A</v>
          </cell>
          <cell r="P485">
            <v>55.059998</v>
          </cell>
          <cell r="Q485">
            <v>4.6048439999999999</v>
          </cell>
          <cell r="R485" t="e">
            <v>#N/A</v>
          </cell>
        </row>
        <row r="486">
          <cell r="A486">
            <v>40854</v>
          </cell>
          <cell r="B486">
            <v>40854</v>
          </cell>
          <cell r="C486" t="str">
            <v>Past</v>
          </cell>
          <cell r="D486">
            <v>57.109985999999999</v>
          </cell>
          <cell r="E486" t="e">
            <v>#N/A</v>
          </cell>
          <cell r="F486" t="e">
            <v>#N/A</v>
          </cell>
          <cell r="G486" t="e">
            <v>#N/A</v>
          </cell>
          <cell r="H486" t="e">
            <v>#N/A</v>
          </cell>
          <cell r="I486" t="e">
            <v>#N/A</v>
          </cell>
          <cell r="J486" t="e">
            <v>#N/A</v>
          </cell>
          <cell r="K486" t="e">
            <v>#N/A</v>
          </cell>
          <cell r="L486" t="e">
            <v>#N/A</v>
          </cell>
          <cell r="M486" t="e">
            <v>#N/A</v>
          </cell>
          <cell r="N486" t="e">
            <v>#N/A</v>
          </cell>
          <cell r="O486" t="e">
            <v>#N/A</v>
          </cell>
          <cell r="P486">
            <v>57.109985999999999</v>
          </cell>
          <cell r="Q486">
            <v>4.7832340000000002</v>
          </cell>
          <cell r="R486" t="e">
            <v>#N/A</v>
          </cell>
        </row>
        <row r="487">
          <cell r="A487">
            <v>40855</v>
          </cell>
          <cell r="B487">
            <v>40855</v>
          </cell>
          <cell r="C487" t="str">
            <v>Past</v>
          </cell>
          <cell r="D487">
            <v>58.109985999999999</v>
          </cell>
          <cell r="E487" t="e">
            <v>#N/A</v>
          </cell>
          <cell r="F487" t="e">
            <v>#N/A</v>
          </cell>
          <cell r="G487" t="e">
            <v>#N/A</v>
          </cell>
          <cell r="H487" t="e">
            <v>#N/A</v>
          </cell>
          <cell r="I487" t="e">
            <v>#N/A</v>
          </cell>
          <cell r="J487" t="e">
            <v>#N/A</v>
          </cell>
          <cell r="K487" t="e">
            <v>#N/A</v>
          </cell>
          <cell r="L487" t="e">
            <v>#N/A</v>
          </cell>
          <cell r="M487" t="e">
            <v>#N/A</v>
          </cell>
          <cell r="N487" t="e">
            <v>#N/A</v>
          </cell>
          <cell r="O487" t="e">
            <v>#N/A</v>
          </cell>
          <cell r="P487">
            <v>58.109985999999999</v>
          </cell>
          <cell r="Q487">
            <v>5.2074959999999999</v>
          </cell>
          <cell r="R487" t="e">
            <v>#N/A</v>
          </cell>
        </row>
        <row r="488">
          <cell r="A488">
            <v>40856</v>
          </cell>
          <cell r="B488">
            <v>40856</v>
          </cell>
          <cell r="C488" t="str">
            <v>Past</v>
          </cell>
          <cell r="D488">
            <v>56.189988</v>
          </cell>
          <cell r="E488" t="e">
            <v>#N/A</v>
          </cell>
          <cell r="F488" t="e">
            <v>#N/A</v>
          </cell>
          <cell r="G488" t="e">
            <v>#N/A</v>
          </cell>
          <cell r="H488" t="e">
            <v>#N/A</v>
          </cell>
          <cell r="I488" t="e">
            <v>#N/A</v>
          </cell>
          <cell r="J488" t="e">
            <v>#N/A</v>
          </cell>
          <cell r="K488" t="e">
            <v>#N/A</v>
          </cell>
          <cell r="L488" t="e">
            <v>#N/A</v>
          </cell>
          <cell r="M488" t="e">
            <v>#N/A</v>
          </cell>
          <cell r="N488" t="e">
            <v>#N/A</v>
          </cell>
          <cell r="O488" t="e">
            <v>#N/A</v>
          </cell>
          <cell r="P488">
            <v>56.189988</v>
          </cell>
          <cell r="Q488">
            <v>4.8840630000000003</v>
          </cell>
          <cell r="R488" t="e">
            <v>#N/A</v>
          </cell>
        </row>
        <row r="489">
          <cell r="A489">
            <v>40857</v>
          </cell>
          <cell r="B489">
            <v>40857</v>
          </cell>
          <cell r="C489" t="str">
            <v>Past</v>
          </cell>
          <cell r="D489">
            <v>56.869996</v>
          </cell>
          <cell r="E489" t="e">
            <v>#N/A</v>
          </cell>
          <cell r="F489" t="e">
            <v>#N/A</v>
          </cell>
          <cell r="G489" t="e">
            <v>#N/A</v>
          </cell>
          <cell r="H489" t="e">
            <v>#N/A</v>
          </cell>
          <cell r="I489" t="e">
            <v>#N/A</v>
          </cell>
          <cell r="J489" t="e">
            <v>#N/A</v>
          </cell>
          <cell r="K489" t="e">
            <v>#N/A</v>
          </cell>
          <cell r="L489" t="e">
            <v>#N/A</v>
          </cell>
          <cell r="M489" t="e">
            <v>#N/A</v>
          </cell>
          <cell r="N489" t="e">
            <v>#N/A</v>
          </cell>
          <cell r="O489" t="e">
            <v>#N/A</v>
          </cell>
          <cell r="P489">
            <v>56.869996</v>
          </cell>
          <cell r="Q489">
            <v>2.5754679999999999</v>
          </cell>
          <cell r="R489" t="e">
            <v>#N/A</v>
          </cell>
        </row>
        <row r="490">
          <cell r="A490">
            <v>40858</v>
          </cell>
          <cell r="B490">
            <v>40858</v>
          </cell>
          <cell r="C490" t="str">
            <v>Past</v>
          </cell>
          <cell r="D490">
            <v>57.439988</v>
          </cell>
          <cell r="E490" t="e">
            <v>#N/A</v>
          </cell>
          <cell r="F490" t="e">
            <v>#N/A</v>
          </cell>
          <cell r="G490" t="e">
            <v>#N/A</v>
          </cell>
          <cell r="H490" t="e">
            <v>#N/A</v>
          </cell>
          <cell r="I490" t="e">
            <v>#N/A</v>
          </cell>
          <cell r="J490" t="e">
            <v>#N/A</v>
          </cell>
          <cell r="K490" t="e">
            <v>#N/A</v>
          </cell>
          <cell r="L490" t="e">
            <v>#N/A</v>
          </cell>
          <cell r="M490" t="e">
            <v>#N/A</v>
          </cell>
          <cell r="N490" t="e">
            <v>#N/A</v>
          </cell>
          <cell r="O490" t="e">
            <v>#N/A</v>
          </cell>
          <cell r="P490">
            <v>57.439988</v>
          </cell>
          <cell r="Q490">
            <v>2.383572</v>
          </cell>
          <cell r="R490" t="e">
            <v>#N/A</v>
          </cell>
        </row>
        <row r="491">
          <cell r="A491">
            <v>40861</v>
          </cell>
          <cell r="B491">
            <v>40861</v>
          </cell>
          <cell r="C491" t="str">
            <v>Past</v>
          </cell>
          <cell r="D491">
            <v>57.229996</v>
          </cell>
          <cell r="E491" t="e">
            <v>#N/A</v>
          </cell>
          <cell r="F491" t="e">
            <v>#N/A</v>
          </cell>
          <cell r="G491" t="e">
            <v>#N/A</v>
          </cell>
          <cell r="H491" t="e">
            <v>#N/A</v>
          </cell>
          <cell r="I491" t="e">
            <v>#N/A</v>
          </cell>
          <cell r="J491" t="e">
            <v>#N/A</v>
          </cell>
          <cell r="K491" t="e">
            <v>#N/A</v>
          </cell>
          <cell r="L491" t="e">
            <v>#N/A</v>
          </cell>
          <cell r="M491" t="e">
            <v>#N/A</v>
          </cell>
          <cell r="N491" t="e">
            <v>#N/A</v>
          </cell>
          <cell r="O491" t="e">
            <v>#N/A</v>
          </cell>
          <cell r="P491">
            <v>57.229996</v>
          </cell>
          <cell r="Q491">
            <v>2.3243529999999999</v>
          </cell>
          <cell r="R491" t="e">
            <v>#N/A</v>
          </cell>
        </row>
        <row r="492">
          <cell r="A492">
            <v>40862</v>
          </cell>
          <cell r="B492">
            <v>40862</v>
          </cell>
          <cell r="C492" t="str">
            <v>Past</v>
          </cell>
          <cell r="D492">
            <v>56.859985999999999</v>
          </cell>
          <cell r="E492" t="e">
            <v>#N/A</v>
          </cell>
          <cell r="F492" t="e">
            <v>#N/A</v>
          </cell>
          <cell r="G492" t="e">
            <v>#N/A</v>
          </cell>
          <cell r="H492" t="e">
            <v>#N/A</v>
          </cell>
          <cell r="I492" t="e">
            <v>#N/A</v>
          </cell>
          <cell r="J492" t="e">
            <v>#N/A</v>
          </cell>
          <cell r="K492" t="e">
            <v>#N/A</v>
          </cell>
          <cell r="L492" t="e">
            <v>#N/A</v>
          </cell>
          <cell r="M492" t="e">
            <v>#N/A</v>
          </cell>
          <cell r="N492" t="e">
            <v>#N/A</v>
          </cell>
          <cell r="O492" t="e">
            <v>#N/A</v>
          </cell>
          <cell r="P492">
            <v>56.859985999999999</v>
          </cell>
          <cell r="Q492">
            <v>2.9808789999999998</v>
          </cell>
          <cell r="R492" t="e">
            <v>#N/A</v>
          </cell>
        </row>
        <row r="493">
          <cell r="A493">
            <v>40863</v>
          </cell>
          <cell r="B493">
            <v>40863</v>
          </cell>
          <cell r="C493" t="str">
            <v>Past</v>
          </cell>
          <cell r="D493">
            <v>55.839996999999997</v>
          </cell>
          <cell r="E493" t="e">
            <v>#N/A</v>
          </cell>
          <cell r="F493" t="e">
            <v>#N/A</v>
          </cell>
          <cell r="G493" t="e">
            <v>#N/A</v>
          </cell>
          <cell r="H493" t="e">
            <v>#N/A</v>
          </cell>
          <cell r="I493" t="e">
            <v>#N/A</v>
          </cell>
          <cell r="J493" t="e">
            <v>#N/A</v>
          </cell>
          <cell r="K493" t="e">
            <v>#N/A</v>
          </cell>
          <cell r="L493" t="e">
            <v>#N/A</v>
          </cell>
          <cell r="M493" t="e">
            <v>#N/A</v>
          </cell>
          <cell r="N493" t="e">
            <v>#N/A</v>
          </cell>
          <cell r="O493" t="e">
            <v>#N/A</v>
          </cell>
          <cell r="P493">
            <v>55.839996999999997</v>
          </cell>
          <cell r="Q493">
            <v>3.4452799999999999</v>
          </cell>
          <cell r="R493" t="e">
            <v>#N/A</v>
          </cell>
        </row>
        <row r="494">
          <cell r="A494">
            <v>40864</v>
          </cell>
          <cell r="B494">
            <v>40864</v>
          </cell>
          <cell r="C494" t="str">
            <v>Past</v>
          </cell>
          <cell r="D494">
            <v>54.629989999999999</v>
          </cell>
          <cell r="E494" t="e">
            <v>#N/A</v>
          </cell>
          <cell r="F494" t="e">
            <v>#N/A</v>
          </cell>
          <cell r="G494" t="e">
            <v>#N/A</v>
          </cell>
          <cell r="H494" t="e">
            <v>#N/A</v>
          </cell>
          <cell r="I494" t="e">
            <v>#N/A</v>
          </cell>
          <cell r="J494" t="e">
            <v>#N/A</v>
          </cell>
          <cell r="K494" t="e">
            <v>#N/A</v>
          </cell>
          <cell r="L494" t="e">
            <v>#N/A</v>
          </cell>
          <cell r="M494" t="e">
            <v>#N/A</v>
          </cell>
          <cell r="N494" t="e">
            <v>#N/A</v>
          </cell>
          <cell r="O494" t="e">
            <v>#N/A</v>
          </cell>
          <cell r="P494">
            <v>54.629989999999999</v>
          </cell>
          <cell r="Q494">
            <v>2.8811900000000001</v>
          </cell>
          <cell r="R494" t="e">
            <v>#N/A</v>
          </cell>
        </row>
        <row r="495">
          <cell r="A495">
            <v>40865</v>
          </cell>
          <cell r="B495">
            <v>40865</v>
          </cell>
          <cell r="C495" t="str">
            <v>Past</v>
          </cell>
          <cell r="D495">
            <v>55.279998999999997</v>
          </cell>
          <cell r="E495" t="e">
            <v>#N/A</v>
          </cell>
          <cell r="F495" t="e">
            <v>#N/A</v>
          </cell>
          <cell r="G495" t="e">
            <v>#N/A</v>
          </cell>
          <cell r="H495" t="e">
            <v>#N/A</v>
          </cell>
          <cell r="I495" t="e">
            <v>#N/A</v>
          </cell>
          <cell r="J495" t="e">
            <v>#N/A</v>
          </cell>
          <cell r="K495" t="e">
            <v>#N/A</v>
          </cell>
          <cell r="L495" t="e">
            <v>#N/A</v>
          </cell>
          <cell r="M495" t="e">
            <v>#N/A</v>
          </cell>
          <cell r="N495" t="e">
            <v>#N/A</v>
          </cell>
          <cell r="O495" t="e">
            <v>#N/A</v>
          </cell>
          <cell r="P495">
            <v>55.279998999999997</v>
          </cell>
          <cell r="Q495">
            <v>3.2577780000000001</v>
          </cell>
          <cell r="R495" t="e">
            <v>#N/A</v>
          </cell>
        </row>
        <row r="496">
          <cell r="A496">
            <v>40868</v>
          </cell>
          <cell r="B496">
            <v>40868</v>
          </cell>
          <cell r="C496" t="str">
            <v>Past</v>
          </cell>
          <cell r="D496">
            <v>53.939988</v>
          </cell>
          <cell r="E496" t="e">
            <v>#N/A</v>
          </cell>
          <cell r="F496" t="e">
            <v>#N/A</v>
          </cell>
          <cell r="G496" t="e">
            <v>#N/A</v>
          </cell>
          <cell r="H496" t="e">
            <v>#N/A</v>
          </cell>
          <cell r="I496" t="e">
            <v>#N/A</v>
          </cell>
          <cell r="J496" t="e">
            <v>#N/A</v>
          </cell>
          <cell r="K496" t="e">
            <v>#N/A</v>
          </cell>
          <cell r="L496" t="e">
            <v>#N/A</v>
          </cell>
          <cell r="M496" t="e">
            <v>#N/A</v>
          </cell>
          <cell r="N496" t="e">
            <v>#N/A</v>
          </cell>
          <cell r="O496" t="e">
            <v>#N/A</v>
          </cell>
          <cell r="P496">
            <v>53.939988</v>
          </cell>
          <cell r="Q496">
            <v>3.1163530000000002</v>
          </cell>
          <cell r="R496" t="e">
            <v>#N/A</v>
          </cell>
        </row>
        <row r="497">
          <cell r="A497">
            <v>40869</v>
          </cell>
          <cell r="B497">
            <v>40869</v>
          </cell>
          <cell r="C497" t="str">
            <v>Past</v>
          </cell>
          <cell r="D497">
            <v>53.959992</v>
          </cell>
          <cell r="E497" t="e">
            <v>#N/A</v>
          </cell>
          <cell r="F497" t="e">
            <v>#N/A</v>
          </cell>
          <cell r="G497" t="e">
            <v>#N/A</v>
          </cell>
          <cell r="H497" t="e">
            <v>#N/A</v>
          </cell>
          <cell r="I497" t="e">
            <v>#N/A</v>
          </cell>
          <cell r="J497" t="e">
            <v>#N/A</v>
          </cell>
          <cell r="K497" t="e">
            <v>#N/A</v>
          </cell>
          <cell r="L497" t="e">
            <v>#N/A</v>
          </cell>
          <cell r="M497" t="e">
            <v>#N/A</v>
          </cell>
          <cell r="N497" t="e">
            <v>#N/A</v>
          </cell>
          <cell r="O497" t="e">
            <v>#N/A</v>
          </cell>
          <cell r="P497">
            <v>53.959992</v>
          </cell>
          <cell r="Q497">
            <v>2.3624239999999999</v>
          </cell>
          <cell r="R497" t="e">
            <v>#N/A</v>
          </cell>
        </row>
        <row r="498">
          <cell r="A498">
            <v>40870</v>
          </cell>
          <cell r="B498">
            <v>40870</v>
          </cell>
          <cell r="C498" t="str">
            <v>Past</v>
          </cell>
          <cell r="D498">
            <v>54.079987000000003</v>
          </cell>
          <cell r="E498" t="e">
            <v>#N/A</v>
          </cell>
          <cell r="F498" t="e">
            <v>#N/A</v>
          </cell>
          <cell r="G498" t="e">
            <v>#N/A</v>
          </cell>
          <cell r="H498" t="e">
            <v>#N/A</v>
          </cell>
          <cell r="I498" t="e">
            <v>#N/A</v>
          </cell>
          <cell r="J498" t="e">
            <v>#N/A</v>
          </cell>
          <cell r="K498" t="e">
            <v>#N/A</v>
          </cell>
          <cell r="L498" t="e">
            <v>#N/A</v>
          </cell>
          <cell r="M498" t="e">
            <v>#N/A</v>
          </cell>
          <cell r="N498" t="e">
            <v>#N/A</v>
          </cell>
          <cell r="O498" t="e">
            <v>#N/A</v>
          </cell>
          <cell r="P498">
            <v>54.079987000000003</v>
          </cell>
          <cell r="Q498">
            <v>5.1405000000000003</v>
          </cell>
          <cell r="R498" t="e">
            <v>#N/A</v>
          </cell>
        </row>
        <row r="499">
          <cell r="A499">
            <v>40872</v>
          </cell>
          <cell r="B499">
            <v>40872</v>
          </cell>
          <cell r="C499" t="str">
            <v>Past</v>
          </cell>
          <cell r="D499">
            <v>53.739991000000003</v>
          </cell>
          <cell r="E499" t="e">
            <v>#N/A</v>
          </cell>
          <cell r="F499" t="e">
            <v>#N/A</v>
          </cell>
          <cell r="G499" t="e">
            <v>#N/A</v>
          </cell>
          <cell r="H499" t="e">
            <v>#N/A</v>
          </cell>
          <cell r="I499" t="e">
            <v>#N/A</v>
          </cell>
          <cell r="J499" t="e">
            <v>#N/A</v>
          </cell>
          <cell r="K499" t="e">
            <v>#N/A</v>
          </cell>
          <cell r="L499" t="e">
            <v>#N/A</v>
          </cell>
          <cell r="M499" t="e">
            <v>#N/A</v>
          </cell>
          <cell r="N499" t="e">
            <v>#N/A</v>
          </cell>
          <cell r="O499" t="e">
            <v>#N/A</v>
          </cell>
          <cell r="P499">
            <v>53.739991000000003</v>
          </cell>
          <cell r="Q499">
            <v>1.003169</v>
          </cell>
          <cell r="R499" t="e">
            <v>#N/A</v>
          </cell>
        </row>
        <row r="500">
          <cell r="A500">
            <v>40875</v>
          </cell>
          <cell r="B500">
            <v>40875</v>
          </cell>
          <cell r="C500" t="str">
            <v>Past</v>
          </cell>
          <cell r="D500">
            <v>54.789994</v>
          </cell>
          <cell r="E500" t="e">
            <v>#N/A</v>
          </cell>
          <cell r="F500" t="e">
            <v>#N/A</v>
          </cell>
          <cell r="G500" t="e">
            <v>#N/A</v>
          </cell>
          <cell r="H500" t="e">
            <v>#N/A</v>
          </cell>
          <cell r="I500" t="e">
            <v>#N/A</v>
          </cell>
          <cell r="J500" t="e">
            <v>#N/A</v>
          </cell>
          <cell r="K500" t="e">
            <v>#N/A</v>
          </cell>
          <cell r="L500" t="e">
            <v>#N/A</v>
          </cell>
          <cell r="M500" t="e">
            <v>#N/A</v>
          </cell>
          <cell r="N500" t="e">
            <v>#N/A</v>
          </cell>
          <cell r="O500" t="e">
            <v>#N/A</v>
          </cell>
          <cell r="P500">
            <v>54.789994</v>
          </cell>
          <cell r="Q500">
            <v>2.3714309999999998</v>
          </cell>
          <cell r="R500" t="e">
            <v>#N/A</v>
          </cell>
        </row>
        <row r="501">
          <cell r="A501">
            <v>40876</v>
          </cell>
          <cell r="B501">
            <v>40876</v>
          </cell>
          <cell r="C501" t="str">
            <v>Past</v>
          </cell>
          <cell r="D501">
            <v>54.869996</v>
          </cell>
          <cell r="E501" t="e">
            <v>#N/A</v>
          </cell>
          <cell r="F501" t="e">
            <v>#N/A</v>
          </cell>
          <cell r="G501" t="e">
            <v>#N/A</v>
          </cell>
          <cell r="H501" t="e">
            <v>#N/A</v>
          </cell>
          <cell r="I501" t="e">
            <v>#N/A</v>
          </cell>
          <cell r="J501" t="e">
            <v>#N/A</v>
          </cell>
          <cell r="K501" t="e">
            <v>#N/A</v>
          </cell>
          <cell r="L501" t="e">
            <v>#N/A</v>
          </cell>
          <cell r="M501" t="e">
            <v>#N/A</v>
          </cell>
          <cell r="N501" t="e">
            <v>#N/A</v>
          </cell>
          <cell r="O501" t="e">
            <v>#N/A</v>
          </cell>
          <cell r="P501">
            <v>54.869996</v>
          </cell>
          <cell r="Q501">
            <v>1.7011309999999999</v>
          </cell>
          <cell r="R501" t="e">
            <v>#N/A</v>
          </cell>
        </row>
        <row r="502">
          <cell r="A502">
            <v>40877</v>
          </cell>
          <cell r="B502">
            <v>40877</v>
          </cell>
          <cell r="C502" t="str">
            <v>Past</v>
          </cell>
          <cell r="D502">
            <v>56.669998999999997</v>
          </cell>
          <cell r="E502" t="e">
            <v>#N/A</v>
          </cell>
          <cell r="F502" t="e">
            <v>#N/A</v>
          </cell>
          <cell r="G502" t="e">
            <v>#N/A</v>
          </cell>
          <cell r="H502" t="e">
            <v>#N/A</v>
          </cell>
          <cell r="I502" t="e">
            <v>#N/A</v>
          </cell>
          <cell r="J502" t="e">
            <v>#N/A</v>
          </cell>
          <cell r="K502" t="e">
            <v>#N/A</v>
          </cell>
          <cell r="L502" t="e">
            <v>#N/A</v>
          </cell>
          <cell r="M502" t="e">
            <v>#N/A</v>
          </cell>
          <cell r="N502" t="e">
            <v>#N/A</v>
          </cell>
          <cell r="O502" t="e">
            <v>#N/A</v>
          </cell>
          <cell r="P502">
            <v>56.669998999999997</v>
          </cell>
          <cell r="Q502">
            <v>3.6250990000000001</v>
          </cell>
          <cell r="R502" t="e">
            <v>#N/A</v>
          </cell>
        </row>
        <row r="503">
          <cell r="A503">
            <v>40878</v>
          </cell>
          <cell r="B503">
            <v>40878</v>
          </cell>
          <cell r="C503" t="str">
            <v>Past</v>
          </cell>
          <cell r="D503">
            <v>57.289994</v>
          </cell>
          <cell r="E503" t="e">
            <v>#N/A</v>
          </cell>
          <cell r="F503" t="e">
            <v>#N/A</v>
          </cell>
          <cell r="G503" t="e">
            <v>#N/A</v>
          </cell>
          <cell r="H503" t="e">
            <v>#N/A</v>
          </cell>
          <cell r="I503" t="e">
            <v>#N/A</v>
          </cell>
          <cell r="J503" t="e">
            <v>#N/A</v>
          </cell>
          <cell r="K503" t="e">
            <v>#N/A</v>
          </cell>
          <cell r="L503" t="e">
            <v>#N/A</v>
          </cell>
          <cell r="M503" t="e">
            <v>#N/A</v>
          </cell>
          <cell r="N503" t="e">
            <v>#N/A</v>
          </cell>
          <cell r="O503" t="e">
            <v>#N/A</v>
          </cell>
          <cell r="P503">
            <v>57.289994</v>
          </cell>
          <cell r="Q503">
            <v>3.9173580000000001</v>
          </cell>
          <cell r="R503" t="e">
            <v>#N/A</v>
          </cell>
        </row>
        <row r="504">
          <cell r="A504">
            <v>40879</v>
          </cell>
          <cell r="B504">
            <v>40879</v>
          </cell>
          <cell r="C504" t="str">
            <v>Past</v>
          </cell>
          <cell r="D504">
            <v>57.479996</v>
          </cell>
          <cell r="E504" t="e">
            <v>#N/A</v>
          </cell>
          <cell r="F504" t="e">
            <v>#N/A</v>
          </cell>
          <cell r="G504" t="e">
            <v>#N/A</v>
          </cell>
          <cell r="H504" t="e">
            <v>#N/A</v>
          </cell>
          <cell r="I504" t="e">
            <v>#N/A</v>
          </cell>
          <cell r="J504" t="e">
            <v>#N/A</v>
          </cell>
          <cell r="K504" t="e">
            <v>#N/A</v>
          </cell>
          <cell r="L504" t="e">
            <v>#N/A</v>
          </cell>
          <cell r="M504" t="e">
            <v>#N/A</v>
          </cell>
          <cell r="N504" t="e">
            <v>#N/A</v>
          </cell>
          <cell r="O504" t="e">
            <v>#N/A</v>
          </cell>
          <cell r="P504">
            <v>57.479996</v>
          </cell>
          <cell r="Q504">
            <v>1.811704</v>
          </cell>
          <cell r="R504" t="e">
            <v>#N/A</v>
          </cell>
        </row>
        <row r="505">
          <cell r="A505">
            <v>40882</v>
          </cell>
          <cell r="B505">
            <v>40882</v>
          </cell>
          <cell r="C505" t="str">
            <v>Past</v>
          </cell>
          <cell r="D505">
            <v>57.009995000000004</v>
          </cell>
          <cell r="E505" t="e">
            <v>#N/A</v>
          </cell>
          <cell r="F505" t="e">
            <v>#N/A</v>
          </cell>
          <cell r="G505" t="e">
            <v>#N/A</v>
          </cell>
          <cell r="H505" t="e">
            <v>#N/A</v>
          </cell>
          <cell r="I505" t="e">
            <v>#N/A</v>
          </cell>
          <cell r="J505" t="e">
            <v>#N/A</v>
          </cell>
          <cell r="K505" t="e">
            <v>#N/A</v>
          </cell>
          <cell r="L505" t="e">
            <v>#N/A</v>
          </cell>
          <cell r="M505" t="e">
            <v>#N/A</v>
          </cell>
          <cell r="N505" t="e">
            <v>#N/A</v>
          </cell>
          <cell r="O505" t="e">
            <v>#N/A</v>
          </cell>
          <cell r="P505">
            <v>57.009995000000004</v>
          </cell>
          <cell r="Q505">
            <v>2.1775549999999999</v>
          </cell>
          <cell r="R505" t="e">
            <v>#N/A</v>
          </cell>
        </row>
        <row r="506">
          <cell r="A506">
            <v>40883</v>
          </cell>
          <cell r="B506">
            <v>40883</v>
          </cell>
          <cell r="C506" t="str">
            <v>Past</v>
          </cell>
          <cell r="D506">
            <v>57.369996</v>
          </cell>
          <cell r="E506" t="e">
            <v>#N/A</v>
          </cell>
          <cell r="F506" t="e">
            <v>#N/A</v>
          </cell>
          <cell r="G506" t="e">
            <v>#N/A</v>
          </cell>
          <cell r="H506" t="e">
            <v>#N/A</v>
          </cell>
          <cell r="I506" t="e">
            <v>#N/A</v>
          </cell>
          <cell r="J506" t="e">
            <v>#N/A</v>
          </cell>
          <cell r="K506" t="e">
            <v>#N/A</v>
          </cell>
          <cell r="L506" t="e">
            <v>#N/A</v>
          </cell>
          <cell r="M506" t="e">
            <v>#N/A</v>
          </cell>
          <cell r="N506" t="e">
            <v>#N/A</v>
          </cell>
          <cell r="O506" t="e">
            <v>#N/A</v>
          </cell>
          <cell r="P506">
            <v>57.369996</v>
          </cell>
          <cell r="Q506">
            <v>3.857291</v>
          </cell>
          <cell r="R506" t="e">
            <v>#N/A</v>
          </cell>
        </row>
        <row r="507">
          <cell r="A507">
            <v>40884</v>
          </cell>
          <cell r="B507">
            <v>40884</v>
          </cell>
          <cell r="C507" t="str">
            <v>Past</v>
          </cell>
          <cell r="D507">
            <v>57.309998</v>
          </cell>
          <cell r="E507" t="e">
            <v>#N/A</v>
          </cell>
          <cell r="F507" t="e">
            <v>#N/A</v>
          </cell>
          <cell r="G507" t="e">
            <v>#N/A</v>
          </cell>
          <cell r="H507" t="e">
            <v>#N/A</v>
          </cell>
          <cell r="I507" t="e">
            <v>#N/A</v>
          </cell>
          <cell r="J507" t="e">
            <v>#N/A</v>
          </cell>
          <cell r="K507" t="e">
            <v>#N/A</v>
          </cell>
          <cell r="L507" t="e">
            <v>#N/A</v>
          </cell>
          <cell r="M507" t="e">
            <v>#N/A</v>
          </cell>
          <cell r="N507" t="e">
            <v>#N/A</v>
          </cell>
          <cell r="O507" t="e">
            <v>#N/A</v>
          </cell>
          <cell r="P507">
            <v>57.309998</v>
          </cell>
          <cell r="Q507">
            <v>3.203843</v>
          </cell>
          <cell r="R507" t="e">
            <v>#N/A</v>
          </cell>
        </row>
        <row r="508">
          <cell r="A508">
            <v>40885</v>
          </cell>
          <cell r="B508">
            <v>40885</v>
          </cell>
          <cell r="C508" t="str">
            <v>Past</v>
          </cell>
          <cell r="D508">
            <v>56.439988</v>
          </cell>
          <cell r="E508" t="e">
            <v>#N/A</v>
          </cell>
          <cell r="F508" t="e">
            <v>#N/A</v>
          </cell>
          <cell r="G508" t="e">
            <v>#N/A</v>
          </cell>
          <cell r="H508" t="e">
            <v>#N/A</v>
          </cell>
          <cell r="I508" t="e">
            <v>#N/A</v>
          </cell>
          <cell r="J508" t="e">
            <v>#N/A</v>
          </cell>
          <cell r="K508" t="e">
            <v>#N/A</v>
          </cell>
          <cell r="L508" t="e">
            <v>#N/A</v>
          </cell>
          <cell r="M508" t="e">
            <v>#N/A</v>
          </cell>
          <cell r="N508" t="e">
            <v>#N/A</v>
          </cell>
          <cell r="O508" t="e">
            <v>#N/A</v>
          </cell>
          <cell r="P508">
            <v>56.439988</v>
          </cell>
          <cell r="Q508">
            <v>3.145079</v>
          </cell>
          <cell r="R508" t="e">
            <v>#N/A</v>
          </cell>
        </row>
        <row r="509">
          <cell r="A509">
            <v>40886</v>
          </cell>
          <cell r="B509">
            <v>40886</v>
          </cell>
          <cell r="C509" t="str">
            <v>Past</v>
          </cell>
          <cell r="D509">
            <v>57.129989999999999</v>
          </cell>
          <cell r="E509" t="e">
            <v>#N/A</v>
          </cell>
          <cell r="F509" t="e">
            <v>#N/A</v>
          </cell>
          <cell r="G509" t="e">
            <v>#N/A</v>
          </cell>
          <cell r="H509" t="e">
            <v>#N/A</v>
          </cell>
          <cell r="I509" t="e">
            <v>#N/A</v>
          </cell>
          <cell r="J509" t="e">
            <v>#N/A</v>
          </cell>
          <cell r="K509" t="e">
            <v>#N/A</v>
          </cell>
          <cell r="L509" t="e">
            <v>#N/A</v>
          </cell>
          <cell r="M509" t="e">
            <v>#N/A</v>
          </cell>
          <cell r="N509" t="e">
            <v>#N/A</v>
          </cell>
          <cell r="O509" t="e">
            <v>#N/A</v>
          </cell>
          <cell r="P509">
            <v>57.129989999999999</v>
          </cell>
          <cell r="Q509">
            <v>2.059129</v>
          </cell>
          <cell r="R509" t="e">
            <v>#N/A</v>
          </cell>
        </row>
        <row r="510">
          <cell r="A510">
            <v>40889</v>
          </cell>
          <cell r="B510">
            <v>40889</v>
          </cell>
          <cell r="C510" t="str">
            <v>Past</v>
          </cell>
          <cell r="D510">
            <v>56.379989999999999</v>
          </cell>
          <cell r="E510" t="e">
            <v>#N/A</v>
          </cell>
          <cell r="F510" t="e">
            <v>#N/A</v>
          </cell>
          <cell r="G510" t="e">
            <v>#N/A</v>
          </cell>
          <cell r="H510" t="e">
            <v>#N/A</v>
          </cell>
          <cell r="I510" t="e">
            <v>#N/A</v>
          </cell>
          <cell r="J510" t="e">
            <v>#N/A</v>
          </cell>
          <cell r="K510" t="e">
            <v>#N/A</v>
          </cell>
          <cell r="L510" t="e">
            <v>#N/A</v>
          </cell>
          <cell r="M510" t="e">
            <v>#N/A</v>
          </cell>
          <cell r="N510" t="e">
            <v>#N/A</v>
          </cell>
          <cell r="O510" t="e">
            <v>#N/A</v>
          </cell>
          <cell r="P510">
            <v>56.379989999999999</v>
          </cell>
          <cell r="Q510">
            <v>1.8898820000000001</v>
          </cell>
          <cell r="R510" t="e">
            <v>#N/A</v>
          </cell>
        </row>
        <row r="511">
          <cell r="A511">
            <v>40890</v>
          </cell>
          <cell r="B511">
            <v>40890</v>
          </cell>
          <cell r="C511" t="str">
            <v>Past</v>
          </cell>
          <cell r="D511">
            <v>55.329987000000003</v>
          </cell>
          <cell r="E511" t="e">
            <v>#N/A</v>
          </cell>
          <cell r="F511" t="e">
            <v>#N/A</v>
          </cell>
          <cell r="G511" t="e">
            <v>#N/A</v>
          </cell>
          <cell r="H511" t="e">
            <v>#N/A</v>
          </cell>
          <cell r="I511" t="e">
            <v>#N/A</v>
          </cell>
          <cell r="J511" t="e">
            <v>#N/A</v>
          </cell>
          <cell r="K511" t="e">
            <v>#N/A</v>
          </cell>
          <cell r="L511" t="e">
            <v>#N/A</v>
          </cell>
          <cell r="M511" t="e">
            <v>#N/A</v>
          </cell>
          <cell r="N511" t="e">
            <v>#N/A</v>
          </cell>
          <cell r="O511" t="e">
            <v>#N/A</v>
          </cell>
          <cell r="P511">
            <v>55.329987000000003</v>
          </cell>
          <cell r="Q511">
            <v>5.0525589999999996</v>
          </cell>
          <cell r="R511" t="e">
            <v>#N/A</v>
          </cell>
        </row>
        <row r="512">
          <cell r="A512">
            <v>40891</v>
          </cell>
          <cell r="B512">
            <v>40891</v>
          </cell>
          <cell r="C512" t="str">
            <v>Past</v>
          </cell>
          <cell r="D512">
            <v>54.829987000000003</v>
          </cell>
          <cell r="E512" t="e">
            <v>#N/A</v>
          </cell>
          <cell r="F512" t="e">
            <v>#N/A</v>
          </cell>
          <cell r="G512" t="e">
            <v>#N/A</v>
          </cell>
          <cell r="H512" t="e">
            <v>#N/A</v>
          </cell>
          <cell r="I512" t="e">
            <v>#N/A</v>
          </cell>
          <cell r="J512" t="e">
            <v>#N/A</v>
          </cell>
          <cell r="K512" t="e">
            <v>#N/A</v>
          </cell>
          <cell r="L512" t="e">
            <v>#N/A</v>
          </cell>
          <cell r="M512" t="e">
            <v>#N/A</v>
          </cell>
          <cell r="N512" t="e">
            <v>#N/A</v>
          </cell>
          <cell r="O512" t="e">
            <v>#N/A</v>
          </cell>
          <cell r="P512">
            <v>54.829987000000003</v>
          </cell>
          <cell r="Q512">
            <v>2.4238279999999999</v>
          </cell>
          <cell r="R512" t="e">
            <v>#N/A</v>
          </cell>
        </row>
        <row r="513">
          <cell r="A513">
            <v>40892</v>
          </cell>
          <cell r="B513">
            <v>40892</v>
          </cell>
          <cell r="C513" t="str">
            <v>Past</v>
          </cell>
          <cell r="D513">
            <v>54.679993000000003</v>
          </cell>
          <cell r="E513" t="e">
            <v>#N/A</v>
          </cell>
          <cell r="F513" t="e">
            <v>#N/A</v>
          </cell>
          <cell r="G513" t="e">
            <v>#N/A</v>
          </cell>
          <cell r="H513" t="e">
            <v>#N/A</v>
          </cell>
          <cell r="I513" t="e">
            <v>#N/A</v>
          </cell>
          <cell r="J513" t="e">
            <v>#N/A</v>
          </cell>
          <cell r="K513" t="e">
            <v>#N/A</v>
          </cell>
          <cell r="L513" t="e">
            <v>#N/A</v>
          </cell>
          <cell r="M513" t="e">
            <v>#N/A</v>
          </cell>
          <cell r="N513" t="e">
            <v>#N/A</v>
          </cell>
          <cell r="O513" t="e">
            <v>#N/A</v>
          </cell>
          <cell r="P513">
            <v>54.679993000000003</v>
          </cell>
          <cell r="Q513">
            <v>2.4231020000000001</v>
          </cell>
          <cell r="R513" t="e">
            <v>#N/A</v>
          </cell>
        </row>
        <row r="514">
          <cell r="A514">
            <v>40893</v>
          </cell>
          <cell r="B514">
            <v>40893</v>
          </cell>
          <cell r="C514" t="str">
            <v>Past</v>
          </cell>
          <cell r="D514">
            <v>54.629989999999999</v>
          </cell>
          <cell r="E514" t="e">
            <v>#N/A</v>
          </cell>
          <cell r="F514" t="e">
            <v>#N/A</v>
          </cell>
          <cell r="G514" t="e">
            <v>#N/A</v>
          </cell>
          <cell r="H514" t="e">
            <v>#N/A</v>
          </cell>
          <cell r="I514" t="e">
            <v>#N/A</v>
          </cell>
          <cell r="J514" t="e">
            <v>#N/A</v>
          </cell>
          <cell r="K514" t="e">
            <v>#N/A</v>
          </cell>
          <cell r="L514" t="e">
            <v>#N/A</v>
          </cell>
          <cell r="M514" t="e">
            <v>#N/A</v>
          </cell>
          <cell r="N514" t="e">
            <v>#N/A</v>
          </cell>
          <cell r="O514" t="e">
            <v>#N/A</v>
          </cell>
          <cell r="P514">
            <v>54.629989999999999</v>
          </cell>
          <cell r="Q514">
            <v>3.5367329999999999</v>
          </cell>
          <cell r="R514" t="e">
            <v>#N/A</v>
          </cell>
        </row>
        <row r="515">
          <cell r="A515">
            <v>40896</v>
          </cell>
          <cell r="B515">
            <v>40896</v>
          </cell>
          <cell r="C515" t="str">
            <v>Past</v>
          </cell>
          <cell r="D515">
            <v>54.409989000000003</v>
          </cell>
          <cell r="E515" t="e">
            <v>#N/A</v>
          </cell>
          <cell r="F515" t="e">
            <v>#N/A</v>
          </cell>
          <cell r="G515" t="e">
            <v>#N/A</v>
          </cell>
          <cell r="H515" t="e">
            <v>#N/A</v>
          </cell>
          <cell r="I515" t="e">
            <v>#N/A</v>
          </cell>
          <cell r="J515" t="e">
            <v>#N/A</v>
          </cell>
          <cell r="K515" t="e">
            <v>#N/A</v>
          </cell>
          <cell r="L515" t="e">
            <v>#N/A</v>
          </cell>
          <cell r="M515" t="e">
            <v>#N/A</v>
          </cell>
          <cell r="N515" t="e">
            <v>#N/A</v>
          </cell>
          <cell r="O515" t="e">
            <v>#N/A</v>
          </cell>
          <cell r="P515">
            <v>54.409989000000003</v>
          </cell>
          <cell r="Q515">
            <v>1.150166</v>
          </cell>
          <cell r="R515" t="e">
            <v>#N/A</v>
          </cell>
        </row>
        <row r="516">
          <cell r="A516">
            <v>40897</v>
          </cell>
          <cell r="B516">
            <v>40897</v>
          </cell>
          <cell r="C516" t="str">
            <v>Past</v>
          </cell>
          <cell r="D516">
            <v>55.559998</v>
          </cell>
          <cell r="E516" t="e">
            <v>#N/A</v>
          </cell>
          <cell r="F516" t="e">
            <v>#N/A</v>
          </cell>
          <cell r="G516" t="e">
            <v>#N/A</v>
          </cell>
          <cell r="H516" t="e">
            <v>#N/A</v>
          </cell>
          <cell r="I516" t="e">
            <v>#N/A</v>
          </cell>
          <cell r="J516" t="e">
            <v>#N/A</v>
          </cell>
          <cell r="K516" t="e">
            <v>#N/A</v>
          </cell>
          <cell r="L516" t="e">
            <v>#N/A</v>
          </cell>
          <cell r="M516" t="e">
            <v>#N/A</v>
          </cell>
          <cell r="N516" t="e">
            <v>#N/A</v>
          </cell>
          <cell r="O516" t="e">
            <v>#N/A</v>
          </cell>
          <cell r="P516">
            <v>55.559998</v>
          </cell>
          <cell r="Q516">
            <v>3.2585090000000001</v>
          </cell>
          <cell r="R516" t="e">
            <v>#N/A</v>
          </cell>
        </row>
        <row r="517">
          <cell r="A517">
            <v>40898</v>
          </cell>
          <cell r="B517">
            <v>40898</v>
          </cell>
          <cell r="C517" t="str">
            <v>Past</v>
          </cell>
          <cell r="D517">
            <v>55.629989999999999</v>
          </cell>
          <cell r="E517" t="e">
            <v>#N/A</v>
          </cell>
          <cell r="F517" t="e">
            <v>#N/A</v>
          </cell>
          <cell r="G517" t="e">
            <v>#N/A</v>
          </cell>
          <cell r="H517" t="e">
            <v>#N/A</v>
          </cell>
          <cell r="I517" t="e">
            <v>#N/A</v>
          </cell>
          <cell r="J517" t="e">
            <v>#N/A</v>
          </cell>
          <cell r="K517" t="e">
            <v>#N/A</v>
          </cell>
          <cell r="L517" t="e">
            <v>#N/A</v>
          </cell>
          <cell r="M517" t="e">
            <v>#N/A</v>
          </cell>
          <cell r="N517" t="e">
            <v>#N/A</v>
          </cell>
          <cell r="O517" t="e">
            <v>#N/A</v>
          </cell>
          <cell r="P517">
            <v>55.629989999999999</v>
          </cell>
          <cell r="Q517">
            <v>1.9369449999999999</v>
          </cell>
          <cell r="R517" t="e">
            <v>#N/A</v>
          </cell>
        </row>
        <row r="518">
          <cell r="A518">
            <v>40899</v>
          </cell>
          <cell r="B518">
            <v>40899</v>
          </cell>
          <cell r="C518" t="str">
            <v>Past</v>
          </cell>
          <cell r="D518">
            <v>56.51999</v>
          </cell>
          <cell r="E518" t="e">
            <v>#N/A</v>
          </cell>
          <cell r="F518" t="e">
            <v>#N/A</v>
          </cell>
          <cell r="G518" t="e">
            <v>#N/A</v>
          </cell>
          <cell r="H518" t="e">
            <v>#N/A</v>
          </cell>
          <cell r="I518" t="e">
            <v>#N/A</v>
          </cell>
          <cell r="J518" t="e">
            <v>#N/A</v>
          </cell>
          <cell r="K518" t="e">
            <v>#N/A</v>
          </cell>
          <cell r="L518" t="e">
            <v>#N/A</v>
          </cell>
          <cell r="M518" t="e">
            <v>#N/A</v>
          </cell>
          <cell r="N518" t="e">
            <v>#N/A</v>
          </cell>
          <cell r="O518" t="e">
            <v>#N/A</v>
          </cell>
          <cell r="P518">
            <v>56.51999</v>
          </cell>
          <cell r="Q518">
            <v>1.4591270000000001</v>
          </cell>
          <cell r="R518" t="e">
            <v>#N/A</v>
          </cell>
        </row>
        <row r="519">
          <cell r="A519">
            <v>40900</v>
          </cell>
          <cell r="B519">
            <v>40900</v>
          </cell>
          <cell r="C519" t="str">
            <v>Past</v>
          </cell>
          <cell r="D519">
            <v>56.099991000000003</v>
          </cell>
          <cell r="E519" t="e">
            <v>#N/A</v>
          </cell>
          <cell r="F519" t="e">
            <v>#N/A</v>
          </cell>
          <cell r="G519" t="e">
            <v>#N/A</v>
          </cell>
          <cell r="H519" t="e">
            <v>#N/A</v>
          </cell>
          <cell r="I519" t="e">
            <v>#N/A</v>
          </cell>
          <cell r="J519" t="e">
            <v>#N/A</v>
          </cell>
          <cell r="K519" t="e">
            <v>#N/A</v>
          </cell>
          <cell r="L519" t="e">
            <v>#N/A</v>
          </cell>
          <cell r="M519" t="e">
            <v>#N/A</v>
          </cell>
          <cell r="N519" t="e">
            <v>#N/A</v>
          </cell>
          <cell r="O519" t="e">
            <v>#N/A</v>
          </cell>
          <cell r="P519">
            <v>56.099991000000003</v>
          </cell>
          <cell r="Q519">
            <v>1.5811679999999999</v>
          </cell>
          <cell r="R519" t="e">
            <v>#N/A</v>
          </cell>
        </row>
        <row r="520">
          <cell r="A520">
            <v>40904</v>
          </cell>
          <cell r="B520">
            <v>40904</v>
          </cell>
          <cell r="C520" t="str">
            <v>Past</v>
          </cell>
          <cell r="D520">
            <v>55.859985999999999</v>
          </cell>
          <cell r="E520" t="e">
            <v>#N/A</v>
          </cell>
          <cell r="F520" t="e">
            <v>#N/A</v>
          </cell>
          <cell r="G520" t="e">
            <v>#N/A</v>
          </cell>
          <cell r="H520" t="e">
            <v>#N/A</v>
          </cell>
          <cell r="I520" t="e">
            <v>#N/A</v>
          </cell>
          <cell r="J520" t="e">
            <v>#N/A</v>
          </cell>
          <cell r="K520" t="e">
            <v>#N/A</v>
          </cell>
          <cell r="L520" t="e">
            <v>#N/A</v>
          </cell>
          <cell r="M520" t="e">
            <v>#N/A</v>
          </cell>
          <cell r="N520" t="e">
            <v>#N/A</v>
          </cell>
          <cell r="O520" t="e">
            <v>#N/A</v>
          </cell>
          <cell r="P520">
            <v>55.859985999999999</v>
          </cell>
          <cell r="Q520">
            <v>0.96979300000000002</v>
          </cell>
          <cell r="R520" t="e">
            <v>#N/A</v>
          </cell>
        </row>
        <row r="521">
          <cell r="A521">
            <v>40905</v>
          </cell>
          <cell r="B521">
            <v>40905</v>
          </cell>
          <cell r="C521" t="str">
            <v>Past</v>
          </cell>
          <cell r="D521">
            <v>54.969985999999999</v>
          </cell>
          <cell r="E521" t="e">
            <v>#N/A</v>
          </cell>
          <cell r="F521" t="e">
            <v>#N/A</v>
          </cell>
          <cell r="G521" t="e">
            <v>#N/A</v>
          </cell>
          <cell r="H521" t="e">
            <v>#N/A</v>
          </cell>
          <cell r="I521" t="e">
            <v>#N/A</v>
          </cell>
          <cell r="J521" t="e">
            <v>#N/A</v>
          </cell>
          <cell r="K521" t="e">
            <v>#N/A</v>
          </cell>
          <cell r="L521" t="e">
            <v>#N/A</v>
          </cell>
          <cell r="M521" t="e">
            <v>#N/A</v>
          </cell>
          <cell r="N521" t="e">
            <v>#N/A</v>
          </cell>
          <cell r="O521" t="e">
            <v>#N/A</v>
          </cell>
          <cell r="P521">
            <v>54.969985999999999</v>
          </cell>
          <cell r="Q521">
            <v>1.7833600000000001</v>
          </cell>
          <cell r="R521" t="e">
            <v>#N/A</v>
          </cell>
        </row>
        <row r="522">
          <cell r="A522">
            <v>40906</v>
          </cell>
          <cell r="B522">
            <v>40906</v>
          </cell>
          <cell r="C522" t="str">
            <v>Past</v>
          </cell>
          <cell r="D522">
            <v>55.429993000000003</v>
          </cell>
          <cell r="E522" t="e">
            <v>#N/A</v>
          </cell>
          <cell r="F522" t="e">
            <v>#N/A</v>
          </cell>
          <cell r="G522" t="e">
            <v>#N/A</v>
          </cell>
          <cell r="H522" t="e">
            <v>#N/A</v>
          </cell>
          <cell r="I522" t="e">
            <v>#N/A</v>
          </cell>
          <cell r="J522" t="e">
            <v>#N/A</v>
          </cell>
          <cell r="K522" t="e">
            <v>#N/A</v>
          </cell>
          <cell r="L522" t="e">
            <v>#N/A</v>
          </cell>
          <cell r="M522" t="e">
            <v>#N/A</v>
          </cell>
          <cell r="N522" t="e">
            <v>#N/A</v>
          </cell>
          <cell r="O522" t="e">
            <v>#N/A</v>
          </cell>
          <cell r="P522">
            <v>55.429993000000003</v>
          </cell>
          <cell r="Q522">
            <v>2.00421</v>
          </cell>
          <cell r="R522" t="e">
            <v>#N/A</v>
          </cell>
        </row>
        <row r="523">
          <cell r="A523">
            <v>40907</v>
          </cell>
          <cell r="B523">
            <v>40907</v>
          </cell>
          <cell r="C523" t="str">
            <v>Past</v>
          </cell>
          <cell r="D523">
            <v>55.899994</v>
          </cell>
          <cell r="E523" t="e">
            <v>#N/A</v>
          </cell>
          <cell r="F523" t="e">
            <v>#N/A</v>
          </cell>
          <cell r="G523" t="e">
            <v>#N/A</v>
          </cell>
          <cell r="H523" t="e">
            <v>#N/A</v>
          </cell>
          <cell r="I523" t="e">
            <v>#N/A</v>
          </cell>
          <cell r="J523" t="e">
            <v>#N/A</v>
          </cell>
          <cell r="K523" t="e">
            <v>#N/A</v>
          </cell>
          <cell r="L523" t="e">
            <v>#N/A</v>
          </cell>
          <cell r="M523" t="e">
            <v>#N/A</v>
          </cell>
          <cell r="N523" t="e">
            <v>#N/A</v>
          </cell>
          <cell r="O523" t="e">
            <v>#N/A</v>
          </cell>
          <cell r="P523">
            <v>55.899994</v>
          </cell>
          <cell r="Q523">
            <v>1.6307309999999999</v>
          </cell>
          <cell r="R523" t="e">
            <v>#N/A</v>
          </cell>
        </row>
        <row r="524">
          <cell r="A524">
            <v>40911</v>
          </cell>
          <cell r="B524">
            <v>40911</v>
          </cell>
          <cell r="C524" t="str">
            <v>Past</v>
          </cell>
          <cell r="D524">
            <v>58.029998999999997</v>
          </cell>
          <cell r="E524" t="e">
            <v>#N/A</v>
          </cell>
          <cell r="F524" t="e">
            <v>#N/A</v>
          </cell>
          <cell r="G524" t="e">
            <v>#N/A</v>
          </cell>
          <cell r="H524" t="e">
            <v>#N/A</v>
          </cell>
          <cell r="I524" t="e">
            <v>#N/A</v>
          </cell>
          <cell r="J524" t="e">
            <v>#N/A</v>
          </cell>
          <cell r="K524" t="e">
            <v>#N/A</v>
          </cell>
          <cell r="L524" t="e">
            <v>#N/A</v>
          </cell>
          <cell r="M524" t="e">
            <v>#N/A</v>
          </cell>
          <cell r="N524" t="e">
            <v>#N/A</v>
          </cell>
          <cell r="O524" t="e">
            <v>#N/A</v>
          </cell>
          <cell r="P524">
            <v>58.029998999999997</v>
          </cell>
          <cell r="Q524">
            <v>3.5159919999999998</v>
          </cell>
          <cell r="R524" t="e">
            <v>#N/A</v>
          </cell>
        </row>
        <row r="525">
          <cell r="A525">
            <v>40912</v>
          </cell>
          <cell r="B525">
            <v>40912</v>
          </cell>
          <cell r="C525" t="str">
            <v>Past</v>
          </cell>
          <cell r="D525">
            <v>58.989991000000003</v>
          </cell>
          <cell r="E525" t="e">
            <v>#N/A</v>
          </cell>
          <cell r="F525" t="e">
            <v>#N/A</v>
          </cell>
          <cell r="G525" t="e">
            <v>#N/A</v>
          </cell>
          <cell r="H525" t="e">
            <v>#N/A</v>
          </cell>
          <cell r="I525" t="e">
            <v>#N/A</v>
          </cell>
          <cell r="J525" t="e">
            <v>#N/A</v>
          </cell>
          <cell r="K525" t="e">
            <v>#N/A</v>
          </cell>
          <cell r="L525" t="e">
            <v>#N/A</v>
          </cell>
          <cell r="M525" t="e">
            <v>#N/A</v>
          </cell>
          <cell r="N525" t="e">
            <v>#N/A</v>
          </cell>
          <cell r="O525" t="e">
            <v>#N/A</v>
          </cell>
          <cell r="P525">
            <v>58.989991000000003</v>
          </cell>
          <cell r="Q525">
            <v>3.6409069999999999</v>
          </cell>
          <cell r="R525" t="e">
            <v>#N/A</v>
          </cell>
        </row>
        <row r="526">
          <cell r="A526">
            <v>40913</v>
          </cell>
          <cell r="B526">
            <v>40913</v>
          </cell>
          <cell r="C526" t="str">
            <v>Past</v>
          </cell>
          <cell r="D526">
            <v>59.959992</v>
          </cell>
          <cell r="E526" t="e">
            <v>#N/A</v>
          </cell>
          <cell r="F526" t="e">
            <v>#N/A</v>
          </cell>
          <cell r="G526" t="e">
            <v>#N/A</v>
          </cell>
          <cell r="H526" t="e">
            <v>#N/A</v>
          </cell>
          <cell r="I526" t="e">
            <v>#N/A</v>
          </cell>
          <cell r="J526" t="e">
            <v>#N/A</v>
          </cell>
          <cell r="K526" t="e">
            <v>#N/A</v>
          </cell>
          <cell r="L526" t="e">
            <v>#N/A</v>
          </cell>
          <cell r="M526" t="e">
            <v>#N/A</v>
          </cell>
          <cell r="N526" t="e">
            <v>#N/A</v>
          </cell>
          <cell r="O526" t="e">
            <v>#N/A</v>
          </cell>
          <cell r="P526">
            <v>59.959992</v>
          </cell>
          <cell r="Q526">
            <v>4.986313</v>
          </cell>
          <cell r="R526" t="e">
            <v>#N/A</v>
          </cell>
        </row>
        <row r="527">
          <cell r="A527">
            <v>40914</v>
          </cell>
          <cell r="B527">
            <v>40914</v>
          </cell>
          <cell r="C527" t="str">
            <v>Past</v>
          </cell>
          <cell r="D527">
            <v>60.829987000000003</v>
          </cell>
          <cell r="E527" t="e">
            <v>#N/A</v>
          </cell>
          <cell r="F527" t="e">
            <v>#N/A</v>
          </cell>
          <cell r="G527" t="e">
            <v>#N/A</v>
          </cell>
          <cell r="H527" t="e">
            <v>#N/A</v>
          </cell>
          <cell r="I527" t="e">
            <v>#N/A</v>
          </cell>
          <cell r="J527" t="e">
            <v>#N/A</v>
          </cell>
          <cell r="K527" t="e">
            <v>#N/A</v>
          </cell>
          <cell r="L527" t="e">
            <v>#N/A</v>
          </cell>
          <cell r="M527" t="e">
            <v>#N/A</v>
          </cell>
          <cell r="N527" t="e">
            <v>#N/A</v>
          </cell>
          <cell r="O527" t="e">
            <v>#N/A</v>
          </cell>
          <cell r="P527">
            <v>60.829987000000003</v>
          </cell>
          <cell r="Q527">
            <v>4.84884</v>
          </cell>
          <cell r="R527" t="e">
            <v>#N/A</v>
          </cell>
        </row>
        <row r="528">
          <cell r="A528">
            <v>40917</v>
          </cell>
          <cell r="B528">
            <v>40917</v>
          </cell>
          <cell r="C528" t="str">
            <v>Past</v>
          </cell>
          <cell r="D528">
            <v>61.64</v>
          </cell>
          <cell r="E528" t="e">
            <v>#N/A</v>
          </cell>
          <cell r="F528" t="e">
            <v>#N/A</v>
          </cell>
          <cell r="G528" t="e">
            <v>#N/A</v>
          </cell>
          <cell r="H528" t="e">
            <v>#N/A</v>
          </cell>
          <cell r="I528" t="e">
            <v>#N/A</v>
          </cell>
          <cell r="J528" t="e">
            <v>#N/A</v>
          </cell>
          <cell r="K528" t="e">
            <v>#N/A</v>
          </cell>
          <cell r="L528" t="e">
            <v>#N/A</v>
          </cell>
          <cell r="M528" t="e">
            <v>#N/A</v>
          </cell>
          <cell r="N528" t="e">
            <v>#N/A</v>
          </cell>
          <cell r="O528" t="e">
            <v>#N/A</v>
          </cell>
          <cell r="P528">
            <v>61.64</v>
          </cell>
          <cell r="Q528">
            <v>3.7339329999999999</v>
          </cell>
          <cell r="R528" t="e">
            <v>#N/A</v>
          </cell>
        </row>
        <row r="529">
          <cell r="A529">
            <v>40918</v>
          </cell>
          <cell r="B529">
            <v>40918</v>
          </cell>
          <cell r="C529" t="str">
            <v>Past</v>
          </cell>
          <cell r="D529">
            <v>61.39</v>
          </cell>
          <cell r="E529" t="e">
            <v>#N/A</v>
          </cell>
          <cell r="F529" t="e">
            <v>#N/A</v>
          </cell>
          <cell r="G529" t="e">
            <v>#N/A</v>
          </cell>
          <cell r="H529" t="e">
            <v>#N/A</v>
          </cell>
          <cell r="I529" t="e">
            <v>#N/A</v>
          </cell>
          <cell r="J529" t="e">
            <v>#N/A</v>
          </cell>
          <cell r="K529" t="e">
            <v>#N/A</v>
          </cell>
          <cell r="L529" t="e">
            <v>#N/A</v>
          </cell>
          <cell r="M529" t="e">
            <v>#N/A</v>
          </cell>
          <cell r="N529" t="e">
            <v>#N/A</v>
          </cell>
          <cell r="O529" t="e">
            <v>#N/A</v>
          </cell>
          <cell r="P529">
            <v>61.39</v>
          </cell>
          <cell r="Q529">
            <v>5.698016</v>
          </cell>
          <cell r="R529" t="e">
            <v>#N/A</v>
          </cell>
        </row>
        <row r="530">
          <cell r="A530">
            <v>40919</v>
          </cell>
          <cell r="B530">
            <v>40919</v>
          </cell>
          <cell r="C530" t="str">
            <v>Past</v>
          </cell>
          <cell r="D530">
            <v>61.309998</v>
          </cell>
          <cell r="E530" t="e">
            <v>#N/A</v>
          </cell>
          <cell r="F530" t="e">
            <v>#N/A</v>
          </cell>
          <cell r="G530" t="e">
            <v>#N/A</v>
          </cell>
          <cell r="H530" t="e">
            <v>#N/A</v>
          </cell>
          <cell r="I530" t="e">
            <v>#N/A</v>
          </cell>
          <cell r="J530" t="e">
            <v>#N/A</v>
          </cell>
          <cell r="K530" t="e">
            <v>#N/A</v>
          </cell>
          <cell r="L530" t="e">
            <v>#N/A</v>
          </cell>
          <cell r="M530" t="e">
            <v>#N/A</v>
          </cell>
          <cell r="N530" t="e">
            <v>#N/A</v>
          </cell>
          <cell r="O530" t="e">
            <v>#N/A</v>
          </cell>
          <cell r="P530">
            <v>61.309998</v>
          </cell>
          <cell r="Q530">
            <v>3.320878</v>
          </cell>
          <cell r="R530" t="e">
            <v>#N/A</v>
          </cell>
        </row>
        <row r="531">
          <cell r="A531">
            <v>40920</v>
          </cell>
          <cell r="B531">
            <v>40920</v>
          </cell>
          <cell r="C531" t="str">
            <v>Past</v>
          </cell>
          <cell r="D531">
            <v>60.25</v>
          </cell>
          <cell r="E531" t="e">
            <v>#N/A</v>
          </cell>
          <cell r="F531" t="e">
            <v>#N/A</v>
          </cell>
          <cell r="G531" t="e">
            <v>#N/A</v>
          </cell>
          <cell r="H531" t="e">
            <v>#N/A</v>
          </cell>
          <cell r="I531" t="e">
            <v>#N/A</v>
          </cell>
          <cell r="J531" t="e">
            <v>#N/A</v>
          </cell>
          <cell r="K531" t="e">
            <v>#N/A</v>
          </cell>
          <cell r="L531" t="e">
            <v>#N/A</v>
          </cell>
          <cell r="M531" t="e">
            <v>#N/A</v>
          </cell>
          <cell r="N531" t="e">
            <v>#N/A</v>
          </cell>
          <cell r="O531" t="e">
            <v>#N/A</v>
          </cell>
          <cell r="P531">
            <v>60.25</v>
          </cell>
          <cell r="Q531">
            <v>6.9979300000000002</v>
          </cell>
          <cell r="R531" t="e">
            <v>#N/A</v>
          </cell>
        </row>
        <row r="532">
          <cell r="A532">
            <v>40921</v>
          </cell>
          <cell r="B532">
            <v>40921</v>
          </cell>
          <cell r="C532" t="str">
            <v>Past</v>
          </cell>
          <cell r="D532">
            <v>60.529998999999997</v>
          </cell>
          <cell r="E532" t="e">
            <v>#N/A</v>
          </cell>
          <cell r="F532" t="e">
            <v>#N/A</v>
          </cell>
          <cell r="G532" t="e">
            <v>#N/A</v>
          </cell>
          <cell r="H532" t="e">
            <v>#N/A</v>
          </cell>
          <cell r="I532" t="e">
            <v>#N/A</v>
          </cell>
          <cell r="J532" t="e">
            <v>#N/A</v>
          </cell>
          <cell r="K532" t="e">
            <v>#N/A</v>
          </cell>
          <cell r="L532" t="e">
            <v>#N/A</v>
          </cell>
          <cell r="M532" t="e">
            <v>#N/A</v>
          </cell>
          <cell r="N532" t="e">
            <v>#N/A</v>
          </cell>
          <cell r="O532" t="e">
            <v>#N/A</v>
          </cell>
          <cell r="P532">
            <v>60.529998999999997</v>
          </cell>
          <cell r="Q532">
            <v>4.2384919999999999</v>
          </cell>
          <cell r="R532" t="e">
            <v>#N/A</v>
          </cell>
        </row>
        <row r="533">
          <cell r="A533">
            <v>40925</v>
          </cell>
          <cell r="B533">
            <v>40925</v>
          </cell>
          <cell r="C533" t="str">
            <v>Past</v>
          </cell>
          <cell r="D533">
            <v>61.549987999999999</v>
          </cell>
          <cell r="E533" t="e">
            <v>#N/A</v>
          </cell>
          <cell r="F533" t="e">
            <v>#N/A</v>
          </cell>
          <cell r="G533" t="e">
            <v>#N/A</v>
          </cell>
          <cell r="H533" t="e">
            <v>#N/A</v>
          </cell>
          <cell r="I533" t="e">
            <v>#N/A</v>
          </cell>
          <cell r="J533" t="e">
            <v>#N/A</v>
          </cell>
          <cell r="K533" t="e">
            <v>#N/A</v>
          </cell>
          <cell r="L533" t="e">
            <v>#N/A</v>
          </cell>
          <cell r="M533" t="e">
            <v>#N/A</v>
          </cell>
          <cell r="N533" t="e">
            <v>#N/A</v>
          </cell>
          <cell r="O533" t="e">
            <v>#N/A</v>
          </cell>
          <cell r="P533">
            <v>61.549987999999999</v>
          </cell>
          <cell r="Q533">
            <v>3.005242</v>
          </cell>
          <cell r="R533" t="e">
            <v>#N/A</v>
          </cell>
        </row>
        <row r="534">
          <cell r="A534">
            <v>40926</v>
          </cell>
          <cell r="B534">
            <v>40926</v>
          </cell>
          <cell r="C534" t="str">
            <v>Past</v>
          </cell>
          <cell r="D534">
            <v>62.449997000000003</v>
          </cell>
          <cell r="E534" t="e">
            <v>#N/A</v>
          </cell>
          <cell r="F534" t="e">
            <v>#N/A</v>
          </cell>
          <cell r="G534" t="e">
            <v>#N/A</v>
          </cell>
          <cell r="H534" t="e">
            <v>#N/A</v>
          </cell>
          <cell r="I534" t="e">
            <v>#N/A</v>
          </cell>
          <cell r="J534" t="e">
            <v>#N/A</v>
          </cell>
          <cell r="K534" t="e">
            <v>#N/A</v>
          </cell>
          <cell r="L534" t="e">
            <v>#N/A</v>
          </cell>
          <cell r="M534" t="e">
            <v>#N/A</v>
          </cell>
          <cell r="N534" t="e">
            <v>#N/A</v>
          </cell>
          <cell r="O534" t="e">
            <v>#N/A</v>
          </cell>
          <cell r="P534">
            <v>62.449997000000003</v>
          </cell>
          <cell r="Q534">
            <v>5.4350779999999999</v>
          </cell>
          <cell r="R534" t="e">
            <v>#N/A</v>
          </cell>
        </row>
        <row r="535">
          <cell r="A535">
            <v>40927</v>
          </cell>
          <cell r="B535">
            <v>40927</v>
          </cell>
          <cell r="C535" t="str">
            <v>Past</v>
          </cell>
          <cell r="D535">
            <v>62</v>
          </cell>
          <cell r="E535" t="e">
            <v>#N/A</v>
          </cell>
          <cell r="F535" t="e">
            <v>#N/A</v>
          </cell>
          <cell r="G535" t="e">
            <v>#N/A</v>
          </cell>
          <cell r="H535" t="e">
            <v>#N/A</v>
          </cell>
          <cell r="I535" t="e">
            <v>#N/A</v>
          </cell>
          <cell r="J535" t="e">
            <v>#N/A</v>
          </cell>
          <cell r="K535" t="e">
            <v>#N/A</v>
          </cell>
          <cell r="L535" t="e">
            <v>#N/A</v>
          </cell>
          <cell r="M535" t="e">
            <v>#N/A</v>
          </cell>
          <cell r="N535" t="e">
            <v>#N/A</v>
          </cell>
          <cell r="O535" t="e">
            <v>#N/A</v>
          </cell>
          <cell r="P535">
            <v>62</v>
          </cell>
          <cell r="Q535">
            <v>4.812945</v>
          </cell>
          <cell r="R535" t="e">
            <v>#N/A</v>
          </cell>
        </row>
        <row r="536">
          <cell r="A536">
            <v>40928</v>
          </cell>
          <cell r="B536">
            <v>40928</v>
          </cell>
          <cell r="C536" t="str">
            <v>Past</v>
          </cell>
          <cell r="D536">
            <v>62.339996999999997</v>
          </cell>
          <cell r="E536" t="e">
            <v>#N/A</v>
          </cell>
          <cell r="F536" t="e">
            <v>#N/A</v>
          </cell>
          <cell r="G536" t="e">
            <v>#N/A</v>
          </cell>
          <cell r="H536" t="e">
            <v>#N/A</v>
          </cell>
          <cell r="I536" t="e">
            <v>#N/A</v>
          </cell>
          <cell r="J536" t="e">
            <v>#N/A</v>
          </cell>
          <cell r="K536" t="e">
            <v>#N/A</v>
          </cell>
          <cell r="L536" t="e">
            <v>#N/A</v>
          </cell>
          <cell r="M536" t="e">
            <v>#N/A</v>
          </cell>
          <cell r="N536" t="e">
            <v>#N/A</v>
          </cell>
          <cell r="O536" t="e">
            <v>#N/A</v>
          </cell>
          <cell r="P536">
            <v>62.339996999999997</v>
          </cell>
          <cell r="Q536">
            <v>6.5449840000000004</v>
          </cell>
          <cell r="R536" t="e">
            <v>#N/A</v>
          </cell>
        </row>
        <row r="537">
          <cell r="A537">
            <v>40931</v>
          </cell>
          <cell r="B537">
            <v>40931</v>
          </cell>
          <cell r="C537" t="str">
            <v>Past</v>
          </cell>
          <cell r="D537">
            <v>62.289994</v>
          </cell>
          <cell r="E537" t="e">
            <v>#N/A</v>
          </cell>
          <cell r="F537" t="e">
            <v>#N/A</v>
          </cell>
          <cell r="G537" t="e">
            <v>#N/A</v>
          </cell>
          <cell r="H537" t="e">
            <v>#N/A</v>
          </cell>
          <cell r="I537" t="e">
            <v>#N/A</v>
          </cell>
          <cell r="J537" t="e">
            <v>#N/A</v>
          </cell>
          <cell r="K537" t="e">
            <v>#N/A</v>
          </cell>
          <cell r="L537" t="e">
            <v>#N/A</v>
          </cell>
          <cell r="M537" t="e">
            <v>#N/A</v>
          </cell>
          <cell r="N537" t="e">
            <v>#N/A</v>
          </cell>
          <cell r="O537" t="e">
            <v>#N/A</v>
          </cell>
          <cell r="P537">
            <v>62.289994</v>
          </cell>
          <cell r="Q537">
            <v>3.5815459999999999</v>
          </cell>
          <cell r="R537" t="e">
            <v>#N/A</v>
          </cell>
        </row>
        <row r="538">
          <cell r="A538">
            <v>40932</v>
          </cell>
          <cell r="B538">
            <v>40932</v>
          </cell>
          <cell r="C538" t="str">
            <v>Past</v>
          </cell>
          <cell r="D538">
            <v>62.009995000000004</v>
          </cell>
          <cell r="E538" t="e">
            <v>#N/A</v>
          </cell>
          <cell r="F538" t="e">
            <v>#N/A</v>
          </cell>
          <cell r="G538" t="e">
            <v>#N/A</v>
          </cell>
          <cell r="H538" t="e">
            <v>#N/A</v>
          </cell>
          <cell r="I538" t="e">
            <v>#N/A</v>
          </cell>
          <cell r="J538" t="e">
            <v>#N/A</v>
          </cell>
          <cell r="K538" t="e">
            <v>#N/A</v>
          </cell>
          <cell r="L538" t="e">
            <v>#N/A</v>
          </cell>
          <cell r="M538" t="e">
            <v>#N/A</v>
          </cell>
          <cell r="N538" t="e">
            <v>#N/A</v>
          </cell>
          <cell r="O538" t="e">
            <v>#N/A</v>
          </cell>
          <cell r="P538">
            <v>62.009995000000004</v>
          </cell>
          <cell r="Q538">
            <v>3.5867589999999998</v>
          </cell>
          <cell r="R538" t="e">
            <v>#N/A</v>
          </cell>
        </row>
        <row r="539">
          <cell r="A539">
            <v>40933</v>
          </cell>
          <cell r="B539">
            <v>40933</v>
          </cell>
          <cell r="C539" t="str">
            <v>Past</v>
          </cell>
          <cell r="D539">
            <v>62.539994</v>
          </cell>
          <cell r="E539" t="e">
            <v>#N/A</v>
          </cell>
          <cell r="F539" t="e">
            <v>#N/A</v>
          </cell>
          <cell r="G539" t="e">
            <v>#N/A</v>
          </cell>
          <cell r="H539" t="e">
            <v>#N/A</v>
          </cell>
          <cell r="I539" t="e">
            <v>#N/A</v>
          </cell>
          <cell r="J539" t="e">
            <v>#N/A</v>
          </cell>
          <cell r="K539" t="e">
            <v>#N/A</v>
          </cell>
          <cell r="L539" t="e">
            <v>#N/A</v>
          </cell>
          <cell r="M539" t="e">
            <v>#N/A</v>
          </cell>
          <cell r="N539" t="e">
            <v>#N/A</v>
          </cell>
          <cell r="O539" t="e">
            <v>#N/A</v>
          </cell>
          <cell r="P539">
            <v>62.539994</v>
          </cell>
          <cell r="Q539">
            <v>3.756678</v>
          </cell>
          <cell r="R539" t="e">
            <v>#N/A</v>
          </cell>
        </row>
        <row r="540">
          <cell r="A540">
            <v>40934</v>
          </cell>
          <cell r="B540">
            <v>40934</v>
          </cell>
          <cell r="C540" t="str">
            <v>Past</v>
          </cell>
          <cell r="D540">
            <v>62.539994</v>
          </cell>
          <cell r="E540" t="e">
            <v>#N/A</v>
          </cell>
          <cell r="F540" t="e">
            <v>#N/A</v>
          </cell>
          <cell r="G540" t="e">
            <v>#N/A</v>
          </cell>
          <cell r="H540" t="e">
            <v>#N/A</v>
          </cell>
          <cell r="I540" t="e">
            <v>#N/A</v>
          </cell>
          <cell r="J540" t="e">
            <v>#N/A</v>
          </cell>
          <cell r="K540" t="e">
            <v>#N/A</v>
          </cell>
          <cell r="L540" t="e">
            <v>#N/A</v>
          </cell>
          <cell r="M540" t="e">
            <v>#N/A</v>
          </cell>
          <cell r="N540" t="e">
            <v>#N/A</v>
          </cell>
          <cell r="O540" t="e">
            <v>#N/A</v>
          </cell>
          <cell r="P540">
            <v>62.539994</v>
          </cell>
          <cell r="Q540">
            <v>2.8415910000000002</v>
          </cell>
          <cell r="R540" t="e">
            <v>#N/A</v>
          </cell>
        </row>
        <row r="541">
          <cell r="A541">
            <v>40935</v>
          </cell>
          <cell r="B541">
            <v>40935</v>
          </cell>
          <cell r="C541" t="str">
            <v>Past</v>
          </cell>
          <cell r="D541">
            <v>62.069992999999997</v>
          </cell>
          <cell r="E541" t="e">
            <v>#N/A</v>
          </cell>
          <cell r="F541" t="e">
            <v>#N/A</v>
          </cell>
          <cell r="G541" t="e">
            <v>#N/A</v>
          </cell>
          <cell r="H541" t="e">
            <v>#N/A</v>
          </cell>
          <cell r="I541" t="e">
            <v>#N/A</v>
          </cell>
          <cell r="J541" t="e">
            <v>#N/A</v>
          </cell>
          <cell r="K541" t="e">
            <v>#N/A</v>
          </cell>
          <cell r="L541" t="e">
            <v>#N/A</v>
          </cell>
          <cell r="M541" t="e">
            <v>#N/A</v>
          </cell>
          <cell r="N541" t="e">
            <v>#N/A</v>
          </cell>
          <cell r="O541" t="e">
            <v>#N/A</v>
          </cell>
          <cell r="P541">
            <v>62.069992999999997</v>
          </cell>
          <cell r="Q541">
            <v>3.6458119999999998</v>
          </cell>
          <cell r="R541" t="e">
            <v>#N/A</v>
          </cell>
        </row>
        <row r="542">
          <cell r="A542">
            <v>40938</v>
          </cell>
          <cell r="B542">
            <v>40938</v>
          </cell>
          <cell r="C542" t="str">
            <v>Past</v>
          </cell>
          <cell r="D542">
            <v>61.669998999999997</v>
          </cell>
          <cell r="E542" t="e">
            <v>#N/A</v>
          </cell>
          <cell r="F542" t="e">
            <v>#N/A</v>
          </cell>
          <cell r="G542" t="e">
            <v>#N/A</v>
          </cell>
          <cell r="H542" t="e">
            <v>#N/A</v>
          </cell>
          <cell r="I542" t="e">
            <v>#N/A</v>
          </cell>
          <cell r="J542" t="e">
            <v>#N/A</v>
          </cell>
          <cell r="K542" t="e">
            <v>#N/A</v>
          </cell>
          <cell r="L542" t="e">
            <v>#N/A</v>
          </cell>
          <cell r="M542" t="e">
            <v>#N/A</v>
          </cell>
          <cell r="N542" t="e">
            <v>#N/A</v>
          </cell>
          <cell r="O542" t="e">
            <v>#N/A</v>
          </cell>
          <cell r="P542">
            <v>61.669998999999997</v>
          </cell>
          <cell r="Q542">
            <v>4.9683989999999998</v>
          </cell>
          <cell r="R542" t="e">
            <v>#N/A</v>
          </cell>
        </row>
        <row r="543">
          <cell r="A543">
            <v>40939</v>
          </cell>
          <cell r="B543">
            <v>40939</v>
          </cell>
          <cell r="C543" t="str">
            <v>Past</v>
          </cell>
          <cell r="D543">
            <v>62.01999</v>
          </cell>
          <cell r="E543" t="e">
            <v>#N/A</v>
          </cell>
          <cell r="F543" t="e">
            <v>#N/A</v>
          </cell>
          <cell r="G543" t="e">
            <v>#N/A</v>
          </cell>
          <cell r="H543" t="e">
            <v>#N/A</v>
          </cell>
          <cell r="I543" t="e">
            <v>#N/A</v>
          </cell>
          <cell r="J543" t="e">
            <v>#N/A</v>
          </cell>
          <cell r="K543" t="e">
            <v>#N/A</v>
          </cell>
          <cell r="L543" t="e">
            <v>#N/A</v>
          </cell>
          <cell r="M543" t="e">
            <v>#N/A</v>
          </cell>
          <cell r="N543" t="e">
            <v>#N/A</v>
          </cell>
          <cell r="O543" t="e">
            <v>#N/A</v>
          </cell>
          <cell r="P543">
            <v>62.01999</v>
          </cell>
          <cell r="Q543">
            <v>2.9209520000000002</v>
          </cell>
          <cell r="R543" t="e">
            <v>#N/A</v>
          </cell>
        </row>
        <row r="544">
          <cell r="A544">
            <v>40940</v>
          </cell>
          <cell r="B544">
            <v>40940</v>
          </cell>
          <cell r="C544" t="str">
            <v>Past</v>
          </cell>
          <cell r="D544">
            <v>62.869996</v>
          </cell>
          <cell r="E544" t="e">
            <v>#N/A</v>
          </cell>
          <cell r="F544" t="e">
            <v>#N/A</v>
          </cell>
          <cell r="G544" t="e">
            <v>#N/A</v>
          </cell>
          <cell r="H544" t="e">
            <v>#N/A</v>
          </cell>
          <cell r="I544" t="e">
            <v>#N/A</v>
          </cell>
          <cell r="J544" t="e">
            <v>#N/A</v>
          </cell>
          <cell r="K544" t="e">
            <v>#N/A</v>
          </cell>
          <cell r="L544" t="e">
            <v>#N/A</v>
          </cell>
          <cell r="M544" t="e">
            <v>#N/A</v>
          </cell>
          <cell r="N544" t="e">
            <v>#N/A</v>
          </cell>
          <cell r="O544" t="e">
            <v>#N/A</v>
          </cell>
          <cell r="P544">
            <v>62.869996</v>
          </cell>
          <cell r="Q544">
            <v>3.1094949999999999</v>
          </cell>
          <cell r="R544" t="e">
            <v>#N/A</v>
          </cell>
        </row>
        <row r="545">
          <cell r="A545">
            <v>40941</v>
          </cell>
          <cell r="B545">
            <v>40941</v>
          </cell>
          <cell r="C545" t="str">
            <v>Past</v>
          </cell>
          <cell r="D545">
            <v>63.119996</v>
          </cell>
          <cell r="E545" t="e">
            <v>#N/A</v>
          </cell>
          <cell r="F545" t="e">
            <v>#N/A</v>
          </cell>
          <cell r="G545" t="e">
            <v>#N/A</v>
          </cell>
          <cell r="H545" t="e">
            <v>#N/A</v>
          </cell>
          <cell r="I545" t="e">
            <v>#N/A</v>
          </cell>
          <cell r="J545" t="e">
            <v>#N/A</v>
          </cell>
          <cell r="K545" t="e">
            <v>#N/A</v>
          </cell>
          <cell r="L545" t="e">
            <v>#N/A</v>
          </cell>
          <cell r="M545" t="e">
            <v>#N/A</v>
          </cell>
          <cell r="N545" t="e">
            <v>#N/A</v>
          </cell>
          <cell r="O545" t="e">
            <v>#N/A</v>
          </cell>
          <cell r="P545">
            <v>63.119996</v>
          </cell>
          <cell r="Q545">
            <v>6.0803010000000004</v>
          </cell>
          <cell r="R545" t="e">
            <v>#N/A</v>
          </cell>
        </row>
        <row r="546">
          <cell r="A546">
            <v>40942</v>
          </cell>
          <cell r="B546">
            <v>40942</v>
          </cell>
          <cell r="C546" t="str">
            <v>Past</v>
          </cell>
          <cell r="D546">
            <v>63.609985999999999</v>
          </cell>
          <cell r="E546" t="e">
            <v>#N/A</v>
          </cell>
          <cell r="F546" t="e">
            <v>#N/A</v>
          </cell>
          <cell r="G546" t="e">
            <v>#N/A</v>
          </cell>
          <cell r="H546" t="e">
            <v>#N/A</v>
          </cell>
          <cell r="I546" t="e">
            <v>#N/A</v>
          </cell>
          <cell r="J546" t="e">
            <v>#N/A</v>
          </cell>
          <cell r="K546" t="e">
            <v>#N/A</v>
          </cell>
          <cell r="L546" t="e">
            <v>#N/A</v>
          </cell>
          <cell r="M546" t="e">
            <v>#N/A</v>
          </cell>
          <cell r="N546" t="e">
            <v>#N/A</v>
          </cell>
          <cell r="O546" t="e">
            <v>#N/A</v>
          </cell>
          <cell r="P546">
            <v>63.609985999999999</v>
          </cell>
          <cell r="Q546">
            <v>6.5267970000000002</v>
          </cell>
          <cell r="R546" t="e">
            <v>#N/A</v>
          </cell>
        </row>
        <row r="547">
          <cell r="A547">
            <v>40945</v>
          </cell>
          <cell r="B547">
            <v>40945</v>
          </cell>
          <cell r="C547" t="str">
            <v>Past</v>
          </cell>
          <cell r="D547">
            <v>58.469985999999999</v>
          </cell>
          <cell r="E547" t="e">
            <v>#N/A</v>
          </cell>
          <cell r="F547" t="e">
            <v>#N/A</v>
          </cell>
          <cell r="G547" t="e">
            <v>#N/A</v>
          </cell>
          <cell r="H547" t="e">
            <v>#N/A</v>
          </cell>
          <cell r="I547" t="e">
            <v>#N/A</v>
          </cell>
          <cell r="J547" t="e">
            <v>#N/A</v>
          </cell>
          <cell r="K547" t="e">
            <v>#N/A</v>
          </cell>
          <cell r="L547" t="e">
            <v>#N/A</v>
          </cell>
          <cell r="M547" t="e">
            <v>#N/A</v>
          </cell>
          <cell r="N547" t="e">
            <v>#N/A</v>
          </cell>
          <cell r="O547" t="e">
            <v>#N/A</v>
          </cell>
          <cell r="P547">
            <v>58.469985999999999</v>
          </cell>
          <cell r="Q547">
            <v>23.064399000000002</v>
          </cell>
          <cell r="R547" t="e">
            <v>#N/A</v>
          </cell>
        </row>
        <row r="548">
          <cell r="A548">
            <v>40946</v>
          </cell>
          <cell r="B548">
            <v>40946</v>
          </cell>
          <cell r="C548" t="str">
            <v>Past</v>
          </cell>
          <cell r="D548">
            <v>60.619996</v>
          </cell>
          <cell r="E548" t="e">
            <v>#N/A</v>
          </cell>
          <cell r="F548" t="e">
            <v>#N/A</v>
          </cell>
          <cell r="G548" t="e">
            <v>#N/A</v>
          </cell>
          <cell r="H548" t="e">
            <v>#N/A</v>
          </cell>
          <cell r="I548" t="e">
            <v>#N/A</v>
          </cell>
          <cell r="J548" t="e">
            <v>#N/A</v>
          </cell>
          <cell r="K548" t="e">
            <v>#N/A</v>
          </cell>
          <cell r="L548" t="e">
            <v>#N/A</v>
          </cell>
          <cell r="M548" t="e">
            <v>#N/A</v>
          </cell>
          <cell r="N548" t="e">
            <v>#N/A</v>
          </cell>
          <cell r="O548" t="e">
            <v>#N/A</v>
          </cell>
          <cell r="P548">
            <v>60.619996</v>
          </cell>
          <cell r="Q548">
            <v>9.4442850000000007</v>
          </cell>
          <cell r="R548" t="e">
            <v>#N/A</v>
          </cell>
        </row>
        <row r="549">
          <cell r="A549">
            <v>40947</v>
          </cell>
          <cell r="B549">
            <v>40947</v>
          </cell>
          <cell r="C549" t="str">
            <v>Past</v>
          </cell>
          <cell r="D549">
            <v>60.819992999999997</v>
          </cell>
          <cell r="E549" t="e">
            <v>#N/A</v>
          </cell>
          <cell r="F549" t="e">
            <v>#N/A</v>
          </cell>
          <cell r="G549" t="e">
            <v>#N/A</v>
          </cell>
          <cell r="H549" t="e">
            <v>#N/A</v>
          </cell>
          <cell r="I549" t="e">
            <v>#N/A</v>
          </cell>
          <cell r="J549" t="e">
            <v>#N/A</v>
          </cell>
          <cell r="K549" t="e">
            <v>#N/A</v>
          </cell>
          <cell r="L549" t="e">
            <v>#N/A</v>
          </cell>
          <cell r="M549" t="e">
            <v>#N/A</v>
          </cell>
          <cell r="N549" t="e">
            <v>#N/A</v>
          </cell>
          <cell r="O549" t="e">
            <v>#N/A</v>
          </cell>
          <cell r="P549">
            <v>60.819992999999997</v>
          </cell>
          <cell r="Q549">
            <v>4.409516</v>
          </cell>
          <cell r="R549" t="e">
            <v>#N/A</v>
          </cell>
        </row>
        <row r="550">
          <cell r="A550">
            <v>40948</v>
          </cell>
          <cell r="B550">
            <v>40948</v>
          </cell>
          <cell r="C550" t="str">
            <v>Past</v>
          </cell>
          <cell r="D550">
            <v>60.489991000000003</v>
          </cell>
          <cell r="E550" t="e">
            <v>#N/A</v>
          </cell>
          <cell r="F550" t="e">
            <v>#N/A</v>
          </cell>
          <cell r="G550" t="e">
            <v>#N/A</v>
          </cell>
          <cell r="H550" t="e">
            <v>#N/A</v>
          </cell>
          <cell r="I550" t="e">
            <v>#N/A</v>
          </cell>
          <cell r="J550" t="e">
            <v>#N/A</v>
          </cell>
          <cell r="K550" t="e">
            <v>#N/A</v>
          </cell>
          <cell r="L550" t="e">
            <v>#N/A</v>
          </cell>
          <cell r="M550" t="e">
            <v>#N/A</v>
          </cell>
          <cell r="N550" t="e">
            <v>#N/A</v>
          </cell>
          <cell r="O550" t="e">
            <v>#N/A</v>
          </cell>
          <cell r="P550">
            <v>60.489991000000003</v>
          </cell>
          <cell r="Q550">
            <v>2.4689890000000001</v>
          </cell>
          <cell r="R550" t="e">
            <v>#N/A</v>
          </cell>
        </row>
        <row r="551">
          <cell r="A551">
            <v>40949</v>
          </cell>
          <cell r="B551">
            <v>40949</v>
          </cell>
          <cell r="C551" t="str">
            <v>Past</v>
          </cell>
          <cell r="D551">
            <v>60.819992999999997</v>
          </cell>
          <cell r="E551" t="e">
            <v>#N/A</v>
          </cell>
          <cell r="F551" t="e">
            <v>#N/A</v>
          </cell>
          <cell r="G551" t="e">
            <v>#N/A</v>
          </cell>
          <cell r="H551" t="e">
            <v>#N/A</v>
          </cell>
          <cell r="I551" t="e">
            <v>#N/A</v>
          </cell>
          <cell r="J551" t="e">
            <v>#N/A</v>
          </cell>
          <cell r="K551" t="e">
            <v>#N/A</v>
          </cell>
          <cell r="L551" t="e">
            <v>#N/A</v>
          </cell>
          <cell r="M551" t="e">
            <v>#N/A</v>
          </cell>
          <cell r="N551" t="e">
            <v>#N/A</v>
          </cell>
          <cell r="O551" t="e">
            <v>#N/A</v>
          </cell>
          <cell r="P551">
            <v>60.819992999999997</v>
          </cell>
          <cell r="Q551">
            <v>7.4365389999999998</v>
          </cell>
          <cell r="R551" t="e">
            <v>#N/A</v>
          </cell>
        </row>
        <row r="552">
          <cell r="A552">
            <v>40952</v>
          </cell>
          <cell r="B552">
            <v>40952</v>
          </cell>
          <cell r="C552" t="str">
            <v>Past</v>
          </cell>
          <cell r="D552">
            <v>60.939988</v>
          </cell>
          <cell r="E552" t="e">
            <v>#N/A</v>
          </cell>
          <cell r="F552" t="e">
            <v>#N/A</v>
          </cell>
          <cell r="G552" t="e">
            <v>#N/A</v>
          </cell>
          <cell r="H552" t="e">
            <v>#N/A</v>
          </cell>
          <cell r="I552" t="e">
            <v>#N/A</v>
          </cell>
          <cell r="J552" t="e">
            <v>#N/A</v>
          </cell>
          <cell r="K552" t="e">
            <v>#N/A</v>
          </cell>
          <cell r="L552" t="e">
            <v>#N/A</v>
          </cell>
          <cell r="M552" t="e">
            <v>#N/A</v>
          </cell>
          <cell r="N552" t="e">
            <v>#N/A</v>
          </cell>
          <cell r="O552" t="e">
            <v>#N/A</v>
          </cell>
          <cell r="P552">
            <v>60.939988</v>
          </cell>
          <cell r="Q552">
            <v>7.1433200000000001</v>
          </cell>
          <cell r="R552" t="e">
            <v>#N/A</v>
          </cell>
        </row>
        <row r="553">
          <cell r="A553">
            <v>40953</v>
          </cell>
          <cell r="B553">
            <v>40953</v>
          </cell>
          <cell r="C553" t="str">
            <v>Past</v>
          </cell>
          <cell r="D553">
            <v>62.899994</v>
          </cell>
          <cell r="E553" t="e">
            <v>#N/A</v>
          </cell>
          <cell r="F553" t="e">
            <v>#N/A</v>
          </cell>
          <cell r="G553" t="e">
            <v>#N/A</v>
          </cell>
          <cell r="H553" t="e">
            <v>#N/A</v>
          </cell>
          <cell r="I553" t="e">
            <v>#N/A</v>
          </cell>
          <cell r="J553" t="e">
            <v>#N/A</v>
          </cell>
          <cell r="K553" t="e">
            <v>#N/A</v>
          </cell>
          <cell r="L553" t="e">
            <v>#N/A</v>
          </cell>
          <cell r="M553" t="e">
            <v>#N/A</v>
          </cell>
          <cell r="N553" t="e">
            <v>#N/A</v>
          </cell>
          <cell r="O553" t="e">
            <v>#N/A</v>
          </cell>
          <cell r="P553">
            <v>62.899994</v>
          </cell>
          <cell r="Q553">
            <v>8.1793440000000004</v>
          </cell>
          <cell r="R553" t="e">
            <v>#N/A</v>
          </cell>
        </row>
        <row r="554">
          <cell r="A554">
            <v>40954</v>
          </cell>
          <cell r="B554">
            <v>40954</v>
          </cell>
          <cell r="C554" t="str">
            <v>Past</v>
          </cell>
          <cell r="D554">
            <v>63.399994</v>
          </cell>
          <cell r="E554" t="e">
            <v>#N/A</v>
          </cell>
          <cell r="F554" t="e">
            <v>#N/A</v>
          </cell>
          <cell r="G554" t="e">
            <v>#N/A</v>
          </cell>
          <cell r="H554" t="e">
            <v>#N/A</v>
          </cell>
          <cell r="I554" t="e">
            <v>#N/A</v>
          </cell>
          <cell r="J554" t="e">
            <v>#N/A</v>
          </cell>
          <cell r="K554" t="e">
            <v>#N/A</v>
          </cell>
          <cell r="L554" t="e">
            <v>#N/A</v>
          </cell>
          <cell r="M554" t="e">
            <v>#N/A</v>
          </cell>
          <cell r="N554" t="e">
            <v>#N/A</v>
          </cell>
          <cell r="O554" t="e">
            <v>#N/A</v>
          </cell>
          <cell r="P554">
            <v>63.399994</v>
          </cell>
          <cell r="Q554">
            <v>6.4164139999999996</v>
          </cell>
          <cell r="R554" t="e">
            <v>#N/A</v>
          </cell>
        </row>
        <row r="555">
          <cell r="A555">
            <v>40955</v>
          </cell>
          <cell r="B555">
            <v>40955</v>
          </cell>
          <cell r="C555" t="str">
            <v>Past</v>
          </cell>
          <cell r="D555">
            <v>63.739991000000003</v>
          </cell>
          <cell r="E555" t="e">
            <v>#N/A</v>
          </cell>
          <cell r="F555" t="e">
            <v>#N/A</v>
          </cell>
          <cell r="G555" t="e">
            <v>#N/A</v>
          </cell>
          <cell r="H555" t="e">
            <v>#N/A</v>
          </cell>
          <cell r="I555" t="e">
            <v>#N/A</v>
          </cell>
          <cell r="J555" t="e">
            <v>#N/A</v>
          </cell>
          <cell r="K555" t="e">
            <v>#N/A</v>
          </cell>
          <cell r="L555" t="e">
            <v>#N/A</v>
          </cell>
          <cell r="M555" t="e">
            <v>#N/A</v>
          </cell>
          <cell r="N555" t="e">
            <v>#N/A</v>
          </cell>
          <cell r="O555" t="e">
            <v>#N/A</v>
          </cell>
          <cell r="P555">
            <v>63.739991000000003</v>
          </cell>
          <cell r="Q555">
            <v>5.901637</v>
          </cell>
          <cell r="R555" t="e">
            <v>#N/A</v>
          </cell>
        </row>
        <row r="556">
          <cell r="A556">
            <v>40956</v>
          </cell>
          <cell r="B556">
            <v>40956</v>
          </cell>
          <cell r="C556" t="str">
            <v>Past</v>
          </cell>
          <cell r="D556">
            <v>64.009995000000004</v>
          </cell>
          <cell r="E556" t="e">
            <v>#N/A</v>
          </cell>
          <cell r="F556" t="e">
            <v>#N/A</v>
          </cell>
          <cell r="G556" t="e">
            <v>#N/A</v>
          </cell>
          <cell r="H556" t="e">
            <v>#N/A</v>
          </cell>
          <cell r="I556" t="e">
            <v>#N/A</v>
          </cell>
          <cell r="J556" t="e">
            <v>#N/A</v>
          </cell>
          <cell r="K556" t="e">
            <v>#N/A</v>
          </cell>
          <cell r="L556" t="e">
            <v>#N/A</v>
          </cell>
          <cell r="M556" t="e">
            <v>#N/A</v>
          </cell>
          <cell r="N556" t="e">
            <v>#N/A</v>
          </cell>
          <cell r="O556" t="e">
            <v>#N/A</v>
          </cell>
          <cell r="P556">
            <v>64.009995000000004</v>
          </cell>
          <cell r="Q556">
            <v>4.7341839999999999</v>
          </cell>
          <cell r="R556" t="e">
            <v>#N/A</v>
          </cell>
        </row>
        <row r="557">
          <cell r="A557">
            <v>40960</v>
          </cell>
          <cell r="B557">
            <v>40960</v>
          </cell>
          <cell r="C557" t="str">
            <v>Past</v>
          </cell>
          <cell r="D557">
            <v>63.189988</v>
          </cell>
          <cell r="E557" t="e">
            <v>#N/A</v>
          </cell>
          <cell r="F557" t="e">
            <v>#N/A</v>
          </cell>
          <cell r="G557" t="e">
            <v>#N/A</v>
          </cell>
          <cell r="H557" t="e">
            <v>#N/A</v>
          </cell>
          <cell r="I557" t="e">
            <v>#N/A</v>
          </cell>
          <cell r="J557" t="e">
            <v>#N/A</v>
          </cell>
          <cell r="K557" t="e">
            <v>#N/A</v>
          </cell>
          <cell r="L557" t="e">
            <v>#N/A</v>
          </cell>
          <cell r="M557" t="e">
            <v>#N/A</v>
          </cell>
          <cell r="N557" t="e">
            <v>#N/A</v>
          </cell>
          <cell r="O557" t="e">
            <v>#N/A</v>
          </cell>
          <cell r="P557">
            <v>63.189988</v>
          </cell>
          <cell r="Q557">
            <v>5.9928239999999997</v>
          </cell>
          <cell r="R557" t="e">
            <v>#N/A</v>
          </cell>
        </row>
        <row r="558">
          <cell r="A558">
            <v>40961</v>
          </cell>
          <cell r="B558">
            <v>40961</v>
          </cell>
          <cell r="C558" t="str">
            <v>Past</v>
          </cell>
          <cell r="D558">
            <v>62.559998</v>
          </cell>
          <cell r="E558" t="e">
            <v>#N/A</v>
          </cell>
          <cell r="F558" t="e">
            <v>#N/A</v>
          </cell>
          <cell r="G558" t="e">
            <v>#N/A</v>
          </cell>
          <cell r="H558" t="e">
            <v>#N/A</v>
          </cell>
          <cell r="I558" t="e">
            <v>#N/A</v>
          </cell>
          <cell r="J558" t="e">
            <v>#N/A</v>
          </cell>
          <cell r="K558" t="e">
            <v>#N/A</v>
          </cell>
          <cell r="L558" t="e">
            <v>#N/A</v>
          </cell>
          <cell r="M558" t="e">
            <v>#N/A</v>
          </cell>
          <cell r="N558" t="e">
            <v>#N/A</v>
          </cell>
          <cell r="O558">
            <v>0</v>
          </cell>
          <cell r="P558">
            <v>62.559998</v>
          </cell>
          <cell r="Q558">
            <v>5.0215589999999999</v>
          </cell>
          <cell r="R558" t="e">
            <v>#N/A</v>
          </cell>
        </row>
        <row r="559">
          <cell r="A559">
            <v>40962</v>
          </cell>
          <cell r="B559">
            <v>40962</v>
          </cell>
          <cell r="C559" t="str">
            <v>Current</v>
          </cell>
          <cell r="D559">
            <v>64.049987999999999</v>
          </cell>
          <cell r="E559">
            <v>64.049987999999999</v>
          </cell>
          <cell r="F559">
            <v>64.049987999999999</v>
          </cell>
          <cell r="G559">
            <v>64.049987999999999</v>
          </cell>
          <cell r="H559">
            <v>64.049987999999999</v>
          </cell>
          <cell r="I559">
            <v>64.049987999999999</v>
          </cell>
          <cell r="J559" t="e">
            <v>#N/A</v>
          </cell>
          <cell r="K559" t="e">
            <v>#N/A</v>
          </cell>
          <cell r="L559" t="e">
            <v>#N/A</v>
          </cell>
          <cell r="M559" t="e">
            <v>#N/A</v>
          </cell>
          <cell r="N559" t="e">
            <v>#N/A</v>
          </cell>
          <cell r="O559">
            <v>354.90281500000003</v>
          </cell>
          <cell r="P559">
            <v>64.049987999999999</v>
          </cell>
          <cell r="Q559">
            <v>8.6165269999999996</v>
          </cell>
          <cell r="R559" t="e">
            <v>#N/A</v>
          </cell>
        </row>
        <row r="560">
          <cell r="A560">
            <v>40963</v>
          </cell>
          <cell r="B560">
            <v>40963</v>
          </cell>
          <cell r="C560" t="str">
            <v>Future</v>
          </cell>
          <cell r="D560" t="e">
            <v>#N/A</v>
          </cell>
          <cell r="E560">
            <v>63.79682599209486</v>
          </cell>
          <cell r="F560">
            <v>64.093268679841898</v>
          </cell>
          <cell r="G560">
            <v>63.954928758893281</v>
          </cell>
          <cell r="H560">
            <v>63.954928758893281</v>
          </cell>
          <cell r="I560" t="e">
            <v>#N/A</v>
          </cell>
          <cell r="J560" t="e">
            <v>#N/A</v>
          </cell>
          <cell r="K560" t="e">
            <v>#N/A</v>
          </cell>
          <cell r="L560" t="e">
            <v>#N/A</v>
          </cell>
          <cell r="M560" t="e">
            <v>#N/A</v>
          </cell>
          <cell r="N560" t="e">
            <v>#N/A</v>
          </cell>
          <cell r="O560" t="e">
            <v>#N/A</v>
          </cell>
          <cell r="P560" t="str">
            <v/>
          </cell>
          <cell r="Q560" t="str">
            <v/>
          </cell>
          <cell r="R560" t="e">
            <v>#N/A</v>
          </cell>
        </row>
        <row r="561">
          <cell r="A561">
            <v>40966</v>
          </cell>
          <cell r="B561">
            <v>40966</v>
          </cell>
          <cell r="C561" t="str">
            <v>Future</v>
          </cell>
          <cell r="D561" t="e">
            <v>#N/A</v>
          </cell>
          <cell r="E561">
            <v>63.54366398418972</v>
          </cell>
          <cell r="F561">
            <v>64.136549359683798</v>
          </cell>
          <cell r="G561">
            <v>63.859869517786564</v>
          </cell>
          <cell r="H561">
            <v>63.859869517786564</v>
          </cell>
          <cell r="I561" t="e">
            <v>#N/A</v>
          </cell>
          <cell r="J561" t="e">
            <v>#N/A</v>
          </cell>
          <cell r="K561" t="e">
            <v>#N/A</v>
          </cell>
          <cell r="L561" t="e">
            <v>#N/A</v>
          </cell>
          <cell r="M561" t="e">
            <v>#N/A</v>
          </cell>
          <cell r="N561" t="e">
            <v>#N/A</v>
          </cell>
          <cell r="O561" t="e">
            <v>#N/A</v>
          </cell>
          <cell r="P561" t="str">
            <v/>
          </cell>
          <cell r="Q561" t="str">
            <v/>
          </cell>
          <cell r="R561" t="e">
            <v>#N/A</v>
          </cell>
        </row>
        <row r="562">
          <cell r="A562">
            <v>40967</v>
          </cell>
          <cell r="B562">
            <v>40967</v>
          </cell>
          <cell r="C562" t="str">
            <v>Future</v>
          </cell>
          <cell r="D562" t="e">
            <v>#N/A</v>
          </cell>
          <cell r="E562">
            <v>63.290501976284581</v>
          </cell>
          <cell r="F562">
            <v>64.179830039525697</v>
          </cell>
          <cell r="G562">
            <v>63.764810276679846</v>
          </cell>
          <cell r="H562">
            <v>63.764810276679846</v>
          </cell>
          <cell r="I562" t="e">
            <v>#N/A</v>
          </cell>
          <cell r="J562" t="e">
            <v>#N/A</v>
          </cell>
          <cell r="K562" t="e">
            <v>#N/A</v>
          </cell>
          <cell r="L562" t="e">
            <v>#N/A</v>
          </cell>
          <cell r="M562" t="e">
            <v>#N/A</v>
          </cell>
          <cell r="N562" t="e">
            <v>#N/A</v>
          </cell>
          <cell r="O562" t="e">
            <v>#N/A</v>
          </cell>
          <cell r="P562" t="str">
            <v/>
          </cell>
          <cell r="Q562" t="str">
            <v/>
          </cell>
          <cell r="R562" t="e">
            <v>#N/A</v>
          </cell>
        </row>
        <row r="563">
          <cell r="A563">
            <v>40968</v>
          </cell>
          <cell r="B563">
            <v>40968</v>
          </cell>
          <cell r="C563" t="str">
            <v>Future</v>
          </cell>
          <cell r="D563" t="e">
            <v>#N/A</v>
          </cell>
          <cell r="E563">
            <v>63.037339968379442</v>
          </cell>
          <cell r="F563">
            <v>64.223110719367597</v>
          </cell>
          <cell r="G563">
            <v>63.669751035573128</v>
          </cell>
          <cell r="H563">
            <v>63.669751035573128</v>
          </cell>
          <cell r="I563" t="e">
            <v>#N/A</v>
          </cell>
          <cell r="J563" t="e">
            <v>#N/A</v>
          </cell>
          <cell r="K563" t="e">
            <v>#N/A</v>
          </cell>
          <cell r="L563" t="e">
            <v>#N/A</v>
          </cell>
          <cell r="M563" t="e">
            <v>#N/A</v>
          </cell>
          <cell r="N563" t="e">
            <v>#N/A</v>
          </cell>
          <cell r="O563" t="e">
            <v>#N/A</v>
          </cell>
          <cell r="P563" t="str">
            <v/>
          </cell>
          <cell r="Q563" t="str">
            <v/>
          </cell>
          <cell r="R563" t="e">
            <v>#N/A</v>
          </cell>
        </row>
        <row r="564">
          <cell r="A564">
            <v>40969</v>
          </cell>
          <cell r="B564">
            <v>40969</v>
          </cell>
          <cell r="C564" t="str">
            <v>Future</v>
          </cell>
          <cell r="D564" t="e">
            <v>#N/A</v>
          </cell>
          <cell r="E564">
            <v>62.784177960474302</v>
          </cell>
          <cell r="F564">
            <v>64.266391399209496</v>
          </cell>
          <cell r="G564">
            <v>63.57469179446641</v>
          </cell>
          <cell r="H564">
            <v>63.57469179446641</v>
          </cell>
          <cell r="I564" t="e">
            <v>#N/A</v>
          </cell>
          <cell r="J564" t="e">
            <v>#N/A</v>
          </cell>
          <cell r="K564" t="e">
            <v>#N/A</v>
          </cell>
          <cell r="L564" t="e">
            <v>#N/A</v>
          </cell>
          <cell r="M564" t="e">
            <v>#N/A</v>
          </cell>
          <cell r="N564" t="e">
            <v>#N/A</v>
          </cell>
          <cell r="O564" t="e">
            <v>#N/A</v>
          </cell>
          <cell r="P564" t="str">
            <v/>
          </cell>
          <cell r="Q564" t="str">
            <v/>
          </cell>
          <cell r="R564" t="e">
            <v>#N/A</v>
          </cell>
        </row>
        <row r="565">
          <cell r="A565">
            <v>40970</v>
          </cell>
          <cell r="B565">
            <v>40970</v>
          </cell>
          <cell r="C565" t="str">
            <v>Future</v>
          </cell>
          <cell r="D565" t="e">
            <v>#N/A</v>
          </cell>
          <cell r="E565">
            <v>62.531015952569163</v>
          </cell>
          <cell r="F565">
            <v>64.309672079051396</v>
          </cell>
          <cell r="G565">
            <v>63.479632553359693</v>
          </cell>
          <cell r="H565">
            <v>63.479632553359693</v>
          </cell>
          <cell r="I565" t="e">
            <v>#N/A</v>
          </cell>
          <cell r="J565" t="e">
            <v>#N/A</v>
          </cell>
          <cell r="K565" t="e">
            <v>#N/A</v>
          </cell>
          <cell r="L565" t="e">
            <v>#N/A</v>
          </cell>
          <cell r="M565" t="e">
            <v>#N/A</v>
          </cell>
          <cell r="N565" t="e">
            <v>#N/A</v>
          </cell>
          <cell r="O565" t="e">
            <v>#N/A</v>
          </cell>
          <cell r="P565" t="str">
            <v/>
          </cell>
          <cell r="Q565" t="str">
            <v/>
          </cell>
          <cell r="R565" t="e">
            <v>#N/A</v>
          </cell>
        </row>
        <row r="566">
          <cell r="A566">
            <v>40973</v>
          </cell>
          <cell r="B566">
            <v>40973</v>
          </cell>
          <cell r="C566" t="str">
            <v>Future</v>
          </cell>
          <cell r="D566" t="e">
            <v>#N/A</v>
          </cell>
          <cell r="E566">
            <v>62.277853944664024</v>
          </cell>
          <cell r="F566">
            <v>64.352952758893295</v>
          </cell>
          <cell r="G566">
            <v>63.384573312252975</v>
          </cell>
          <cell r="H566">
            <v>63.384573312252975</v>
          </cell>
          <cell r="I566" t="e">
            <v>#N/A</v>
          </cell>
          <cell r="J566" t="e">
            <v>#N/A</v>
          </cell>
          <cell r="K566" t="e">
            <v>#N/A</v>
          </cell>
          <cell r="L566" t="e">
            <v>#N/A</v>
          </cell>
          <cell r="M566" t="e">
            <v>#N/A</v>
          </cell>
          <cell r="N566" t="e">
            <v>#N/A</v>
          </cell>
          <cell r="O566" t="e">
            <v>#N/A</v>
          </cell>
          <cell r="P566" t="str">
            <v/>
          </cell>
          <cell r="Q566" t="str">
            <v/>
          </cell>
          <cell r="R566" t="e">
            <v>#N/A</v>
          </cell>
        </row>
        <row r="567">
          <cell r="A567">
            <v>40974</v>
          </cell>
          <cell r="B567">
            <v>40974</v>
          </cell>
          <cell r="C567" t="str">
            <v>Future</v>
          </cell>
          <cell r="D567" t="e">
            <v>#N/A</v>
          </cell>
          <cell r="E567">
            <v>62.024691936758884</v>
          </cell>
          <cell r="F567">
            <v>64.396233438735194</v>
          </cell>
          <cell r="G567">
            <v>63.289514071146257</v>
          </cell>
          <cell r="H567">
            <v>63.289514071146257</v>
          </cell>
          <cell r="I567" t="e">
            <v>#N/A</v>
          </cell>
          <cell r="J567" t="e">
            <v>#N/A</v>
          </cell>
          <cell r="K567" t="e">
            <v>#N/A</v>
          </cell>
          <cell r="L567" t="e">
            <v>#N/A</v>
          </cell>
          <cell r="M567" t="e">
            <v>#N/A</v>
          </cell>
          <cell r="N567" t="e">
            <v>#N/A</v>
          </cell>
          <cell r="O567" t="e">
            <v>#N/A</v>
          </cell>
          <cell r="P567" t="str">
            <v/>
          </cell>
          <cell r="Q567" t="str">
            <v/>
          </cell>
          <cell r="R567" t="e">
            <v>#N/A</v>
          </cell>
        </row>
        <row r="568">
          <cell r="A568">
            <v>40975</v>
          </cell>
          <cell r="B568">
            <v>40975</v>
          </cell>
          <cell r="C568" t="str">
            <v>Future</v>
          </cell>
          <cell r="D568" t="e">
            <v>#N/A</v>
          </cell>
          <cell r="E568">
            <v>61.771529928853745</v>
          </cell>
          <cell r="F568">
            <v>64.439514118577094</v>
          </cell>
          <cell r="G568">
            <v>63.19445483003954</v>
          </cell>
          <cell r="H568">
            <v>63.19445483003954</v>
          </cell>
          <cell r="I568" t="e">
            <v>#N/A</v>
          </cell>
          <cell r="J568" t="e">
            <v>#N/A</v>
          </cell>
          <cell r="K568" t="e">
            <v>#N/A</v>
          </cell>
          <cell r="L568" t="e">
            <v>#N/A</v>
          </cell>
          <cell r="M568" t="e">
            <v>#N/A</v>
          </cell>
          <cell r="N568" t="e">
            <v>#N/A</v>
          </cell>
          <cell r="O568" t="e">
            <v>#N/A</v>
          </cell>
          <cell r="P568" t="str">
            <v/>
          </cell>
          <cell r="Q568" t="str">
            <v/>
          </cell>
          <cell r="R568" t="e">
            <v>#N/A</v>
          </cell>
        </row>
        <row r="569">
          <cell r="A569">
            <v>40976</v>
          </cell>
          <cell r="B569">
            <v>40976</v>
          </cell>
          <cell r="C569" t="str">
            <v>Future</v>
          </cell>
          <cell r="D569" t="e">
            <v>#N/A</v>
          </cell>
          <cell r="E569">
            <v>61.518367920948606</v>
          </cell>
          <cell r="F569">
            <v>64.482794798418993</v>
          </cell>
          <cell r="G569">
            <v>63.099395588932822</v>
          </cell>
          <cell r="H569">
            <v>63.099395588932822</v>
          </cell>
          <cell r="I569" t="e">
            <v>#N/A</v>
          </cell>
          <cell r="J569" t="e">
            <v>#N/A</v>
          </cell>
          <cell r="K569" t="e">
            <v>#N/A</v>
          </cell>
          <cell r="L569" t="e">
            <v>#N/A</v>
          </cell>
          <cell r="M569" t="e">
            <v>#N/A</v>
          </cell>
          <cell r="N569" t="e">
            <v>#N/A</v>
          </cell>
          <cell r="O569" t="e">
            <v>#N/A</v>
          </cell>
          <cell r="P569" t="str">
            <v/>
          </cell>
          <cell r="Q569" t="str">
            <v/>
          </cell>
          <cell r="R569" t="e">
            <v>#N/A</v>
          </cell>
        </row>
        <row r="570">
          <cell r="A570">
            <v>40977</v>
          </cell>
          <cell r="B570">
            <v>40977</v>
          </cell>
          <cell r="C570" t="str">
            <v>Future</v>
          </cell>
          <cell r="D570" t="e">
            <v>#N/A</v>
          </cell>
          <cell r="E570">
            <v>61.265205913043467</v>
          </cell>
          <cell r="F570">
            <v>64.526075478260893</v>
          </cell>
          <cell r="G570">
            <v>63.004336347826104</v>
          </cell>
          <cell r="H570">
            <v>63.004336347826104</v>
          </cell>
          <cell r="I570" t="e">
            <v>#N/A</v>
          </cell>
          <cell r="J570" t="e">
            <v>#N/A</v>
          </cell>
          <cell r="K570" t="e">
            <v>#N/A</v>
          </cell>
          <cell r="L570" t="e">
            <v>#N/A</v>
          </cell>
          <cell r="M570" t="e">
            <v>#N/A</v>
          </cell>
          <cell r="N570" t="e">
            <v>#N/A</v>
          </cell>
          <cell r="O570" t="e">
            <v>#N/A</v>
          </cell>
          <cell r="P570" t="str">
            <v/>
          </cell>
          <cell r="Q570" t="str">
            <v/>
          </cell>
          <cell r="R570" t="e">
            <v>#N/A</v>
          </cell>
        </row>
        <row r="571">
          <cell r="A571">
            <v>40980</v>
          </cell>
          <cell r="B571">
            <v>40980</v>
          </cell>
          <cell r="C571" t="str">
            <v>Future</v>
          </cell>
          <cell r="D571" t="e">
            <v>#N/A</v>
          </cell>
          <cell r="E571">
            <v>61.012043905138327</v>
          </cell>
          <cell r="F571">
            <v>64.569356158102792</v>
          </cell>
          <cell r="G571">
            <v>62.909277106719387</v>
          </cell>
          <cell r="H571">
            <v>62.909277106719387</v>
          </cell>
          <cell r="I571" t="e">
            <v>#N/A</v>
          </cell>
          <cell r="J571" t="e">
            <v>#N/A</v>
          </cell>
          <cell r="K571" t="e">
            <v>#N/A</v>
          </cell>
          <cell r="L571" t="e">
            <v>#N/A</v>
          </cell>
          <cell r="M571" t="e">
            <v>#N/A</v>
          </cell>
          <cell r="N571" t="e">
            <v>#N/A</v>
          </cell>
          <cell r="O571" t="e">
            <v>#N/A</v>
          </cell>
          <cell r="P571" t="str">
            <v/>
          </cell>
          <cell r="Q571" t="str">
            <v/>
          </cell>
          <cell r="R571" t="e">
            <v>#N/A</v>
          </cell>
        </row>
        <row r="572">
          <cell r="A572">
            <v>40981</v>
          </cell>
          <cell r="B572">
            <v>40981</v>
          </cell>
          <cell r="C572" t="str">
            <v>Future</v>
          </cell>
          <cell r="D572" t="e">
            <v>#N/A</v>
          </cell>
          <cell r="E572">
            <v>60.758881897233188</v>
          </cell>
          <cell r="F572">
            <v>64.612636837944692</v>
          </cell>
          <cell r="G572">
            <v>62.814217865612669</v>
          </cell>
          <cell r="H572">
            <v>62.814217865612669</v>
          </cell>
          <cell r="I572" t="e">
            <v>#N/A</v>
          </cell>
          <cell r="J572" t="e">
            <v>#N/A</v>
          </cell>
          <cell r="K572" t="e">
            <v>#N/A</v>
          </cell>
          <cell r="L572" t="e">
            <v>#N/A</v>
          </cell>
          <cell r="M572" t="e">
            <v>#N/A</v>
          </cell>
          <cell r="N572" t="e">
            <v>#N/A</v>
          </cell>
          <cell r="O572" t="e">
            <v>#N/A</v>
          </cell>
          <cell r="P572" t="str">
            <v/>
          </cell>
          <cell r="Q572" t="str">
            <v/>
          </cell>
          <cell r="R572" t="e">
            <v>#N/A</v>
          </cell>
        </row>
        <row r="573">
          <cell r="A573">
            <v>40982</v>
          </cell>
          <cell r="B573">
            <v>40982</v>
          </cell>
          <cell r="C573" t="str">
            <v>Future</v>
          </cell>
          <cell r="D573" t="e">
            <v>#N/A</v>
          </cell>
          <cell r="E573">
            <v>60.505719889328049</v>
          </cell>
          <cell r="F573">
            <v>64.655917517786591</v>
          </cell>
          <cell r="G573">
            <v>62.719158624505951</v>
          </cell>
          <cell r="H573">
            <v>62.719158624505951</v>
          </cell>
          <cell r="I573" t="e">
            <v>#N/A</v>
          </cell>
          <cell r="J573" t="e">
            <v>#N/A</v>
          </cell>
          <cell r="K573" t="e">
            <v>#N/A</v>
          </cell>
          <cell r="L573" t="e">
            <v>#N/A</v>
          </cell>
          <cell r="M573" t="e">
            <v>#N/A</v>
          </cell>
          <cell r="N573" t="e">
            <v>#N/A</v>
          </cell>
          <cell r="O573" t="e">
            <v>#N/A</v>
          </cell>
          <cell r="P573" t="str">
            <v/>
          </cell>
          <cell r="Q573" t="str">
            <v/>
          </cell>
          <cell r="R573" t="e">
            <v>#N/A</v>
          </cell>
        </row>
        <row r="574">
          <cell r="A574">
            <v>40983</v>
          </cell>
          <cell r="B574">
            <v>40983</v>
          </cell>
          <cell r="C574" t="str">
            <v>Future</v>
          </cell>
          <cell r="D574" t="e">
            <v>#N/A</v>
          </cell>
          <cell r="E574">
            <v>60.252557881422909</v>
          </cell>
          <cell r="F574">
            <v>64.69919819762849</v>
          </cell>
          <cell r="G574">
            <v>62.624099383399233</v>
          </cell>
          <cell r="H574">
            <v>62.624099383399233</v>
          </cell>
          <cell r="I574" t="e">
            <v>#N/A</v>
          </cell>
          <cell r="J574" t="e">
            <v>#N/A</v>
          </cell>
          <cell r="K574" t="e">
            <v>#N/A</v>
          </cell>
          <cell r="L574" t="e">
            <v>#N/A</v>
          </cell>
          <cell r="M574" t="e">
            <v>#N/A</v>
          </cell>
          <cell r="N574" t="e">
            <v>#N/A</v>
          </cell>
          <cell r="O574" t="e">
            <v>#N/A</v>
          </cell>
          <cell r="P574" t="str">
            <v/>
          </cell>
          <cell r="Q574" t="str">
            <v/>
          </cell>
          <cell r="R574" t="e">
            <v>#N/A</v>
          </cell>
        </row>
        <row r="575">
          <cell r="A575">
            <v>40984</v>
          </cell>
          <cell r="B575">
            <v>40984</v>
          </cell>
          <cell r="C575" t="str">
            <v>Future</v>
          </cell>
          <cell r="D575" t="e">
            <v>#N/A</v>
          </cell>
          <cell r="E575">
            <v>59.99939587351777</v>
          </cell>
          <cell r="F575">
            <v>64.74247887747039</v>
          </cell>
          <cell r="G575">
            <v>62.529040142292516</v>
          </cell>
          <cell r="H575">
            <v>62.529040142292516</v>
          </cell>
          <cell r="I575" t="e">
            <v>#N/A</v>
          </cell>
          <cell r="J575" t="e">
            <v>#N/A</v>
          </cell>
          <cell r="K575" t="e">
            <v>#N/A</v>
          </cell>
          <cell r="L575" t="e">
            <v>#N/A</v>
          </cell>
          <cell r="M575" t="e">
            <v>#N/A</v>
          </cell>
          <cell r="N575" t="e">
            <v>#N/A</v>
          </cell>
          <cell r="O575" t="e">
            <v>#N/A</v>
          </cell>
          <cell r="P575" t="str">
            <v/>
          </cell>
          <cell r="Q575" t="str">
            <v/>
          </cell>
          <cell r="R575" t="e">
            <v>#N/A</v>
          </cell>
        </row>
        <row r="576">
          <cell r="A576">
            <v>40987</v>
          </cell>
          <cell r="B576">
            <v>40987</v>
          </cell>
          <cell r="C576" t="str">
            <v>Future</v>
          </cell>
          <cell r="D576" t="e">
            <v>#N/A</v>
          </cell>
          <cell r="E576">
            <v>59.746233865612631</v>
          </cell>
          <cell r="F576">
            <v>64.785759557312289</v>
          </cell>
          <cell r="G576">
            <v>62.433980901185798</v>
          </cell>
          <cell r="H576">
            <v>62.433980901185798</v>
          </cell>
          <cell r="I576" t="e">
            <v>#N/A</v>
          </cell>
          <cell r="J576" t="e">
            <v>#N/A</v>
          </cell>
          <cell r="K576" t="e">
            <v>#N/A</v>
          </cell>
          <cell r="L576" t="e">
            <v>#N/A</v>
          </cell>
          <cell r="M576" t="e">
            <v>#N/A</v>
          </cell>
          <cell r="N576" t="e">
            <v>#N/A</v>
          </cell>
          <cell r="O576" t="e">
            <v>#N/A</v>
          </cell>
          <cell r="P576" t="str">
            <v/>
          </cell>
          <cell r="Q576" t="str">
            <v/>
          </cell>
          <cell r="R576" t="e">
            <v>#N/A</v>
          </cell>
        </row>
        <row r="577">
          <cell r="A577">
            <v>40988</v>
          </cell>
          <cell r="B577">
            <v>40988</v>
          </cell>
          <cell r="C577" t="str">
            <v>Future</v>
          </cell>
          <cell r="D577" t="e">
            <v>#N/A</v>
          </cell>
          <cell r="E577">
            <v>59.493071857707491</v>
          </cell>
          <cell r="F577">
            <v>64.829040237154189</v>
          </cell>
          <cell r="G577">
            <v>62.33892166007908</v>
          </cell>
          <cell r="H577">
            <v>62.33892166007908</v>
          </cell>
          <cell r="I577" t="e">
            <v>#N/A</v>
          </cell>
          <cell r="J577" t="e">
            <v>#N/A</v>
          </cell>
          <cell r="K577" t="e">
            <v>#N/A</v>
          </cell>
          <cell r="L577" t="e">
            <v>#N/A</v>
          </cell>
          <cell r="M577" t="e">
            <v>#N/A</v>
          </cell>
          <cell r="N577" t="e">
            <v>#N/A</v>
          </cell>
          <cell r="O577" t="e">
            <v>#N/A</v>
          </cell>
          <cell r="P577" t="str">
            <v/>
          </cell>
          <cell r="Q577" t="str">
            <v/>
          </cell>
          <cell r="R577" t="e">
            <v>#N/A</v>
          </cell>
        </row>
        <row r="578">
          <cell r="A578">
            <v>40989</v>
          </cell>
          <cell r="B578">
            <v>40989</v>
          </cell>
          <cell r="C578" t="str">
            <v>Future</v>
          </cell>
          <cell r="D578" t="e">
            <v>#N/A</v>
          </cell>
          <cell r="E578">
            <v>59.239909849802352</v>
          </cell>
          <cell r="F578">
            <v>64.872320916996088</v>
          </cell>
          <cell r="G578">
            <v>62.243862418972363</v>
          </cell>
          <cell r="H578">
            <v>62.243862418972363</v>
          </cell>
          <cell r="I578" t="e">
            <v>#N/A</v>
          </cell>
          <cell r="J578" t="e">
            <v>#N/A</v>
          </cell>
          <cell r="K578" t="e">
            <v>#N/A</v>
          </cell>
          <cell r="L578" t="e">
            <v>#N/A</v>
          </cell>
          <cell r="M578" t="e">
            <v>#N/A</v>
          </cell>
          <cell r="N578" t="e">
            <v>#N/A</v>
          </cell>
          <cell r="O578" t="e">
            <v>#N/A</v>
          </cell>
          <cell r="P578" t="str">
            <v/>
          </cell>
          <cell r="Q578" t="str">
            <v/>
          </cell>
          <cell r="R578" t="e">
            <v>#N/A</v>
          </cell>
        </row>
        <row r="579">
          <cell r="A579">
            <v>40990</v>
          </cell>
          <cell r="B579">
            <v>40990</v>
          </cell>
          <cell r="C579" t="str">
            <v>Future</v>
          </cell>
          <cell r="D579" t="e">
            <v>#N/A</v>
          </cell>
          <cell r="E579">
            <v>58.986747841897213</v>
          </cell>
          <cell r="F579">
            <v>64.915601596837988</v>
          </cell>
          <cell r="G579">
            <v>62.148803177865645</v>
          </cell>
          <cell r="H579">
            <v>62.148803177865645</v>
          </cell>
          <cell r="I579" t="e">
            <v>#N/A</v>
          </cell>
          <cell r="J579" t="e">
            <v>#N/A</v>
          </cell>
          <cell r="K579" t="e">
            <v>#N/A</v>
          </cell>
          <cell r="L579" t="e">
            <v>#N/A</v>
          </cell>
          <cell r="M579" t="e">
            <v>#N/A</v>
          </cell>
          <cell r="N579" t="e">
            <v>#N/A</v>
          </cell>
          <cell r="O579" t="e">
            <v>#N/A</v>
          </cell>
          <cell r="P579" t="str">
            <v/>
          </cell>
          <cell r="Q579" t="str">
            <v/>
          </cell>
          <cell r="R579" t="e">
            <v>#N/A</v>
          </cell>
        </row>
        <row r="580">
          <cell r="A580">
            <v>40991</v>
          </cell>
          <cell r="B580">
            <v>40991</v>
          </cell>
          <cell r="C580" t="str">
            <v>Future</v>
          </cell>
          <cell r="D580" t="e">
            <v>#N/A</v>
          </cell>
          <cell r="E580">
            <v>58.733585833992073</v>
          </cell>
          <cell r="F580">
            <v>64.958882276679887</v>
          </cell>
          <cell r="G580">
            <v>62.053743936758927</v>
          </cell>
          <cell r="H580">
            <v>62.053743936758927</v>
          </cell>
          <cell r="I580" t="e">
            <v>#N/A</v>
          </cell>
          <cell r="J580" t="e">
            <v>#N/A</v>
          </cell>
          <cell r="K580" t="e">
            <v>#N/A</v>
          </cell>
          <cell r="L580" t="e">
            <v>#N/A</v>
          </cell>
          <cell r="M580" t="e">
            <v>#N/A</v>
          </cell>
          <cell r="N580" t="e">
            <v>#N/A</v>
          </cell>
          <cell r="O580" t="e">
            <v>#N/A</v>
          </cell>
          <cell r="P580" t="str">
            <v/>
          </cell>
          <cell r="Q580" t="str">
            <v/>
          </cell>
          <cell r="R580" t="e">
            <v>#N/A</v>
          </cell>
        </row>
        <row r="581">
          <cell r="A581">
            <v>40994</v>
          </cell>
          <cell r="B581">
            <v>40994</v>
          </cell>
          <cell r="C581" t="str">
            <v>Future</v>
          </cell>
          <cell r="D581" t="e">
            <v>#N/A</v>
          </cell>
          <cell r="E581">
            <v>58.480423826086934</v>
          </cell>
          <cell r="F581">
            <v>65.002162956521786</v>
          </cell>
          <cell r="G581">
            <v>61.958684695652209</v>
          </cell>
          <cell r="H581">
            <v>61.958684695652209</v>
          </cell>
          <cell r="I581" t="e">
            <v>#N/A</v>
          </cell>
          <cell r="J581" t="e">
            <v>#N/A</v>
          </cell>
          <cell r="K581" t="e">
            <v>#N/A</v>
          </cell>
          <cell r="L581" t="e">
            <v>#N/A</v>
          </cell>
          <cell r="M581" t="e">
            <v>#N/A</v>
          </cell>
          <cell r="N581" t="e">
            <v>#N/A</v>
          </cell>
          <cell r="O581" t="e">
            <v>#N/A</v>
          </cell>
          <cell r="P581" t="str">
            <v/>
          </cell>
          <cell r="Q581" t="str">
            <v/>
          </cell>
          <cell r="R581" t="e">
            <v>#N/A</v>
          </cell>
        </row>
        <row r="582">
          <cell r="A582">
            <v>40995</v>
          </cell>
          <cell r="B582">
            <v>40995</v>
          </cell>
          <cell r="C582" t="str">
            <v>Future</v>
          </cell>
          <cell r="D582" t="e">
            <v>#N/A</v>
          </cell>
          <cell r="E582">
            <v>58.227261818181795</v>
          </cell>
          <cell r="F582">
            <v>65.045443636363686</v>
          </cell>
          <cell r="G582">
            <v>61.863625454545492</v>
          </cell>
          <cell r="H582">
            <v>61.863625454545492</v>
          </cell>
          <cell r="I582" t="e">
            <v>#N/A</v>
          </cell>
          <cell r="J582" t="e">
            <v>#N/A</v>
          </cell>
          <cell r="K582" t="e">
            <v>#N/A</v>
          </cell>
          <cell r="L582" t="e">
            <v>#N/A</v>
          </cell>
          <cell r="M582" t="e">
            <v>#N/A</v>
          </cell>
          <cell r="N582" t="e">
            <v>#N/A</v>
          </cell>
          <cell r="O582" t="e">
            <v>#N/A</v>
          </cell>
          <cell r="P582" t="str">
            <v/>
          </cell>
          <cell r="Q582" t="str">
            <v/>
          </cell>
          <cell r="R582" t="e">
            <v>#N/A</v>
          </cell>
        </row>
        <row r="583">
          <cell r="A583">
            <v>40996</v>
          </cell>
          <cell r="B583">
            <v>40996</v>
          </cell>
          <cell r="C583" t="str">
            <v>Future</v>
          </cell>
          <cell r="D583" t="e">
            <v>#N/A</v>
          </cell>
          <cell r="E583">
            <v>57.974099810276655</v>
          </cell>
          <cell r="F583">
            <v>65.088724316205585</v>
          </cell>
          <cell r="G583">
            <v>61.768566213438774</v>
          </cell>
          <cell r="H583">
            <v>61.768566213438774</v>
          </cell>
          <cell r="I583" t="e">
            <v>#N/A</v>
          </cell>
          <cell r="J583" t="e">
            <v>#N/A</v>
          </cell>
          <cell r="K583" t="e">
            <v>#N/A</v>
          </cell>
          <cell r="L583" t="e">
            <v>#N/A</v>
          </cell>
          <cell r="M583" t="e">
            <v>#N/A</v>
          </cell>
          <cell r="N583" t="e">
            <v>#N/A</v>
          </cell>
          <cell r="O583" t="e">
            <v>#N/A</v>
          </cell>
          <cell r="P583" t="str">
            <v/>
          </cell>
          <cell r="Q583" t="str">
            <v/>
          </cell>
          <cell r="R583" t="e">
            <v>#N/A</v>
          </cell>
        </row>
        <row r="584">
          <cell r="A584">
            <v>40997</v>
          </cell>
          <cell r="B584">
            <v>40997</v>
          </cell>
          <cell r="C584" t="str">
            <v>Future</v>
          </cell>
          <cell r="D584" t="e">
            <v>#N/A</v>
          </cell>
          <cell r="E584">
            <v>57.720937802371516</v>
          </cell>
          <cell r="F584">
            <v>65.132004996047485</v>
          </cell>
          <cell r="G584">
            <v>61.673506972332056</v>
          </cell>
          <cell r="H584">
            <v>61.673506972332056</v>
          </cell>
          <cell r="I584" t="e">
            <v>#N/A</v>
          </cell>
          <cell r="J584" t="e">
            <v>#N/A</v>
          </cell>
          <cell r="K584" t="e">
            <v>#N/A</v>
          </cell>
          <cell r="L584" t="e">
            <v>#N/A</v>
          </cell>
          <cell r="M584" t="e">
            <v>#N/A</v>
          </cell>
          <cell r="N584" t="e">
            <v>#N/A</v>
          </cell>
          <cell r="O584" t="e">
            <v>#N/A</v>
          </cell>
          <cell r="P584" t="str">
            <v/>
          </cell>
          <cell r="Q584" t="str">
            <v/>
          </cell>
          <cell r="R584" t="e">
            <v>#N/A</v>
          </cell>
        </row>
        <row r="585">
          <cell r="A585">
            <v>40998</v>
          </cell>
          <cell r="B585">
            <v>40998</v>
          </cell>
          <cell r="C585" t="str">
            <v>Future</v>
          </cell>
          <cell r="D585" t="e">
            <v>#N/A</v>
          </cell>
          <cell r="E585">
            <v>57.467775794466377</v>
          </cell>
          <cell r="F585">
            <v>65.175285675889384</v>
          </cell>
          <cell r="G585">
            <v>61.578447731225339</v>
          </cell>
          <cell r="H585">
            <v>61.578447731225339</v>
          </cell>
          <cell r="I585" t="e">
            <v>#N/A</v>
          </cell>
          <cell r="J585" t="e">
            <v>#N/A</v>
          </cell>
          <cell r="K585" t="e">
            <v>#N/A</v>
          </cell>
          <cell r="L585" t="e">
            <v>#N/A</v>
          </cell>
          <cell r="M585" t="e">
            <v>#N/A</v>
          </cell>
          <cell r="N585" t="e">
            <v>#N/A</v>
          </cell>
          <cell r="O585" t="e">
            <v>#N/A</v>
          </cell>
          <cell r="P585" t="str">
            <v/>
          </cell>
          <cell r="Q585" t="str">
            <v/>
          </cell>
          <cell r="R585" t="e">
            <v>#N/A</v>
          </cell>
        </row>
        <row r="586">
          <cell r="A586">
            <v>41001</v>
          </cell>
          <cell r="B586">
            <v>41001</v>
          </cell>
          <cell r="C586" t="str">
            <v>Future</v>
          </cell>
          <cell r="D586" t="e">
            <v>#N/A</v>
          </cell>
          <cell r="E586">
            <v>57.214613786561237</v>
          </cell>
          <cell r="F586">
            <v>65.218566355731284</v>
          </cell>
          <cell r="G586">
            <v>61.483388490118621</v>
          </cell>
          <cell r="H586">
            <v>61.483388490118621</v>
          </cell>
          <cell r="I586" t="e">
            <v>#N/A</v>
          </cell>
          <cell r="J586" t="e">
            <v>#N/A</v>
          </cell>
          <cell r="K586" t="e">
            <v>#N/A</v>
          </cell>
          <cell r="L586" t="e">
            <v>#N/A</v>
          </cell>
          <cell r="M586" t="e">
            <v>#N/A</v>
          </cell>
          <cell r="N586" t="e">
            <v>#N/A</v>
          </cell>
          <cell r="O586" t="e">
            <v>#N/A</v>
          </cell>
          <cell r="P586" t="str">
            <v/>
          </cell>
          <cell r="Q586" t="str">
            <v/>
          </cell>
          <cell r="R586" t="e">
            <v>#N/A</v>
          </cell>
        </row>
        <row r="587">
          <cell r="A587">
            <v>41002</v>
          </cell>
          <cell r="B587">
            <v>41002</v>
          </cell>
          <cell r="C587" t="str">
            <v>Future</v>
          </cell>
          <cell r="D587" t="e">
            <v>#N/A</v>
          </cell>
          <cell r="E587">
            <v>56.961451778656098</v>
          </cell>
          <cell r="F587">
            <v>65.261847035573183</v>
          </cell>
          <cell r="G587">
            <v>61.388329249011903</v>
          </cell>
          <cell r="H587">
            <v>61.388329249011903</v>
          </cell>
          <cell r="I587" t="e">
            <v>#N/A</v>
          </cell>
          <cell r="J587" t="e">
            <v>#N/A</v>
          </cell>
          <cell r="K587" t="e">
            <v>#N/A</v>
          </cell>
          <cell r="L587" t="e">
            <v>#N/A</v>
          </cell>
          <cell r="M587" t="e">
            <v>#N/A</v>
          </cell>
          <cell r="N587" t="e">
            <v>#N/A</v>
          </cell>
          <cell r="O587" t="e">
            <v>#N/A</v>
          </cell>
          <cell r="P587" t="str">
            <v/>
          </cell>
          <cell r="Q587" t="str">
            <v/>
          </cell>
          <cell r="R587" t="e">
            <v>#N/A</v>
          </cell>
        </row>
        <row r="588">
          <cell r="A588">
            <v>41003</v>
          </cell>
          <cell r="B588">
            <v>41003</v>
          </cell>
          <cell r="C588" t="str">
            <v>Future</v>
          </cell>
          <cell r="D588" t="e">
            <v>#N/A</v>
          </cell>
          <cell r="E588">
            <v>56.708289770750959</v>
          </cell>
          <cell r="F588">
            <v>65.305127715415082</v>
          </cell>
          <cell r="G588">
            <v>61.293270007905186</v>
          </cell>
          <cell r="H588">
            <v>61.293270007905186</v>
          </cell>
          <cell r="I588" t="e">
            <v>#N/A</v>
          </cell>
          <cell r="J588" t="e">
            <v>#N/A</v>
          </cell>
          <cell r="K588" t="e">
            <v>#N/A</v>
          </cell>
          <cell r="L588" t="e">
            <v>#N/A</v>
          </cell>
          <cell r="M588" t="e">
            <v>#N/A</v>
          </cell>
          <cell r="N588" t="e">
            <v>#N/A</v>
          </cell>
          <cell r="O588" t="e">
            <v>#N/A</v>
          </cell>
          <cell r="P588" t="str">
            <v/>
          </cell>
          <cell r="Q588" t="str">
            <v/>
          </cell>
          <cell r="R588" t="e">
            <v>#N/A</v>
          </cell>
        </row>
        <row r="589">
          <cell r="A589">
            <v>41004</v>
          </cell>
          <cell r="B589">
            <v>41004</v>
          </cell>
          <cell r="C589" t="str">
            <v>Future</v>
          </cell>
          <cell r="D589" t="e">
            <v>#N/A</v>
          </cell>
          <cell r="E589">
            <v>56.455127762845819</v>
          </cell>
          <cell r="F589">
            <v>65.348408395256982</v>
          </cell>
          <cell r="G589">
            <v>61.198210766798468</v>
          </cell>
          <cell r="H589">
            <v>61.198210766798468</v>
          </cell>
          <cell r="I589" t="e">
            <v>#N/A</v>
          </cell>
          <cell r="J589" t="e">
            <v>#N/A</v>
          </cell>
          <cell r="K589" t="e">
            <v>#N/A</v>
          </cell>
          <cell r="L589" t="e">
            <v>#N/A</v>
          </cell>
          <cell r="M589" t="e">
            <v>#N/A</v>
          </cell>
          <cell r="N589" t="e">
            <v>#N/A</v>
          </cell>
          <cell r="O589" t="e">
            <v>#N/A</v>
          </cell>
          <cell r="P589" t="str">
            <v/>
          </cell>
          <cell r="Q589" t="str">
            <v/>
          </cell>
          <cell r="R589" t="e">
            <v>#N/A</v>
          </cell>
        </row>
        <row r="590">
          <cell r="A590">
            <v>41008</v>
          </cell>
          <cell r="B590">
            <v>41008</v>
          </cell>
          <cell r="C590" t="str">
            <v>Future</v>
          </cell>
          <cell r="D590" t="e">
            <v>#N/A</v>
          </cell>
          <cell r="E590">
            <v>56.20196575494068</v>
          </cell>
          <cell r="F590">
            <v>65.391689075098881</v>
          </cell>
          <cell r="G590">
            <v>61.10315152569175</v>
          </cell>
          <cell r="H590">
            <v>61.10315152569175</v>
          </cell>
          <cell r="I590" t="e">
            <v>#N/A</v>
          </cell>
          <cell r="J590" t="e">
            <v>#N/A</v>
          </cell>
          <cell r="K590" t="e">
            <v>#N/A</v>
          </cell>
          <cell r="L590" t="e">
            <v>#N/A</v>
          </cell>
          <cell r="M590" t="e">
            <v>#N/A</v>
          </cell>
          <cell r="N590" t="e">
            <v>#N/A</v>
          </cell>
          <cell r="O590" t="e">
            <v>#N/A</v>
          </cell>
          <cell r="P590" t="str">
            <v/>
          </cell>
          <cell r="Q590" t="str">
            <v/>
          </cell>
          <cell r="R590" t="e">
            <v>#N/A</v>
          </cell>
        </row>
        <row r="591">
          <cell r="A591">
            <v>41009</v>
          </cell>
          <cell r="B591">
            <v>41009</v>
          </cell>
          <cell r="C591" t="str">
            <v>Future</v>
          </cell>
          <cell r="D591" t="e">
            <v>#N/A</v>
          </cell>
          <cell r="E591">
            <v>55.948803747035541</v>
          </cell>
          <cell r="F591">
            <v>65.434969754940781</v>
          </cell>
          <cell r="G591">
            <v>61.008092284585032</v>
          </cell>
          <cell r="H591">
            <v>61.008092284585032</v>
          </cell>
          <cell r="I591" t="e">
            <v>#N/A</v>
          </cell>
          <cell r="J591" t="e">
            <v>#N/A</v>
          </cell>
          <cell r="K591" t="e">
            <v>#N/A</v>
          </cell>
          <cell r="L591" t="e">
            <v>#N/A</v>
          </cell>
          <cell r="M591" t="e">
            <v>#N/A</v>
          </cell>
          <cell r="N591" t="e">
            <v>#N/A</v>
          </cell>
          <cell r="O591" t="e">
            <v>#N/A</v>
          </cell>
          <cell r="P591" t="str">
            <v/>
          </cell>
          <cell r="Q591" t="str">
            <v/>
          </cell>
          <cell r="R591" t="e">
            <v>#N/A</v>
          </cell>
        </row>
        <row r="592">
          <cell r="A592">
            <v>41010</v>
          </cell>
          <cell r="B592">
            <v>41010</v>
          </cell>
          <cell r="C592" t="str">
            <v>Future</v>
          </cell>
          <cell r="D592" t="e">
            <v>#N/A</v>
          </cell>
          <cell r="E592">
            <v>55.695641739130402</v>
          </cell>
          <cell r="F592">
            <v>65.47825043478268</v>
          </cell>
          <cell r="G592">
            <v>60.913033043478315</v>
          </cell>
          <cell r="H592">
            <v>60.913033043478315</v>
          </cell>
          <cell r="I592" t="e">
            <v>#N/A</v>
          </cell>
          <cell r="J592" t="e">
            <v>#N/A</v>
          </cell>
          <cell r="K592" t="e">
            <v>#N/A</v>
          </cell>
          <cell r="L592" t="e">
            <v>#N/A</v>
          </cell>
          <cell r="M592" t="e">
            <v>#N/A</v>
          </cell>
          <cell r="N592" t="e">
            <v>#N/A</v>
          </cell>
          <cell r="O592" t="e">
            <v>#N/A</v>
          </cell>
          <cell r="P592" t="str">
            <v/>
          </cell>
          <cell r="Q592" t="str">
            <v/>
          </cell>
          <cell r="R592" t="e">
            <v>#N/A</v>
          </cell>
        </row>
        <row r="593">
          <cell r="A593">
            <v>41011</v>
          </cell>
          <cell r="B593">
            <v>41011</v>
          </cell>
          <cell r="C593" t="str">
            <v>Future</v>
          </cell>
          <cell r="D593" t="e">
            <v>#N/A</v>
          </cell>
          <cell r="E593">
            <v>55.442479731225262</v>
          </cell>
          <cell r="F593">
            <v>65.52153111462458</v>
          </cell>
          <cell r="G593">
            <v>60.817973802371597</v>
          </cell>
          <cell r="H593">
            <v>60.817973802371597</v>
          </cell>
          <cell r="I593" t="e">
            <v>#N/A</v>
          </cell>
          <cell r="J593" t="e">
            <v>#N/A</v>
          </cell>
          <cell r="K593" t="e">
            <v>#N/A</v>
          </cell>
          <cell r="L593" t="e">
            <v>#N/A</v>
          </cell>
          <cell r="M593" t="e">
            <v>#N/A</v>
          </cell>
          <cell r="N593" t="e">
            <v>#N/A</v>
          </cell>
          <cell r="O593" t="e">
            <v>#N/A</v>
          </cell>
          <cell r="P593" t="str">
            <v/>
          </cell>
          <cell r="Q593" t="str">
            <v/>
          </cell>
          <cell r="R593" t="e">
            <v>#N/A</v>
          </cell>
        </row>
        <row r="594">
          <cell r="A594">
            <v>41012</v>
          </cell>
          <cell r="B594">
            <v>41012</v>
          </cell>
          <cell r="C594" t="str">
            <v>Future</v>
          </cell>
          <cell r="D594" t="e">
            <v>#N/A</v>
          </cell>
          <cell r="E594">
            <v>55.189317723320123</v>
          </cell>
          <cell r="F594">
            <v>65.564811794466479</v>
          </cell>
          <cell r="G594">
            <v>60.722914561264879</v>
          </cell>
          <cell r="H594">
            <v>60.722914561264879</v>
          </cell>
          <cell r="I594" t="e">
            <v>#N/A</v>
          </cell>
          <cell r="J594" t="e">
            <v>#N/A</v>
          </cell>
          <cell r="K594" t="e">
            <v>#N/A</v>
          </cell>
          <cell r="L594" t="e">
            <v>#N/A</v>
          </cell>
          <cell r="M594" t="e">
            <v>#N/A</v>
          </cell>
          <cell r="N594" t="e">
            <v>#N/A</v>
          </cell>
          <cell r="O594" t="e">
            <v>#N/A</v>
          </cell>
          <cell r="P594" t="str">
            <v/>
          </cell>
          <cell r="Q594" t="str">
            <v/>
          </cell>
          <cell r="R594" t="e">
            <v>#N/A</v>
          </cell>
        </row>
        <row r="595">
          <cell r="A595">
            <v>41015</v>
          </cell>
          <cell r="B595">
            <v>41015</v>
          </cell>
          <cell r="C595" t="str">
            <v>Future</v>
          </cell>
          <cell r="D595" t="e">
            <v>#N/A</v>
          </cell>
          <cell r="E595">
            <v>54.936155715414984</v>
          </cell>
          <cell r="F595">
            <v>65.608092474308378</v>
          </cell>
          <cell r="G595">
            <v>60.627855320158162</v>
          </cell>
          <cell r="H595">
            <v>60.627855320158162</v>
          </cell>
          <cell r="I595" t="e">
            <v>#N/A</v>
          </cell>
          <cell r="J595" t="e">
            <v>#N/A</v>
          </cell>
          <cell r="K595" t="e">
            <v>#N/A</v>
          </cell>
          <cell r="L595" t="e">
            <v>#N/A</v>
          </cell>
          <cell r="M595" t="e">
            <v>#N/A</v>
          </cell>
          <cell r="N595" t="e">
            <v>#N/A</v>
          </cell>
          <cell r="O595" t="e">
            <v>#N/A</v>
          </cell>
          <cell r="P595" t="str">
            <v/>
          </cell>
          <cell r="Q595" t="str">
            <v/>
          </cell>
          <cell r="R595" t="e">
            <v>#N/A</v>
          </cell>
        </row>
        <row r="596">
          <cell r="A596">
            <v>41016</v>
          </cell>
          <cell r="B596">
            <v>41016</v>
          </cell>
          <cell r="C596" t="str">
            <v>Future</v>
          </cell>
          <cell r="D596" t="e">
            <v>#N/A</v>
          </cell>
          <cell r="E596">
            <v>54.682993707509844</v>
          </cell>
          <cell r="F596">
            <v>65.651373154150278</v>
          </cell>
          <cell r="G596">
            <v>60.532796079051444</v>
          </cell>
          <cell r="H596">
            <v>60.532796079051444</v>
          </cell>
          <cell r="I596" t="e">
            <v>#N/A</v>
          </cell>
          <cell r="J596" t="e">
            <v>#N/A</v>
          </cell>
          <cell r="K596" t="e">
            <v>#N/A</v>
          </cell>
          <cell r="L596" t="e">
            <v>#N/A</v>
          </cell>
          <cell r="M596" t="e">
            <v>#N/A</v>
          </cell>
          <cell r="N596" t="e">
            <v>#N/A</v>
          </cell>
          <cell r="O596" t="e">
            <v>#N/A</v>
          </cell>
          <cell r="P596" t="str">
            <v/>
          </cell>
          <cell r="Q596" t="str">
            <v/>
          </cell>
          <cell r="R596" t="e">
            <v>#N/A</v>
          </cell>
        </row>
        <row r="597">
          <cell r="A597">
            <v>41017</v>
          </cell>
          <cell r="B597">
            <v>41017</v>
          </cell>
          <cell r="C597" t="str">
            <v>Future</v>
          </cell>
          <cell r="D597" t="e">
            <v>#N/A</v>
          </cell>
          <cell r="E597">
            <v>54.429831699604705</v>
          </cell>
          <cell r="F597">
            <v>65.694653833992177</v>
          </cell>
          <cell r="G597">
            <v>60.437736837944726</v>
          </cell>
          <cell r="H597">
            <v>60.437736837944726</v>
          </cell>
          <cell r="I597" t="e">
            <v>#N/A</v>
          </cell>
          <cell r="J597" t="e">
            <v>#N/A</v>
          </cell>
          <cell r="K597" t="e">
            <v>#N/A</v>
          </cell>
          <cell r="L597" t="e">
            <v>#N/A</v>
          </cell>
          <cell r="M597" t="e">
            <v>#N/A</v>
          </cell>
          <cell r="N597" t="e">
            <v>#N/A</v>
          </cell>
          <cell r="O597" t="e">
            <v>#N/A</v>
          </cell>
          <cell r="P597" t="str">
            <v/>
          </cell>
          <cell r="Q597" t="str">
            <v/>
          </cell>
          <cell r="R597" t="e">
            <v>#N/A</v>
          </cell>
        </row>
        <row r="598">
          <cell r="A598">
            <v>41018</v>
          </cell>
          <cell r="B598">
            <v>41018</v>
          </cell>
          <cell r="C598" t="str">
            <v>Future</v>
          </cell>
          <cell r="D598" t="e">
            <v>#N/A</v>
          </cell>
          <cell r="E598">
            <v>54.176669691699566</v>
          </cell>
          <cell r="F598">
            <v>65.737934513834077</v>
          </cell>
          <cell r="G598">
            <v>60.342677596838008</v>
          </cell>
          <cell r="H598">
            <v>60.342677596838008</v>
          </cell>
          <cell r="I598" t="e">
            <v>#N/A</v>
          </cell>
          <cell r="J598" t="e">
            <v>#N/A</v>
          </cell>
          <cell r="K598" t="e">
            <v>#N/A</v>
          </cell>
          <cell r="L598" t="e">
            <v>#N/A</v>
          </cell>
          <cell r="M598" t="e">
            <v>#N/A</v>
          </cell>
          <cell r="N598" t="e">
            <v>#N/A</v>
          </cell>
          <cell r="O598" t="e">
            <v>#N/A</v>
          </cell>
          <cell r="P598" t="str">
            <v/>
          </cell>
          <cell r="Q598" t="str">
            <v/>
          </cell>
          <cell r="R598" t="e">
            <v>#N/A</v>
          </cell>
        </row>
        <row r="599">
          <cell r="A599">
            <v>41019</v>
          </cell>
          <cell r="B599">
            <v>41019</v>
          </cell>
          <cell r="C599" t="str">
            <v>Future</v>
          </cell>
          <cell r="D599" t="e">
            <v>#N/A</v>
          </cell>
          <cell r="E599">
            <v>53.923507683794426</v>
          </cell>
          <cell r="F599">
            <v>65.781215193675976</v>
          </cell>
          <cell r="G599">
            <v>60.247618355731291</v>
          </cell>
          <cell r="H599">
            <v>60.247618355731291</v>
          </cell>
          <cell r="I599" t="e">
            <v>#N/A</v>
          </cell>
          <cell r="J599" t="e">
            <v>#N/A</v>
          </cell>
          <cell r="K599" t="e">
            <v>#N/A</v>
          </cell>
          <cell r="L599" t="e">
            <v>#N/A</v>
          </cell>
          <cell r="M599" t="e">
            <v>#N/A</v>
          </cell>
          <cell r="N599" t="e">
            <v>#N/A</v>
          </cell>
          <cell r="O599" t="e">
            <v>#N/A</v>
          </cell>
          <cell r="P599" t="str">
            <v/>
          </cell>
          <cell r="Q599" t="str">
            <v/>
          </cell>
          <cell r="R599" t="e">
            <v>#N/A</v>
          </cell>
        </row>
        <row r="600">
          <cell r="A600">
            <v>41022</v>
          </cell>
          <cell r="B600">
            <v>41022</v>
          </cell>
          <cell r="C600" t="str">
            <v>Future</v>
          </cell>
          <cell r="D600" t="e">
            <v>#N/A</v>
          </cell>
          <cell r="E600">
            <v>53.670345675889287</v>
          </cell>
          <cell r="F600">
            <v>65.824495873517876</v>
          </cell>
          <cell r="G600">
            <v>60.152559114624573</v>
          </cell>
          <cell r="H600">
            <v>60.152559114624573</v>
          </cell>
          <cell r="I600" t="e">
            <v>#N/A</v>
          </cell>
          <cell r="J600" t="e">
            <v>#N/A</v>
          </cell>
          <cell r="K600" t="e">
            <v>#N/A</v>
          </cell>
          <cell r="L600" t="e">
            <v>#N/A</v>
          </cell>
          <cell r="M600" t="e">
            <v>#N/A</v>
          </cell>
          <cell r="N600" t="e">
            <v>#N/A</v>
          </cell>
          <cell r="O600" t="e">
            <v>#N/A</v>
          </cell>
          <cell r="P600" t="str">
            <v/>
          </cell>
          <cell r="Q600" t="str">
            <v/>
          </cell>
          <cell r="R600" t="e">
            <v>#N/A</v>
          </cell>
        </row>
        <row r="601">
          <cell r="A601">
            <v>41023</v>
          </cell>
          <cell r="B601">
            <v>41023</v>
          </cell>
          <cell r="C601" t="str">
            <v>Future</v>
          </cell>
          <cell r="D601" t="e">
            <v>#N/A</v>
          </cell>
          <cell r="E601">
            <v>53.417183667984148</v>
          </cell>
          <cell r="F601">
            <v>65.867776553359775</v>
          </cell>
          <cell r="G601">
            <v>60.057499873517855</v>
          </cell>
          <cell r="H601">
            <v>60.057499873517855</v>
          </cell>
          <cell r="I601" t="e">
            <v>#N/A</v>
          </cell>
          <cell r="J601" t="e">
            <v>#N/A</v>
          </cell>
          <cell r="K601" t="e">
            <v>#N/A</v>
          </cell>
          <cell r="L601" t="e">
            <v>#N/A</v>
          </cell>
          <cell r="M601" t="e">
            <v>#N/A</v>
          </cell>
          <cell r="N601" t="e">
            <v>#N/A</v>
          </cell>
          <cell r="O601" t="e">
            <v>#N/A</v>
          </cell>
          <cell r="P601" t="str">
            <v/>
          </cell>
          <cell r="Q601" t="str">
            <v/>
          </cell>
          <cell r="R601" t="e">
            <v>#N/A</v>
          </cell>
        </row>
        <row r="602">
          <cell r="A602">
            <v>41024</v>
          </cell>
          <cell r="B602">
            <v>41024</v>
          </cell>
          <cell r="C602" t="str">
            <v>Future</v>
          </cell>
          <cell r="D602" t="e">
            <v>#N/A</v>
          </cell>
          <cell r="E602">
            <v>53.164021660079008</v>
          </cell>
          <cell r="F602">
            <v>65.911057233201674</v>
          </cell>
          <cell r="G602">
            <v>59.962440632411138</v>
          </cell>
          <cell r="H602">
            <v>59.962440632411138</v>
          </cell>
          <cell r="I602" t="e">
            <v>#N/A</v>
          </cell>
          <cell r="J602" t="e">
            <v>#N/A</v>
          </cell>
          <cell r="K602" t="e">
            <v>#N/A</v>
          </cell>
          <cell r="L602" t="e">
            <v>#N/A</v>
          </cell>
          <cell r="M602" t="e">
            <v>#N/A</v>
          </cell>
          <cell r="N602" t="e">
            <v>#N/A</v>
          </cell>
          <cell r="O602" t="e">
            <v>#N/A</v>
          </cell>
          <cell r="P602" t="str">
            <v/>
          </cell>
          <cell r="Q602" t="str">
            <v/>
          </cell>
          <cell r="R602" t="e">
            <v>#N/A</v>
          </cell>
        </row>
        <row r="603">
          <cell r="A603">
            <v>41025</v>
          </cell>
          <cell r="B603">
            <v>41025</v>
          </cell>
          <cell r="C603" t="str">
            <v>Future</v>
          </cell>
          <cell r="D603" t="e">
            <v>#N/A</v>
          </cell>
          <cell r="E603">
            <v>52.910859652173869</v>
          </cell>
          <cell r="F603">
            <v>65.954337913043574</v>
          </cell>
          <cell r="G603">
            <v>59.86738139130442</v>
          </cell>
          <cell r="H603">
            <v>59.86738139130442</v>
          </cell>
          <cell r="I603" t="e">
            <v>#N/A</v>
          </cell>
          <cell r="J603" t="e">
            <v>#N/A</v>
          </cell>
          <cell r="K603" t="e">
            <v>#N/A</v>
          </cell>
          <cell r="L603" t="e">
            <v>#N/A</v>
          </cell>
          <cell r="M603" t="e">
            <v>#N/A</v>
          </cell>
          <cell r="N603" t="e">
            <v>#N/A</v>
          </cell>
          <cell r="O603" t="e">
            <v>#N/A</v>
          </cell>
          <cell r="P603" t="str">
            <v/>
          </cell>
          <cell r="Q603" t="str">
            <v/>
          </cell>
          <cell r="R603" t="e">
            <v>#N/A</v>
          </cell>
        </row>
        <row r="604">
          <cell r="A604">
            <v>41026</v>
          </cell>
          <cell r="B604">
            <v>41026</v>
          </cell>
          <cell r="C604" t="str">
            <v>Future</v>
          </cell>
          <cell r="D604" t="e">
            <v>#N/A</v>
          </cell>
          <cell r="E604">
            <v>52.65769764426873</v>
          </cell>
          <cell r="F604">
            <v>65.997618592885473</v>
          </cell>
          <cell r="G604">
            <v>59.772322150197702</v>
          </cell>
          <cell r="H604">
            <v>59.772322150197702</v>
          </cell>
          <cell r="I604" t="e">
            <v>#N/A</v>
          </cell>
          <cell r="J604" t="e">
            <v>#N/A</v>
          </cell>
          <cell r="K604" t="e">
            <v>#N/A</v>
          </cell>
          <cell r="L604" t="e">
            <v>#N/A</v>
          </cell>
          <cell r="M604" t="e">
            <v>#N/A</v>
          </cell>
          <cell r="N604" t="e">
            <v>#N/A</v>
          </cell>
          <cell r="O604" t="e">
            <v>#N/A</v>
          </cell>
          <cell r="P604" t="str">
            <v/>
          </cell>
          <cell r="Q604" t="str">
            <v/>
          </cell>
          <cell r="R604" t="e">
            <v>#N/A</v>
          </cell>
        </row>
        <row r="605">
          <cell r="A605">
            <v>41029</v>
          </cell>
          <cell r="B605">
            <v>41029</v>
          </cell>
          <cell r="C605" t="str">
            <v>Future</v>
          </cell>
          <cell r="D605" t="e">
            <v>#N/A</v>
          </cell>
          <cell r="E605">
            <v>52.40453563636359</v>
          </cell>
          <cell r="F605">
            <v>66.040899272727373</v>
          </cell>
          <cell r="G605">
            <v>59.677262909090985</v>
          </cell>
          <cell r="H605">
            <v>59.677262909090985</v>
          </cell>
          <cell r="I605" t="e">
            <v>#N/A</v>
          </cell>
          <cell r="J605" t="e">
            <v>#N/A</v>
          </cell>
          <cell r="K605" t="e">
            <v>#N/A</v>
          </cell>
          <cell r="L605" t="e">
            <v>#N/A</v>
          </cell>
          <cell r="M605" t="e">
            <v>#N/A</v>
          </cell>
          <cell r="N605" t="e">
            <v>#N/A</v>
          </cell>
          <cell r="O605" t="e">
            <v>#N/A</v>
          </cell>
          <cell r="P605" t="str">
            <v/>
          </cell>
          <cell r="Q605" t="str">
            <v/>
          </cell>
          <cell r="R605" t="e">
            <v>#N/A</v>
          </cell>
        </row>
        <row r="606">
          <cell r="A606">
            <v>41030</v>
          </cell>
          <cell r="B606">
            <v>41030</v>
          </cell>
          <cell r="C606" t="str">
            <v>Future</v>
          </cell>
          <cell r="D606" t="e">
            <v>#N/A</v>
          </cell>
          <cell r="E606">
            <v>52.151373628458451</v>
          </cell>
          <cell r="F606">
            <v>66.084179952569272</v>
          </cell>
          <cell r="G606">
            <v>59.582203667984267</v>
          </cell>
          <cell r="H606">
            <v>59.582203667984267</v>
          </cell>
          <cell r="I606" t="e">
            <v>#N/A</v>
          </cell>
          <cell r="J606" t="e">
            <v>#N/A</v>
          </cell>
          <cell r="K606" t="e">
            <v>#N/A</v>
          </cell>
          <cell r="L606" t="e">
            <v>#N/A</v>
          </cell>
          <cell r="M606" t="e">
            <v>#N/A</v>
          </cell>
          <cell r="N606" t="e">
            <v>#N/A</v>
          </cell>
          <cell r="O606" t="e">
            <v>#N/A</v>
          </cell>
          <cell r="P606" t="str">
            <v/>
          </cell>
          <cell r="Q606" t="str">
            <v/>
          </cell>
          <cell r="R606" t="e">
            <v>#N/A</v>
          </cell>
        </row>
        <row r="607">
          <cell r="A607">
            <v>41031</v>
          </cell>
          <cell r="B607">
            <v>41031</v>
          </cell>
          <cell r="C607" t="str">
            <v>Future</v>
          </cell>
          <cell r="D607" t="e">
            <v>#N/A</v>
          </cell>
          <cell r="E607">
            <v>51.898211620553312</v>
          </cell>
          <cell r="F607">
            <v>66.127460632411172</v>
          </cell>
          <cell r="G607">
            <v>59.487144426877549</v>
          </cell>
          <cell r="H607">
            <v>59.487144426877549</v>
          </cell>
          <cell r="I607" t="e">
            <v>#N/A</v>
          </cell>
          <cell r="J607" t="e">
            <v>#N/A</v>
          </cell>
          <cell r="K607" t="e">
            <v>#N/A</v>
          </cell>
          <cell r="L607" t="e">
            <v>#N/A</v>
          </cell>
          <cell r="M607" t="e">
            <v>#N/A</v>
          </cell>
          <cell r="N607" t="e">
            <v>#N/A</v>
          </cell>
          <cell r="O607" t="e">
            <v>#N/A</v>
          </cell>
          <cell r="P607" t="str">
            <v/>
          </cell>
          <cell r="Q607" t="str">
            <v/>
          </cell>
          <cell r="R607" t="e">
            <v>#N/A</v>
          </cell>
        </row>
        <row r="608">
          <cell r="A608">
            <v>41032</v>
          </cell>
          <cell r="B608">
            <v>41032</v>
          </cell>
          <cell r="C608" t="str">
            <v>Future</v>
          </cell>
          <cell r="D608" t="e">
            <v>#N/A</v>
          </cell>
          <cell r="E608">
            <v>51.645049612648172</v>
          </cell>
          <cell r="F608">
            <v>66.170741312253071</v>
          </cell>
          <cell r="G608">
            <v>59.392085185770831</v>
          </cell>
          <cell r="H608">
            <v>59.392085185770831</v>
          </cell>
          <cell r="I608" t="e">
            <v>#N/A</v>
          </cell>
          <cell r="J608" t="e">
            <v>#N/A</v>
          </cell>
          <cell r="K608" t="e">
            <v>#N/A</v>
          </cell>
          <cell r="L608" t="e">
            <v>#N/A</v>
          </cell>
          <cell r="M608" t="e">
            <v>#N/A</v>
          </cell>
          <cell r="N608" t="e">
            <v>#N/A</v>
          </cell>
          <cell r="O608" t="e">
            <v>#N/A</v>
          </cell>
          <cell r="P608" t="str">
            <v/>
          </cell>
          <cell r="Q608" t="str">
            <v/>
          </cell>
          <cell r="R608" t="e">
            <v>#N/A</v>
          </cell>
        </row>
        <row r="609">
          <cell r="A609">
            <v>41033</v>
          </cell>
          <cell r="B609">
            <v>41033</v>
          </cell>
          <cell r="C609" t="str">
            <v>Future</v>
          </cell>
          <cell r="D609" t="e">
            <v>#N/A</v>
          </cell>
          <cell r="E609">
            <v>51.391887604743033</v>
          </cell>
          <cell r="F609">
            <v>66.21402199209497</v>
          </cell>
          <cell r="G609">
            <v>59.297025944664114</v>
          </cell>
          <cell r="H609">
            <v>59.297025944664114</v>
          </cell>
          <cell r="I609" t="e">
            <v>#N/A</v>
          </cell>
          <cell r="J609" t="e">
            <v>#N/A</v>
          </cell>
          <cell r="K609" t="e">
            <v>#N/A</v>
          </cell>
          <cell r="L609" t="e">
            <v>#N/A</v>
          </cell>
          <cell r="M609" t="e">
            <v>#N/A</v>
          </cell>
          <cell r="N609" t="e">
            <v>#N/A</v>
          </cell>
          <cell r="O609" t="e">
            <v>#N/A</v>
          </cell>
          <cell r="P609" t="str">
            <v/>
          </cell>
          <cell r="Q609" t="str">
            <v/>
          </cell>
          <cell r="R609" t="e">
            <v>#N/A</v>
          </cell>
        </row>
        <row r="610">
          <cell r="A610">
            <v>41036</v>
          </cell>
          <cell r="B610">
            <v>41036</v>
          </cell>
          <cell r="C610" t="str">
            <v>Future</v>
          </cell>
          <cell r="D610" t="e">
            <v>#N/A</v>
          </cell>
          <cell r="E610">
            <v>51.138725596837894</v>
          </cell>
          <cell r="F610">
            <v>66.25730267193687</v>
          </cell>
          <cell r="G610">
            <v>59.201966703557396</v>
          </cell>
          <cell r="H610">
            <v>59.201966703557396</v>
          </cell>
          <cell r="I610" t="e">
            <v>#N/A</v>
          </cell>
          <cell r="J610" t="e">
            <v>#N/A</v>
          </cell>
          <cell r="K610" t="e">
            <v>#N/A</v>
          </cell>
          <cell r="L610" t="e">
            <v>#N/A</v>
          </cell>
          <cell r="M610" t="e">
            <v>#N/A</v>
          </cell>
          <cell r="N610" t="e">
            <v>#N/A</v>
          </cell>
          <cell r="O610" t="e">
            <v>#N/A</v>
          </cell>
          <cell r="P610" t="str">
            <v/>
          </cell>
          <cell r="Q610" t="str">
            <v/>
          </cell>
          <cell r="R610" t="e">
            <v>#N/A</v>
          </cell>
        </row>
        <row r="611">
          <cell r="A611">
            <v>41037</v>
          </cell>
          <cell r="B611">
            <v>41037</v>
          </cell>
          <cell r="C611" t="str">
            <v>Future</v>
          </cell>
          <cell r="D611" t="e">
            <v>#N/A</v>
          </cell>
          <cell r="E611">
            <v>50.885563588932754</v>
          </cell>
          <cell r="F611">
            <v>66.300583351778769</v>
          </cell>
          <cell r="G611">
            <v>59.106907462450678</v>
          </cell>
          <cell r="H611">
            <v>59.106907462450678</v>
          </cell>
          <cell r="I611" t="e">
            <v>#N/A</v>
          </cell>
          <cell r="J611" t="e">
            <v>#N/A</v>
          </cell>
          <cell r="K611" t="e">
            <v>#N/A</v>
          </cell>
          <cell r="L611" t="e">
            <v>#N/A</v>
          </cell>
          <cell r="M611" t="e">
            <v>#N/A</v>
          </cell>
          <cell r="N611" t="e">
            <v>#N/A</v>
          </cell>
          <cell r="O611" t="e">
            <v>#N/A</v>
          </cell>
          <cell r="P611" t="str">
            <v/>
          </cell>
          <cell r="Q611" t="str">
            <v/>
          </cell>
          <cell r="R611" t="e">
            <v>#N/A</v>
          </cell>
        </row>
        <row r="612">
          <cell r="A612">
            <v>41038</v>
          </cell>
          <cell r="B612">
            <v>41038</v>
          </cell>
          <cell r="C612" t="str">
            <v>Future</v>
          </cell>
          <cell r="D612" t="e">
            <v>#N/A</v>
          </cell>
          <cell r="E612">
            <v>50.632401581027615</v>
          </cell>
          <cell r="F612">
            <v>66.343864031620669</v>
          </cell>
          <cell r="G612">
            <v>59.011848221343961</v>
          </cell>
          <cell r="H612">
            <v>59.011848221343961</v>
          </cell>
          <cell r="I612" t="e">
            <v>#N/A</v>
          </cell>
          <cell r="J612" t="e">
            <v>#N/A</v>
          </cell>
          <cell r="K612" t="e">
            <v>#N/A</v>
          </cell>
          <cell r="L612" t="e">
            <v>#N/A</v>
          </cell>
          <cell r="M612" t="e">
            <v>#N/A</v>
          </cell>
          <cell r="N612" t="e">
            <v>#N/A</v>
          </cell>
          <cell r="O612" t="e">
            <v>#N/A</v>
          </cell>
          <cell r="P612" t="str">
            <v/>
          </cell>
          <cell r="Q612" t="str">
            <v/>
          </cell>
          <cell r="R612" t="e">
            <v>#N/A</v>
          </cell>
        </row>
        <row r="613">
          <cell r="A613">
            <v>41039</v>
          </cell>
          <cell r="B613">
            <v>41039</v>
          </cell>
          <cell r="C613" t="str">
            <v>Future</v>
          </cell>
          <cell r="D613" t="e">
            <v>#N/A</v>
          </cell>
          <cell r="E613">
            <v>50.379239573122476</v>
          </cell>
          <cell r="F613">
            <v>66.387144711462568</v>
          </cell>
          <cell r="G613">
            <v>58.916788980237243</v>
          </cell>
          <cell r="H613">
            <v>58.916788980237243</v>
          </cell>
          <cell r="I613" t="e">
            <v>#N/A</v>
          </cell>
          <cell r="J613" t="e">
            <v>#N/A</v>
          </cell>
          <cell r="K613" t="e">
            <v>#N/A</v>
          </cell>
          <cell r="L613" t="e">
            <v>#N/A</v>
          </cell>
          <cell r="M613" t="e">
            <v>#N/A</v>
          </cell>
          <cell r="N613" t="e">
            <v>#N/A</v>
          </cell>
          <cell r="O613" t="e">
            <v>#N/A</v>
          </cell>
          <cell r="P613" t="str">
            <v/>
          </cell>
          <cell r="Q613" t="str">
            <v/>
          </cell>
          <cell r="R613" t="e">
            <v>#N/A</v>
          </cell>
        </row>
        <row r="614">
          <cell r="A614">
            <v>41040</v>
          </cell>
          <cell r="B614">
            <v>41040</v>
          </cell>
          <cell r="C614" t="str">
            <v>Future</v>
          </cell>
          <cell r="D614" t="e">
            <v>#N/A</v>
          </cell>
          <cell r="E614">
            <v>50.126077565217336</v>
          </cell>
          <cell r="F614">
            <v>66.430425391304468</v>
          </cell>
          <cell r="G614">
            <v>58.821729739130525</v>
          </cell>
          <cell r="H614">
            <v>58.821729739130525</v>
          </cell>
          <cell r="I614" t="e">
            <v>#N/A</v>
          </cell>
          <cell r="J614" t="e">
            <v>#N/A</v>
          </cell>
          <cell r="K614" t="e">
            <v>#N/A</v>
          </cell>
          <cell r="L614" t="e">
            <v>#N/A</v>
          </cell>
          <cell r="M614" t="e">
            <v>#N/A</v>
          </cell>
          <cell r="N614" t="e">
            <v>#N/A</v>
          </cell>
          <cell r="O614" t="e">
            <v>#N/A</v>
          </cell>
          <cell r="P614" t="str">
            <v/>
          </cell>
          <cell r="Q614" t="str">
            <v/>
          </cell>
          <cell r="R614" t="e">
            <v>#N/A</v>
          </cell>
        </row>
        <row r="615">
          <cell r="A615">
            <v>41043</v>
          </cell>
          <cell r="B615">
            <v>41043</v>
          </cell>
          <cell r="C615" t="str">
            <v>Future</v>
          </cell>
          <cell r="D615" t="e">
            <v>#N/A</v>
          </cell>
          <cell r="E615">
            <v>49.872915557312197</v>
          </cell>
          <cell r="F615">
            <v>66.473706071146367</v>
          </cell>
          <cell r="G615">
            <v>58.726670498023807</v>
          </cell>
          <cell r="H615">
            <v>58.726670498023807</v>
          </cell>
          <cell r="I615" t="e">
            <v>#N/A</v>
          </cell>
          <cell r="J615" t="e">
            <v>#N/A</v>
          </cell>
          <cell r="K615" t="e">
            <v>#N/A</v>
          </cell>
          <cell r="L615" t="e">
            <v>#N/A</v>
          </cell>
          <cell r="M615" t="e">
            <v>#N/A</v>
          </cell>
          <cell r="N615" t="e">
            <v>#N/A</v>
          </cell>
          <cell r="O615" t="e">
            <v>#N/A</v>
          </cell>
          <cell r="P615" t="str">
            <v/>
          </cell>
          <cell r="Q615" t="str">
            <v/>
          </cell>
          <cell r="R615" t="e">
            <v>#N/A</v>
          </cell>
        </row>
        <row r="616">
          <cell r="A616">
            <v>41044</v>
          </cell>
          <cell r="B616">
            <v>41044</v>
          </cell>
          <cell r="C616" t="str">
            <v>Future</v>
          </cell>
          <cell r="D616" t="e">
            <v>#N/A</v>
          </cell>
          <cell r="E616">
            <v>49.619753549407058</v>
          </cell>
          <cell r="F616">
            <v>66.516986750988266</v>
          </cell>
          <cell r="G616">
            <v>58.63161125691709</v>
          </cell>
          <cell r="H616">
            <v>58.63161125691709</v>
          </cell>
          <cell r="I616" t="e">
            <v>#N/A</v>
          </cell>
          <cell r="J616" t="e">
            <v>#N/A</v>
          </cell>
          <cell r="K616" t="e">
            <v>#N/A</v>
          </cell>
          <cell r="L616" t="e">
            <v>#N/A</v>
          </cell>
          <cell r="M616" t="e">
            <v>#N/A</v>
          </cell>
          <cell r="N616" t="e">
            <v>#N/A</v>
          </cell>
          <cell r="O616" t="e">
            <v>#N/A</v>
          </cell>
          <cell r="P616" t="str">
            <v/>
          </cell>
          <cell r="Q616" t="str">
            <v/>
          </cell>
          <cell r="R616" t="e">
            <v>#N/A</v>
          </cell>
        </row>
        <row r="617">
          <cell r="A617">
            <v>41045</v>
          </cell>
          <cell r="B617">
            <v>41045</v>
          </cell>
          <cell r="C617" t="str">
            <v>Future</v>
          </cell>
          <cell r="D617" t="e">
            <v>#N/A</v>
          </cell>
          <cell r="E617">
            <v>49.366591541501919</v>
          </cell>
          <cell r="F617">
            <v>66.560267430830166</v>
          </cell>
          <cell r="G617">
            <v>58.536552015810372</v>
          </cell>
          <cell r="H617">
            <v>58.536552015810372</v>
          </cell>
          <cell r="I617" t="e">
            <v>#N/A</v>
          </cell>
          <cell r="J617" t="e">
            <v>#N/A</v>
          </cell>
          <cell r="K617" t="e">
            <v>#N/A</v>
          </cell>
          <cell r="L617" t="e">
            <v>#N/A</v>
          </cell>
          <cell r="M617" t="e">
            <v>#N/A</v>
          </cell>
          <cell r="N617" t="e">
            <v>#N/A</v>
          </cell>
          <cell r="O617" t="e">
            <v>#N/A</v>
          </cell>
          <cell r="P617" t="str">
            <v/>
          </cell>
          <cell r="Q617" t="str">
            <v/>
          </cell>
          <cell r="R617" t="e">
            <v>#N/A</v>
          </cell>
        </row>
        <row r="618">
          <cell r="A618">
            <v>41046</v>
          </cell>
          <cell r="B618">
            <v>41046</v>
          </cell>
          <cell r="C618" t="str">
            <v>Future</v>
          </cell>
          <cell r="D618" t="e">
            <v>#N/A</v>
          </cell>
          <cell r="E618">
            <v>49.113429533596779</v>
          </cell>
          <cell r="F618">
            <v>66.603548110672065</v>
          </cell>
          <cell r="G618">
            <v>58.441492774703654</v>
          </cell>
          <cell r="H618">
            <v>58.441492774703654</v>
          </cell>
          <cell r="I618" t="e">
            <v>#N/A</v>
          </cell>
          <cell r="J618" t="e">
            <v>#N/A</v>
          </cell>
          <cell r="K618" t="e">
            <v>#N/A</v>
          </cell>
          <cell r="L618" t="e">
            <v>#N/A</v>
          </cell>
          <cell r="M618" t="e">
            <v>#N/A</v>
          </cell>
          <cell r="N618" t="e">
            <v>#N/A</v>
          </cell>
          <cell r="O618" t="e">
            <v>#N/A</v>
          </cell>
          <cell r="P618" t="str">
            <v/>
          </cell>
          <cell r="Q618" t="str">
            <v/>
          </cell>
          <cell r="R618" t="e">
            <v>#N/A</v>
          </cell>
        </row>
        <row r="619">
          <cell r="A619">
            <v>41047</v>
          </cell>
          <cell r="B619">
            <v>41047</v>
          </cell>
          <cell r="C619" t="str">
            <v>Future</v>
          </cell>
          <cell r="D619" t="e">
            <v>#N/A</v>
          </cell>
          <cell r="E619">
            <v>48.86026752569164</v>
          </cell>
          <cell r="F619">
            <v>66.646828790513965</v>
          </cell>
          <cell r="G619">
            <v>58.346433533596937</v>
          </cell>
          <cell r="H619">
            <v>58.346433533596937</v>
          </cell>
          <cell r="I619" t="e">
            <v>#N/A</v>
          </cell>
          <cell r="J619" t="e">
            <v>#N/A</v>
          </cell>
          <cell r="K619" t="e">
            <v>#N/A</v>
          </cell>
          <cell r="L619" t="e">
            <v>#N/A</v>
          </cell>
          <cell r="M619" t="e">
            <v>#N/A</v>
          </cell>
          <cell r="N619" t="e">
            <v>#N/A</v>
          </cell>
          <cell r="O619" t="e">
            <v>#N/A</v>
          </cell>
          <cell r="P619" t="str">
            <v/>
          </cell>
          <cell r="Q619" t="str">
            <v/>
          </cell>
          <cell r="R619" t="e">
            <v>#N/A</v>
          </cell>
        </row>
        <row r="620">
          <cell r="A620">
            <v>41050</v>
          </cell>
          <cell r="B620">
            <v>41050</v>
          </cell>
          <cell r="C620" t="str">
            <v>Future</v>
          </cell>
          <cell r="D620" t="e">
            <v>#N/A</v>
          </cell>
          <cell r="E620">
            <v>48.607105517786501</v>
          </cell>
          <cell r="F620">
            <v>66.690109470355864</v>
          </cell>
          <cell r="G620">
            <v>58.251374292490219</v>
          </cell>
          <cell r="H620">
            <v>58.251374292490219</v>
          </cell>
          <cell r="I620" t="e">
            <v>#N/A</v>
          </cell>
          <cell r="J620" t="e">
            <v>#N/A</v>
          </cell>
          <cell r="K620" t="e">
            <v>#N/A</v>
          </cell>
          <cell r="L620" t="e">
            <v>#N/A</v>
          </cell>
          <cell r="M620" t="e">
            <v>#N/A</v>
          </cell>
          <cell r="N620" t="e">
            <v>#N/A</v>
          </cell>
          <cell r="O620" t="e">
            <v>#N/A</v>
          </cell>
          <cell r="P620" t="str">
            <v/>
          </cell>
          <cell r="Q620" t="str">
            <v/>
          </cell>
          <cell r="R620" t="e">
            <v>#N/A</v>
          </cell>
        </row>
        <row r="621">
          <cell r="A621">
            <v>41051</v>
          </cell>
          <cell r="B621">
            <v>41051</v>
          </cell>
          <cell r="C621" t="str">
            <v>Future</v>
          </cell>
          <cell r="D621" t="e">
            <v>#N/A</v>
          </cell>
          <cell r="E621">
            <v>48.353943509881361</v>
          </cell>
          <cell r="F621">
            <v>66.733390150197764</v>
          </cell>
          <cell r="G621">
            <v>58.156315051383501</v>
          </cell>
          <cell r="H621">
            <v>58.156315051383501</v>
          </cell>
          <cell r="I621" t="e">
            <v>#N/A</v>
          </cell>
          <cell r="J621" t="e">
            <v>#N/A</v>
          </cell>
          <cell r="K621" t="e">
            <v>#N/A</v>
          </cell>
          <cell r="L621" t="e">
            <v>#N/A</v>
          </cell>
          <cell r="M621" t="e">
            <v>#N/A</v>
          </cell>
          <cell r="N621" t="e">
            <v>#N/A</v>
          </cell>
          <cell r="O621" t="e">
            <v>#N/A</v>
          </cell>
          <cell r="P621" t="str">
            <v/>
          </cell>
          <cell r="Q621" t="str">
            <v/>
          </cell>
          <cell r="R621" t="e">
            <v>#N/A</v>
          </cell>
        </row>
        <row r="622">
          <cell r="A622">
            <v>41052</v>
          </cell>
          <cell r="B622">
            <v>41052</v>
          </cell>
          <cell r="C622" t="str">
            <v>Future</v>
          </cell>
          <cell r="D622" t="e">
            <v>#N/A</v>
          </cell>
          <cell r="E622">
            <v>48.100781501976222</v>
          </cell>
          <cell r="F622">
            <v>66.776670830039663</v>
          </cell>
          <cell r="G622">
            <v>58.061255810276784</v>
          </cell>
          <cell r="H622">
            <v>58.061255810276784</v>
          </cell>
          <cell r="I622" t="e">
            <v>#N/A</v>
          </cell>
          <cell r="J622" t="e">
            <v>#N/A</v>
          </cell>
          <cell r="K622" t="e">
            <v>#N/A</v>
          </cell>
          <cell r="L622" t="e">
            <v>#N/A</v>
          </cell>
          <cell r="M622" t="e">
            <v>#N/A</v>
          </cell>
          <cell r="N622" t="e">
            <v>#N/A</v>
          </cell>
          <cell r="O622" t="e">
            <v>#N/A</v>
          </cell>
          <cell r="P622" t="str">
            <v/>
          </cell>
          <cell r="Q622" t="str">
            <v/>
          </cell>
          <cell r="R622" t="e">
            <v>#N/A</v>
          </cell>
        </row>
        <row r="623">
          <cell r="A623">
            <v>41053</v>
          </cell>
          <cell r="B623">
            <v>41053</v>
          </cell>
          <cell r="C623" t="str">
            <v>Future</v>
          </cell>
          <cell r="D623" t="e">
            <v>#N/A</v>
          </cell>
          <cell r="E623">
            <v>47.847619494071083</v>
          </cell>
          <cell r="F623">
            <v>66.819951509881562</v>
          </cell>
          <cell r="G623">
            <v>57.966196569170066</v>
          </cell>
          <cell r="H623">
            <v>57.966196569170066</v>
          </cell>
          <cell r="I623" t="e">
            <v>#N/A</v>
          </cell>
          <cell r="J623" t="e">
            <v>#N/A</v>
          </cell>
          <cell r="K623" t="e">
            <v>#N/A</v>
          </cell>
          <cell r="L623" t="e">
            <v>#N/A</v>
          </cell>
          <cell r="M623" t="e">
            <v>#N/A</v>
          </cell>
          <cell r="N623" t="e">
            <v>#N/A</v>
          </cell>
          <cell r="O623" t="e">
            <v>#N/A</v>
          </cell>
          <cell r="P623" t="str">
            <v/>
          </cell>
          <cell r="Q623" t="str">
            <v/>
          </cell>
          <cell r="R623" t="e">
            <v>#N/A</v>
          </cell>
        </row>
        <row r="624">
          <cell r="A624">
            <v>41054</v>
          </cell>
          <cell r="B624">
            <v>41054</v>
          </cell>
          <cell r="C624" t="str">
            <v>Future</v>
          </cell>
          <cell r="D624" t="e">
            <v>#N/A</v>
          </cell>
          <cell r="E624">
            <v>47.594457486165943</v>
          </cell>
          <cell r="F624">
            <v>66.863232189723462</v>
          </cell>
          <cell r="G624">
            <v>57.871137328063348</v>
          </cell>
          <cell r="H624">
            <v>57.871137328063348</v>
          </cell>
          <cell r="I624" t="e">
            <v>#N/A</v>
          </cell>
          <cell r="J624" t="e">
            <v>#N/A</v>
          </cell>
          <cell r="K624" t="e">
            <v>#N/A</v>
          </cell>
          <cell r="L624" t="e">
            <v>#N/A</v>
          </cell>
          <cell r="M624" t="e">
            <v>#N/A</v>
          </cell>
          <cell r="N624" t="e">
            <v>#N/A</v>
          </cell>
          <cell r="O624" t="e">
            <v>#N/A</v>
          </cell>
          <cell r="P624" t="str">
            <v/>
          </cell>
          <cell r="Q624" t="str">
            <v/>
          </cell>
          <cell r="R624" t="e">
            <v>#N/A</v>
          </cell>
        </row>
        <row r="625">
          <cell r="A625">
            <v>41058</v>
          </cell>
          <cell r="B625">
            <v>41058</v>
          </cell>
          <cell r="C625" t="str">
            <v>Future</v>
          </cell>
          <cell r="D625" t="e">
            <v>#N/A</v>
          </cell>
          <cell r="E625">
            <v>47.341295478260804</v>
          </cell>
          <cell r="F625">
            <v>66.906512869565361</v>
          </cell>
          <cell r="G625">
            <v>57.77607808695663</v>
          </cell>
          <cell r="H625">
            <v>57.77607808695663</v>
          </cell>
          <cell r="I625" t="e">
            <v>#N/A</v>
          </cell>
          <cell r="J625" t="e">
            <v>#N/A</v>
          </cell>
          <cell r="K625" t="e">
            <v>#N/A</v>
          </cell>
          <cell r="L625" t="e">
            <v>#N/A</v>
          </cell>
          <cell r="M625" t="e">
            <v>#N/A</v>
          </cell>
          <cell r="N625" t="e">
            <v>#N/A</v>
          </cell>
          <cell r="O625" t="e">
            <v>#N/A</v>
          </cell>
          <cell r="P625" t="str">
            <v/>
          </cell>
          <cell r="Q625" t="str">
            <v/>
          </cell>
          <cell r="R625" t="e">
            <v>#N/A</v>
          </cell>
        </row>
        <row r="626">
          <cell r="A626">
            <v>41059</v>
          </cell>
          <cell r="B626">
            <v>41059</v>
          </cell>
          <cell r="C626" t="str">
            <v>Future</v>
          </cell>
          <cell r="D626" t="e">
            <v>#N/A</v>
          </cell>
          <cell r="E626">
            <v>47.088133470355665</v>
          </cell>
          <cell r="F626">
            <v>66.949793549407261</v>
          </cell>
          <cell r="G626">
            <v>57.681018845849913</v>
          </cell>
          <cell r="H626">
            <v>57.681018845849913</v>
          </cell>
          <cell r="I626" t="e">
            <v>#N/A</v>
          </cell>
          <cell r="J626" t="e">
            <v>#N/A</v>
          </cell>
          <cell r="K626" t="e">
            <v>#N/A</v>
          </cell>
          <cell r="L626" t="e">
            <v>#N/A</v>
          </cell>
          <cell r="M626" t="e">
            <v>#N/A</v>
          </cell>
          <cell r="N626" t="e">
            <v>#N/A</v>
          </cell>
          <cell r="O626" t="e">
            <v>#N/A</v>
          </cell>
          <cell r="P626" t="str">
            <v/>
          </cell>
          <cell r="Q626" t="str">
            <v/>
          </cell>
          <cell r="R626" t="e">
            <v>#N/A</v>
          </cell>
        </row>
        <row r="627">
          <cell r="A627">
            <v>41060</v>
          </cell>
          <cell r="B627">
            <v>41060</v>
          </cell>
          <cell r="C627" t="str">
            <v>Future</v>
          </cell>
          <cell r="D627" t="e">
            <v>#N/A</v>
          </cell>
          <cell r="E627">
            <v>46.834971462450525</v>
          </cell>
          <cell r="F627">
            <v>66.99307422924916</v>
          </cell>
          <cell r="G627">
            <v>57.585959604743195</v>
          </cell>
          <cell r="H627">
            <v>57.585959604743195</v>
          </cell>
          <cell r="I627" t="e">
            <v>#N/A</v>
          </cell>
          <cell r="J627" t="e">
            <v>#N/A</v>
          </cell>
          <cell r="K627" t="e">
            <v>#N/A</v>
          </cell>
          <cell r="L627" t="e">
            <v>#N/A</v>
          </cell>
          <cell r="M627" t="e">
            <v>#N/A</v>
          </cell>
          <cell r="N627" t="e">
            <v>#N/A</v>
          </cell>
          <cell r="O627" t="e">
            <v>#N/A</v>
          </cell>
          <cell r="P627" t="str">
            <v/>
          </cell>
          <cell r="Q627" t="str">
            <v/>
          </cell>
          <cell r="R627" t="e">
            <v>#N/A</v>
          </cell>
        </row>
        <row r="628">
          <cell r="A628">
            <v>41061</v>
          </cell>
          <cell r="B628">
            <v>41061</v>
          </cell>
          <cell r="C628" t="str">
            <v>Future</v>
          </cell>
          <cell r="D628" t="e">
            <v>#N/A</v>
          </cell>
          <cell r="E628">
            <v>46.581809454545386</v>
          </cell>
          <cell r="F628">
            <v>67.03635490909106</v>
          </cell>
          <cell r="G628">
            <v>57.490900363636477</v>
          </cell>
          <cell r="H628">
            <v>57.490900363636477</v>
          </cell>
          <cell r="I628" t="e">
            <v>#N/A</v>
          </cell>
          <cell r="J628" t="e">
            <v>#N/A</v>
          </cell>
          <cell r="K628" t="e">
            <v>#N/A</v>
          </cell>
          <cell r="L628" t="e">
            <v>#N/A</v>
          </cell>
          <cell r="M628" t="e">
            <v>#N/A</v>
          </cell>
          <cell r="N628" t="e">
            <v>#N/A</v>
          </cell>
          <cell r="O628" t="e">
            <v>#N/A</v>
          </cell>
          <cell r="P628" t="str">
            <v/>
          </cell>
          <cell r="Q628" t="str">
            <v/>
          </cell>
          <cell r="R628" t="e">
            <v>#N/A</v>
          </cell>
        </row>
        <row r="629">
          <cell r="A629">
            <v>41064</v>
          </cell>
          <cell r="B629">
            <v>41064</v>
          </cell>
          <cell r="C629" t="str">
            <v>Future</v>
          </cell>
          <cell r="D629" t="e">
            <v>#N/A</v>
          </cell>
          <cell r="E629">
            <v>46.328647446640247</v>
          </cell>
          <cell r="F629">
            <v>67.079635588932959</v>
          </cell>
          <cell r="G629">
            <v>57.39584112252976</v>
          </cell>
          <cell r="H629">
            <v>57.39584112252976</v>
          </cell>
          <cell r="I629" t="e">
            <v>#N/A</v>
          </cell>
          <cell r="J629" t="e">
            <v>#N/A</v>
          </cell>
          <cell r="K629" t="e">
            <v>#N/A</v>
          </cell>
          <cell r="L629" t="e">
            <v>#N/A</v>
          </cell>
          <cell r="M629" t="e">
            <v>#N/A</v>
          </cell>
          <cell r="N629" t="e">
            <v>#N/A</v>
          </cell>
          <cell r="O629" t="e">
            <v>#N/A</v>
          </cell>
          <cell r="P629" t="str">
            <v/>
          </cell>
          <cell r="Q629" t="str">
            <v/>
          </cell>
          <cell r="R629" t="e">
            <v>#N/A</v>
          </cell>
        </row>
        <row r="630">
          <cell r="A630">
            <v>41065</v>
          </cell>
          <cell r="B630">
            <v>41065</v>
          </cell>
          <cell r="C630" t="str">
            <v>Future</v>
          </cell>
          <cell r="D630" t="e">
            <v>#N/A</v>
          </cell>
          <cell r="E630">
            <v>46.075485438735107</v>
          </cell>
          <cell r="F630">
            <v>67.122916268774858</v>
          </cell>
          <cell r="G630">
            <v>57.300781881423042</v>
          </cell>
          <cell r="H630">
            <v>57.300781881423042</v>
          </cell>
          <cell r="I630" t="e">
            <v>#N/A</v>
          </cell>
          <cell r="J630" t="e">
            <v>#N/A</v>
          </cell>
          <cell r="K630" t="e">
            <v>#N/A</v>
          </cell>
          <cell r="L630" t="e">
            <v>#N/A</v>
          </cell>
          <cell r="M630" t="e">
            <v>#N/A</v>
          </cell>
          <cell r="N630" t="e">
            <v>#N/A</v>
          </cell>
          <cell r="O630" t="e">
            <v>#N/A</v>
          </cell>
          <cell r="P630" t="str">
            <v/>
          </cell>
          <cell r="Q630" t="str">
            <v/>
          </cell>
          <cell r="R630" t="e">
            <v>#N/A</v>
          </cell>
        </row>
        <row r="631">
          <cell r="A631">
            <v>41066</v>
          </cell>
          <cell r="B631">
            <v>41066</v>
          </cell>
          <cell r="C631" t="str">
            <v>Future</v>
          </cell>
          <cell r="D631" t="e">
            <v>#N/A</v>
          </cell>
          <cell r="E631">
            <v>45.822323430829968</v>
          </cell>
          <cell r="F631">
            <v>67.166196948616758</v>
          </cell>
          <cell r="G631">
            <v>57.205722640316324</v>
          </cell>
          <cell r="H631">
            <v>57.205722640316324</v>
          </cell>
          <cell r="I631" t="e">
            <v>#N/A</v>
          </cell>
          <cell r="J631" t="e">
            <v>#N/A</v>
          </cell>
          <cell r="K631" t="e">
            <v>#N/A</v>
          </cell>
          <cell r="L631" t="e">
            <v>#N/A</v>
          </cell>
          <cell r="M631" t="e">
            <v>#N/A</v>
          </cell>
          <cell r="N631" t="e">
            <v>#N/A</v>
          </cell>
          <cell r="O631" t="e">
            <v>#N/A</v>
          </cell>
          <cell r="P631" t="str">
            <v/>
          </cell>
          <cell r="Q631" t="str">
            <v/>
          </cell>
          <cell r="R631" t="e">
            <v>#N/A</v>
          </cell>
        </row>
        <row r="632">
          <cell r="A632">
            <v>41067</v>
          </cell>
          <cell r="B632">
            <v>41067</v>
          </cell>
          <cell r="C632" t="str">
            <v>Future</v>
          </cell>
          <cell r="D632" t="e">
            <v>#N/A</v>
          </cell>
          <cell r="E632">
            <v>45.569161422924829</v>
          </cell>
          <cell r="F632">
            <v>67.209477628458657</v>
          </cell>
          <cell r="G632">
            <v>57.110663399209606</v>
          </cell>
          <cell r="H632">
            <v>57.110663399209606</v>
          </cell>
          <cell r="I632" t="e">
            <v>#N/A</v>
          </cell>
          <cell r="J632" t="e">
            <v>#N/A</v>
          </cell>
          <cell r="K632" t="e">
            <v>#N/A</v>
          </cell>
          <cell r="L632" t="e">
            <v>#N/A</v>
          </cell>
          <cell r="M632" t="e">
            <v>#N/A</v>
          </cell>
          <cell r="N632" t="e">
            <v>#N/A</v>
          </cell>
          <cell r="O632" t="e">
            <v>#N/A</v>
          </cell>
          <cell r="P632" t="str">
            <v/>
          </cell>
          <cell r="Q632" t="str">
            <v/>
          </cell>
          <cell r="R632" t="e">
            <v>#N/A</v>
          </cell>
        </row>
        <row r="633">
          <cell r="A633">
            <v>41068</v>
          </cell>
          <cell r="B633">
            <v>41068</v>
          </cell>
          <cell r="C633" t="str">
            <v>Future</v>
          </cell>
          <cell r="D633" t="e">
            <v>#N/A</v>
          </cell>
          <cell r="E633">
            <v>45.315999415019689</v>
          </cell>
          <cell r="F633">
            <v>67.252758308300557</v>
          </cell>
          <cell r="G633">
            <v>57.015604158102889</v>
          </cell>
          <cell r="H633">
            <v>57.015604158102889</v>
          </cell>
          <cell r="I633" t="e">
            <v>#N/A</v>
          </cell>
          <cell r="J633" t="e">
            <v>#N/A</v>
          </cell>
          <cell r="K633" t="e">
            <v>#N/A</v>
          </cell>
          <cell r="L633" t="e">
            <v>#N/A</v>
          </cell>
          <cell r="M633" t="e">
            <v>#N/A</v>
          </cell>
          <cell r="N633" t="e">
            <v>#N/A</v>
          </cell>
          <cell r="O633" t="e">
            <v>#N/A</v>
          </cell>
          <cell r="P633" t="str">
            <v/>
          </cell>
          <cell r="Q633" t="str">
            <v/>
          </cell>
          <cell r="R633" t="e">
            <v>#N/A</v>
          </cell>
        </row>
        <row r="634">
          <cell r="A634">
            <v>41071</v>
          </cell>
          <cell r="B634">
            <v>41071</v>
          </cell>
          <cell r="C634" t="str">
            <v>Future</v>
          </cell>
          <cell r="D634" t="e">
            <v>#N/A</v>
          </cell>
          <cell r="E634">
            <v>45.06283740711455</v>
          </cell>
          <cell r="F634">
            <v>67.296038988142456</v>
          </cell>
          <cell r="G634">
            <v>56.920544916996171</v>
          </cell>
          <cell r="H634">
            <v>56.920544916996171</v>
          </cell>
          <cell r="I634" t="e">
            <v>#N/A</v>
          </cell>
          <cell r="J634" t="e">
            <v>#N/A</v>
          </cell>
          <cell r="K634" t="e">
            <v>#N/A</v>
          </cell>
          <cell r="L634" t="e">
            <v>#N/A</v>
          </cell>
          <cell r="M634" t="e">
            <v>#N/A</v>
          </cell>
          <cell r="N634" t="e">
            <v>#N/A</v>
          </cell>
          <cell r="O634" t="e">
            <v>#N/A</v>
          </cell>
          <cell r="P634" t="str">
            <v/>
          </cell>
          <cell r="Q634" t="str">
            <v/>
          </cell>
          <cell r="R634" t="e">
            <v>#N/A</v>
          </cell>
        </row>
        <row r="635">
          <cell r="A635">
            <v>41072</v>
          </cell>
          <cell r="B635">
            <v>41072</v>
          </cell>
          <cell r="C635" t="str">
            <v>Future</v>
          </cell>
          <cell r="D635" t="e">
            <v>#N/A</v>
          </cell>
          <cell r="E635">
            <v>44.809675399209411</v>
          </cell>
          <cell r="F635">
            <v>67.339319667984356</v>
          </cell>
          <cell r="G635">
            <v>56.825485675889453</v>
          </cell>
          <cell r="H635">
            <v>56.825485675889453</v>
          </cell>
          <cell r="I635" t="e">
            <v>#N/A</v>
          </cell>
          <cell r="J635" t="e">
            <v>#N/A</v>
          </cell>
          <cell r="K635" t="e">
            <v>#N/A</v>
          </cell>
          <cell r="L635" t="e">
            <v>#N/A</v>
          </cell>
          <cell r="M635" t="e">
            <v>#N/A</v>
          </cell>
          <cell r="N635" t="e">
            <v>#N/A</v>
          </cell>
          <cell r="O635" t="e">
            <v>#N/A</v>
          </cell>
          <cell r="P635" t="str">
            <v/>
          </cell>
          <cell r="Q635" t="str">
            <v/>
          </cell>
          <cell r="R635" t="e">
            <v>#N/A</v>
          </cell>
        </row>
        <row r="636">
          <cell r="A636">
            <v>41073</v>
          </cell>
          <cell r="B636">
            <v>41073</v>
          </cell>
          <cell r="C636" t="str">
            <v>Future</v>
          </cell>
          <cell r="D636" t="e">
            <v>#N/A</v>
          </cell>
          <cell r="E636">
            <v>44.556513391304271</v>
          </cell>
          <cell r="F636">
            <v>67.382600347826255</v>
          </cell>
          <cell r="G636">
            <v>56.730426434782736</v>
          </cell>
          <cell r="H636">
            <v>56.730426434782736</v>
          </cell>
          <cell r="I636" t="e">
            <v>#N/A</v>
          </cell>
          <cell r="J636" t="e">
            <v>#N/A</v>
          </cell>
          <cell r="K636" t="e">
            <v>#N/A</v>
          </cell>
          <cell r="L636" t="e">
            <v>#N/A</v>
          </cell>
          <cell r="M636" t="e">
            <v>#N/A</v>
          </cell>
          <cell r="N636" t="e">
            <v>#N/A</v>
          </cell>
          <cell r="O636" t="e">
            <v>#N/A</v>
          </cell>
          <cell r="P636" t="str">
            <v/>
          </cell>
          <cell r="Q636" t="str">
            <v/>
          </cell>
          <cell r="R636" t="e">
            <v>#N/A</v>
          </cell>
        </row>
        <row r="637">
          <cell r="A637">
            <v>41074</v>
          </cell>
          <cell r="B637">
            <v>41074</v>
          </cell>
          <cell r="C637" t="str">
            <v>Future</v>
          </cell>
          <cell r="D637" t="e">
            <v>#N/A</v>
          </cell>
          <cell r="E637">
            <v>44.303351383399132</v>
          </cell>
          <cell r="F637">
            <v>67.425881027668154</v>
          </cell>
          <cell r="G637">
            <v>56.635367193676018</v>
          </cell>
          <cell r="H637">
            <v>56.635367193676018</v>
          </cell>
          <cell r="I637" t="e">
            <v>#N/A</v>
          </cell>
          <cell r="J637" t="e">
            <v>#N/A</v>
          </cell>
          <cell r="K637" t="e">
            <v>#N/A</v>
          </cell>
          <cell r="L637" t="e">
            <v>#N/A</v>
          </cell>
          <cell r="M637" t="e">
            <v>#N/A</v>
          </cell>
          <cell r="N637" t="e">
            <v>#N/A</v>
          </cell>
          <cell r="O637" t="e">
            <v>#N/A</v>
          </cell>
          <cell r="P637" t="str">
            <v/>
          </cell>
          <cell r="Q637" t="str">
            <v/>
          </cell>
          <cell r="R637" t="e">
            <v>#N/A</v>
          </cell>
        </row>
        <row r="638">
          <cell r="A638">
            <v>41075</v>
          </cell>
          <cell r="B638">
            <v>41075</v>
          </cell>
          <cell r="C638" t="str">
            <v>Future</v>
          </cell>
          <cell r="D638" t="e">
            <v>#N/A</v>
          </cell>
          <cell r="E638">
            <v>44.050189375493993</v>
          </cell>
          <cell r="F638">
            <v>67.469161707510054</v>
          </cell>
          <cell r="G638">
            <v>56.5403079525693</v>
          </cell>
          <cell r="H638">
            <v>56.5403079525693</v>
          </cell>
          <cell r="I638" t="e">
            <v>#N/A</v>
          </cell>
          <cell r="J638" t="e">
            <v>#N/A</v>
          </cell>
          <cell r="K638" t="e">
            <v>#N/A</v>
          </cell>
          <cell r="L638" t="e">
            <v>#N/A</v>
          </cell>
          <cell r="M638" t="e">
            <v>#N/A</v>
          </cell>
          <cell r="N638" t="e">
            <v>#N/A</v>
          </cell>
          <cell r="O638" t="e">
            <v>#N/A</v>
          </cell>
          <cell r="P638" t="str">
            <v/>
          </cell>
          <cell r="Q638" t="str">
            <v/>
          </cell>
          <cell r="R638" t="e">
            <v>#N/A</v>
          </cell>
        </row>
        <row r="639">
          <cell r="A639">
            <v>41078</v>
          </cell>
          <cell r="B639">
            <v>41078</v>
          </cell>
          <cell r="C639" t="str">
            <v>Future</v>
          </cell>
          <cell r="D639" t="e">
            <v>#N/A</v>
          </cell>
          <cell r="E639">
            <v>43.797027367588854</v>
          </cell>
          <cell r="F639">
            <v>67.512442387351953</v>
          </cell>
          <cell r="G639">
            <v>56.445248711462582</v>
          </cell>
          <cell r="H639">
            <v>56.445248711462582</v>
          </cell>
          <cell r="I639" t="e">
            <v>#N/A</v>
          </cell>
          <cell r="J639" t="e">
            <v>#N/A</v>
          </cell>
          <cell r="K639" t="e">
            <v>#N/A</v>
          </cell>
          <cell r="L639" t="e">
            <v>#N/A</v>
          </cell>
          <cell r="M639" t="e">
            <v>#N/A</v>
          </cell>
          <cell r="N639" t="e">
            <v>#N/A</v>
          </cell>
          <cell r="O639" t="e">
            <v>#N/A</v>
          </cell>
          <cell r="P639" t="str">
            <v/>
          </cell>
          <cell r="Q639" t="str">
            <v/>
          </cell>
          <cell r="R639" t="e">
            <v>#N/A</v>
          </cell>
        </row>
        <row r="640">
          <cell r="A640">
            <v>41079</v>
          </cell>
          <cell r="B640">
            <v>41079</v>
          </cell>
          <cell r="C640" t="str">
            <v>Future</v>
          </cell>
          <cell r="D640" t="e">
            <v>#N/A</v>
          </cell>
          <cell r="E640">
            <v>43.543865359683714</v>
          </cell>
          <cell r="F640">
            <v>67.555723067193853</v>
          </cell>
          <cell r="G640">
            <v>56.350189470355865</v>
          </cell>
          <cell r="H640">
            <v>56.350189470355865</v>
          </cell>
          <cell r="I640" t="e">
            <v>#N/A</v>
          </cell>
          <cell r="J640" t="e">
            <v>#N/A</v>
          </cell>
          <cell r="K640" t="e">
            <v>#N/A</v>
          </cell>
          <cell r="L640" t="e">
            <v>#N/A</v>
          </cell>
          <cell r="M640" t="e">
            <v>#N/A</v>
          </cell>
          <cell r="N640" t="e">
            <v>#N/A</v>
          </cell>
          <cell r="O640" t="e">
            <v>#N/A</v>
          </cell>
          <cell r="P640" t="str">
            <v/>
          </cell>
          <cell r="Q640" t="str">
            <v/>
          </cell>
          <cell r="R640" t="e">
            <v>#N/A</v>
          </cell>
        </row>
        <row r="641">
          <cell r="A641">
            <v>41080</v>
          </cell>
          <cell r="B641">
            <v>41080</v>
          </cell>
          <cell r="C641" t="str">
            <v>Future</v>
          </cell>
          <cell r="D641" t="e">
            <v>#N/A</v>
          </cell>
          <cell r="E641">
            <v>43.290703351778575</v>
          </cell>
          <cell r="F641">
            <v>67.599003747035752</v>
          </cell>
          <cell r="G641">
            <v>56.255130229249147</v>
          </cell>
          <cell r="H641">
            <v>56.255130229249147</v>
          </cell>
          <cell r="I641" t="e">
            <v>#N/A</v>
          </cell>
          <cell r="J641" t="e">
            <v>#N/A</v>
          </cell>
          <cell r="K641" t="e">
            <v>#N/A</v>
          </cell>
          <cell r="L641" t="e">
            <v>#N/A</v>
          </cell>
          <cell r="M641" t="e">
            <v>#N/A</v>
          </cell>
          <cell r="N641" t="e">
            <v>#N/A</v>
          </cell>
          <cell r="O641" t="e">
            <v>#N/A</v>
          </cell>
          <cell r="P641" t="str">
            <v/>
          </cell>
          <cell r="Q641" t="str">
            <v/>
          </cell>
          <cell r="R641" t="e">
            <v>#N/A</v>
          </cell>
        </row>
        <row r="642">
          <cell r="A642">
            <v>41081</v>
          </cell>
          <cell r="B642">
            <v>41081</v>
          </cell>
          <cell r="C642" t="str">
            <v>Future</v>
          </cell>
          <cell r="D642" t="e">
            <v>#N/A</v>
          </cell>
          <cell r="E642">
            <v>43.037541343873436</v>
          </cell>
          <cell r="F642">
            <v>67.642284426877652</v>
          </cell>
          <cell r="G642">
            <v>56.160070988142429</v>
          </cell>
          <cell r="H642">
            <v>56.160070988142429</v>
          </cell>
          <cell r="I642" t="e">
            <v>#N/A</v>
          </cell>
          <cell r="J642" t="e">
            <v>#N/A</v>
          </cell>
          <cell r="K642" t="e">
            <v>#N/A</v>
          </cell>
          <cell r="L642" t="e">
            <v>#N/A</v>
          </cell>
          <cell r="M642" t="e">
            <v>#N/A</v>
          </cell>
          <cell r="N642" t="e">
            <v>#N/A</v>
          </cell>
          <cell r="O642" t="e">
            <v>#N/A</v>
          </cell>
          <cell r="P642" t="str">
            <v/>
          </cell>
          <cell r="Q642" t="str">
            <v/>
          </cell>
          <cell r="R642" t="e">
            <v>#N/A</v>
          </cell>
        </row>
        <row r="643">
          <cell r="A643">
            <v>41082</v>
          </cell>
          <cell r="B643">
            <v>41082</v>
          </cell>
          <cell r="C643" t="str">
            <v>Future</v>
          </cell>
          <cell r="D643" t="e">
            <v>#N/A</v>
          </cell>
          <cell r="E643">
            <v>42.784379335968296</v>
          </cell>
          <cell r="F643">
            <v>67.685565106719551</v>
          </cell>
          <cell r="G643">
            <v>56.065011747035712</v>
          </cell>
          <cell r="H643">
            <v>56.065011747035712</v>
          </cell>
          <cell r="I643" t="e">
            <v>#N/A</v>
          </cell>
          <cell r="J643" t="e">
            <v>#N/A</v>
          </cell>
          <cell r="K643" t="e">
            <v>#N/A</v>
          </cell>
          <cell r="L643" t="e">
            <v>#N/A</v>
          </cell>
          <cell r="M643" t="e">
            <v>#N/A</v>
          </cell>
          <cell r="N643" t="e">
            <v>#N/A</v>
          </cell>
          <cell r="O643" t="e">
            <v>#N/A</v>
          </cell>
          <cell r="P643" t="str">
            <v/>
          </cell>
          <cell r="Q643" t="str">
            <v/>
          </cell>
          <cell r="R643" t="e">
            <v>#N/A</v>
          </cell>
        </row>
        <row r="644">
          <cell r="A644">
            <v>41085</v>
          </cell>
          <cell r="B644">
            <v>41085</v>
          </cell>
          <cell r="C644" t="str">
            <v>Future</v>
          </cell>
          <cell r="D644" t="e">
            <v>#N/A</v>
          </cell>
          <cell r="E644">
            <v>42.531217328063157</v>
          </cell>
          <cell r="F644">
            <v>67.72884578656145</v>
          </cell>
          <cell r="G644">
            <v>55.969952505928994</v>
          </cell>
          <cell r="H644">
            <v>55.969952505928994</v>
          </cell>
          <cell r="I644" t="e">
            <v>#N/A</v>
          </cell>
          <cell r="J644" t="e">
            <v>#N/A</v>
          </cell>
          <cell r="K644" t="e">
            <v>#N/A</v>
          </cell>
          <cell r="L644" t="e">
            <v>#N/A</v>
          </cell>
          <cell r="M644" t="e">
            <v>#N/A</v>
          </cell>
          <cell r="N644" t="e">
            <v>#N/A</v>
          </cell>
          <cell r="O644" t="e">
            <v>#N/A</v>
          </cell>
          <cell r="P644" t="str">
            <v/>
          </cell>
          <cell r="Q644" t="str">
            <v/>
          </cell>
          <cell r="R644" t="e">
            <v>#N/A</v>
          </cell>
        </row>
        <row r="645">
          <cell r="A645">
            <v>41086</v>
          </cell>
          <cell r="B645">
            <v>41086</v>
          </cell>
          <cell r="C645" t="str">
            <v>Future</v>
          </cell>
          <cell r="D645" t="e">
            <v>#N/A</v>
          </cell>
          <cell r="E645">
            <v>42.278055320158018</v>
          </cell>
          <cell r="F645">
            <v>67.77212646640335</v>
          </cell>
          <cell r="G645">
            <v>55.874893264822276</v>
          </cell>
          <cell r="H645">
            <v>55.874893264822276</v>
          </cell>
          <cell r="I645" t="e">
            <v>#N/A</v>
          </cell>
          <cell r="J645" t="e">
            <v>#N/A</v>
          </cell>
          <cell r="K645" t="e">
            <v>#N/A</v>
          </cell>
          <cell r="L645" t="e">
            <v>#N/A</v>
          </cell>
          <cell r="M645" t="e">
            <v>#N/A</v>
          </cell>
          <cell r="N645" t="e">
            <v>#N/A</v>
          </cell>
          <cell r="O645" t="e">
            <v>#N/A</v>
          </cell>
          <cell r="P645" t="str">
            <v/>
          </cell>
          <cell r="Q645" t="str">
            <v/>
          </cell>
          <cell r="R645" t="e">
            <v>#N/A</v>
          </cell>
        </row>
        <row r="646">
          <cell r="A646">
            <v>41087</v>
          </cell>
          <cell r="B646">
            <v>41087</v>
          </cell>
          <cell r="C646" t="str">
            <v>Future</v>
          </cell>
          <cell r="D646" t="e">
            <v>#N/A</v>
          </cell>
          <cell r="E646">
            <v>42.024893312252878</v>
          </cell>
          <cell r="F646">
            <v>67.815407146245249</v>
          </cell>
          <cell r="G646">
            <v>55.779834023715559</v>
          </cell>
          <cell r="H646">
            <v>55.779834023715559</v>
          </cell>
          <cell r="I646" t="e">
            <v>#N/A</v>
          </cell>
          <cell r="J646" t="e">
            <v>#N/A</v>
          </cell>
          <cell r="K646" t="e">
            <v>#N/A</v>
          </cell>
          <cell r="L646" t="e">
            <v>#N/A</v>
          </cell>
          <cell r="M646" t="e">
            <v>#N/A</v>
          </cell>
          <cell r="N646" t="e">
            <v>#N/A</v>
          </cell>
          <cell r="O646" t="e">
            <v>#N/A</v>
          </cell>
          <cell r="P646" t="str">
            <v/>
          </cell>
          <cell r="Q646" t="str">
            <v/>
          </cell>
          <cell r="R646" t="e">
            <v>#N/A</v>
          </cell>
        </row>
        <row r="647">
          <cell r="A647">
            <v>41088</v>
          </cell>
          <cell r="B647">
            <v>41088</v>
          </cell>
          <cell r="C647" t="str">
            <v>Future</v>
          </cell>
          <cell r="D647" t="e">
            <v>#N/A</v>
          </cell>
          <cell r="E647">
            <v>41.771731304347739</v>
          </cell>
          <cell r="F647">
            <v>67.858687826087149</v>
          </cell>
          <cell r="G647">
            <v>55.684774782608841</v>
          </cell>
          <cell r="H647">
            <v>55.684774782608841</v>
          </cell>
          <cell r="I647" t="e">
            <v>#N/A</v>
          </cell>
          <cell r="J647" t="e">
            <v>#N/A</v>
          </cell>
          <cell r="K647" t="e">
            <v>#N/A</v>
          </cell>
          <cell r="L647" t="e">
            <v>#N/A</v>
          </cell>
          <cell r="M647" t="e">
            <v>#N/A</v>
          </cell>
          <cell r="N647" t="e">
            <v>#N/A</v>
          </cell>
          <cell r="O647" t="e">
            <v>#N/A</v>
          </cell>
          <cell r="P647" t="str">
            <v/>
          </cell>
          <cell r="Q647" t="str">
            <v/>
          </cell>
          <cell r="R647" t="e">
            <v>#N/A</v>
          </cell>
        </row>
        <row r="648">
          <cell r="A648">
            <v>41089</v>
          </cell>
          <cell r="B648">
            <v>41089</v>
          </cell>
          <cell r="C648" t="str">
            <v>Future</v>
          </cell>
          <cell r="D648" t="e">
            <v>#N/A</v>
          </cell>
          <cell r="E648">
            <v>41.5185692964426</v>
          </cell>
          <cell r="F648">
            <v>67.901968505929048</v>
          </cell>
          <cell r="G648">
            <v>55.589715541502123</v>
          </cell>
          <cell r="H648">
            <v>55.589715541502123</v>
          </cell>
          <cell r="I648" t="e">
            <v>#N/A</v>
          </cell>
          <cell r="J648" t="e">
            <v>#N/A</v>
          </cell>
          <cell r="K648" t="e">
            <v>#N/A</v>
          </cell>
          <cell r="L648" t="e">
            <v>#N/A</v>
          </cell>
          <cell r="M648" t="e">
            <v>#N/A</v>
          </cell>
          <cell r="N648" t="e">
            <v>#N/A</v>
          </cell>
          <cell r="O648" t="e">
            <v>#N/A</v>
          </cell>
          <cell r="P648" t="str">
            <v/>
          </cell>
          <cell r="Q648" t="str">
            <v/>
          </cell>
          <cell r="R648" t="e">
            <v>#N/A</v>
          </cell>
        </row>
        <row r="649">
          <cell r="A649">
            <v>41092</v>
          </cell>
          <cell r="B649">
            <v>41092</v>
          </cell>
          <cell r="C649" t="str">
            <v>Future</v>
          </cell>
          <cell r="D649" t="e">
            <v>#N/A</v>
          </cell>
          <cell r="E649">
            <v>41.26540728853746</v>
          </cell>
          <cell r="F649">
            <v>67.945249185770948</v>
          </cell>
          <cell r="G649">
            <v>55.494656300395405</v>
          </cell>
          <cell r="H649">
            <v>55.494656300395405</v>
          </cell>
          <cell r="I649" t="e">
            <v>#N/A</v>
          </cell>
          <cell r="J649" t="e">
            <v>#N/A</v>
          </cell>
          <cell r="K649" t="e">
            <v>#N/A</v>
          </cell>
          <cell r="L649" t="e">
            <v>#N/A</v>
          </cell>
          <cell r="M649" t="e">
            <v>#N/A</v>
          </cell>
          <cell r="N649" t="e">
            <v>#N/A</v>
          </cell>
          <cell r="O649" t="e">
            <v>#N/A</v>
          </cell>
          <cell r="P649" t="str">
            <v/>
          </cell>
          <cell r="Q649" t="str">
            <v/>
          </cell>
          <cell r="R649" t="e">
            <v>#N/A</v>
          </cell>
        </row>
        <row r="650">
          <cell r="A650">
            <v>41093</v>
          </cell>
          <cell r="B650">
            <v>41093</v>
          </cell>
          <cell r="C650" t="str">
            <v>Future</v>
          </cell>
          <cell r="D650" t="e">
            <v>#N/A</v>
          </cell>
          <cell r="E650">
            <v>41.012245280632321</v>
          </cell>
          <cell r="F650">
            <v>67.988529865612847</v>
          </cell>
          <cell r="G650">
            <v>55.399597059288688</v>
          </cell>
          <cell r="H650">
            <v>55.399597059288688</v>
          </cell>
          <cell r="I650" t="e">
            <v>#N/A</v>
          </cell>
          <cell r="J650" t="e">
            <v>#N/A</v>
          </cell>
          <cell r="K650" t="e">
            <v>#N/A</v>
          </cell>
          <cell r="L650" t="e">
            <v>#N/A</v>
          </cell>
          <cell r="M650" t="e">
            <v>#N/A</v>
          </cell>
          <cell r="N650" t="e">
            <v>#N/A</v>
          </cell>
          <cell r="O650" t="e">
            <v>#N/A</v>
          </cell>
          <cell r="P650" t="str">
            <v/>
          </cell>
          <cell r="Q650" t="str">
            <v/>
          </cell>
          <cell r="R650" t="e">
            <v>#N/A</v>
          </cell>
        </row>
        <row r="651">
          <cell r="A651">
            <v>41095</v>
          </cell>
          <cell r="B651">
            <v>41095</v>
          </cell>
          <cell r="C651" t="str">
            <v>Future</v>
          </cell>
          <cell r="D651" t="e">
            <v>#N/A</v>
          </cell>
          <cell r="E651">
            <v>40.759083272727182</v>
          </cell>
          <cell r="F651">
            <v>68.031810545454746</v>
          </cell>
          <cell r="G651">
            <v>55.30453781818197</v>
          </cell>
          <cell r="H651">
            <v>55.30453781818197</v>
          </cell>
          <cell r="I651" t="e">
            <v>#N/A</v>
          </cell>
          <cell r="J651" t="e">
            <v>#N/A</v>
          </cell>
          <cell r="K651" t="e">
            <v>#N/A</v>
          </cell>
          <cell r="L651" t="e">
            <v>#N/A</v>
          </cell>
          <cell r="M651" t="e">
            <v>#N/A</v>
          </cell>
          <cell r="N651" t="e">
            <v>#N/A</v>
          </cell>
          <cell r="O651" t="e">
            <v>#N/A</v>
          </cell>
          <cell r="P651" t="str">
            <v/>
          </cell>
          <cell r="Q651" t="str">
            <v/>
          </cell>
          <cell r="R651" t="e">
            <v>#N/A</v>
          </cell>
        </row>
        <row r="652">
          <cell r="A652">
            <v>41096</v>
          </cell>
          <cell r="B652">
            <v>41096</v>
          </cell>
          <cell r="C652" t="str">
            <v>Future</v>
          </cell>
          <cell r="D652" t="e">
            <v>#N/A</v>
          </cell>
          <cell r="E652">
            <v>40.505921264822042</v>
          </cell>
          <cell r="F652">
            <v>68.075091225296646</v>
          </cell>
          <cell r="G652">
            <v>55.209478577075252</v>
          </cell>
          <cell r="H652">
            <v>55.209478577075252</v>
          </cell>
          <cell r="I652" t="e">
            <v>#N/A</v>
          </cell>
          <cell r="J652" t="e">
            <v>#N/A</v>
          </cell>
          <cell r="K652" t="e">
            <v>#N/A</v>
          </cell>
          <cell r="L652" t="e">
            <v>#N/A</v>
          </cell>
          <cell r="M652" t="e">
            <v>#N/A</v>
          </cell>
          <cell r="N652" t="e">
            <v>#N/A</v>
          </cell>
          <cell r="O652" t="e">
            <v>#N/A</v>
          </cell>
          <cell r="P652" t="str">
            <v/>
          </cell>
          <cell r="Q652" t="str">
            <v/>
          </cell>
          <cell r="R652" t="e">
            <v>#N/A</v>
          </cell>
        </row>
        <row r="653">
          <cell r="A653">
            <v>41099</v>
          </cell>
          <cell r="B653">
            <v>41099</v>
          </cell>
          <cell r="C653" t="str">
            <v>Future</v>
          </cell>
          <cell r="D653" t="e">
            <v>#N/A</v>
          </cell>
          <cell r="E653">
            <v>40.252759256916903</v>
          </cell>
          <cell r="F653">
            <v>68.118371905138545</v>
          </cell>
          <cell r="G653">
            <v>55.114419335968535</v>
          </cell>
          <cell r="H653">
            <v>55.114419335968535</v>
          </cell>
          <cell r="I653" t="e">
            <v>#N/A</v>
          </cell>
          <cell r="J653" t="e">
            <v>#N/A</v>
          </cell>
          <cell r="K653" t="e">
            <v>#N/A</v>
          </cell>
          <cell r="L653" t="e">
            <v>#N/A</v>
          </cell>
          <cell r="M653" t="e">
            <v>#N/A</v>
          </cell>
          <cell r="N653" t="e">
            <v>#N/A</v>
          </cell>
          <cell r="O653" t="e">
            <v>#N/A</v>
          </cell>
          <cell r="P653" t="str">
            <v/>
          </cell>
          <cell r="Q653" t="str">
            <v/>
          </cell>
          <cell r="R653" t="e">
            <v>#N/A</v>
          </cell>
        </row>
        <row r="654">
          <cell r="A654">
            <v>41100</v>
          </cell>
          <cell r="B654">
            <v>41100</v>
          </cell>
          <cell r="C654" t="str">
            <v>Future</v>
          </cell>
          <cell r="D654" t="e">
            <v>#N/A</v>
          </cell>
          <cell r="E654">
            <v>39.999597249011764</v>
          </cell>
          <cell r="F654">
            <v>68.161652584980445</v>
          </cell>
          <cell r="G654">
            <v>55.019360094861817</v>
          </cell>
          <cell r="H654">
            <v>55.019360094861817</v>
          </cell>
          <cell r="I654" t="e">
            <v>#N/A</v>
          </cell>
          <cell r="J654" t="e">
            <v>#N/A</v>
          </cell>
          <cell r="K654" t="e">
            <v>#N/A</v>
          </cell>
          <cell r="L654" t="e">
            <v>#N/A</v>
          </cell>
          <cell r="M654" t="e">
            <v>#N/A</v>
          </cell>
          <cell r="N654" t="e">
            <v>#N/A</v>
          </cell>
          <cell r="O654" t="e">
            <v>#N/A</v>
          </cell>
          <cell r="P654" t="str">
            <v/>
          </cell>
          <cell r="Q654" t="str">
            <v/>
          </cell>
          <cell r="R654" t="e">
            <v>#N/A</v>
          </cell>
        </row>
        <row r="655">
          <cell r="A655">
            <v>41101</v>
          </cell>
          <cell r="B655">
            <v>41101</v>
          </cell>
          <cell r="C655" t="str">
            <v>Future</v>
          </cell>
          <cell r="D655" t="e">
            <v>#N/A</v>
          </cell>
          <cell r="E655">
            <v>39.746435241106624</v>
          </cell>
          <cell r="F655">
            <v>68.204933264822344</v>
          </cell>
          <cell r="G655">
            <v>54.924300853755099</v>
          </cell>
          <cell r="H655">
            <v>54.924300853755099</v>
          </cell>
          <cell r="I655" t="e">
            <v>#N/A</v>
          </cell>
          <cell r="J655" t="e">
            <v>#N/A</v>
          </cell>
          <cell r="K655" t="e">
            <v>#N/A</v>
          </cell>
          <cell r="L655" t="e">
            <v>#N/A</v>
          </cell>
          <cell r="M655" t="e">
            <v>#N/A</v>
          </cell>
          <cell r="N655" t="e">
            <v>#N/A</v>
          </cell>
          <cell r="O655" t="e">
            <v>#N/A</v>
          </cell>
          <cell r="P655" t="str">
            <v/>
          </cell>
          <cell r="Q655" t="str">
            <v/>
          </cell>
          <cell r="R655" t="e">
            <v>#N/A</v>
          </cell>
        </row>
        <row r="656">
          <cell r="A656">
            <v>41102</v>
          </cell>
          <cell r="B656">
            <v>41102</v>
          </cell>
          <cell r="C656" t="str">
            <v>Future</v>
          </cell>
          <cell r="D656" t="e">
            <v>#N/A</v>
          </cell>
          <cell r="E656">
            <v>39.493273233201485</v>
          </cell>
          <cell r="F656">
            <v>68.248213944664244</v>
          </cell>
          <cell r="G656">
            <v>54.829241612648381</v>
          </cell>
          <cell r="H656">
            <v>54.829241612648381</v>
          </cell>
          <cell r="I656" t="e">
            <v>#N/A</v>
          </cell>
          <cell r="J656" t="e">
            <v>#N/A</v>
          </cell>
          <cell r="K656" t="e">
            <v>#N/A</v>
          </cell>
          <cell r="L656" t="e">
            <v>#N/A</v>
          </cell>
          <cell r="M656" t="e">
            <v>#N/A</v>
          </cell>
          <cell r="N656" t="e">
            <v>#N/A</v>
          </cell>
          <cell r="O656" t="e">
            <v>#N/A</v>
          </cell>
          <cell r="P656" t="str">
            <v/>
          </cell>
          <cell r="Q656" t="str">
            <v/>
          </cell>
          <cell r="R656" t="e">
            <v>#N/A</v>
          </cell>
        </row>
        <row r="657">
          <cell r="A657">
            <v>41103</v>
          </cell>
          <cell r="B657">
            <v>41103</v>
          </cell>
          <cell r="C657" t="str">
            <v>Future</v>
          </cell>
          <cell r="D657" t="e">
            <v>#N/A</v>
          </cell>
          <cell r="E657">
            <v>39.240111225296346</v>
          </cell>
          <cell r="F657">
            <v>68.291494624506143</v>
          </cell>
          <cell r="G657">
            <v>54.734182371541664</v>
          </cell>
          <cell r="H657">
            <v>54.734182371541664</v>
          </cell>
          <cell r="I657" t="e">
            <v>#N/A</v>
          </cell>
          <cell r="J657" t="e">
            <v>#N/A</v>
          </cell>
          <cell r="K657" t="e">
            <v>#N/A</v>
          </cell>
          <cell r="L657" t="e">
            <v>#N/A</v>
          </cell>
          <cell r="M657" t="e">
            <v>#N/A</v>
          </cell>
          <cell r="N657" t="e">
            <v>#N/A</v>
          </cell>
          <cell r="O657" t="e">
            <v>#N/A</v>
          </cell>
          <cell r="P657" t="str">
            <v/>
          </cell>
          <cell r="Q657" t="str">
            <v/>
          </cell>
          <cell r="R657" t="e">
            <v>#N/A</v>
          </cell>
        </row>
        <row r="658">
          <cell r="A658">
            <v>41106</v>
          </cell>
          <cell r="B658">
            <v>41106</v>
          </cell>
          <cell r="C658" t="str">
            <v>Future</v>
          </cell>
          <cell r="D658" t="e">
            <v>#N/A</v>
          </cell>
          <cell r="E658">
            <v>38.986949217391206</v>
          </cell>
          <cell r="F658">
            <v>68.334775304348042</v>
          </cell>
          <cell r="G658">
            <v>54.639123130434946</v>
          </cell>
          <cell r="H658">
            <v>54.639123130434946</v>
          </cell>
          <cell r="I658" t="e">
            <v>#N/A</v>
          </cell>
          <cell r="J658" t="e">
            <v>#N/A</v>
          </cell>
          <cell r="K658" t="e">
            <v>#N/A</v>
          </cell>
          <cell r="L658" t="e">
            <v>#N/A</v>
          </cell>
          <cell r="M658" t="e">
            <v>#N/A</v>
          </cell>
          <cell r="N658" t="e">
            <v>#N/A</v>
          </cell>
          <cell r="O658" t="e">
            <v>#N/A</v>
          </cell>
          <cell r="P658" t="str">
            <v/>
          </cell>
          <cell r="Q658" t="str">
            <v/>
          </cell>
          <cell r="R658" t="e">
            <v>#N/A</v>
          </cell>
        </row>
        <row r="659">
          <cell r="A659">
            <v>41107</v>
          </cell>
          <cell r="B659">
            <v>41107</v>
          </cell>
          <cell r="C659" t="str">
            <v>Future</v>
          </cell>
          <cell r="D659" t="e">
            <v>#N/A</v>
          </cell>
          <cell r="E659">
            <v>38.733787209486067</v>
          </cell>
          <cell r="F659">
            <v>68.378055984189942</v>
          </cell>
          <cell r="G659">
            <v>54.544063889328228</v>
          </cell>
          <cell r="H659">
            <v>54.544063889328228</v>
          </cell>
          <cell r="I659" t="e">
            <v>#N/A</v>
          </cell>
          <cell r="J659" t="e">
            <v>#N/A</v>
          </cell>
          <cell r="K659" t="e">
            <v>#N/A</v>
          </cell>
          <cell r="L659" t="e">
            <v>#N/A</v>
          </cell>
          <cell r="M659" t="e">
            <v>#N/A</v>
          </cell>
          <cell r="N659" t="e">
            <v>#N/A</v>
          </cell>
          <cell r="O659" t="e">
            <v>#N/A</v>
          </cell>
          <cell r="P659" t="str">
            <v/>
          </cell>
          <cell r="Q659" t="str">
            <v/>
          </cell>
          <cell r="R659" t="e">
            <v>#N/A</v>
          </cell>
        </row>
        <row r="660">
          <cell r="A660">
            <v>41108</v>
          </cell>
          <cell r="B660">
            <v>41108</v>
          </cell>
          <cell r="C660" t="str">
            <v>Future</v>
          </cell>
          <cell r="D660" t="e">
            <v>#N/A</v>
          </cell>
          <cell r="E660">
            <v>38.480625201580928</v>
          </cell>
          <cell r="F660">
            <v>68.421336664031841</v>
          </cell>
          <cell r="G660">
            <v>54.449004648221511</v>
          </cell>
          <cell r="H660">
            <v>54.449004648221511</v>
          </cell>
          <cell r="I660" t="e">
            <v>#N/A</v>
          </cell>
          <cell r="J660" t="e">
            <v>#N/A</v>
          </cell>
          <cell r="K660" t="e">
            <v>#N/A</v>
          </cell>
          <cell r="L660" t="e">
            <v>#N/A</v>
          </cell>
          <cell r="M660" t="e">
            <v>#N/A</v>
          </cell>
          <cell r="N660" t="e">
            <v>#N/A</v>
          </cell>
          <cell r="O660" t="e">
            <v>#N/A</v>
          </cell>
          <cell r="P660" t="str">
            <v/>
          </cell>
          <cell r="Q660" t="str">
            <v/>
          </cell>
          <cell r="R660" t="e">
            <v>#N/A</v>
          </cell>
        </row>
        <row r="661">
          <cell r="A661">
            <v>41109</v>
          </cell>
          <cell r="B661">
            <v>41109</v>
          </cell>
          <cell r="C661" t="str">
            <v>Future</v>
          </cell>
          <cell r="D661" t="e">
            <v>#N/A</v>
          </cell>
          <cell r="E661">
            <v>38.227463193675788</v>
          </cell>
          <cell r="F661">
            <v>68.464617343873741</v>
          </cell>
          <cell r="G661">
            <v>54.353945407114793</v>
          </cell>
          <cell r="H661">
            <v>54.353945407114793</v>
          </cell>
          <cell r="I661" t="e">
            <v>#N/A</v>
          </cell>
          <cell r="J661" t="e">
            <v>#N/A</v>
          </cell>
          <cell r="K661" t="e">
            <v>#N/A</v>
          </cell>
          <cell r="L661" t="e">
            <v>#N/A</v>
          </cell>
          <cell r="M661" t="e">
            <v>#N/A</v>
          </cell>
          <cell r="N661" t="e">
            <v>#N/A</v>
          </cell>
          <cell r="O661" t="e">
            <v>#N/A</v>
          </cell>
          <cell r="P661" t="str">
            <v/>
          </cell>
          <cell r="Q661" t="str">
            <v/>
          </cell>
          <cell r="R661" t="e">
            <v>#N/A</v>
          </cell>
        </row>
        <row r="662">
          <cell r="A662">
            <v>41110</v>
          </cell>
          <cell r="B662">
            <v>41110</v>
          </cell>
          <cell r="C662" t="str">
            <v>Future</v>
          </cell>
          <cell r="D662" t="e">
            <v>#N/A</v>
          </cell>
          <cell r="E662">
            <v>37.974301185770649</v>
          </cell>
          <cell r="F662">
            <v>68.50789802371564</v>
          </cell>
          <cell r="G662">
            <v>54.258886166008075</v>
          </cell>
          <cell r="H662">
            <v>54.258886166008075</v>
          </cell>
          <cell r="I662" t="e">
            <v>#N/A</v>
          </cell>
          <cell r="J662" t="e">
            <v>#N/A</v>
          </cell>
          <cell r="K662" t="e">
            <v>#N/A</v>
          </cell>
          <cell r="L662" t="e">
            <v>#N/A</v>
          </cell>
          <cell r="M662" t="e">
            <v>#N/A</v>
          </cell>
          <cell r="N662" t="e">
            <v>#N/A</v>
          </cell>
          <cell r="O662" t="e">
            <v>#N/A</v>
          </cell>
          <cell r="P662" t="str">
            <v/>
          </cell>
          <cell r="Q662" t="str">
            <v/>
          </cell>
          <cell r="R662" t="e">
            <v>#N/A</v>
          </cell>
        </row>
        <row r="663">
          <cell r="A663">
            <v>41113</v>
          </cell>
          <cell r="B663">
            <v>41113</v>
          </cell>
          <cell r="C663" t="str">
            <v>Future</v>
          </cell>
          <cell r="D663" t="e">
            <v>#N/A</v>
          </cell>
          <cell r="E663">
            <v>37.72113917786551</v>
          </cell>
          <cell r="F663">
            <v>68.55117870355754</v>
          </cell>
          <cell r="G663">
            <v>54.163826924901358</v>
          </cell>
          <cell r="H663">
            <v>54.163826924901358</v>
          </cell>
          <cell r="I663" t="e">
            <v>#N/A</v>
          </cell>
          <cell r="J663" t="e">
            <v>#N/A</v>
          </cell>
          <cell r="K663" t="e">
            <v>#N/A</v>
          </cell>
          <cell r="L663" t="e">
            <v>#N/A</v>
          </cell>
          <cell r="M663" t="e">
            <v>#N/A</v>
          </cell>
          <cell r="N663" t="e">
            <v>#N/A</v>
          </cell>
          <cell r="O663" t="e">
            <v>#N/A</v>
          </cell>
          <cell r="P663" t="str">
            <v/>
          </cell>
          <cell r="Q663" t="str">
            <v/>
          </cell>
          <cell r="R663" t="e">
            <v>#N/A</v>
          </cell>
        </row>
        <row r="664">
          <cell r="A664">
            <v>41114</v>
          </cell>
          <cell r="B664">
            <v>41114</v>
          </cell>
          <cell r="C664" t="str">
            <v>Future</v>
          </cell>
          <cell r="D664" t="e">
            <v>#N/A</v>
          </cell>
          <cell r="E664">
            <v>37.467977169960371</v>
          </cell>
          <cell r="F664">
            <v>68.594459383399439</v>
          </cell>
          <cell r="G664">
            <v>54.06876768379464</v>
          </cell>
          <cell r="H664">
            <v>54.06876768379464</v>
          </cell>
          <cell r="I664" t="e">
            <v>#N/A</v>
          </cell>
          <cell r="J664" t="e">
            <v>#N/A</v>
          </cell>
          <cell r="K664" t="e">
            <v>#N/A</v>
          </cell>
          <cell r="L664" t="e">
            <v>#N/A</v>
          </cell>
          <cell r="M664" t="e">
            <v>#N/A</v>
          </cell>
          <cell r="N664" t="e">
            <v>#N/A</v>
          </cell>
          <cell r="O664" t="e">
            <v>#N/A</v>
          </cell>
          <cell r="P664" t="str">
            <v/>
          </cell>
          <cell r="Q664" t="str">
            <v/>
          </cell>
          <cell r="R664" t="e">
            <v>#N/A</v>
          </cell>
        </row>
        <row r="665">
          <cell r="A665">
            <v>41115</v>
          </cell>
          <cell r="B665">
            <v>41115</v>
          </cell>
          <cell r="C665" t="str">
            <v>Future</v>
          </cell>
          <cell r="D665" t="e">
            <v>#N/A</v>
          </cell>
          <cell r="E665">
            <v>37.214815162055231</v>
          </cell>
          <cell r="F665">
            <v>68.637740063241338</v>
          </cell>
          <cell r="G665">
            <v>53.973708442687922</v>
          </cell>
          <cell r="H665">
            <v>53.973708442687922</v>
          </cell>
          <cell r="I665" t="e">
            <v>#N/A</v>
          </cell>
          <cell r="J665" t="e">
            <v>#N/A</v>
          </cell>
          <cell r="K665" t="e">
            <v>#N/A</v>
          </cell>
          <cell r="L665" t="e">
            <v>#N/A</v>
          </cell>
          <cell r="M665" t="e">
            <v>#N/A</v>
          </cell>
          <cell r="N665" t="e">
            <v>#N/A</v>
          </cell>
          <cell r="O665" t="e">
            <v>#N/A</v>
          </cell>
          <cell r="P665" t="str">
            <v/>
          </cell>
          <cell r="Q665" t="str">
            <v/>
          </cell>
          <cell r="R665" t="e">
            <v>#N/A</v>
          </cell>
        </row>
        <row r="666">
          <cell r="A666">
            <v>41116</v>
          </cell>
          <cell r="B666">
            <v>41116</v>
          </cell>
          <cell r="C666" t="str">
            <v>Future</v>
          </cell>
          <cell r="D666" t="e">
            <v>#N/A</v>
          </cell>
          <cell r="E666">
            <v>36.961653154150092</v>
          </cell>
          <cell r="F666">
            <v>68.681020743083238</v>
          </cell>
          <cell r="G666">
            <v>53.878649201581204</v>
          </cell>
          <cell r="H666">
            <v>53.878649201581204</v>
          </cell>
          <cell r="I666" t="e">
            <v>#N/A</v>
          </cell>
          <cell r="J666" t="e">
            <v>#N/A</v>
          </cell>
          <cell r="K666" t="e">
            <v>#N/A</v>
          </cell>
          <cell r="L666" t="e">
            <v>#N/A</v>
          </cell>
          <cell r="M666" t="e">
            <v>#N/A</v>
          </cell>
          <cell r="N666" t="e">
            <v>#N/A</v>
          </cell>
          <cell r="O666" t="e">
            <v>#N/A</v>
          </cell>
          <cell r="P666" t="str">
            <v/>
          </cell>
          <cell r="Q666" t="str">
            <v/>
          </cell>
          <cell r="R666" t="e">
            <v>#N/A</v>
          </cell>
        </row>
        <row r="667">
          <cell r="A667">
            <v>41117</v>
          </cell>
          <cell r="B667">
            <v>41117</v>
          </cell>
          <cell r="C667" t="str">
            <v>Future</v>
          </cell>
          <cell r="D667" t="e">
            <v>#N/A</v>
          </cell>
          <cell r="E667">
            <v>36.708491146244953</v>
          </cell>
          <cell r="F667">
            <v>68.724301422925137</v>
          </cell>
          <cell r="G667">
            <v>53.783589960474487</v>
          </cell>
          <cell r="H667">
            <v>53.783589960474487</v>
          </cell>
          <cell r="I667" t="e">
            <v>#N/A</v>
          </cell>
          <cell r="J667" t="e">
            <v>#N/A</v>
          </cell>
          <cell r="K667" t="e">
            <v>#N/A</v>
          </cell>
          <cell r="L667" t="e">
            <v>#N/A</v>
          </cell>
          <cell r="M667" t="e">
            <v>#N/A</v>
          </cell>
          <cell r="N667" t="e">
            <v>#N/A</v>
          </cell>
          <cell r="O667" t="e">
            <v>#N/A</v>
          </cell>
          <cell r="P667" t="str">
            <v/>
          </cell>
          <cell r="Q667" t="str">
            <v/>
          </cell>
          <cell r="R667" t="e">
            <v>#N/A</v>
          </cell>
        </row>
        <row r="668">
          <cell r="A668">
            <v>41120</v>
          </cell>
          <cell r="B668">
            <v>41120</v>
          </cell>
          <cell r="C668" t="str">
            <v>Future</v>
          </cell>
          <cell r="D668" t="e">
            <v>#N/A</v>
          </cell>
          <cell r="E668">
            <v>36.455329138339813</v>
          </cell>
          <cell r="F668">
            <v>68.767582102767037</v>
          </cell>
          <cell r="G668">
            <v>53.688530719367769</v>
          </cell>
          <cell r="H668">
            <v>53.688530719367769</v>
          </cell>
          <cell r="I668" t="e">
            <v>#N/A</v>
          </cell>
          <cell r="J668" t="e">
            <v>#N/A</v>
          </cell>
          <cell r="K668" t="e">
            <v>#N/A</v>
          </cell>
          <cell r="L668" t="e">
            <v>#N/A</v>
          </cell>
          <cell r="M668" t="e">
            <v>#N/A</v>
          </cell>
          <cell r="N668" t="e">
            <v>#N/A</v>
          </cell>
          <cell r="O668" t="e">
            <v>#N/A</v>
          </cell>
          <cell r="P668" t="str">
            <v/>
          </cell>
          <cell r="Q668" t="str">
            <v/>
          </cell>
          <cell r="R668" t="e">
            <v>#N/A</v>
          </cell>
        </row>
        <row r="669">
          <cell r="A669">
            <v>41121</v>
          </cell>
          <cell r="B669">
            <v>41121</v>
          </cell>
          <cell r="C669" t="str">
            <v>Future</v>
          </cell>
          <cell r="D669" t="e">
            <v>#N/A</v>
          </cell>
          <cell r="E669">
            <v>36.202167130434674</v>
          </cell>
          <cell r="F669">
            <v>68.810862782608936</v>
          </cell>
          <cell r="G669">
            <v>53.593471478261051</v>
          </cell>
          <cell r="H669">
            <v>53.593471478261051</v>
          </cell>
          <cell r="I669" t="e">
            <v>#N/A</v>
          </cell>
          <cell r="J669" t="e">
            <v>#N/A</v>
          </cell>
          <cell r="K669" t="e">
            <v>#N/A</v>
          </cell>
          <cell r="L669" t="e">
            <v>#N/A</v>
          </cell>
          <cell r="M669" t="e">
            <v>#N/A</v>
          </cell>
          <cell r="N669" t="e">
            <v>#N/A</v>
          </cell>
          <cell r="O669" t="e">
            <v>#N/A</v>
          </cell>
          <cell r="P669" t="str">
            <v/>
          </cell>
          <cell r="Q669" t="str">
            <v/>
          </cell>
          <cell r="R669" t="e">
            <v>#N/A</v>
          </cell>
        </row>
        <row r="670">
          <cell r="A670">
            <v>41122</v>
          </cell>
          <cell r="B670">
            <v>41122</v>
          </cell>
          <cell r="C670" t="str">
            <v>Future</v>
          </cell>
          <cell r="D670" t="e">
            <v>#N/A</v>
          </cell>
          <cell r="E670">
            <v>35.949005122529535</v>
          </cell>
          <cell r="F670">
            <v>68.854143462450836</v>
          </cell>
          <cell r="G670">
            <v>53.498412237154334</v>
          </cell>
          <cell r="H670">
            <v>53.498412237154334</v>
          </cell>
          <cell r="I670" t="e">
            <v>#N/A</v>
          </cell>
          <cell r="J670" t="e">
            <v>#N/A</v>
          </cell>
          <cell r="K670" t="e">
            <v>#N/A</v>
          </cell>
          <cell r="L670" t="e">
            <v>#N/A</v>
          </cell>
          <cell r="M670" t="e">
            <v>#N/A</v>
          </cell>
          <cell r="N670" t="e">
            <v>#N/A</v>
          </cell>
          <cell r="O670" t="e">
            <v>#N/A</v>
          </cell>
          <cell r="P670" t="str">
            <v/>
          </cell>
          <cell r="Q670" t="str">
            <v/>
          </cell>
          <cell r="R670" t="e">
            <v>#N/A</v>
          </cell>
        </row>
        <row r="671">
          <cell r="A671">
            <v>41123</v>
          </cell>
          <cell r="B671">
            <v>41123</v>
          </cell>
          <cell r="C671" t="str">
            <v>Future</v>
          </cell>
          <cell r="D671" t="e">
            <v>#N/A</v>
          </cell>
          <cell r="E671">
            <v>35.695843114624395</v>
          </cell>
          <cell r="F671">
            <v>68.897424142292735</v>
          </cell>
          <cell r="G671">
            <v>53.403352996047616</v>
          </cell>
          <cell r="H671">
            <v>53.403352996047616</v>
          </cell>
          <cell r="I671" t="e">
            <v>#N/A</v>
          </cell>
          <cell r="J671" t="e">
            <v>#N/A</v>
          </cell>
          <cell r="K671" t="e">
            <v>#N/A</v>
          </cell>
          <cell r="L671" t="e">
            <v>#N/A</v>
          </cell>
          <cell r="M671" t="e">
            <v>#N/A</v>
          </cell>
          <cell r="N671" t="e">
            <v>#N/A</v>
          </cell>
          <cell r="O671" t="e">
            <v>#N/A</v>
          </cell>
          <cell r="P671" t="str">
            <v/>
          </cell>
          <cell r="Q671" t="str">
            <v/>
          </cell>
          <cell r="R671" t="e">
            <v>#N/A</v>
          </cell>
        </row>
        <row r="672">
          <cell r="A672">
            <v>41124</v>
          </cell>
          <cell r="B672">
            <v>41124</v>
          </cell>
          <cell r="C672" t="str">
            <v>Future</v>
          </cell>
          <cell r="D672" t="e">
            <v>#N/A</v>
          </cell>
          <cell r="E672">
            <v>35.442681106719256</v>
          </cell>
          <cell r="F672">
            <v>68.940704822134634</v>
          </cell>
          <cell r="G672">
            <v>53.308293754940898</v>
          </cell>
          <cell r="H672">
            <v>53.308293754940898</v>
          </cell>
          <cell r="I672" t="e">
            <v>#N/A</v>
          </cell>
          <cell r="J672" t="e">
            <v>#N/A</v>
          </cell>
          <cell r="K672" t="e">
            <v>#N/A</v>
          </cell>
          <cell r="L672" t="e">
            <v>#N/A</v>
          </cell>
          <cell r="M672" t="e">
            <v>#N/A</v>
          </cell>
          <cell r="N672" t="e">
            <v>#N/A</v>
          </cell>
          <cell r="O672" t="e">
            <v>#N/A</v>
          </cell>
          <cell r="P672" t="str">
            <v/>
          </cell>
          <cell r="Q672" t="str">
            <v/>
          </cell>
          <cell r="R672" t="e">
            <v>#N/A</v>
          </cell>
        </row>
        <row r="673">
          <cell r="A673">
            <v>41127</v>
          </cell>
          <cell r="B673">
            <v>41127</v>
          </cell>
          <cell r="C673" t="str">
            <v>Future</v>
          </cell>
          <cell r="D673" t="e">
            <v>#N/A</v>
          </cell>
          <cell r="E673">
            <v>35.189519098814117</v>
          </cell>
          <cell r="F673">
            <v>68.983985501976534</v>
          </cell>
          <cell r="G673">
            <v>53.21323451383418</v>
          </cell>
          <cell r="H673">
            <v>53.21323451383418</v>
          </cell>
          <cell r="I673" t="e">
            <v>#N/A</v>
          </cell>
          <cell r="J673" t="e">
            <v>#N/A</v>
          </cell>
          <cell r="K673" t="e">
            <v>#N/A</v>
          </cell>
          <cell r="L673" t="e">
            <v>#N/A</v>
          </cell>
          <cell r="M673" t="e">
            <v>#N/A</v>
          </cell>
          <cell r="N673" t="e">
            <v>#N/A</v>
          </cell>
          <cell r="O673" t="e">
            <v>#N/A</v>
          </cell>
          <cell r="P673" t="str">
            <v/>
          </cell>
          <cell r="Q673" t="str">
            <v/>
          </cell>
          <cell r="R673" t="e">
            <v>#N/A</v>
          </cell>
        </row>
        <row r="674">
          <cell r="A674">
            <v>41128</v>
          </cell>
          <cell r="B674">
            <v>41128</v>
          </cell>
          <cell r="C674" t="str">
            <v>Future</v>
          </cell>
          <cell r="D674" t="e">
            <v>#N/A</v>
          </cell>
          <cell r="E674">
            <v>34.936357090908977</v>
          </cell>
          <cell r="F674">
            <v>69.027266181818433</v>
          </cell>
          <cell r="G674">
            <v>53.118175272727463</v>
          </cell>
          <cell r="H674">
            <v>53.118175272727463</v>
          </cell>
          <cell r="I674" t="e">
            <v>#N/A</v>
          </cell>
          <cell r="J674" t="e">
            <v>#N/A</v>
          </cell>
          <cell r="K674" t="e">
            <v>#N/A</v>
          </cell>
          <cell r="L674" t="e">
            <v>#N/A</v>
          </cell>
          <cell r="M674" t="e">
            <v>#N/A</v>
          </cell>
          <cell r="N674" t="e">
            <v>#N/A</v>
          </cell>
          <cell r="O674" t="e">
            <v>#N/A</v>
          </cell>
          <cell r="P674" t="str">
            <v/>
          </cell>
          <cell r="Q674" t="str">
            <v/>
          </cell>
          <cell r="R674" t="e">
            <v>#N/A</v>
          </cell>
        </row>
        <row r="675">
          <cell r="A675">
            <v>41129</v>
          </cell>
          <cell r="B675">
            <v>41129</v>
          </cell>
          <cell r="C675" t="str">
            <v>Future</v>
          </cell>
          <cell r="D675" t="e">
            <v>#N/A</v>
          </cell>
          <cell r="E675">
            <v>34.683195083003838</v>
          </cell>
          <cell r="F675">
            <v>69.070546861660333</v>
          </cell>
          <cell r="G675">
            <v>53.023116031620745</v>
          </cell>
          <cell r="H675">
            <v>53.023116031620745</v>
          </cell>
          <cell r="I675" t="e">
            <v>#N/A</v>
          </cell>
          <cell r="J675" t="e">
            <v>#N/A</v>
          </cell>
          <cell r="K675" t="e">
            <v>#N/A</v>
          </cell>
          <cell r="L675" t="e">
            <v>#N/A</v>
          </cell>
          <cell r="M675" t="e">
            <v>#N/A</v>
          </cell>
          <cell r="N675" t="e">
            <v>#N/A</v>
          </cell>
          <cell r="O675" t="e">
            <v>#N/A</v>
          </cell>
          <cell r="P675" t="str">
            <v/>
          </cell>
          <cell r="Q675" t="str">
            <v/>
          </cell>
          <cell r="R675" t="e">
            <v>#N/A</v>
          </cell>
        </row>
        <row r="676">
          <cell r="A676">
            <v>41130</v>
          </cell>
          <cell r="B676">
            <v>41130</v>
          </cell>
          <cell r="C676" t="str">
            <v>Future</v>
          </cell>
          <cell r="D676" t="e">
            <v>#N/A</v>
          </cell>
          <cell r="E676">
            <v>34.430033075098699</v>
          </cell>
          <cell r="F676">
            <v>69.113827541502232</v>
          </cell>
          <cell r="G676">
            <v>52.928056790514027</v>
          </cell>
          <cell r="H676">
            <v>52.928056790514027</v>
          </cell>
          <cell r="I676" t="e">
            <v>#N/A</v>
          </cell>
          <cell r="J676" t="e">
            <v>#N/A</v>
          </cell>
          <cell r="K676" t="e">
            <v>#N/A</v>
          </cell>
          <cell r="L676" t="e">
            <v>#N/A</v>
          </cell>
          <cell r="M676" t="e">
            <v>#N/A</v>
          </cell>
          <cell r="N676" t="e">
            <v>#N/A</v>
          </cell>
          <cell r="O676" t="e">
            <v>#N/A</v>
          </cell>
          <cell r="P676" t="str">
            <v/>
          </cell>
          <cell r="Q676" t="str">
            <v/>
          </cell>
          <cell r="R676" t="e">
            <v>#N/A</v>
          </cell>
        </row>
        <row r="677">
          <cell r="A677">
            <v>41131</v>
          </cell>
          <cell r="B677">
            <v>41131</v>
          </cell>
          <cell r="C677" t="str">
            <v>Future</v>
          </cell>
          <cell r="D677" t="e">
            <v>#N/A</v>
          </cell>
          <cell r="E677">
            <v>34.176871067193559</v>
          </cell>
          <cell r="F677">
            <v>69.157108221344131</v>
          </cell>
          <cell r="G677">
            <v>52.83299754940731</v>
          </cell>
          <cell r="H677">
            <v>52.83299754940731</v>
          </cell>
          <cell r="I677" t="e">
            <v>#N/A</v>
          </cell>
          <cell r="J677" t="e">
            <v>#N/A</v>
          </cell>
          <cell r="K677" t="e">
            <v>#N/A</v>
          </cell>
          <cell r="L677" t="e">
            <v>#N/A</v>
          </cell>
          <cell r="M677" t="e">
            <v>#N/A</v>
          </cell>
          <cell r="N677" t="e">
            <v>#N/A</v>
          </cell>
          <cell r="O677" t="e">
            <v>#N/A</v>
          </cell>
          <cell r="P677" t="str">
            <v/>
          </cell>
          <cell r="Q677" t="str">
            <v/>
          </cell>
          <cell r="R677" t="e">
            <v>#N/A</v>
          </cell>
        </row>
        <row r="678">
          <cell r="A678">
            <v>41134</v>
          </cell>
          <cell r="B678">
            <v>41134</v>
          </cell>
          <cell r="C678" t="str">
            <v>Future</v>
          </cell>
          <cell r="D678" t="e">
            <v>#N/A</v>
          </cell>
          <cell r="E678">
            <v>33.92370905928842</v>
          </cell>
          <cell r="F678">
            <v>69.200388901186031</v>
          </cell>
          <cell r="G678">
            <v>52.737938308300592</v>
          </cell>
          <cell r="H678">
            <v>52.737938308300592</v>
          </cell>
          <cell r="I678" t="e">
            <v>#N/A</v>
          </cell>
          <cell r="J678" t="e">
            <v>#N/A</v>
          </cell>
          <cell r="K678" t="e">
            <v>#N/A</v>
          </cell>
          <cell r="L678" t="e">
            <v>#N/A</v>
          </cell>
          <cell r="M678" t="e">
            <v>#N/A</v>
          </cell>
          <cell r="N678" t="e">
            <v>#N/A</v>
          </cell>
          <cell r="O678" t="e">
            <v>#N/A</v>
          </cell>
          <cell r="P678" t="str">
            <v/>
          </cell>
          <cell r="Q678" t="str">
            <v/>
          </cell>
          <cell r="R678" t="e">
            <v>#N/A</v>
          </cell>
        </row>
        <row r="679">
          <cell r="A679">
            <v>41135</v>
          </cell>
          <cell r="B679">
            <v>41135</v>
          </cell>
          <cell r="C679" t="str">
            <v>Future</v>
          </cell>
          <cell r="D679" t="e">
            <v>#N/A</v>
          </cell>
          <cell r="E679">
            <v>33.670547051383281</v>
          </cell>
          <cell r="F679">
            <v>69.24366958102793</v>
          </cell>
          <cell r="G679">
            <v>52.642879067193874</v>
          </cell>
          <cell r="H679">
            <v>52.642879067193874</v>
          </cell>
          <cell r="I679" t="e">
            <v>#N/A</v>
          </cell>
          <cell r="J679" t="e">
            <v>#N/A</v>
          </cell>
          <cell r="K679" t="e">
            <v>#N/A</v>
          </cell>
          <cell r="L679" t="e">
            <v>#N/A</v>
          </cell>
          <cell r="M679" t="e">
            <v>#N/A</v>
          </cell>
          <cell r="N679" t="e">
            <v>#N/A</v>
          </cell>
          <cell r="O679" t="e">
            <v>#N/A</v>
          </cell>
          <cell r="P679" t="str">
            <v/>
          </cell>
          <cell r="Q679" t="str">
            <v/>
          </cell>
          <cell r="R679" t="e">
            <v>#N/A</v>
          </cell>
        </row>
        <row r="680">
          <cell r="A680">
            <v>41136</v>
          </cell>
          <cell r="B680">
            <v>41136</v>
          </cell>
          <cell r="C680" t="str">
            <v>Future</v>
          </cell>
          <cell r="D680" t="e">
            <v>#N/A</v>
          </cell>
          <cell r="E680">
            <v>33.417385043478141</v>
          </cell>
          <cell r="F680">
            <v>69.28695026086983</v>
          </cell>
          <cell r="G680">
            <v>52.547819826087157</v>
          </cell>
          <cell r="H680">
            <v>52.547819826087157</v>
          </cell>
          <cell r="I680" t="e">
            <v>#N/A</v>
          </cell>
          <cell r="J680" t="e">
            <v>#N/A</v>
          </cell>
          <cell r="K680" t="e">
            <v>#N/A</v>
          </cell>
          <cell r="L680" t="e">
            <v>#N/A</v>
          </cell>
          <cell r="M680" t="e">
            <v>#N/A</v>
          </cell>
          <cell r="N680" t="e">
            <v>#N/A</v>
          </cell>
          <cell r="O680" t="e">
            <v>#N/A</v>
          </cell>
          <cell r="P680" t="str">
            <v/>
          </cell>
          <cell r="Q680" t="str">
            <v/>
          </cell>
          <cell r="R680" t="e">
            <v>#N/A</v>
          </cell>
        </row>
        <row r="681">
          <cell r="A681">
            <v>41137</v>
          </cell>
          <cell r="B681">
            <v>41137</v>
          </cell>
          <cell r="C681" t="str">
            <v>Future</v>
          </cell>
          <cell r="D681" t="e">
            <v>#N/A</v>
          </cell>
          <cell r="E681">
            <v>33.164223035573002</v>
          </cell>
          <cell r="F681">
            <v>69.330230940711729</v>
          </cell>
          <cell r="G681">
            <v>52.452760584980439</v>
          </cell>
          <cell r="H681">
            <v>52.452760584980439</v>
          </cell>
          <cell r="I681" t="e">
            <v>#N/A</v>
          </cell>
          <cell r="J681" t="e">
            <v>#N/A</v>
          </cell>
          <cell r="K681" t="e">
            <v>#N/A</v>
          </cell>
          <cell r="L681" t="e">
            <v>#N/A</v>
          </cell>
          <cell r="M681" t="e">
            <v>#N/A</v>
          </cell>
          <cell r="N681" t="e">
            <v>#N/A</v>
          </cell>
          <cell r="O681" t="e">
            <v>#N/A</v>
          </cell>
          <cell r="P681" t="str">
            <v/>
          </cell>
          <cell r="Q681" t="str">
            <v/>
          </cell>
          <cell r="R681" t="e">
            <v>#N/A</v>
          </cell>
        </row>
        <row r="682">
          <cell r="A682">
            <v>41138</v>
          </cell>
          <cell r="B682">
            <v>41138</v>
          </cell>
          <cell r="C682" t="str">
            <v>Future</v>
          </cell>
          <cell r="D682" t="e">
            <v>#N/A</v>
          </cell>
          <cell r="E682">
            <v>32.911061027667863</v>
          </cell>
          <cell r="F682">
            <v>69.373511620553629</v>
          </cell>
          <cell r="G682">
            <v>52.357701343873721</v>
          </cell>
          <cell r="H682">
            <v>52.357701343873721</v>
          </cell>
          <cell r="I682" t="e">
            <v>#N/A</v>
          </cell>
          <cell r="J682" t="e">
            <v>#N/A</v>
          </cell>
          <cell r="K682" t="e">
            <v>#N/A</v>
          </cell>
          <cell r="L682" t="e">
            <v>#N/A</v>
          </cell>
          <cell r="M682" t="e">
            <v>#N/A</v>
          </cell>
          <cell r="N682" t="e">
            <v>#N/A</v>
          </cell>
          <cell r="O682" t="e">
            <v>#N/A</v>
          </cell>
          <cell r="P682" t="str">
            <v/>
          </cell>
          <cell r="Q682" t="str">
            <v/>
          </cell>
          <cell r="R682" t="e">
            <v>#N/A</v>
          </cell>
        </row>
        <row r="683">
          <cell r="A683">
            <v>41141</v>
          </cell>
          <cell r="B683">
            <v>41141</v>
          </cell>
          <cell r="C683" t="str">
            <v>Future</v>
          </cell>
          <cell r="D683" t="e">
            <v>#N/A</v>
          </cell>
          <cell r="E683">
            <v>32.657899019762723</v>
          </cell>
          <cell r="F683">
            <v>69.416792300395528</v>
          </cell>
          <cell r="G683">
            <v>52.262642102767003</v>
          </cell>
          <cell r="H683">
            <v>52.262642102767003</v>
          </cell>
          <cell r="I683" t="e">
            <v>#N/A</v>
          </cell>
          <cell r="J683" t="e">
            <v>#N/A</v>
          </cell>
          <cell r="K683" t="e">
            <v>#N/A</v>
          </cell>
          <cell r="L683" t="e">
            <v>#N/A</v>
          </cell>
          <cell r="M683" t="e">
            <v>#N/A</v>
          </cell>
          <cell r="N683" t="e">
            <v>#N/A</v>
          </cell>
          <cell r="O683" t="e">
            <v>#N/A</v>
          </cell>
          <cell r="P683" t="str">
            <v/>
          </cell>
          <cell r="Q683" t="str">
            <v/>
          </cell>
          <cell r="R683" t="e">
            <v>#N/A</v>
          </cell>
        </row>
        <row r="684">
          <cell r="A684">
            <v>41142</v>
          </cell>
          <cell r="B684">
            <v>41142</v>
          </cell>
          <cell r="C684" t="str">
            <v>Future</v>
          </cell>
          <cell r="D684" t="e">
            <v>#N/A</v>
          </cell>
          <cell r="E684">
            <v>32.404737011857584</v>
          </cell>
          <cell r="F684">
            <v>69.460072980237427</v>
          </cell>
          <cell r="G684">
            <v>52.167582861660286</v>
          </cell>
          <cell r="H684">
            <v>52.167582861660286</v>
          </cell>
          <cell r="I684" t="e">
            <v>#N/A</v>
          </cell>
          <cell r="J684" t="e">
            <v>#N/A</v>
          </cell>
          <cell r="K684" t="e">
            <v>#N/A</v>
          </cell>
          <cell r="L684" t="e">
            <v>#N/A</v>
          </cell>
          <cell r="M684" t="e">
            <v>#N/A</v>
          </cell>
          <cell r="N684" t="e">
            <v>#N/A</v>
          </cell>
          <cell r="O684" t="e">
            <v>#N/A</v>
          </cell>
          <cell r="P684" t="str">
            <v/>
          </cell>
          <cell r="Q684" t="str">
            <v/>
          </cell>
          <cell r="R684" t="e">
            <v>#N/A</v>
          </cell>
        </row>
        <row r="685">
          <cell r="A685">
            <v>41143</v>
          </cell>
          <cell r="B685">
            <v>41143</v>
          </cell>
          <cell r="C685" t="str">
            <v>Future</v>
          </cell>
          <cell r="D685" t="e">
            <v>#N/A</v>
          </cell>
          <cell r="E685">
            <v>32.151575003952445</v>
          </cell>
          <cell r="F685">
            <v>69.503353660079327</v>
          </cell>
          <cell r="G685">
            <v>52.072523620553568</v>
          </cell>
          <cell r="H685">
            <v>52.072523620553568</v>
          </cell>
          <cell r="I685" t="e">
            <v>#N/A</v>
          </cell>
          <cell r="J685" t="e">
            <v>#N/A</v>
          </cell>
          <cell r="K685" t="e">
            <v>#N/A</v>
          </cell>
          <cell r="L685" t="e">
            <v>#N/A</v>
          </cell>
          <cell r="M685" t="e">
            <v>#N/A</v>
          </cell>
          <cell r="N685" t="e">
            <v>#N/A</v>
          </cell>
          <cell r="O685" t="e">
            <v>#N/A</v>
          </cell>
          <cell r="P685" t="str">
            <v/>
          </cell>
          <cell r="Q685" t="str">
            <v/>
          </cell>
          <cell r="R685" t="e">
            <v>#N/A</v>
          </cell>
        </row>
        <row r="686">
          <cell r="A686">
            <v>41144</v>
          </cell>
          <cell r="B686">
            <v>41144</v>
          </cell>
          <cell r="C686" t="str">
            <v>Future</v>
          </cell>
          <cell r="D686" t="e">
            <v>#N/A</v>
          </cell>
          <cell r="E686">
            <v>31.898412996047306</v>
          </cell>
          <cell r="F686">
            <v>69.546634339921226</v>
          </cell>
          <cell r="G686">
            <v>51.97746437944685</v>
          </cell>
          <cell r="H686">
            <v>51.97746437944685</v>
          </cell>
          <cell r="I686" t="e">
            <v>#N/A</v>
          </cell>
          <cell r="J686" t="e">
            <v>#N/A</v>
          </cell>
          <cell r="K686" t="e">
            <v>#N/A</v>
          </cell>
          <cell r="L686" t="e">
            <v>#N/A</v>
          </cell>
          <cell r="M686" t="e">
            <v>#N/A</v>
          </cell>
          <cell r="N686" t="e">
            <v>#N/A</v>
          </cell>
          <cell r="O686" t="e">
            <v>#N/A</v>
          </cell>
          <cell r="P686" t="str">
            <v/>
          </cell>
          <cell r="Q686" t="str">
            <v/>
          </cell>
          <cell r="R686" t="e">
            <v>#N/A</v>
          </cell>
        </row>
        <row r="687">
          <cell r="A687">
            <v>41145</v>
          </cell>
          <cell r="B687">
            <v>41145</v>
          </cell>
          <cell r="C687" t="str">
            <v>Future</v>
          </cell>
          <cell r="D687" t="e">
            <v>#N/A</v>
          </cell>
          <cell r="E687">
            <v>31.645250988142166</v>
          </cell>
          <cell r="F687">
            <v>69.589915019763126</v>
          </cell>
          <cell r="G687">
            <v>51.882405138340133</v>
          </cell>
          <cell r="H687">
            <v>51.882405138340133</v>
          </cell>
          <cell r="I687" t="e">
            <v>#N/A</v>
          </cell>
          <cell r="J687" t="e">
            <v>#N/A</v>
          </cell>
          <cell r="K687" t="e">
            <v>#N/A</v>
          </cell>
          <cell r="L687" t="e">
            <v>#N/A</v>
          </cell>
          <cell r="M687" t="e">
            <v>#N/A</v>
          </cell>
          <cell r="N687" t="e">
            <v>#N/A</v>
          </cell>
          <cell r="O687" t="e">
            <v>#N/A</v>
          </cell>
          <cell r="P687" t="str">
            <v/>
          </cell>
          <cell r="Q687" t="str">
            <v/>
          </cell>
          <cell r="R687" t="e">
            <v>#N/A</v>
          </cell>
        </row>
        <row r="688">
          <cell r="A688">
            <v>41148</v>
          </cell>
          <cell r="B688">
            <v>41148</v>
          </cell>
          <cell r="C688" t="str">
            <v>Future</v>
          </cell>
          <cell r="D688" t="e">
            <v>#N/A</v>
          </cell>
          <cell r="E688">
            <v>31.392088980237027</v>
          </cell>
          <cell r="F688">
            <v>69.633195699605025</v>
          </cell>
          <cell r="G688">
            <v>51.787345897233415</v>
          </cell>
          <cell r="H688">
            <v>51.787345897233415</v>
          </cell>
          <cell r="I688" t="e">
            <v>#N/A</v>
          </cell>
          <cell r="J688" t="e">
            <v>#N/A</v>
          </cell>
          <cell r="K688" t="e">
            <v>#N/A</v>
          </cell>
          <cell r="L688" t="e">
            <v>#N/A</v>
          </cell>
          <cell r="M688" t="e">
            <v>#N/A</v>
          </cell>
          <cell r="N688" t="e">
            <v>#N/A</v>
          </cell>
          <cell r="O688" t="e">
            <v>#N/A</v>
          </cell>
          <cell r="P688" t="str">
            <v/>
          </cell>
          <cell r="Q688" t="str">
            <v/>
          </cell>
          <cell r="R688" t="e">
            <v>#N/A</v>
          </cell>
        </row>
        <row r="689">
          <cell r="A689">
            <v>41149</v>
          </cell>
          <cell r="B689">
            <v>41149</v>
          </cell>
          <cell r="C689" t="str">
            <v>Future</v>
          </cell>
          <cell r="D689" t="e">
            <v>#N/A</v>
          </cell>
          <cell r="E689">
            <v>31.138926972331888</v>
          </cell>
          <cell r="F689">
            <v>69.676476379446925</v>
          </cell>
          <cell r="G689">
            <v>51.692286656126697</v>
          </cell>
          <cell r="H689">
            <v>51.692286656126697</v>
          </cell>
          <cell r="I689" t="e">
            <v>#N/A</v>
          </cell>
          <cell r="J689" t="e">
            <v>#N/A</v>
          </cell>
          <cell r="K689" t="e">
            <v>#N/A</v>
          </cell>
          <cell r="L689" t="e">
            <v>#N/A</v>
          </cell>
          <cell r="M689" t="e">
            <v>#N/A</v>
          </cell>
          <cell r="N689" t="e">
            <v>#N/A</v>
          </cell>
          <cell r="O689" t="e">
            <v>#N/A</v>
          </cell>
          <cell r="P689" t="str">
            <v/>
          </cell>
          <cell r="Q689" t="str">
            <v/>
          </cell>
          <cell r="R689" t="e">
            <v>#N/A</v>
          </cell>
        </row>
        <row r="690">
          <cell r="A690">
            <v>41150</v>
          </cell>
          <cell r="B690">
            <v>41150</v>
          </cell>
          <cell r="C690" t="str">
            <v>Future</v>
          </cell>
          <cell r="D690" t="e">
            <v>#N/A</v>
          </cell>
          <cell r="E690">
            <v>30.885764964426748</v>
          </cell>
          <cell r="F690">
            <v>69.719757059288824</v>
          </cell>
          <cell r="G690">
            <v>51.597227415019979</v>
          </cell>
          <cell r="H690">
            <v>51.597227415019979</v>
          </cell>
          <cell r="I690" t="e">
            <v>#N/A</v>
          </cell>
          <cell r="J690" t="e">
            <v>#N/A</v>
          </cell>
          <cell r="K690" t="e">
            <v>#N/A</v>
          </cell>
          <cell r="L690" t="e">
            <v>#N/A</v>
          </cell>
          <cell r="M690" t="e">
            <v>#N/A</v>
          </cell>
          <cell r="N690" t="e">
            <v>#N/A</v>
          </cell>
          <cell r="O690" t="e">
            <v>#N/A</v>
          </cell>
          <cell r="P690" t="str">
            <v/>
          </cell>
          <cell r="Q690" t="str">
            <v/>
          </cell>
          <cell r="R690" t="e">
            <v>#N/A</v>
          </cell>
        </row>
        <row r="691">
          <cell r="A691">
            <v>41151</v>
          </cell>
          <cell r="B691">
            <v>41151</v>
          </cell>
          <cell r="C691" t="str">
            <v>Future</v>
          </cell>
          <cell r="D691" t="e">
            <v>#N/A</v>
          </cell>
          <cell r="E691">
            <v>30.632602956521609</v>
          </cell>
          <cell r="F691">
            <v>69.763037739130723</v>
          </cell>
          <cell r="G691">
            <v>51.502168173913262</v>
          </cell>
          <cell r="H691">
            <v>51.502168173913262</v>
          </cell>
          <cell r="I691" t="e">
            <v>#N/A</v>
          </cell>
          <cell r="J691" t="e">
            <v>#N/A</v>
          </cell>
          <cell r="K691" t="e">
            <v>#N/A</v>
          </cell>
          <cell r="L691" t="e">
            <v>#N/A</v>
          </cell>
          <cell r="M691" t="e">
            <v>#N/A</v>
          </cell>
          <cell r="N691" t="e">
            <v>#N/A</v>
          </cell>
          <cell r="O691" t="e">
            <v>#N/A</v>
          </cell>
          <cell r="P691" t="str">
            <v/>
          </cell>
          <cell r="Q691" t="str">
            <v/>
          </cell>
          <cell r="R691" t="e">
            <v>#N/A</v>
          </cell>
        </row>
        <row r="692">
          <cell r="A692">
            <v>41152</v>
          </cell>
          <cell r="B692">
            <v>41152</v>
          </cell>
          <cell r="C692" t="str">
            <v>Future</v>
          </cell>
          <cell r="D692" t="e">
            <v>#N/A</v>
          </cell>
          <cell r="E692">
            <v>30.37944094861647</v>
          </cell>
          <cell r="F692">
            <v>69.806318418972623</v>
          </cell>
          <cell r="G692">
            <v>51.407108932806544</v>
          </cell>
          <cell r="H692">
            <v>51.407108932806544</v>
          </cell>
          <cell r="I692" t="e">
            <v>#N/A</v>
          </cell>
          <cell r="J692" t="e">
            <v>#N/A</v>
          </cell>
          <cell r="K692" t="e">
            <v>#N/A</v>
          </cell>
          <cell r="L692" t="e">
            <v>#N/A</v>
          </cell>
          <cell r="M692" t="e">
            <v>#N/A</v>
          </cell>
          <cell r="N692" t="e">
            <v>#N/A</v>
          </cell>
          <cell r="O692" t="e">
            <v>#N/A</v>
          </cell>
          <cell r="P692" t="str">
            <v/>
          </cell>
          <cell r="Q692" t="str">
            <v/>
          </cell>
          <cell r="R692" t="e">
            <v>#N/A</v>
          </cell>
        </row>
        <row r="693">
          <cell r="A693">
            <v>41156</v>
          </cell>
          <cell r="B693">
            <v>41156</v>
          </cell>
          <cell r="C693" t="str">
            <v>Future</v>
          </cell>
          <cell r="D693" t="e">
            <v>#N/A</v>
          </cell>
          <cell r="E693">
            <v>30.12627894071133</v>
          </cell>
          <cell r="F693">
            <v>69.849599098814522</v>
          </cell>
          <cell r="G693">
            <v>51.312049691699826</v>
          </cell>
          <cell r="H693">
            <v>51.312049691699826</v>
          </cell>
          <cell r="I693" t="e">
            <v>#N/A</v>
          </cell>
          <cell r="J693" t="e">
            <v>#N/A</v>
          </cell>
          <cell r="K693" t="e">
            <v>#N/A</v>
          </cell>
          <cell r="L693" t="e">
            <v>#N/A</v>
          </cell>
          <cell r="M693" t="e">
            <v>#N/A</v>
          </cell>
          <cell r="N693" t="e">
            <v>#N/A</v>
          </cell>
          <cell r="O693" t="e">
            <v>#N/A</v>
          </cell>
          <cell r="P693" t="str">
            <v/>
          </cell>
          <cell r="Q693" t="str">
            <v/>
          </cell>
          <cell r="R693" t="e">
            <v>#N/A</v>
          </cell>
        </row>
        <row r="694">
          <cell r="A694">
            <v>41157</v>
          </cell>
          <cell r="B694">
            <v>41157</v>
          </cell>
          <cell r="C694" t="str">
            <v>Future</v>
          </cell>
          <cell r="D694" t="e">
            <v>#N/A</v>
          </cell>
          <cell r="E694">
            <v>29.873116932806191</v>
          </cell>
          <cell r="F694">
            <v>69.892879778656422</v>
          </cell>
          <cell r="G694">
            <v>51.216990450593109</v>
          </cell>
          <cell r="H694">
            <v>51.216990450593109</v>
          </cell>
          <cell r="I694" t="e">
            <v>#N/A</v>
          </cell>
          <cell r="J694" t="e">
            <v>#N/A</v>
          </cell>
          <cell r="K694" t="e">
            <v>#N/A</v>
          </cell>
          <cell r="L694" t="e">
            <v>#N/A</v>
          </cell>
          <cell r="M694" t="e">
            <v>#N/A</v>
          </cell>
          <cell r="N694" t="e">
            <v>#N/A</v>
          </cell>
          <cell r="O694" t="e">
            <v>#N/A</v>
          </cell>
          <cell r="P694" t="str">
            <v/>
          </cell>
          <cell r="Q694" t="str">
            <v/>
          </cell>
          <cell r="R694" t="e">
            <v>#N/A</v>
          </cell>
        </row>
        <row r="695">
          <cell r="A695">
            <v>41158</v>
          </cell>
          <cell r="B695">
            <v>41158</v>
          </cell>
          <cell r="C695" t="str">
            <v>Future</v>
          </cell>
          <cell r="D695" t="e">
            <v>#N/A</v>
          </cell>
          <cell r="E695">
            <v>29.619954924901052</v>
          </cell>
          <cell r="F695">
            <v>69.936160458498321</v>
          </cell>
          <cell r="G695">
            <v>51.121931209486391</v>
          </cell>
          <cell r="H695">
            <v>51.121931209486391</v>
          </cell>
          <cell r="I695" t="e">
            <v>#N/A</v>
          </cell>
          <cell r="J695" t="e">
            <v>#N/A</v>
          </cell>
          <cell r="K695" t="e">
            <v>#N/A</v>
          </cell>
          <cell r="L695" t="e">
            <v>#N/A</v>
          </cell>
          <cell r="M695" t="e">
            <v>#N/A</v>
          </cell>
          <cell r="N695" t="e">
            <v>#N/A</v>
          </cell>
          <cell r="O695" t="e">
            <v>#N/A</v>
          </cell>
          <cell r="P695" t="str">
            <v/>
          </cell>
          <cell r="Q695" t="str">
            <v/>
          </cell>
          <cell r="R695" t="e">
            <v>#N/A</v>
          </cell>
        </row>
        <row r="696">
          <cell r="A696">
            <v>41159</v>
          </cell>
          <cell r="B696">
            <v>41159</v>
          </cell>
          <cell r="C696" t="str">
            <v>Future</v>
          </cell>
          <cell r="D696" t="e">
            <v>#N/A</v>
          </cell>
          <cell r="E696">
            <v>29.366792916995912</v>
          </cell>
          <cell r="F696">
            <v>69.979441138340221</v>
          </cell>
          <cell r="G696">
            <v>51.026871968379673</v>
          </cell>
          <cell r="H696">
            <v>51.026871968379673</v>
          </cell>
          <cell r="I696" t="e">
            <v>#N/A</v>
          </cell>
          <cell r="J696" t="e">
            <v>#N/A</v>
          </cell>
          <cell r="K696" t="e">
            <v>#N/A</v>
          </cell>
          <cell r="L696" t="e">
            <v>#N/A</v>
          </cell>
          <cell r="M696" t="e">
            <v>#N/A</v>
          </cell>
          <cell r="N696" t="e">
            <v>#N/A</v>
          </cell>
          <cell r="O696" t="e">
            <v>#N/A</v>
          </cell>
          <cell r="P696" t="str">
            <v/>
          </cell>
          <cell r="Q696" t="str">
            <v/>
          </cell>
          <cell r="R696" t="e">
            <v>#N/A</v>
          </cell>
        </row>
        <row r="697">
          <cell r="A697">
            <v>41162</v>
          </cell>
          <cell r="B697">
            <v>41162</v>
          </cell>
          <cell r="C697" t="str">
            <v>Future</v>
          </cell>
          <cell r="D697" t="e">
            <v>#N/A</v>
          </cell>
          <cell r="E697">
            <v>29.113630909090773</v>
          </cell>
          <cell r="F697">
            <v>70.02272181818212</v>
          </cell>
          <cell r="G697">
            <v>50.931812727272955</v>
          </cell>
          <cell r="H697">
            <v>50.931812727272955</v>
          </cell>
          <cell r="I697" t="e">
            <v>#N/A</v>
          </cell>
          <cell r="J697" t="e">
            <v>#N/A</v>
          </cell>
          <cell r="K697" t="e">
            <v>#N/A</v>
          </cell>
          <cell r="L697" t="e">
            <v>#N/A</v>
          </cell>
          <cell r="M697" t="e">
            <v>#N/A</v>
          </cell>
          <cell r="N697" t="e">
            <v>#N/A</v>
          </cell>
          <cell r="O697" t="e">
            <v>#N/A</v>
          </cell>
          <cell r="P697" t="str">
            <v/>
          </cell>
          <cell r="Q697" t="str">
            <v/>
          </cell>
          <cell r="R697" t="e">
            <v>#N/A</v>
          </cell>
        </row>
        <row r="698">
          <cell r="A698">
            <v>41163</v>
          </cell>
          <cell r="B698">
            <v>41163</v>
          </cell>
          <cell r="C698" t="str">
            <v>Future</v>
          </cell>
          <cell r="D698" t="e">
            <v>#N/A</v>
          </cell>
          <cell r="E698">
            <v>28.860468901185634</v>
          </cell>
          <cell r="F698">
            <v>70.066002498024019</v>
          </cell>
          <cell r="G698">
            <v>50.836753486166238</v>
          </cell>
          <cell r="H698">
            <v>50.836753486166238</v>
          </cell>
          <cell r="I698" t="e">
            <v>#N/A</v>
          </cell>
          <cell r="J698" t="e">
            <v>#N/A</v>
          </cell>
          <cell r="K698" t="e">
            <v>#N/A</v>
          </cell>
          <cell r="L698" t="e">
            <v>#N/A</v>
          </cell>
          <cell r="M698" t="e">
            <v>#N/A</v>
          </cell>
          <cell r="N698" t="e">
            <v>#N/A</v>
          </cell>
          <cell r="O698" t="e">
            <v>#N/A</v>
          </cell>
          <cell r="P698" t="str">
            <v/>
          </cell>
          <cell r="Q698" t="str">
            <v/>
          </cell>
          <cell r="R698" t="e">
            <v>#N/A</v>
          </cell>
        </row>
        <row r="699">
          <cell r="A699">
            <v>41164</v>
          </cell>
          <cell r="B699">
            <v>41164</v>
          </cell>
          <cell r="C699" t="str">
            <v>Future</v>
          </cell>
          <cell r="D699" t="e">
            <v>#N/A</v>
          </cell>
          <cell r="E699">
            <v>28.607306893280494</v>
          </cell>
          <cell r="F699">
            <v>70.109283177865919</v>
          </cell>
          <cell r="G699">
            <v>50.74169424505952</v>
          </cell>
          <cell r="H699">
            <v>50.74169424505952</v>
          </cell>
          <cell r="I699" t="e">
            <v>#N/A</v>
          </cell>
          <cell r="J699" t="e">
            <v>#N/A</v>
          </cell>
          <cell r="K699" t="e">
            <v>#N/A</v>
          </cell>
          <cell r="L699" t="e">
            <v>#N/A</v>
          </cell>
          <cell r="M699" t="e">
            <v>#N/A</v>
          </cell>
          <cell r="N699" t="e">
            <v>#N/A</v>
          </cell>
          <cell r="O699" t="e">
            <v>#N/A</v>
          </cell>
          <cell r="P699" t="str">
            <v/>
          </cell>
          <cell r="Q699" t="str">
            <v/>
          </cell>
          <cell r="R699" t="e">
            <v>#N/A</v>
          </cell>
        </row>
        <row r="700">
          <cell r="A700">
            <v>41165</v>
          </cell>
          <cell r="B700">
            <v>41165</v>
          </cell>
          <cell r="C700" t="str">
            <v>Future</v>
          </cell>
          <cell r="D700" t="e">
            <v>#N/A</v>
          </cell>
          <cell r="E700">
            <v>28.354144885375355</v>
          </cell>
          <cell r="F700">
            <v>70.152563857707818</v>
          </cell>
          <cell r="G700">
            <v>50.646635003952802</v>
          </cell>
          <cell r="H700">
            <v>50.646635003952802</v>
          </cell>
          <cell r="I700" t="e">
            <v>#N/A</v>
          </cell>
          <cell r="J700" t="e">
            <v>#N/A</v>
          </cell>
          <cell r="K700" t="e">
            <v>#N/A</v>
          </cell>
          <cell r="L700" t="e">
            <v>#N/A</v>
          </cell>
          <cell r="M700" t="e">
            <v>#N/A</v>
          </cell>
          <cell r="N700" t="e">
            <v>#N/A</v>
          </cell>
          <cell r="O700" t="e">
            <v>#N/A</v>
          </cell>
          <cell r="P700" t="str">
            <v/>
          </cell>
          <cell r="Q700" t="str">
            <v/>
          </cell>
          <cell r="R700" t="e">
            <v>#N/A</v>
          </cell>
        </row>
        <row r="701">
          <cell r="A701">
            <v>41166</v>
          </cell>
          <cell r="B701">
            <v>41166</v>
          </cell>
          <cell r="C701" t="str">
            <v>Future</v>
          </cell>
          <cell r="D701" t="e">
            <v>#N/A</v>
          </cell>
          <cell r="E701">
            <v>28.100982877470216</v>
          </cell>
          <cell r="F701">
            <v>70.195844537549718</v>
          </cell>
          <cell r="G701">
            <v>50.551575762846085</v>
          </cell>
          <cell r="H701">
            <v>50.551575762846085</v>
          </cell>
          <cell r="I701" t="e">
            <v>#N/A</v>
          </cell>
          <cell r="J701" t="e">
            <v>#N/A</v>
          </cell>
          <cell r="K701" t="e">
            <v>#N/A</v>
          </cell>
          <cell r="L701" t="e">
            <v>#N/A</v>
          </cell>
          <cell r="M701" t="e">
            <v>#N/A</v>
          </cell>
          <cell r="N701" t="e">
            <v>#N/A</v>
          </cell>
          <cell r="O701" t="e">
            <v>#N/A</v>
          </cell>
          <cell r="P701" t="str">
            <v/>
          </cell>
          <cell r="Q701" t="str">
            <v/>
          </cell>
          <cell r="R701" t="e">
            <v>#N/A</v>
          </cell>
        </row>
        <row r="702">
          <cell r="A702">
            <v>41169</v>
          </cell>
          <cell r="B702">
            <v>41169</v>
          </cell>
          <cell r="C702" t="str">
            <v>Future</v>
          </cell>
          <cell r="D702" t="e">
            <v>#N/A</v>
          </cell>
          <cell r="E702">
            <v>27.847820869565076</v>
          </cell>
          <cell r="F702">
            <v>70.239125217391617</v>
          </cell>
          <cell r="G702">
            <v>50.456516521739367</v>
          </cell>
          <cell r="H702">
            <v>50.456516521739367</v>
          </cell>
          <cell r="I702" t="e">
            <v>#N/A</v>
          </cell>
          <cell r="J702" t="e">
            <v>#N/A</v>
          </cell>
          <cell r="K702" t="e">
            <v>#N/A</v>
          </cell>
          <cell r="L702" t="e">
            <v>#N/A</v>
          </cell>
          <cell r="M702" t="e">
            <v>#N/A</v>
          </cell>
          <cell r="N702" t="e">
            <v>#N/A</v>
          </cell>
          <cell r="O702" t="e">
            <v>#N/A</v>
          </cell>
          <cell r="P702" t="str">
            <v/>
          </cell>
          <cell r="Q702" t="str">
            <v/>
          </cell>
          <cell r="R702" t="e">
            <v>#N/A</v>
          </cell>
        </row>
        <row r="703">
          <cell r="A703">
            <v>41170</v>
          </cell>
          <cell r="B703">
            <v>41170</v>
          </cell>
          <cell r="C703" t="str">
            <v>Future</v>
          </cell>
          <cell r="D703" t="e">
            <v>#N/A</v>
          </cell>
          <cell r="E703">
            <v>27.594658861659937</v>
          </cell>
          <cell r="F703">
            <v>70.282405897233517</v>
          </cell>
          <cell r="G703">
            <v>50.361457280632649</v>
          </cell>
          <cell r="H703">
            <v>50.361457280632649</v>
          </cell>
          <cell r="I703" t="e">
            <v>#N/A</v>
          </cell>
          <cell r="J703" t="e">
            <v>#N/A</v>
          </cell>
          <cell r="K703" t="e">
            <v>#N/A</v>
          </cell>
          <cell r="L703" t="e">
            <v>#N/A</v>
          </cell>
          <cell r="M703" t="e">
            <v>#N/A</v>
          </cell>
          <cell r="N703" t="e">
            <v>#N/A</v>
          </cell>
          <cell r="O703" t="e">
            <v>#N/A</v>
          </cell>
          <cell r="P703" t="str">
            <v/>
          </cell>
          <cell r="Q703" t="str">
            <v/>
          </cell>
          <cell r="R703" t="e">
            <v>#N/A</v>
          </cell>
        </row>
        <row r="704">
          <cell r="A704">
            <v>41171</v>
          </cell>
          <cell r="B704">
            <v>41171</v>
          </cell>
          <cell r="C704" t="str">
            <v>Future</v>
          </cell>
          <cell r="D704" t="e">
            <v>#N/A</v>
          </cell>
          <cell r="E704">
            <v>27.341496853754798</v>
          </cell>
          <cell r="F704">
            <v>70.325686577075416</v>
          </cell>
          <cell r="G704">
            <v>50.266398039525932</v>
          </cell>
          <cell r="H704">
            <v>50.266398039525932</v>
          </cell>
          <cell r="I704" t="e">
            <v>#N/A</v>
          </cell>
          <cell r="J704" t="e">
            <v>#N/A</v>
          </cell>
          <cell r="K704" t="e">
            <v>#N/A</v>
          </cell>
          <cell r="L704" t="e">
            <v>#N/A</v>
          </cell>
          <cell r="M704" t="e">
            <v>#N/A</v>
          </cell>
          <cell r="N704" t="e">
            <v>#N/A</v>
          </cell>
          <cell r="O704" t="e">
            <v>#N/A</v>
          </cell>
          <cell r="P704" t="str">
            <v/>
          </cell>
          <cell r="Q704" t="str">
            <v/>
          </cell>
          <cell r="R704" t="e">
            <v>#N/A</v>
          </cell>
        </row>
        <row r="705">
          <cell r="A705">
            <v>41172</v>
          </cell>
          <cell r="B705">
            <v>41172</v>
          </cell>
          <cell r="C705" t="str">
            <v>Future</v>
          </cell>
          <cell r="D705" t="e">
            <v>#N/A</v>
          </cell>
          <cell r="E705">
            <v>27.088334845849658</v>
          </cell>
          <cell r="F705">
            <v>70.368967256917315</v>
          </cell>
          <cell r="G705">
            <v>50.171338798419214</v>
          </cell>
          <cell r="H705">
            <v>50.171338798419214</v>
          </cell>
          <cell r="I705" t="e">
            <v>#N/A</v>
          </cell>
          <cell r="J705" t="e">
            <v>#N/A</v>
          </cell>
          <cell r="K705" t="e">
            <v>#N/A</v>
          </cell>
          <cell r="L705" t="e">
            <v>#N/A</v>
          </cell>
          <cell r="M705" t="e">
            <v>#N/A</v>
          </cell>
          <cell r="N705" t="e">
            <v>#N/A</v>
          </cell>
          <cell r="O705" t="e">
            <v>#N/A</v>
          </cell>
          <cell r="P705" t="str">
            <v/>
          </cell>
          <cell r="Q705" t="str">
            <v/>
          </cell>
          <cell r="R705" t="e">
            <v>#N/A</v>
          </cell>
        </row>
        <row r="706">
          <cell r="A706">
            <v>41173</v>
          </cell>
          <cell r="B706">
            <v>41173</v>
          </cell>
          <cell r="C706" t="str">
            <v>Future</v>
          </cell>
          <cell r="D706" t="e">
            <v>#N/A</v>
          </cell>
          <cell r="E706">
            <v>26.835172837944519</v>
          </cell>
          <cell r="F706">
            <v>70.412247936759215</v>
          </cell>
          <cell r="G706">
            <v>50.076279557312496</v>
          </cell>
          <cell r="H706">
            <v>50.076279557312496</v>
          </cell>
          <cell r="I706" t="e">
            <v>#N/A</v>
          </cell>
          <cell r="J706" t="e">
            <v>#N/A</v>
          </cell>
          <cell r="K706" t="e">
            <v>#N/A</v>
          </cell>
          <cell r="L706" t="e">
            <v>#N/A</v>
          </cell>
          <cell r="M706" t="e">
            <v>#N/A</v>
          </cell>
          <cell r="N706" t="e">
            <v>#N/A</v>
          </cell>
          <cell r="O706" t="e">
            <v>#N/A</v>
          </cell>
          <cell r="P706" t="str">
            <v/>
          </cell>
          <cell r="Q706" t="str">
            <v/>
          </cell>
          <cell r="R706" t="e">
            <v>#N/A</v>
          </cell>
        </row>
        <row r="707">
          <cell r="A707">
            <v>41176</v>
          </cell>
          <cell r="B707">
            <v>41176</v>
          </cell>
          <cell r="C707" t="str">
            <v>Future</v>
          </cell>
          <cell r="D707" t="e">
            <v>#N/A</v>
          </cell>
          <cell r="E707">
            <v>26.58201083003938</v>
          </cell>
          <cell r="F707">
            <v>70.455528616601114</v>
          </cell>
          <cell r="G707">
            <v>49.981220316205778</v>
          </cell>
          <cell r="H707">
            <v>49.981220316205778</v>
          </cell>
          <cell r="I707" t="e">
            <v>#N/A</v>
          </cell>
          <cell r="J707" t="e">
            <v>#N/A</v>
          </cell>
          <cell r="K707" t="e">
            <v>#N/A</v>
          </cell>
          <cell r="L707" t="e">
            <v>#N/A</v>
          </cell>
          <cell r="M707" t="e">
            <v>#N/A</v>
          </cell>
          <cell r="N707" t="e">
            <v>#N/A</v>
          </cell>
          <cell r="O707" t="e">
            <v>#N/A</v>
          </cell>
          <cell r="P707" t="str">
            <v/>
          </cell>
          <cell r="Q707" t="str">
            <v/>
          </cell>
          <cell r="R707" t="e">
            <v>#N/A</v>
          </cell>
        </row>
        <row r="708">
          <cell r="A708">
            <v>41177</v>
          </cell>
          <cell r="B708">
            <v>41177</v>
          </cell>
          <cell r="C708" t="str">
            <v>Future</v>
          </cell>
          <cell r="D708" t="e">
            <v>#N/A</v>
          </cell>
          <cell r="E708">
            <v>26.32884882213424</v>
          </cell>
          <cell r="F708">
            <v>70.498809296443014</v>
          </cell>
          <cell r="G708">
            <v>49.886161075099061</v>
          </cell>
          <cell r="H708">
            <v>49.886161075099061</v>
          </cell>
          <cell r="I708" t="e">
            <v>#N/A</v>
          </cell>
          <cell r="J708" t="e">
            <v>#N/A</v>
          </cell>
          <cell r="K708" t="e">
            <v>#N/A</v>
          </cell>
          <cell r="L708" t="e">
            <v>#N/A</v>
          </cell>
          <cell r="M708" t="e">
            <v>#N/A</v>
          </cell>
          <cell r="N708" t="e">
            <v>#N/A</v>
          </cell>
          <cell r="O708" t="e">
            <v>#N/A</v>
          </cell>
          <cell r="P708" t="str">
            <v/>
          </cell>
          <cell r="Q708" t="str">
            <v/>
          </cell>
          <cell r="R708" t="e">
            <v>#N/A</v>
          </cell>
        </row>
        <row r="709">
          <cell r="A709">
            <v>41178</v>
          </cell>
          <cell r="B709">
            <v>41178</v>
          </cell>
          <cell r="C709" t="str">
            <v>Future</v>
          </cell>
          <cell r="D709" t="e">
            <v>#N/A</v>
          </cell>
          <cell r="E709">
            <v>26.075686814229101</v>
          </cell>
          <cell r="F709">
            <v>70.542089976284913</v>
          </cell>
          <cell r="G709">
            <v>49.791101833992343</v>
          </cell>
          <cell r="H709">
            <v>49.791101833992343</v>
          </cell>
          <cell r="I709" t="e">
            <v>#N/A</v>
          </cell>
          <cell r="J709" t="e">
            <v>#N/A</v>
          </cell>
          <cell r="K709" t="e">
            <v>#N/A</v>
          </cell>
          <cell r="L709" t="e">
            <v>#N/A</v>
          </cell>
          <cell r="M709" t="e">
            <v>#N/A</v>
          </cell>
          <cell r="N709" t="e">
            <v>#N/A</v>
          </cell>
          <cell r="O709" t="e">
            <v>#N/A</v>
          </cell>
          <cell r="P709" t="str">
            <v/>
          </cell>
          <cell r="Q709" t="str">
            <v/>
          </cell>
          <cell r="R709" t="e">
            <v>#N/A</v>
          </cell>
        </row>
        <row r="710">
          <cell r="A710">
            <v>41179</v>
          </cell>
          <cell r="B710">
            <v>41179</v>
          </cell>
          <cell r="C710" t="str">
            <v>Future</v>
          </cell>
          <cell r="D710" t="e">
            <v>#N/A</v>
          </cell>
          <cell r="E710">
            <v>25.822524806323962</v>
          </cell>
          <cell r="F710">
            <v>70.585370656126813</v>
          </cell>
          <cell r="G710">
            <v>49.696042592885625</v>
          </cell>
          <cell r="H710">
            <v>49.696042592885625</v>
          </cell>
          <cell r="I710" t="e">
            <v>#N/A</v>
          </cell>
          <cell r="J710" t="e">
            <v>#N/A</v>
          </cell>
          <cell r="K710" t="e">
            <v>#N/A</v>
          </cell>
          <cell r="L710" t="e">
            <v>#N/A</v>
          </cell>
          <cell r="M710" t="e">
            <v>#N/A</v>
          </cell>
          <cell r="N710" t="e">
            <v>#N/A</v>
          </cell>
          <cell r="O710" t="e">
            <v>#N/A</v>
          </cell>
          <cell r="P710" t="str">
            <v/>
          </cell>
          <cell r="Q710" t="str">
            <v/>
          </cell>
          <cell r="R710" t="e">
            <v>#N/A</v>
          </cell>
        </row>
        <row r="711">
          <cell r="A711">
            <v>41180</v>
          </cell>
          <cell r="B711">
            <v>41180</v>
          </cell>
          <cell r="C711" t="str">
            <v>Future</v>
          </cell>
          <cell r="D711" t="e">
            <v>#N/A</v>
          </cell>
          <cell r="E711">
            <v>25.569362798418823</v>
          </cell>
          <cell r="F711">
            <v>70.628651335968712</v>
          </cell>
          <cell r="G711">
            <v>49.600983351778908</v>
          </cell>
          <cell r="H711">
            <v>49.600983351778908</v>
          </cell>
          <cell r="I711" t="e">
            <v>#N/A</v>
          </cell>
          <cell r="J711" t="e">
            <v>#N/A</v>
          </cell>
          <cell r="K711" t="e">
            <v>#N/A</v>
          </cell>
          <cell r="L711" t="e">
            <v>#N/A</v>
          </cell>
          <cell r="M711" t="e">
            <v>#N/A</v>
          </cell>
          <cell r="N711" t="e">
            <v>#N/A</v>
          </cell>
          <cell r="O711" t="e">
            <v>#N/A</v>
          </cell>
          <cell r="P711" t="str">
            <v/>
          </cell>
          <cell r="Q711" t="str">
            <v/>
          </cell>
          <cell r="R711" t="e">
            <v>#N/A</v>
          </cell>
        </row>
        <row r="712">
          <cell r="A712">
            <v>41183</v>
          </cell>
          <cell r="B712">
            <v>41183</v>
          </cell>
          <cell r="C712" t="str">
            <v>Future</v>
          </cell>
          <cell r="D712" t="e">
            <v>#N/A</v>
          </cell>
          <cell r="E712">
            <v>25.316200790513683</v>
          </cell>
          <cell r="F712">
            <v>70.671932015810611</v>
          </cell>
          <cell r="G712">
            <v>49.50592411067219</v>
          </cell>
          <cell r="H712">
            <v>49.50592411067219</v>
          </cell>
          <cell r="I712" t="e">
            <v>#N/A</v>
          </cell>
          <cell r="J712" t="e">
            <v>#N/A</v>
          </cell>
          <cell r="K712" t="e">
            <v>#N/A</v>
          </cell>
          <cell r="L712" t="e">
            <v>#N/A</v>
          </cell>
          <cell r="M712" t="e">
            <v>#N/A</v>
          </cell>
          <cell r="N712" t="e">
            <v>#N/A</v>
          </cell>
          <cell r="O712" t="e">
            <v>#N/A</v>
          </cell>
          <cell r="P712" t="str">
            <v/>
          </cell>
          <cell r="Q712" t="str">
            <v/>
          </cell>
          <cell r="R712" t="e">
            <v>#N/A</v>
          </cell>
        </row>
        <row r="713">
          <cell r="A713">
            <v>41184</v>
          </cell>
          <cell r="B713">
            <v>41184</v>
          </cell>
          <cell r="C713" t="str">
            <v>Future</v>
          </cell>
          <cell r="D713" t="e">
            <v>#N/A</v>
          </cell>
          <cell r="E713">
            <v>25.063038782608544</v>
          </cell>
          <cell r="F713">
            <v>70.715212695652511</v>
          </cell>
          <cell r="G713">
            <v>49.410864869565472</v>
          </cell>
          <cell r="H713">
            <v>49.410864869565472</v>
          </cell>
          <cell r="I713" t="e">
            <v>#N/A</v>
          </cell>
          <cell r="J713" t="e">
            <v>#N/A</v>
          </cell>
          <cell r="K713" t="e">
            <v>#N/A</v>
          </cell>
          <cell r="L713" t="e">
            <v>#N/A</v>
          </cell>
          <cell r="M713" t="e">
            <v>#N/A</v>
          </cell>
          <cell r="N713" t="e">
            <v>#N/A</v>
          </cell>
          <cell r="O713" t="e">
            <v>#N/A</v>
          </cell>
          <cell r="P713" t="str">
            <v/>
          </cell>
          <cell r="Q713" t="str">
            <v/>
          </cell>
          <cell r="R713" t="e">
            <v>#N/A</v>
          </cell>
        </row>
        <row r="714">
          <cell r="A714">
            <v>41185</v>
          </cell>
          <cell r="B714">
            <v>41185</v>
          </cell>
          <cell r="C714" t="str">
            <v>Future</v>
          </cell>
          <cell r="D714" t="e">
            <v>#N/A</v>
          </cell>
          <cell r="E714">
            <v>24.809876774703405</v>
          </cell>
          <cell r="F714">
            <v>70.75849337549441</v>
          </cell>
          <cell r="G714">
            <v>49.315805628458754</v>
          </cell>
          <cell r="H714">
            <v>49.315805628458754</v>
          </cell>
          <cell r="I714" t="e">
            <v>#N/A</v>
          </cell>
          <cell r="J714" t="e">
            <v>#N/A</v>
          </cell>
          <cell r="K714" t="e">
            <v>#N/A</v>
          </cell>
          <cell r="L714" t="e">
            <v>#N/A</v>
          </cell>
          <cell r="M714" t="e">
            <v>#N/A</v>
          </cell>
          <cell r="N714" t="e">
            <v>#N/A</v>
          </cell>
          <cell r="O714" t="e">
            <v>#N/A</v>
          </cell>
          <cell r="P714" t="str">
            <v/>
          </cell>
          <cell r="Q714" t="str">
            <v/>
          </cell>
          <cell r="R714" t="e">
            <v>#N/A</v>
          </cell>
        </row>
        <row r="715">
          <cell r="A715">
            <v>41186</v>
          </cell>
          <cell r="B715">
            <v>41186</v>
          </cell>
          <cell r="C715" t="str">
            <v>Future</v>
          </cell>
          <cell r="D715" t="e">
            <v>#N/A</v>
          </cell>
          <cell r="E715">
            <v>24.556714766798265</v>
          </cell>
          <cell r="F715">
            <v>70.80177405533631</v>
          </cell>
          <cell r="G715">
            <v>49.220746387352037</v>
          </cell>
          <cell r="H715">
            <v>49.220746387352037</v>
          </cell>
          <cell r="I715" t="e">
            <v>#N/A</v>
          </cell>
          <cell r="J715" t="e">
            <v>#N/A</v>
          </cell>
          <cell r="K715" t="e">
            <v>#N/A</v>
          </cell>
          <cell r="L715" t="e">
            <v>#N/A</v>
          </cell>
          <cell r="M715" t="e">
            <v>#N/A</v>
          </cell>
          <cell r="N715" t="e">
            <v>#N/A</v>
          </cell>
          <cell r="O715" t="e">
            <v>#N/A</v>
          </cell>
          <cell r="P715" t="str">
            <v/>
          </cell>
          <cell r="Q715" t="str">
            <v/>
          </cell>
          <cell r="R715" t="e">
            <v>#N/A</v>
          </cell>
        </row>
        <row r="716">
          <cell r="A716">
            <v>41187</v>
          </cell>
          <cell r="B716">
            <v>41187</v>
          </cell>
          <cell r="C716" t="str">
            <v>Future</v>
          </cell>
          <cell r="D716" t="e">
            <v>#N/A</v>
          </cell>
          <cell r="E716">
            <v>24.303552758893126</v>
          </cell>
          <cell r="F716">
            <v>70.845054735178209</v>
          </cell>
          <cell r="G716">
            <v>49.125687146245319</v>
          </cell>
          <cell r="H716">
            <v>49.125687146245319</v>
          </cell>
          <cell r="I716" t="e">
            <v>#N/A</v>
          </cell>
          <cell r="J716" t="e">
            <v>#N/A</v>
          </cell>
          <cell r="K716" t="e">
            <v>#N/A</v>
          </cell>
          <cell r="L716" t="e">
            <v>#N/A</v>
          </cell>
          <cell r="M716" t="e">
            <v>#N/A</v>
          </cell>
          <cell r="N716" t="e">
            <v>#N/A</v>
          </cell>
          <cell r="O716" t="e">
            <v>#N/A</v>
          </cell>
          <cell r="P716" t="str">
            <v/>
          </cell>
          <cell r="Q716" t="str">
            <v/>
          </cell>
          <cell r="R716" t="e">
            <v>#N/A</v>
          </cell>
        </row>
        <row r="717">
          <cell r="A717">
            <v>41190</v>
          </cell>
          <cell r="B717">
            <v>41190</v>
          </cell>
          <cell r="C717" t="str">
            <v>Future</v>
          </cell>
          <cell r="D717" t="e">
            <v>#N/A</v>
          </cell>
          <cell r="E717">
            <v>24.050390750987987</v>
          </cell>
          <cell r="F717">
            <v>70.888335415020109</v>
          </cell>
          <cell r="G717">
            <v>49.030627905138601</v>
          </cell>
          <cell r="H717">
            <v>49.030627905138601</v>
          </cell>
          <cell r="I717" t="e">
            <v>#N/A</v>
          </cell>
          <cell r="J717" t="e">
            <v>#N/A</v>
          </cell>
          <cell r="K717" t="e">
            <v>#N/A</v>
          </cell>
          <cell r="L717" t="e">
            <v>#N/A</v>
          </cell>
          <cell r="M717" t="e">
            <v>#N/A</v>
          </cell>
          <cell r="N717" t="e">
            <v>#N/A</v>
          </cell>
          <cell r="O717" t="e">
            <v>#N/A</v>
          </cell>
          <cell r="P717" t="str">
            <v/>
          </cell>
          <cell r="Q717" t="str">
            <v/>
          </cell>
          <cell r="R717" t="e">
            <v>#N/A</v>
          </cell>
        </row>
        <row r="718">
          <cell r="A718">
            <v>41191</v>
          </cell>
          <cell r="B718">
            <v>41191</v>
          </cell>
          <cell r="C718" t="str">
            <v>Future</v>
          </cell>
          <cell r="D718" t="e">
            <v>#N/A</v>
          </cell>
          <cell r="E718">
            <v>23.797228743082847</v>
          </cell>
          <cell r="F718">
            <v>70.931616094862008</v>
          </cell>
          <cell r="G718">
            <v>48.935568664031884</v>
          </cell>
          <cell r="H718">
            <v>48.935568664031884</v>
          </cell>
          <cell r="I718" t="e">
            <v>#N/A</v>
          </cell>
          <cell r="J718" t="e">
            <v>#N/A</v>
          </cell>
          <cell r="K718" t="e">
            <v>#N/A</v>
          </cell>
          <cell r="L718" t="e">
            <v>#N/A</v>
          </cell>
          <cell r="M718" t="e">
            <v>#N/A</v>
          </cell>
          <cell r="N718" t="e">
            <v>#N/A</v>
          </cell>
          <cell r="O718" t="e">
            <v>#N/A</v>
          </cell>
          <cell r="P718" t="str">
            <v/>
          </cell>
          <cell r="Q718" t="str">
            <v/>
          </cell>
          <cell r="R718" t="e">
            <v>#N/A</v>
          </cell>
        </row>
        <row r="719">
          <cell r="A719">
            <v>41192</v>
          </cell>
          <cell r="B719">
            <v>41192</v>
          </cell>
          <cell r="C719" t="str">
            <v>Future</v>
          </cell>
          <cell r="D719" t="e">
            <v>#N/A</v>
          </cell>
          <cell r="E719">
            <v>23.544066735177708</v>
          </cell>
          <cell r="F719">
            <v>70.974896774703907</v>
          </cell>
          <cell r="G719">
            <v>48.840509422925166</v>
          </cell>
          <cell r="H719">
            <v>48.840509422925166</v>
          </cell>
          <cell r="I719" t="e">
            <v>#N/A</v>
          </cell>
          <cell r="J719" t="e">
            <v>#N/A</v>
          </cell>
          <cell r="K719" t="e">
            <v>#N/A</v>
          </cell>
          <cell r="L719" t="e">
            <v>#N/A</v>
          </cell>
          <cell r="M719" t="e">
            <v>#N/A</v>
          </cell>
          <cell r="N719" t="e">
            <v>#N/A</v>
          </cell>
          <cell r="O719" t="e">
            <v>#N/A</v>
          </cell>
          <cell r="P719" t="str">
            <v/>
          </cell>
          <cell r="Q719" t="str">
            <v/>
          </cell>
          <cell r="R719" t="e">
            <v>#N/A</v>
          </cell>
        </row>
        <row r="720">
          <cell r="A720">
            <v>41193</v>
          </cell>
          <cell r="B720">
            <v>41193</v>
          </cell>
          <cell r="C720" t="str">
            <v>Future</v>
          </cell>
          <cell r="D720" t="e">
            <v>#N/A</v>
          </cell>
          <cell r="E720">
            <v>23.290904727272569</v>
          </cell>
          <cell r="F720">
            <v>71.018177454545807</v>
          </cell>
          <cell r="G720">
            <v>48.745450181818448</v>
          </cell>
          <cell r="H720">
            <v>48.745450181818448</v>
          </cell>
          <cell r="I720" t="e">
            <v>#N/A</v>
          </cell>
          <cell r="J720" t="e">
            <v>#N/A</v>
          </cell>
          <cell r="K720" t="e">
            <v>#N/A</v>
          </cell>
          <cell r="L720" t="e">
            <v>#N/A</v>
          </cell>
          <cell r="M720" t="e">
            <v>#N/A</v>
          </cell>
          <cell r="N720" t="e">
            <v>#N/A</v>
          </cell>
          <cell r="O720" t="e">
            <v>#N/A</v>
          </cell>
          <cell r="P720" t="str">
            <v/>
          </cell>
          <cell r="Q720" t="str">
            <v/>
          </cell>
          <cell r="R720" t="e">
            <v>#N/A</v>
          </cell>
        </row>
        <row r="721">
          <cell r="A721">
            <v>41194</v>
          </cell>
          <cell r="B721">
            <v>41194</v>
          </cell>
          <cell r="C721" t="str">
            <v>Future</v>
          </cell>
          <cell r="D721" t="e">
            <v>#N/A</v>
          </cell>
          <cell r="E721">
            <v>23.037742719367429</v>
          </cell>
          <cell r="F721">
            <v>71.061458134387706</v>
          </cell>
          <cell r="G721">
            <v>48.650390940711731</v>
          </cell>
          <cell r="H721">
            <v>48.650390940711731</v>
          </cell>
          <cell r="I721" t="e">
            <v>#N/A</v>
          </cell>
          <cell r="J721" t="e">
            <v>#N/A</v>
          </cell>
          <cell r="K721" t="e">
            <v>#N/A</v>
          </cell>
          <cell r="L721" t="e">
            <v>#N/A</v>
          </cell>
          <cell r="M721" t="e">
            <v>#N/A</v>
          </cell>
          <cell r="N721" t="e">
            <v>#N/A</v>
          </cell>
          <cell r="O721" t="e">
            <v>#N/A</v>
          </cell>
          <cell r="P721" t="str">
            <v/>
          </cell>
          <cell r="Q721" t="str">
            <v/>
          </cell>
          <cell r="R721" t="e">
            <v>#N/A</v>
          </cell>
        </row>
        <row r="722">
          <cell r="A722">
            <v>41197</v>
          </cell>
          <cell r="B722">
            <v>41197</v>
          </cell>
          <cell r="C722" t="str">
            <v>Future</v>
          </cell>
          <cell r="D722" t="e">
            <v>#N/A</v>
          </cell>
          <cell r="E722">
            <v>22.78458071146229</v>
          </cell>
          <cell r="F722">
            <v>71.104738814229606</v>
          </cell>
          <cell r="G722">
            <v>48.555331699605013</v>
          </cell>
          <cell r="H722">
            <v>48.555331699605013</v>
          </cell>
          <cell r="I722" t="e">
            <v>#N/A</v>
          </cell>
          <cell r="J722" t="e">
            <v>#N/A</v>
          </cell>
          <cell r="K722" t="e">
            <v>#N/A</v>
          </cell>
          <cell r="L722" t="e">
            <v>#N/A</v>
          </cell>
          <cell r="M722" t="e">
            <v>#N/A</v>
          </cell>
          <cell r="N722" t="e">
            <v>#N/A</v>
          </cell>
          <cell r="O722" t="e">
            <v>#N/A</v>
          </cell>
          <cell r="P722" t="str">
            <v/>
          </cell>
          <cell r="Q722" t="str">
            <v/>
          </cell>
          <cell r="R722" t="e">
            <v>#N/A</v>
          </cell>
        </row>
        <row r="723">
          <cell r="A723">
            <v>41198</v>
          </cell>
          <cell r="B723">
            <v>41198</v>
          </cell>
          <cell r="C723" t="str">
            <v>Future</v>
          </cell>
          <cell r="D723" t="e">
            <v>#N/A</v>
          </cell>
          <cell r="E723">
            <v>22.531418703557151</v>
          </cell>
          <cell r="F723">
            <v>71.148019494071505</v>
          </cell>
          <cell r="G723">
            <v>48.460272458498295</v>
          </cell>
          <cell r="H723">
            <v>48.460272458498295</v>
          </cell>
          <cell r="I723" t="e">
            <v>#N/A</v>
          </cell>
          <cell r="J723" t="e">
            <v>#N/A</v>
          </cell>
          <cell r="K723" t="e">
            <v>#N/A</v>
          </cell>
          <cell r="L723" t="e">
            <v>#N/A</v>
          </cell>
          <cell r="M723" t="e">
            <v>#N/A</v>
          </cell>
          <cell r="N723" t="e">
            <v>#N/A</v>
          </cell>
          <cell r="O723" t="e">
            <v>#N/A</v>
          </cell>
          <cell r="P723" t="str">
            <v/>
          </cell>
          <cell r="Q723" t="str">
            <v/>
          </cell>
          <cell r="R723" t="e">
            <v>#N/A</v>
          </cell>
        </row>
        <row r="724">
          <cell r="A724">
            <v>41199</v>
          </cell>
          <cell r="B724">
            <v>41199</v>
          </cell>
          <cell r="C724" t="str">
            <v>Future</v>
          </cell>
          <cell r="D724" t="e">
            <v>#N/A</v>
          </cell>
          <cell r="E724">
            <v>22.278256695652011</v>
          </cell>
          <cell r="F724">
            <v>71.191300173913405</v>
          </cell>
          <cell r="G724">
            <v>48.365213217391577</v>
          </cell>
          <cell r="H724">
            <v>48.365213217391577</v>
          </cell>
          <cell r="I724" t="e">
            <v>#N/A</v>
          </cell>
          <cell r="J724" t="e">
            <v>#N/A</v>
          </cell>
          <cell r="K724" t="e">
            <v>#N/A</v>
          </cell>
          <cell r="L724" t="e">
            <v>#N/A</v>
          </cell>
          <cell r="M724" t="e">
            <v>#N/A</v>
          </cell>
          <cell r="N724" t="e">
            <v>#N/A</v>
          </cell>
          <cell r="O724" t="e">
            <v>#N/A</v>
          </cell>
          <cell r="P724" t="str">
            <v/>
          </cell>
          <cell r="Q724" t="str">
            <v/>
          </cell>
          <cell r="R724" t="e">
            <v>#N/A</v>
          </cell>
        </row>
        <row r="725">
          <cell r="A725">
            <v>41200</v>
          </cell>
          <cell r="B725">
            <v>41200</v>
          </cell>
          <cell r="C725" t="str">
            <v>Future</v>
          </cell>
          <cell r="D725" t="e">
            <v>#N/A</v>
          </cell>
          <cell r="E725">
            <v>22.025094687746872</v>
          </cell>
          <cell r="F725">
            <v>71.234580853755304</v>
          </cell>
          <cell r="G725">
            <v>48.27015397628486</v>
          </cell>
          <cell r="H725">
            <v>48.27015397628486</v>
          </cell>
          <cell r="I725" t="e">
            <v>#N/A</v>
          </cell>
          <cell r="J725" t="e">
            <v>#N/A</v>
          </cell>
          <cell r="K725" t="e">
            <v>#N/A</v>
          </cell>
          <cell r="L725" t="e">
            <v>#N/A</v>
          </cell>
          <cell r="M725" t="e">
            <v>#N/A</v>
          </cell>
          <cell r="N725" t="e">
            <v>#N/A</v>
          </cell>
          <cell r="O725" t="e">
            <v>#N/A</v>
          </cell>
          <cell r="P725" t="str">
            <v/>
          </cell>
          <cell r="Q725" t="str">
            <v/>
          </cell>
          <cell r="R725" t="e">
            <v>#N/A</v>
          </cell>
        </row>
        <row r="726">
          <cell r="A726">
            <v>41201</v>
          </cell>
          <cell r="B726">
            <v>41201</v>
          </cell>
          <cell r="C726" t="str">
            <v>Future</v>
          </cell>
          <cell r="D726" t="e">
            <v>#N/A</v>
          </cell>
          <cell r="E726">
            <v>21.771932679841733</v>
          </cell>
          <cell r="F726">
            <v>71.277861533597203</v>
          </cell>
          <cell r="G726">
            <v>48.175094735178142</v>
          </cell>
          <cell r="H726">
            <v>48.175094735178142</v>
          </cell>
          <cell r="I726" t="e">
            <v>#N/A</v>
          </cell>
          <cell r="J726" t="e">
            <v>#N/A</v>
          </cell>
          <cell r="K726" t="e">
            <v>#N/A</v>
          </cell>
          <cell r="L726" t="e">
            <v>#N/A</v>
          </cell>
          <cell r="M726" t="e">
            <v>#N/A</v>
          </cell>
          <cell r="N726" t="e">
            <v>#N/A</v>
          </cell>
          <cell r="O726" t="e">
            <v>#N/A</v>
          </cell>
          <cell r="P726" t="str">
            <v/>
          </cell>
          <cell r="Q726" t="str">
            <v/>
          </cell>
          <cell r="R726" t="e">
            <v>#N/A</v>
          </cell>
        </row>
        <row r="727">
          <cell r="A727">
            <v>41204</v>
          </cell>
          <cell r="B727">
            <v>41204</v>
          </cell>
          <cell r="C727" t="str">
            <v>Future</v>
          </cell>
          <cell r="D727" t="e">
            <v>#N/A</v>
          </cell>
          <cell r="E727">
            <v>21.518770671936593</v>
          </cell>
          <cell r="F727">
            <v>71.321142213439103</v>
          </cell>
          <cell r="G727">
            <v>48.080035494071424</v>
          </cell>
          <cell r="H727">
            <v>48.080035494071424</v>
          </cell>
          <cell r="I727" t="e">
            <v>#N/A</v>
          </cell>
          <cell r="J727" t="e">
            <v>#N/A</v>
          </cell>
          <cell r="K727" t="e">
            <v>#N/A</v>
          </cell>
          <cell r="L727" t="e">
            <v>#N/A</v>
          </cell>
          <cell r="M727" t="e">
            <v>#N/A</v>
          </cell>
          <cell r="N727" t="e">
            <v>#N/A</v>
          </cell>
          <cell r="O727" t="e">
            <v>#N/A</v>
          </cell>
          <cell r="P727" t="str">
            <v/>
          </cell>
          <cell r="Q727" t="str">
            <v/>
          </cell>
          <cell r="R727" t="e">
            <v>#N/A</v>
          </cell>
        </row>
        <row r="728">
          <cell r="A728">
            <v>41205</v>
          </cell>
          <cell r="B728">
            <v>41205</v>
          </cell>
          <cell r="C728" t="str">
            <v>Future</v>
          </cell>
          <cell r="D728" t="e">
            <v>#N/A</v>
          </cell>
          <cell r="E728">
            <v>21.265608664031454</v>
          </cell>
          <cell r="F728">
            <v>71.364422893281002</v>
          </cell>
          <cell r="G728">
            <v>47.984976252964707</v>
          </cell>
          <cell r="H728">
            <v>47.984976252964707</v>
          </cell>
          <cell r="I728" t="e">
            <v>#N/A</v>
          </cell>
          <cell r="J728" t="e">
            <v>#N/A</v>
          </cell>
          <cell r="K728" t="e">
            <v>#N/A</v>
          </cell>
          <cell r="L728" t="e">
            <v>#N/A</v>
          </cell>
          <cell r="M728" t="e">
            <v>#N/A</v>
          </cell>
          <cell r="N728" t="e">
            <v>#N/A</v>
          </cell>
          <cell r="O728" t="e">
            <v>#N/A</v>
          </cell>
          <cell r="P728" t="str">
            <v/>
          </cell>
          <cell r="Q728" t="str">
            <v/>
          </cell>
          <cell r="R728" t="e">
            <v>#N/A</v>
          </cell>
        </row>
        <row r="729">
          <cell r="A729">
            <v>41206</v>
          </cell>
          <cell r="B729">
            <v>41206</v>
          </cell>
          <cell r="C729" t="str">
            <v>Future</v>
          </cell>
          <cell r="D729" t="e">
            <v>#N/A</v>
          </cell>
          <cell r="E729">
            <v>21.012446656126315</v>
          </cell>
          <cell r="F729">
            <v>71.407703573122902</v>
          </cell>
          <cell r="G729">
            <v>47.889917011857989</v>
          </cell>
          <cell r="H729">
            <v>47.889917011857989</v>
          </cell>
          <cell r="I729" t="e">
            <v>#N/A</v>
          </cell>
          <cell r="J729" t="e">
            <v>#N/A</v>
          </cell>
          <cell r="K729" t="e">
            <v>#N/A</v>
          </cell>
          <cell r="L729" t="e">
            <v>#N/A</v>
          </cell>
          <cell r="M729" t="e">
            <v>#N/A</v>
          </cell>
          <cell r="N729" t="e">
            <v>#N/A</v>
          </cell>
          <cell r="O729" t="e">
            <v>#N/A</v>
          </cell>
          <cell r="P729" t="str">
            <v/>
          </cell>
          <cell r="Q729" t="str">
            <v/>
          </cell>
          <cell r="R729" t="e">
            <v>#N/A</v>
          </cell>
        </row>
        <row r="730">
          <cell r="A730">
            <v>41207</v>
          </cell>
          <cell r="B730">
            <v>41207</v>
          </cell>
          <cell r="C730" t="str">
            <v>Future</v>
          </cell>
          <cell r="D730" t="e">
            <v>#N/A</v>
          </cell>
          <cell r="E730">
            <v>20.759284648221175</v>
          </cell>
          <cell r="F730">
            <v>71.450984252964801</v>
          </cell>
          <cell r="G730">
            <v>47.794857770751271</v>
          </cell>
          <cell r="H730">
            <v>47.794857770751271</v>
          </cell>
          <cell r="I730" t="e">
            <v>#N/A</v>
          </cell>
          <cell r="J730" t="e">
            <v>#N/A</v>
          </cell>
          <cell r="K730" t="e">
            <v>#N/A</v>
          </cell>
          <cell r="L730" t="e">
            <v>#N/A</v>
          </cell>
          <cell r="M730" t="e">
            <v>#N/A</v>
          </cell>
          <cell r="N730" t="e">
            <v>#N/A</v>
          </cell>
          <cell r="O730" t="e">
            <v>#N/A</v>
          </cell>
          <cell r="P730" t="str">
            <v/>
          </cell>
          <cell r="Q730" t="str">
            <v/>
          </cell>
          <cell r="R730" t="e">
            <v>#N/A</v>
          </cell>
        </row>
        <row r="731">
          <cell r="A731">
            <v>41208</v>
          </cell>
          <cell r="B731">
            <v>41208</v>
          </cell>
          <cell r="C731" t="str">
            <v>Future</v>
          </cell>
          <cell r="D731" t="e">
            <v>#N/A</v>
          </cell>
          <cell r="E731">
            <v>20.506122640316036</v>
          </cell>
          <cell r="F731">
            <v>71.494264932806701</v>
          </cell>
          <cell r="G731">
            <v>47.699798529644553</v>
          </cell>
          <cell r="H731">
            <v>47.699798529644553</v>
          </cell>
          <cell r="I731" t="e">
            <v>#N/A</v>
          </cell>
          <cell r="J731" t="e">
            <v>#N/A</v>
          </cell>
          <cell r="K731" t="e">
            <v>#N/A</v>
          </cell>
          <cell r="L731" t="e">
            <v>#N/A</v>
          </cell>
          <cell r="M731" t="e">
            <v>#N/A</v>
          </cell>
          <cell r="N731" t="e">
            <v>#N/A</v>
          </cell>
          <cell r="O731" t="e">
            <v>#N/A</v>
          </cell>
          <cell r="P731" t="str">
            <v/>
          </cell>
          <cell r="Q731" t="str">
            <v/>
          </cell>
          <cell r="R731" t="e">
            <v>#N/A</v>
          </cell>
        </row>
        <row r="732">
          <cell r="A732">
            <v>41211</v>
          </cell>
          <cell r="B732">
            <v>41211</v>
          </cell>
          <cell r="C732" t="str">
            <v>Future</v>
          </cell>
          <cell r="D732" t="e">
            <v>#N/A</v>
          </cell>
          <cell r="E732">
            <v>20.252960632410897</v>
          </cell>
          <cell r="F732">
            <v>71.5375456126486</v>
          </cell>
          <cell r="G732">
            <v>47.604739288537836</v>
          </cell>
          <cell r="H732">
            <v>47.604739288537836</v>
          </cell>
          <cell r="I732" t="e">
            <v>#N/A</v>
          </cell>
          <cell r="J732" t="e">
            <v>#N/A</v>
          </cell>
          <cell r="K732" t="e">
            <v>#N/A</v>
          </cell>
          <cell r="L732" t="e">
            <v>#N/A</v>
          </cell>
          <cell r="M732" t="e">
            <v>#N/A</v>
          </cell>
          <cell r="N732" t="e">
            <v>#N/A</v>
          </cell>
          <cell r="O732" t="e">
            <v>#N/A</v>
          </cell>
          <cell r="P732" t="str">
            <v/>
          </cell>
          <cell r="Q732" t="str">
            <v/>
          </cell>
          <cell r="R732" t="e">
            <v>#N/A</v>
          </cell>
        </row>
        <row r="733">
          <cell r="A733">
            <v>41212</v>
          </cell>
          <cell r="B733">
            <v>41212</v>
          </cell>
          <cell r="C733" t="str">
            <v>Future</v>
          </cell>
          <cell r="D733" t="e">
            <v>#N/A</v>
          </cell>
          <cell r="E733">
            <v>19.999798624505758</v>
          </cell>
          <cell r="F733">
            <v>71.580826292490499</v>
          </cell>
          <cell r="G733">
            <v>47.509680047431118</v>
          </cell>
          <cell r="H733">
            <v>47.509680047431118</v>
          </cell>
          <cell r="I733" t="e">
            <v>#N/A</v>
          </cell>
          <cell r="J733" t="e">
            <v>#N/A</v>
          </cell>
          <cell r="K733" t="e">
            <v>#N/A</v>
          </cell>
          <cell r="L733" t="e">
            <v>#N/A</v>
          </cell>
          <cell r="M733" t="e">
            <v>#N/A</v>
          </cell>
          <cell r="N733" t="e">
            <v>#N/A</v>
          </cell>
          <cell r="O733" t="e">
            <v>#N/A</v>
          </cell>
          <cell r="P733" t="str">
            <v/>
          </cell>
          <cell r="Q733" t="str">
            <v/>
          </cell>
          <cell r="R733" t="e">
            <v>#N/A</v>
          </cell>
        </row>
        <row r="734">
          <cell r="A734">
            <v>41213</v>
          </cell>
          <cell r="B734">
            <v>41213</v>
          </cell>
          <cell r="C734" t="str">
            <v>Future</v>
          </cell>
          <cell r="D734" t="e">
            <v>#N/A</v>
          </cell>
          <cell r="E734">
            <v>19.746636616600618</v>
          </cell>
          <cell r="F734">
            <v>71.624106972332399</v>
          </cell>
          <cell r="G734">
            <v>47.4146208063244</v>
          </cell>
          <cell r="H734">
            <v>47.4146208063244</v>
          </cell>
          <cell r="I734" t="e">
            <v>#N/A</v>
          </cell>
          <cell r="J734" t="e">
            <v>#N/A</v>
          </cell>
          <cell r="K734" t="e">
            <v>#N/A</v>
          </cell>
          <cell r="L734" t="e">
            <v>#N/A</v>
          </cell>
          <cell r="M734" t="e">
            <v>#N/A</v>
          </cell>
          <cell r="N734" t="e">
            <v>#N/A</v>
          </cell>
          <cell r="O734" t="e">
            <v>#N/A</v>
          </cell>
          <cell r="P734" t="str">
            <v/>
          </cell>
          <cell r="Q734" t="str">
            <v/>
          </cell>
          <cell r="R734" t="e">
            <v>#N/A</v>
          </cell>
        </row>
        <row r="735">
          <cell r="A735">
            <v>41214</v>
          </cell>
          <cell r="B735">
            <v>41214</v>
          </cell>
          <cell r="C735" t="str">
            <v>Future</v>
          </cell>
          <cell r="D735" t="e">
            <v>#N/A</v>
          </cell>
          <cell r="E735">
            <v>19.493474608695479</v>
          </cell>
          <cell r="F735">
            <v>71.667387652174298</v>
          </cell>
          <cell r="G735">
            <v>47.319561565217683</v>
          </cell>
          <cell r="H735">
            <v>47.319561565217683</v>
          </cell>
          <cell r="I735" t="e">
            <v>#N/A</v>
          </cell>
          <cell r="J735" t="e">
            <v>#N/A</v>
          </cell>
          <cell r="K735" t="e">
            <v>#N/A</v>
          </cell>
          <cell r="L735" t="e">
            <v>#N/A</v>
          </cell>
          <cell r="M735" t="e">
            <v>#N/A</v>
          </cell>
          <cell r="N735" t="e">
            <v>#N/A</v>
          </cell>
          <cell r="O735" t="e">
            <v>#N/A</v>
          </cell>
          <cell r="P735" t="str">
            <v/>
          </cell>
          <cell r="Q735" t="str">
            <v/>
          </cell>
          <cell r="R735" t="e">
            <v>#N/A</v>
          </cell>
        </row>
        <row r="736">
          <cell r="A736">
            <v>41215</v>
          </cell>
          <cell r="B736">
            <v>41215</v>
          </cell>
          <cell r="C736" t="str">
            <v>Future</v>
          </cell>
          <cell r="D736" t="e">
            <v>#N/A</v>
          </cell>
          <cell r="E736">
            <v>19.24031260079034</v>
          </cell>
          <cell r="F736">
            <v>71.710668332016198</v>
          </cell>
          <cell r="G736">
            <v>47.224502324110965</v>
          </cell>
          <cell r="H736">
            <v>47.224502324110965</v>
          </cell>
          <cell r="I736" t="e">
            <v>#N/A</v>
          </cell>
          <cell r="J736" t="e">
            <v>#N/A</v>
          </cell>
          <cell r="K736" t="e">
            <v>#N/A</v>
          </cell>
          <cell r="L736" t="e">
            <v>#N/A</v>
          </cell>
          <cell r="M736" t="e">
            <v>#N/A</v>
          </cell>
          <cell r="N736" t="e">
            <v>#N/A</v>
          </cell>
          <cell r="O736" t="e">
            <v>#N/A</v>
          </cell>
          <cell r="P736" t="str">
            <v/>
          </cell>
          <cell r="Q736" t="str">
            <v/>
          </cell>
          <cell r="R736" t="e">
            <v>#N/A</v>
          </cell>
        </row>
        <row r="737">
          <cell r="A737">
            <v>41218</v>
          </cell>
          <cell r="B737">
            <v>41218</v>
          </cell>
          <cell r="C737" t="str">
            <v>Future</v>
          </cell>
          <cell r="D737" t="e">
            <v>#N/A</v>
          </cell>
          <cell r="E737">
            <v>18.9871505928852</v>
          </cell>
          <cell r="F737">
            <v>71.753949011858097</v>
          </cell>
          <cell r="G737">
            <v>47.129443083004247</v>
          </cell>
          <cell r="H737">
            <v>47.129443083004247</v>
          </cell>
          <cell r="I737" t="e">
            <v>#N/A</v>
          </cell>
          <cell r="J737" t="e">
            <v>#N/A</v>
          </cell>
          <cell r="K737" t="e">
            <v>#N/A</v>
          </cell>
          <cell r="L737" t="e">
            <v>#N/A</v>
          </cell>
          <cell r="M737" t="e">
            <v>#N/A</v>
          </cell>
          <cell r="N737" t="e">
            <v>#N/A</v>
          </cell>
          <cell r="O737" t="e">
            <v>#N/A</v>
          </cell>
          <cell r="P737" t="str">
            <v/>
          </cell>
          <cell r="Q737" t="str">
            <v/>
          </cell>
          <cell r="R737" t="e">
            <v>#N/A</v>
          </cell>
        </row>
        <row r="738">
          <cell r="A738">
            <v>41219</v>
          </cell>
          <cell r="B738">
            <v>41219</v>
          </cell>
          <cell r="C738" t="str">
            <v>Future</v>
          </cell>
          <cell r="D738" t="e">
            <v>#N/A</v>
          </cell>
          <cell r="E738">
            <v>18.733988584980061</v>
          </cell>
          <cell r="F738">
            <v>71.797229691699997</v>
          </cell>
          <cell r="G738">
            <v>47.03438384189753</v>
          </cell>
          <cell r="H738">
            <v>47.03438384189753</v>
          </cell>
          <cell r="I738" t="e">
            <v>#N/A</v>
          </cell>
          <cell r="J738" t="e">
            <v>#N/A</v>
          </cell>
          <cell r="K738" t="e">
            <v>#N/A</v>
          </cell>
          <cell r="L738" t="e">
            <v>#N/A</v>
          </cell>
          <cell r="M738" t="e">
            <v>#N/A</v>
          </cell>
          <cell r="N738" t="e">
            <v>#N/A</v>
          </cell>
          <cell r="O738" t="e">
            <v>#N/A</v>
          </cell>
          <cell r="P738" t="str">
            <v/>
          </cell>
          <cell r="Q738" t="str">
            <v/>
          </cell>
          <cell r="R738" t="e">
            <v>#N/A</v>
          </cell>
        </row>
        <row r="739">
          <cell r="A739">
            <v>41220</v>
          </cell>
          <cell r="B739">
            <v>41220</v>
          </cell>
          <cell r="C739" t="str">
            <v>Future</v>
          </cell>
          <cell r="D739" t="e">
            <v>#N/A</v>
          </cell>
          <cell r="E739">
            <v>18.480826577074922</v>
          </cell>
          <cell r="F739">
            <v>71.840510371541896</v>
          </cell>
          <cell r="G739">
            <v>46.939324600790812</v>
          </cell>
          <cell r="H739">
            <v>46.939324600790812</v>
          </cell>
          <cell r="I739" t="e">
            <v>#N/A</v>
          </cell>
          <cell r="J739" t="e">
            <v>#N/A</v>
          </cell>
          <cell r="K739" t="e">
            <v>#N/A</v>
          </cell>
          <cell r="L739" t="e">
            <v>#N/A</v>
          </cell>
          <cell r="M739" t="e">
            <v>#N/A</v>
          </cell>
          <cell r="N739" t="e">
            <v>#N/A</v>
          </cell>
          <cell r="O739" t="e">
            <v>#N/A</v>
          </cell>
          <cell r="P739" t="str">
            <v/>
          </cell>
          <cell r="Q739" t="str">
            <v/>
          </cell>
          <cell r="R739" t="e">
            <v>#N/A</v>
          </cell>
        </row>
        <row r="740">
          <cell r="A740">
            <v>41221</v>
          </cell>
          <cell r="B740">
            <v>41221</v>
          </cell>
          <cell r="C740" t="str">
            <v>Future</v>
          </cell>
          <cell r="D740" t="e">
            <v>#N/A</v>
          </cell>
          <cell r="E740">
            <v>18.227664569169782</v>
          </cell>
          <cell r="F740">
            <v>71.883791051383795</v>
          </cell>
          <cell r="G740">
            <v>46.844265359684094</v>
          </cell>
          <cell r="H740">
            <v>46.844265359684094</v>
          </cell>
          <cell r="I740" t="e">
            <v>#N/A</v>
          </cell>
          <cell r="J740" t="e">
            <v>#N/A</v>
          </cell>
          <cell r="K740" t="e">
            <v>#N/A</v>
          </cell>
          <cell r="L740" t="e">
            <v>#N/A</v>
          </cell>
          <cell r="M740" t="e">
            <v>#N/A</v>
          </cell>
          <cell r="N740" t="e">
            <v>#N/A</v>
          </cell>
          <cell r="O740" t="e">
            <v>#N/A</v>
          </cell>
          <cell r="P740" t="str">
            <v/>
          </cell>
          <cell r="Q740" t="str">
            <v/>
          </cell>
          <cell r="R740" t="e">
            <v>#N/A</v>
          </cell>
        </row>
        <row r="741">
          <cell r="A741">
            <v>41222</v>
          </cell>
          <cell r="B741">
            <v>41222</v>
          </cell>
          <cell r="C741" t="str">
            <v>Future</v>
          </cell>
          <cell r="D741" t="e">
            <v>#N/A</v>
          </cell>
          <cell r="E741">
            <v>17.974502561264643</v>
          </cell>
          <cell r="F741">
            <v>71.927071731225695</v>
          </cell>
          <cell r="G741">
            <v>46.749206118577376</v>
          </cell>
          <cell r="H741">
            <v>46.749206118577376</v>
          </cell>
          <cell r="I741" t="e">
            <v>#N/A</v>
          </cell>
          <cell r="J741" t="e">
            <v>#N/A</v>
          </cell>
          <cell r="K741" t="e">
            <v>#N/A</v>
          </cell>
          <cell r="L741" t="e">
            <v>#N/A</v>
          </cell>
          <cell r="M741" t="e">
            <v>#N/A</v>
          </cell>
          <cell r="N741" t="e">
            <v>#N/A</v>
          </cell>
          <cell r="O741" t="e">
            <v>#N/A</v>
          </cell>
          <cell r="P741" t="str">
            <v/>
          </cell>
          <cell r="Q741" t="str">
            <v/>
          </cell>
          <cell r="R741" t="e">
            <v>#N/A</v>
          </cell>
        </row>
        <row r="742">
          <cell r="A742">
            <v>41225</v>
          </cell>
          <cell r="B742">
            <v>41225</v>
          </cell>
          <cell r="C742" t="str">
            <v>Future</v>
          </cell>
          <cell r="D742" t="e">
            <v>#N/A</v>
          </cell>
          <cell r="E742">
            <v>17.721340553359504</v>
          </cell>
          <cell r="F742">
            <v>71.970352411067594</v>
          </cell>
          <cell r="G742">
            <v>46.654146877470659</v>
          </cell>
          <cell r="H742">
            <v>46.654146877470659</v>
          </cell>
          <cell r="I742" t="e">
            <v>#N/A</v>
          </cell>
          <cell r="J742" t="e">
            <v>#N/A</v>
          </cell>
          <cell r="K742" t="e">
            <v>#N/A</v>
          </cell>
          <cell r="L742" t="e">
            <v>#N/A</v>
          </cell>
          <cell r="M742" t="e">
            <v>#N/A</v>
          </cell>
          <cell r="N742" t="e">
            <v>#N/A</v>
          </cell>
          <cell r="O742" t="e">
            <v>#N/A</v>
          </cell>
          <cell r="P742" t="str">
            <v/>
          </cell>
          <cell r="Q742" t="str">
            <v/>
          </cell>
          <cell r="R742" t="e">
            <v>#N/A</v>
          </cell>
        </row>
        <row r="743">
          <cell r="A743">
            <v>41226</v>
          </cell>
          <cell r="B743">
            <v>41226</v>
          </cell>
          <cell r="C743" t="str">
            <v>Future</v>
          </cell>
          <cell r="D743" t="e">
            <v>#N/A</v>
          </cell>
          <cell r="E743">
            <v>17.468178545454364</v>
          </cell>
          <cell r="F743">
            <v>72.013633090909494</v>
          </cell>
          <cell r="G743">
            <v>46.559087636363941</v>
          </cell>
          <cell r="H743">
            <v>46.559087636363941</v>
          </cell>
          <cell r="I743" t="e">
            <v>#N/A</v>
          </cell>
          <cell r="J743" t="e">
            <v>#N/A</v>
          </cell>
          <cell r="K743" t="e">
            <v>#N/A</v>
          </cell>
          <cell r="L743" t="e">
            <v>#N/A</v>
          </cell>
          <cell r="M743" t="e">
            <v>#N/A</v>
          </cell>
          <cell r="N743" t="e">
            <v>#N/A</v>
          </cell>
          <cell r="O743" t="e">
            <v>#N/A</v>
          </cell>
          <cell r="P743" t="str">
            <v/>
          </cell>
          <cell r="Q743" t="str">
            <v/>
          </cell>
          <cell r="R743" t="e">
            <v>#N/A</v>
          </cell>
        </row>
        <row r="744">
          <cell r="A744">
            <v>41227</v>
          </cell>
          <cell r="B744">
            <v>41227</v>
          </cell>
          <cell r="C744" t="str">
            <v>Future</v>
          </cell>
          <cell r="D744" t="e">
            <v>#N/A</v>
          </cell>
          <cell r="E744">
            <v>17.215016537549225</v>
          </cell>
          <cell r="F744">
            <v>72.056913770751393</v>
          </cell>
          <cell r="G744">
            <v>46.464028395257223</v>
          </cell>
          <cell r="H744">
            <v>46.464028395257223</v>
          </cell>
          <cell r="I744" t="e">
            <v>#N/A</v>
          </cell>
          <cell r="J744" t="e">
            <v>#N/A</v>
          </cell>
          <cell r="K744" t="e">
            <v>#N/A</v>
          </cell>
          <cell r="L744" t="e">
            <v>#N/A</v>
          </cell>
          <cell r="M744" t="e">
            <v>#N/A</v>
          </cell>
          <cell r="N744" t="e">
            <v>#N/A</v>
          </cell>
          <cell r="O744" t="e">
            <v>#N/A</v>
          </cell>
          <cell r="P744" t="str">
            <v/>
          </cell>
          <cell r="Q744" t="str">
            <v/>
          </cell>
          <cell r="R744" t="e">
            <v>#N/A</v>
          </cell>
        </row>
        <row r="745">
          <cell r="A745">
            <v>41228</v>
          </cell>
          <cell r="B745">
            <v>41228</v>
          </cell>
          <cell r="C745" t="str">
            <v>Future</v>
          </cell>
          <cell r="D745" t="e">
            <v>#N/A</v>
          </cell>
          <cell r="E745">
            <v>16.961854529644086</v>
          </cell>
          <cell r="F745">
            <v>72.100194450593293</v>
          </cell>
          <cell r="G745">
            <v>46.368969154150506</v>
          </cell>
          <cell r="H745">
            <v>46.368969154150506</v>
          </cell>
          <cell r="I745" t="e">
            <v>#N/A</v>
          </cell>
          <cell r="J745" t="e">
            <v>#N/A</v>
          </cell>
          <cell r="K745" t="e">
            <v>#N/A</v>
          </cell>
          <cell r="L745" t="e">
            <v>#N/A</v>
          </cell>
          <cell r="M745" t="e">
            <v>#N/A</v>
          </cell>
          <cell r="N745" t="e">
            <v>#N/A</v>
          </cell>
          <cell r="O745" t="e">
            <v>#N/A</v>
          </cell>
          <cell r="P745" t="str">
            <v/>
          </cell>
          <cell r="Q745" t="str">
            <v/>
          </cell>
          <cell r="R745" t="e">
            <v>#N/A</v>
          </cell>
        </row>
        <row r="746">
          <cell r="A746">
            <v>41229</v>
          </cell>
          <cell r="B746">
            <v>41229</v>
          </cell>
          <cell r="C746" t="str">
            <v>Future</v>
          </cell>
          <cell r="D746" t="e">
            <v>#N/A</v>
          </cell>
          <cell r="E746">
            <v>16.708692521738946</v>
          </cell>
          <cell r="F746">
            <v>72.143475130435192</v>
          </cell>
          <cell r="G746">
            <v>46.273909913043788</v>
          </cell>
          <cell r="H746">
            <v>46.273909913043788</v>
          </cell>
          <cell r="I746" t="e">
            <v>#N/A</v>
          </cell>
          <cell r="J746" t="e">
            <v>#N/A</v>
          </cell>
          <cell r="K746" t="e">
            <v>#N/A</v>
          </cell>
          <cell r="L746" t="e">
            <v>#N/A</v>
          </cell>
          <cell r="M746" t="e">
            <v>#N/A</v>
          </cell>
          <cell r="N746" t="e">
            <v>#N/A</v>
          </cell>
          <cell r="O746" t="e">
            <v>#N/A</v>
          </cell>
          <cell r="P746" t="str">
            <v/>
          </cell>
          <cell r="Q746" t="str">
            <v/>
          </cell>
          <cell r="R746" t="e">
            <v>#N/A</v>
          </cell>
        </row>
        <row r="747">
          <cell r="A747">
            <v>41232</v>
          </cell>
          <cell r="B747">
            <v>41232</v>
          </cell>
          <cell r="C747" t="str">
            <v>Future</v>
          </cell>
          <cell r="D747" t="e">
            <v>#N/A</v>
          </cell>
          <cell r="E747">
            <v>16.455530513833807</v>
          </cell>
          <cell r="F747">
            <v>72.186755810277091</v>
          </cell>
          <cell r="G747">
            <v>46.17885067193707</v>
          </cell>
          <cell r="H747">
            <v>46.17885067193707</v>
          </cell>
          <cell r="I747" t="e">
            <v>#N/A</v>
          </cell>
          <cell r="J747" t="e">
            <v>#N/A</v>
          </cell>
          <cell r="K747" t="e">
            <v>#N/A</v>
          </cell>
          <cell r="L747" t="e">
            <v>#N/A</v>
          </cell>
          <cell r="M747" t="e">
            <v>#N/A</v>
          </cell>
          <cell r="N747" t="e">
            <v>#N/A</v>
          </cell>
          <cell r="O747" t="e">
            <v>#N/A</v>
          </cell>
          <cell r="P747" t="str">
            <v/>
          </cell>
          <cell r="Q747" t="str">
            <v/>
          </cell>
          <cell r="R747" t="e">
            <v>#N/A</v>
          </cell>
        </row>
        <row r="748">
          <cell r="A748">
            <v>41233</v>
          </cell>
          <cell r="B748">
            <v>41233</v>
          </cell>
          <cell r="C748" t="str">
            <v>Future</v>
          </cell>
          <cell r="D748" t="e">
            <v>#N/A</v>
          </cell>
          <cell r="E748">
            <v>16.202368505928668</v>
          </cell>
          <cell r="F748">
            <v>72.230036490118991</v>
          </cell>
          <cell r="G748">
            <v>46.083791430830352</v>
          </cell>
          <cell r="H748">
            <v>46.083791430830352</v>
          </cell>
          <cell r="I748" t="e">
            <v>#N/A</v>
          </cell>
          <cell r="J748" t="e">
            <v>#N/A</v>
          </cell>
          <cell r="K748" t="e">
            <v>#N/A</v>
          </cell>
          <cell r="L748" t="e">
            <v>#N/A</v>
          </cell>
          <cell r="M748" t="e">
            <v>#N/A</v>
          </cell>
          <cell r="N748" t="e">
            <v>#N/A</v>
          </cell>
          <cell r="O748" t="e">
            <v>#N/A</v>
          </cell>
          <cell r="P748" t="str">
            <v/>
          </cell>
          <cell r="Q748" t="str">
            <v/>
          </cell>
          <cell r="R748" t="e">
            <v>#N/A</v>
          </cell>
        </row>
        <row r="749">
          <cell r="A749">
            <v>41234</v>
          </cell>
          <cell r="B749">
            <v>41234</v>
          </cell>
          <cell r="C749" t="str">
            <v>Future</v>
          </cell>
          <cell r="D749" t="e">
            <v>#N/A</v>
          </cell>
          <cell r="E749">
            <v>15.94920649802353</v>
          </cell>
          <cell r="F749">
            <v>72.27331716996089</v>
          </cell>
          <cell r="G749">
            <v>45.988732189723635</v>
          </cell>
          <cell r="H749">
            <v>45.988732189723635</v>
          </cell>
          <cell r="I749" t="e">
            <v>#N/A</v>
          </cell>
          <cell r="J749" t="e">
            <v>#N/A</v>
          </cell>
          <cell r="K749" t="e">
            <v>#N/A</v>
          </cell>
          <cell r="L749" t="e">
            <v>#N/A</v>
          </cell>
          <cell r="M749" t="e">
            <v>#N/A</v>
          </cell>
          <cell r="N749" t="e">
            <v>#N/A</v>
          </cell>
          <cell r="O749" t="e">
            <v>#N/A</v>
          </cell>
          <cell r="P749" t="str">
            <v/>
          </cell>
          <cell r="Q749" t="str">
            <v/>
          </cell>
          <cell r="R749" t="e">
            <v>#N/A</v>
          </cell>
        </row>
        <row r="750">
          <cell r="A750">
            <v>41236</v>
          </cell>
          <cell r="B750">
            <v>41236</v>
          </cell>
          <cell r="C750" t="str">
            <v>Future</v>
          </cell>
          <cell r="D750" t="e">
            <v>#N/A</v>
          </cell>
          <cell r="E750">
            <v>15.696044490118393</v>
          </cell>
          <cell r="F750">
            <v>72.31659784980279</v>
          </cell>
          <cell r="G750">
            <v>45.893672948616917</v>
          </cell>
          <cell r="H750">
            <v>45.893672948616917</v>
          </cell>
          <cell r="I750" t="e">
            <v>#N/A</v>
          </cell>
          <cell r="J750" t="e">
            <v>#N/A</v>
          </cell>
          <cell r="K750" t="e">
            <v>#N/A</v>
          </cell>
          <cell r="L750" t="e">
            <v>#N/A</v>
          </cell>
          <cell r="M750" t="e">
            <v>#N/A</v>
          </cell>
          <cell r="N750" t="e">
            <v>#N/A</v>
          </cell>
          <cell r="O750" t="e">
            <v>#N/A</v>
          </cell>
          <cell r="P750" t="str">
            <v/>
          </cell>
          <cell r="Q750" t="str">
            <v/>
          </cell>
          <cell r="R750" t="e">
            <v>#N/A</v>
          </cell>
        </row>
        <row r="751">
          <cell r="A751">
            <v>41239</v>
          </cell>
          <cell r="B751">
            <v>41239</v>
          </cell>
          <cell r="C751" t="str">
            <v>Future</v>
          </cell>
          <cell r="D751" t="e">
            <v>#N/A</v>
          </cell>
          <cell r="E751">
            <v>15.442882482213255</v>
          </cell>
          <cell r="F751">
            <v>72.359878529644689</v>
          </cell>
          <cell r="G751">
            <v>45.798613707510199</v>
          </cell>
          <cell r="H751">
            <v>45.798613707510199</v>
          </cell>
          <cell r="I751" t="e">
            <v>#N/A</v>
          </cell>
          <cell r="J751" t="e">
            <v>#N/A</v>
          </cell>
          <cell r="K751" t="e">
            <v>#N/A</v>
          </cell>
          <cell r="L751" t="e">
            <v>#N/A</v>
          </cell>
          <cell r="M751" t="e">
            <v>#N/A</v>
          </cell>
          <cell r="N751" t="e">
            <v>#N/A</v>
          </cell>
          <cell r="O751" t="e">
            <v>#N/A</v>
          </cell>
          <cell r="P751" t="str">
            <v/>
          </cell>
          <cell r="Q751" t="str">
            <v/>
          </cell>
          <cell r="R751" t="e">
            <v>#N/A</v>
          </cell>
        </row>
        <row r="752">
          <cell r="A752">
            <v>41240</v>
          </cell>
          <cell r="B752">
            <v>41240</v>
          </cell>
          <cell r="C752" t="str">
            <v>Future</v>
          </cell>
          <cell r="D752" t="e">
            <v>#N/A</v>
          </cell>
          <cell r="E752">
            <v>15.189720474308118</v>
          </cell>
          <cell r="F752">
            <v>72.403159209486589</v>
          </cell>
          <cell r="G752">
            <v>45.703554466403482</v>
          </cell>
          <cell r="H752">
            <v>45.703554466403482</v>
          </cell>
          <cell r="I752" t="e">
            <v>#N/A</v>
          </cell>
          <cell r="J752" t="e">
            <v>#N/A</v>
          </cell>
          <cell r="K752" t="e">
            <v>#N/A</v>
          </cell>
          <cell r="L752" t="e">
            <v>#N/A</v>
          </cell>
          <cell r="M752" t="e">
            <v>#N/A</v>
          </cell>
          <cell r="N752" t="e">
            <v>#N/A</v>
          </cell>
          <cell r="O752" t="e">
            <v>#N/A</v>
          </cell>
          <cell r="P752" t="str">
            <v/>
          </cell>
          <cell r="Q752" t="str">
            <v/>
          </cell>
          <cell r="R752" t="e">
            <v>#N/A</v>
          </cell>
        </row>
        <row r="753">
          <cell r="A753">
            <v>41241</v>
          </cell>
          <cell r="B753">
            <v>41241</v>
          </cell>
          <cell r="C753" t="str">
            <v>Future</v>
          </cell>
          <cell r="D753" t="e">
            <v>#N/A</v>
          </cell>
          <cell r="E753">
            <v>14.93655846640298</v>
          </cell>
          <cell r="F753">
            <v>72.446439889328488</v>
          </cell>
          <cell r="G753">
            <v>45.608495225296764</v>
          </cell>
          <cell r="H753">
            <v>45.608495225296764</v>
          </cell>
          <cell r="I753" t="e">
            <v>#N/A</v>
          </cell>
          <cell r="J753" t="e">
            <v>#N/A</v>
          </cell>
          <cell r="K753" t="e">
            <v>#N/A</v>
          </cell>
          <cell r="L753" t="e">
            <v>#N/A</v>
          </cell>
          <cell r="M753" t="e">
            <v>#N/A</v>
          </cell>
          <cell r="N753" t="e">
            <v>#N/A</v>
          </cell>
          <cell r="O753" t="e">
            <v>#N/A</v>
          </cell>
          <cell r="P753" t="str">
            <v/>
          </cell>
          <cell r="Q753" t="str">
            <v/>
          </cell>
          <cell r="R753" t="e">
            <v>#N/A</v>
          </cell>
        </row>
        <row r="754">
          <cell r="A754">
            <v>41242</v>
          </cell>
          <cell r="B754">
            <v>41242</v>
          </cell>
          <cell r="C754" t="str">
            <v>Future</v>
          </cell>
          <cell r="D754" t="e">
            <v>#N/A</v>
          </cell>
          <cell r="E754">
            <v>14.683396458497842</v>
          </cell>
          <cell r="F754">
            <v>72.489720569170387</v>
          </cell>
          <cell r="G754">
            <v>45.513435984190046</v>
          </cell>
          <cell r="H754">
            <v>45.513435984190046</v>
          </cell>
          <cell r="I754" t="e">
            <v>#N/A</v>
          </cell>
          <cell r="J754" t="e">
            <v>#N/A</v>
          </cell>
          <cell r="K754" t="e">
            <v>#N/A</v>
          </cell>
          <cell r="L754" t="e">
            <v>#N/A</v>
          </cell>
          <cell r="M754" t="e">
            <v>#N/A</v>
          </cell>
          <cell r="N754" t="e">
            <v>#N/A</v>
          </cell>
          <cell r="O754" t="e">
            <v>#N/A</v>
          </cell>
          <cell r="P754" t="str">
            <v/>
          </cell>
          <cell r="Q754" t="str">
            <v/>
          </cell>
          <cell r="R754" t="e">
            <v>#N/A</v>
          </cell>
        </row>
        <row r="755">
          <cell r="A755">
            <v>41243</v>
          </cell>
          <cell r="B755">
            <v>41243</v>
          </cell>
          <cell r="C755" t="str">
            <v>Future</v>
          </cell>
          <cell r="D755" t="e">
            <v>#N/A</v>
          </cell>
          <cell r="E755">
            <v>14.430234450592705</v>
          </cell>
          <cell r="F755">
            <v>72.533001249012287</v>
          </cell>
          <cell r="G755">
            <v>45.418376743083329</v>
          </cell>
          <cell r="H755">
            <v>45.418376743083329</v>
          </cell>
          <cell r="I755" t="e">
            <v>#N/A</v>
          </cell>
          <cell r="J755" t="e">
            <v>#N/A</v>
          </cell>
          <cell r="K755" t="e">
            <v>#N/A</v>
          </cell>
          <cell r="L755" t="e">
            <v>#N/A</v>
          </cell>
          <cell r="M755" t="e">
            <v>#N/A</v>
          </cell>
          <cell r="N755" t="e">
            <v>#N/A</v>
          </cell>
          <cell r="O755" t="e">
            <v>#N/A</v>
          </cell>
          <cell r="P755" t="str">
            <v/>
          </cell>
          <cell r="Q755" t="str">
            <v/>
          </cell>
          <cell r="R755" t="e">
            <v>#N/A</v>
          </cell>
        </row>
        <row r="756">
          <cell r="A756">
            <v>41246</v>
          </cell>
          <cell r="B756">
            <v>41246</v>
          </cell>
          <cell r="C756" t="str">
            <v>Future</v>
          </cell>
          <cell r="D756" t="e">
            <v>#N/A</v>
          </cell>
          <cell r="E756">
            <v>14.177072442687567</v>
          </cell>
          <cell r="F756">
            <v>72.576281928854186</v>
          </cell>
          <cell r="G756">
            <v>45.323317501976611</v>
          </cell>
          <cell r="H756">
            <v>45.323317501976611</v>
          </cell>
          <cell r="I756" t="e">
            <v>#N/A</v>
          </cell>
          <cell r="J756" t="e">
            <v>#N/A</v>
          </cell>
          <cell r="K756" t="e">
            <v>#N/A</v>
          </cell>
          <cell r="L756" t="e">
            <v>#N/A</v>
          </cell>
          <cell r="M756" t="e">
            <v>#N/A</v>
          </cell>
          <cell r="N756" t="e">
            <v>#N/A</v>
          </cell>
          <cell r="O756" t="e">
            <v>#N/A</v>
          </cell>
          <cell r="P756" t="str">
            <v/>
          </cell>
          <cell r="Q756" t="str">
            <v/>
          </cell>
          <cell r="R756" t="e">
            <v>#N/A</v>
          </cell>
        </row>
        <row r="757">
          <cell r="A757">
            <v>41247</v>
          </cell>
          <cell r="B757">
            <v>41247</v>
          </cell>
          <cell r="C757" t="str">
            <v>Future</v>
          </cell>
          <cell r="D757" t="e">
            <v>#N/A</v>
          </cell>
          <cell r="E757">
            <v>13.92391043478243</v>
          </cell>
          <cell r="F757">
            <v>72.619562608696086</v>
          </cell>
          <cell r="G757">
            <v>45.228258260869893</v>
          </cell>
          <cell r="H757">
            <v>45.228258260869893</v>
          </cell>
          <cell r="I757" t="e">
            <v>#N/A</v>
          </cell>
          <cell r="J757" t="e">
            <v>#N/A</v>
          </cell>
          <cell r="K757" t="e">
            <v>#N/A</v>
          </cell>
          <cell r="L757" t="e">
            <v>#N/A</v>
          </cell>
          <cell r="M757" t="e">
            <v>#N/A</v>
          </cell>
          <cell r="N757" t="e">
            <v>#N/A</v>
          </cell>
          <cell r="O757" t="e">
            <v>#N/A</v>
          </cell>
          <cell r="P757" t="str">
            <v/>
          </cell>
          <cell r="Q757" t="str">
            <v/>
          </cell>
          <cell r="R757" t="e">
            <v>#N/A</v>
          </cell>
        </row>
        <row r="758">
          <cell r="A758">
            <v>41248</v>
          </cell>
          <cell r="B758">
            <v>41248</v>
          </cell>
          <cell r="C758" t="str">
            <v>Future</v>
          </cell>
          <cell r="D758" t="e">
            <v>#N/A</v>
          </cell>
          <cell r="E758">
            <v>13.670748426877292</v>
          </cell>
          <cell r="F758">
            <v>72.662843288537985</v>
          </cell>
          <cell r="G758">
            <v>45.133199019763175</v>
          </cell>
          <cell r="H758">
            <v>45.133199019763175</v>
          </cell>
          <cell r="I758" t="e">
            <v>#N/A</v>
          </cell>
          <cell r="J758" t="e">
            <v>#N/A</v>
          </cell>
          <cell r="K758" t="e">
            <v>#N/A</v>
          </cell>
          <cell r="L758" t="e">
            <v>#N/A</v>
          </cell>
          <cell r="M758" t="e">
            <v>#N/A</v>
          </cell>
          <cell r="N758" t="e">
            <v>#N/A</v>
          </cell>
          <cell r="O758" t="e">
            <v>#N/A</v>
          </cell>
          <cell r="P758" t="str">
            <v/>
          </cell>
          <cell r="Q758" t="str">
            <v/>
          </cell>
          <cell r="R758" t="e">
            <v>#N/A</v>
          </cell>
        </row>
        <row r="759">
          <cell r="A759">
            <v>41249</v>
          </cell>
          <cell r="B759">
            <v>41249</v>
          </cell>
          <cell r="C759" t="str">
            <v>Future</v>
          </cell>
          <cell r="D759" t="e">
            <v>#N/A</v>
          </cell>
          <cell r="E759">
            <v>13.417586418972155</v>
          </cell>
          <cell r="F759">
            <v>72.706123968379885</v>
          </cell>
          <cell r="G759">
            <v>45.038139778656458</v>
          </cell>
          <cell r="H759">
            <v>45.038139778656458</v>
          </cell>
          <cell r="I759" t="e">
            <v>#N/A</v>
          </cell>
          <cell r="J759" t="e">
            <v>#N/A</v>
          </cell>
          <cell r="K759" t="e">
            <v>#N/A</v>
          </cell>
          <cell r="L759" t="e">
            <v>#N/A</v>
          </cell>
          <cell r="M759" t="e">
            <v>#N/A</v>
          </cell>
          <cell r="N759" t="e">
            <v>#N/A</v>
          </cell>
          <cell r="O759" t="e">
            <v>#N/A</v>
          </cell>
          <cell r="P759" t="str">
            <v/>
          </cell>
          <cell r="Q759" t="str">
            <v/>
          </cell>
          <cell r="R759" t="e">
            <v>#N/A</v>
          </cell>
        </row>
        <row r="760">
          <cell r="A760">
            <v>41250</v>
          </cell>
          <cell r="B760">
            <v>41250</v>
          </cell>
          <cell r="C760" t="str">
            <v>Future</v>
          </cell>
          <cell r="D760" t="e">
            <v>#N/A</v>
          </cell>
          <cell r="E760">
            <v>13.164424411067017</v>
          </cell>
          <cell r="F760">
            <v>72.749404648221784</v>
          </cell>
          <cell r="G760">
            <v>44.94308053754974</v>
          </cell>
          <cell r="H760">
            <v>44.94308053754974</v>
          </cell>
          <cell r="I760" t="e">
            <v>#N/A</v>
          </cell>
          <cell r="J760" t="e">
            <v>#N/A</v>
          </cell>
          <cell r="K760" t="e">
            <v>#N/A</v>
          </cell>
          <cell r="L760" t="e">
            <v>#N/A</v>
          </cell>
          <cell r="M760" t="e">
            <v>#N/A</v>
          </cell>
          <cell r="N760" t="e">
            <v>#N/A</v>
          </cell>
          <cell r="O760" t="e">
            <v>#N/A</v>
          </cell>
          <cell r="P760" t="str">
            <v/>
          </cell>
          <cell r="Q760" t="str">
            <v/>
          </cell>
          <cell r="R760" t="e">
            <v>#N/A</v>
          </cell>
        </row>
        <row r="761">
          <cell r="A761">
            <v>41253</v>
          </cell>
          <cell r="B761">
            <v>41253</v>
          </cell>
          <cell r="C761" t="str">
            <v>Future</v>
          </cell>
          <cell r="D761" t="e">
            <v>#N/A</v>
          </cell>
          <cell r="E761">
            <v>12.91126240316188</v>
          </cell>
          <cell r="F761">
            <v>72.792685328063683</v>
          </cell>
          <cell r="G761">
            <v>44.848021296443022</v>
          </cell>
          <cell r="H761">
            <v>44.848021296443022</v>
          </cell>
          <cell r="I761" t="e">
            <v>#N/A</v>
          </cell>
          <cell r="J761" t="e">
            <v>#N/A</v>
          </cell>
          <cell r="K761" t="e">
            <v>#N/A</v>
          </cell>
          <cell r="L761" t="e">
            <v>#N/A</v>
          </cell>
          <cell r="M761" t="e">
            <v>#N/A</v>
          </cell>
          <cell r="N761" t="e">
            <v>#N/A</v>
          </cell>
          <cell r="O761" t="e">
            <v>#N/A</v>
          </cell>
          <cell r="P761" t="str">
            <v/>
          </cell>
          <cell r="Q761" t="str">
            <v/>
          </cell>
          <cell r="R761" t="e">
            <v>#N/A</v>
          </cell>
        </row>
        <row r="762">
          <cell r="A762">
            <v>41254</v>
          </cell>
          <cell r="B762">
            <v>41254</v>
          </cell>
          <cell r="C762" t="str">
            <v>Future</v>
          </cell>
          <cell r="D762" t="e">
            <v>#N/A</v>
          </cell>
          <cell r="E762">
            <v>12.658100395256742</v>
          </cell>
          <cell r="F762">
            <v>72.835966007905583</v>
          </cell>
          <cell r="G762">
            <v>44.752962055336305</v>
          </cell>
          <cell r="H762">
            <v>44.752962055336305</v>
          </cell>
          <cell r="I762" t="e">
            <v>#N/A</v>
          </cell>
          <cell r="J762" t="e">
            <v>#N/A</v>
          </cell>
          <cell r="K762" t="e">
            <v>#N/A</v>
          </cell>
          <cell r="L762" t="e">
            <v>#N/A</v>
          </cell>
          <cell r="M762" t="e">
            <v>#N/A</v>
          </cell>
          <cell r="N762" t="e">
            <v>#N/A</v>
          </cell>
          <cell r="O762" t="e">
            <v>#N/A</v>
          </cell>
          <cell r="P762" t="str">
            <v/>
          </cell>
          <cell r="Q762" t="str">
            <v/>
          </cell>
          <cell r="R762" t="e">
            <v>#N/A</v>
          </cell>
        </row>
        <row r="763">
          <cell r="A763">
            <v>41255</v>
          </cell>
          <cell r="B763">
            <v>41255</v>
          </cell>
          <cell r="C763" t="str">
            <v>Future</v>
          </cell>
          <cell r="D763" t="e">
            <v>#N/A</v>
          </cell>
          <cell r="E763">
            <v>12.404938387351605</v>
          </cell>
          <cell r="F763">
            <v>72.879246687747482</v>
          </cell>
          <cell r="G763">
            <v>44.657902814229587</v>
          </cell>
          <cell r="H763">
            <v>44.657902814229587</v>
          </cell>
          <cell r="I763" t="e">
            <v>#N/A</v>
          </cell>
          <cell r="J763" t="e">
            <v>#N/A</v>
          </cell>
          <cell r="K763" t="e">
            <v>#N/A</v>
          </cell>
          <cell r="L763" t="e">
            <v>#N/A</v>
          </cell>
          <cell r="M763" t="e">
            <v>#N/A</v>
          </cell>
          <cell r="N763" t="e">
            <v>#N/A</v>
          </cell>
          <cell r="O763" t="e">
            <v>#N/A</v>
          </cell>
          <cell r="P763" t="str">
            <v/>
          </cell>
          <cell r="Q763" t="str">
            <v/>
          </cell>
          <cell r="R763" t="e">
            <v>#N/A</v>
          </cell>
        </row>
        <row r="764">
          <cell r="A764">
            <v>41256</v>
          </cell>
          <cell r="B764">
            <v>41256</v>
          </cell>
          <cell r="C764" t="str">
            <v>Future</v>
          </cell>
          <cell r="D764" t="e">
            <v>#N/A</v>
          </cell>
          <cell r="E764">
            <v>12.151776379446467</v>
          </cell>
          <cell r="F764">
            <v>72.922527367589382</v>
          </cell>
          <cell r="G764">
            <v>44.562843573122869</v>
          </cell>
          <cell r="H764">
            <v>44.562843573122869</v>
          </cell>
          <cell r="I764" t="e">
            <v>#N/A</v>
          </cell>
          <cell r="J764" t="e">
            <v>#N/A</v>
          </cell>
          <cell r="K764" t="e">
            <v>#N/A</v>
          </cell>
          <cell r="L764" t="e">
            <v>#N/A</v>
          </cell>
          <cell r="M764" t="e">
            <v>#N/A</v>
          </cell>
          <cell r="N764" t="e">
            <v>#N/A</v>
          </cell>
          <cell r="O764" t="e">
            <v>#N/A</v>
          </cell>
          <cell r="P764" t="str">
            <v/>
          </cell>
          <cell r="Q764" t="str">
            <v/>
          </cell>
          <cell r="R764" t="e">
            <v>#N/A</v>
          </cell>
        </row>
        <row r="765">
          <cell r="A765">
            <v>41257</v>
          </cell>
          <cell r="B765">
            <v>41257</v>
          </cell>
          <cell r="C765" t="str">
            <v>Future</v>
          </cell>
          <cell r="D765" t="e">
            <v>#N/A</v>
          </cell>
          <cell r="E765">
            <v>11.89861437154133</v>
          </cell>
          <cell r="F765">
            <v>72.965808047431281</v>
          </cell>
          <cell r="G765">
            <v>44.467784332016151</v>
          </cell>
          <cell r="H765">
            <v>44.467784332016151</v>
          </cell>
          <cell r="I765" t="e">
            <v>#N/A</v>
          </cell>
          <cell r="J765" t="e">
            <v>#N/A</v>
          </cell>
          <cell r="K765" t="e">
            <v>#N/A</v>
          </cell>
          <cell r="L765" t="e">
            <v>#N/A</v>
          </cell>
          <cell r="M765" t="e">
            <v>#N/A</v>
          </cell>
          <cell r="N765" t="e">
            <v>#N/A</v>
          </cell>
          <cell r="O765" t="e">
            <v>#N/A</v>
          </cell>
          <cell r="P765" t="str">
            <v/>
          </cell>
          <cell r="Q765" t="str">
            <v/>
          </cell>
          <cell r="R765" t="e">
            <v>#N/A</v>
          </cell>
        </row>
        <row r="766">
          <cell r="A766">
            <v>41260</v>
          </cell>
          <cell r="B766">
            <v>41260</v>
          </cell>
          <cell r="C766" t="str">
            <v>Future</v>
          </cell>
          <cell r="D766" t="e">
            <v>#N/A</v>
          </cell>
          <cell r="E766">
            <v>11.645452363636192</v>
          </cell>
          <cell r="F766">
            <v>73.009088727273181</v>
          </cell>
          <cell r="G766">
            <v>44.372725090909434</v>
          </cell>
          <cell r="H766">
            <v>44.372725090909434</v>
          </cell>
          <cell r="I766" t="e">
            <v>#N/A</v>
          </cell>
          <cell r="J766" t="e">
            <v>#N/A</v>
          </cell>
          <cell r="K766" t="e">
            <v>#N/A</v>
          </cell>
          <cell r="L766" t="e">
            <v>#N/A</v>
          </cell>
          <cell r="M766" t="e">
            <v>#N/A</v>
          </cell>
          <cell r="N766" t="e">
            <v>#N/A</v>
          </cell>
          <cell r="O766" t="e">
            <v>#N/A</v>
          </cell>
          <cell r="P766" t="str">
            <v/>
          </cell>
          <cell r="Q766" t="str">
            <v/>
          </cell>
          <cell r="R766" t="e">
            <v>#N/A</v>
          </cell>
        </row>
        <row r="767">
          <cell r="A767">
            <v>41261</v>
          </cell>
          <cell r="B767">
            <v>41261</v>
          </cell>
          <cell r="C767" t="str">
            <v>Future</v>
          </cell>
          <cell r="D767" t="e">
            <v>#N/A</v>
          </cell>
          <cell r="E767">
            <v>11.392290355731054</v>
          </cell>
          <cell r="F767">
            <v>73.05236940711508</v>
          </cell>
          <cell r="G767">
            <v>44.277665849802716</v>
          </cell>
          <cell r="H767">
            <v>44.277665849802716</v>
          </cell>
          <cell r="I767" t="e">
            <v>#N/A</v>
          </cell>
          <cell r="J767" t="e">
            <v>#N/A</v>
          </cell>
          <cell r="K767" t="e">
            <v>#N/A</v>
          </cell>
          <cell r="L767" t="e">
            <v>#N/A</v>
          </cell>
          <cell r="M767" t="e">
            <v>#N/A</v>
          </cell>
          <cell r="N767" t="e">
            <v>#N/A</v>
          </cell>
          <cell r="O767" t="e">
            <v>#N/A</v>
          </cell>
          <cell r="P767" t="str">
            <v/>
          </cell>
          <cell r="Q767" t="str">
            <v/>
          </cell>
          <cell r="R767" t="e">
            <v>#N/A</v>
          </cell>
        </row>
        <row r="768">
          <cell r="A768">
            <v>41262</v>
          </cell>
          <cell r="B768">
            <v>41262</v>
          </cell>
          <cell r="C768" t="str">
            <v>Future</v>
          </cell>
          <cell r="D768" t="e">
            <v>#N/A</v>
          </cell>
          <cell r="E768">
            <v>11.139128347825917</v>
          </cell>
          <cell r="F768">
            <v>73.095650086956979</v>
          </cell>
          <cell r="G768">
            <v>44.182606608695998</v>
          </cell>
          <cell r="H768">
            <v>44.182606608695998</v>
          </cell>
          <cell r="I768" t="e">
            <v>#N/A</v>
          </cell>
          <cell r="J768" t="e">
            <v>#N/A</v>
          </cell>
          <cell r="K768" t="e">
            <v>#N/A</v>
          </cell>
          <cell r="L768" t="e">
            <v>#N/A</v>
          </cell>
          <cell r="M768" t="e">
            <v>#N/A</v>
          </cell>
          <cell r="N768" t="e">
            <v>#N/A</v>
          </cell>
          <cell r="O768" t="e">
            <v>#N/A</v>
          </cell>
          <cell r="P768" t="str">
            <v/>
          </cell>
          <cell r="Q768" t="str">
            <v/>
          </cell>
          <cell r="R768" t="e">
            <v>#N/A</v>
          </cell>
        </row>
        <row r="769">
          <cell r="A769">
            <v>41263</v>
          </cell>
          <cell r="B769">
            <v>41263</v>
          </cell>
          <cell r="C769" t="str">
            <v>Future</v>
          </cell>
          <cell r="D769" t="e">
            <v>#N/A</v>
          </cell>
          <cell r="E769">
            <v>10.885966339920779</v>
          </cell>
          <cell r="F769">
            <v>73.138930766798879</v>
          </cell>
          <cell r="G769">
            <v>44.087547367589281</v>
          </cell>
          <cell r="H769">
            <v>44.087547367589281</v>
          </cell>
          <cell r="I769" t="e">
            <v>#N/A</v>
          </cell>
          <cell r="J769" t="e">
            <v>#N/A</v>
          </cell>
          <cell r="K769" t="e">
            <v>#N/A</v>
          </cell>
          <cell r="L769" t="e">
            <v>#N/A</v>
          </cell>
          <cell r="M769" t="e">
            <v>#N/A</v>
          </cell>
          <cell r="N769" t="e">
            <v>#N/A</v>
          </cell>
          <cell r="O769" t="e">
            <v>#N/A</v>
          </cell>
          <cell r="P769" t="str">
            <v/>
          </cell>
          <cell r="Q769" t="str">
            <v/>
          </cell>
          <cell r="R769" t="e">
            <v>#N/A</v>
          </cell>
        </row>
        <row r="770">
          <cell r="A770">
            <v>41264</v>
          </cell>
          <cell r="B770">
            <v>41264</v>
          </cell>
          <cell r="C770" t="str">
            <v>Future</v>
          </cell>
          <cell r="D770" t="e">
            <v>#N/A</v>
          </cell>
          <cell r="E770">
            <v>10.632804332015642</v>
          </cell>
          <cell r="F770">
            <v>73.182211446640778</v>
          </cell>
          <cell r="G770">
            <v>43.992488126482563</v>
          </cell>
          <cell r="H770">
            <v>43.992488126482563</v>
          </cell>
          <cell r="I770" t="e">
            <v>#N/A</v>
          </cell>
          <cell r="J770" t="e">
            <v>#N/A</v>
          </cell>
          <cell r="K770" t="e">
            <v>#N/A</v>
          </cell>
          <cell r="L770" t="e">
            <v>#N/A</v>
          </cell>
          <cell r="M770" t="e">
            <v>#N/A</v>
          </cell>
          <cell r="N770" t="e">
            <v>#N/A</v>
          </cell>
          <cell r="O770" t="e">
            <v>#N/A</v>
          </cell>
          <cell r="P770" t="str">
            <v/>
          </cell>
          <cell r="Q770" t="str">
            <v/>
          </cell>
          <cell r="R770" t="e">
            <v>#N/A</v>
          </cell>
        </row>
        <row r="771">
          <cell r="A771">
            <v>41267</v>
          </cell>
          <cell r="B771">
            <v>41267</v>
          </cell>
          <cell r="C771" t="str">
            <v>Future</v>
          </cell>
          <cell r="D771" t="e">
            <v>#N/A</v>
          </cell>
          <cell r="E771">
            <v>10.379642324110504</v>
          </cell>
          <cell r="F771">
            <v>73.225492126482678</v>
          </cell>
          <cell r="G771">
            <v>43.897428885375845</v>
          </cell>
          <cell r="H771">
            <v>43.897428885375845</v>
          </cell>
          <cell r="I771" t="e">
            <v>#N/A</v>
          </cell>
          <cell r="J771" t="e">
            <v>#N/A</v>
          </cell>
          <cell r="K771" t="e">
            <v>#N/A</v>
          </cell>
          <cell r="L771" t="e">
            <v>#N/A</v>
          </cell>
          <cell r="M771" t="e">
            <v>#N/A</v>
          </cell>
          <cell r="N771" t="e">
            <v>#N/A</v>
          </cell>
          <cell r="O771" t="e">
            <v>#N/A</v>
          </cell>
          <cell r="P771" t="str">
            <v/>
          </cell>
          <cell r="Q771" t="str">
            <v/>
          </cell>
          <cell r="R771" t="e">
            <v>#N/A</v>
          </cell>
        </row>
        <row r="772">
          <cell r="A772">
            <v>41269</v>
          </cell>
          <cell r="B772">
            <v>41269</v>
          </cell>
          <cell r="C772" t="str">
            <v>Future</v>
          </cell>
          <cell r="D772" t="e">
            <v>#N/A</v>
          </cell>
          <cell r="E772">
            <v>10.126480316205367</v>
          </cell>
          <cell r="F772">
            <v>73.268772806324577</v>
          </cell>
          <cell r="G772">
            <v>43.802369644269127</v>
          </cell>
          <cell r="H772">
            <v>43.802369644269127</v>
          </cell>
          <cell r="I772" t="e">
            <v>#N/A</v>
          </cell>
          <cell r="J772" t="e">
            <v>#N/A</v>
          </cell>
          <cell r="K772" t="e">
            <v>#N/A</v>
          </cell>
          <cell r="L772" t="e">
            <v>#N/A</v>
          </cell>
          <cell r="M772" t="e">
            <v>#N/A</v>
          </cell>
          <cell r="N772" t="e">
            <v>#N/A</v>
          </cell>
          <cell r="O772" t="e">
            <v>#N/A</v>
          </cell>
          <cell r="P772" t="str">
            <v/>
          </cell>
          <cell r="Q772" t="str">
            <v/>
          </cell>
          <cell r="R772" t="e">
            <v>#N/A</v>
          </cell>
        </row>
        <row r="773">
          <cell r="A773">
            <v>41270</v>
          </cell>
          <cell r="B773">
            <v>41270</v>
          </cell>
          <cell r="C773" t="str">
            <v>Future</v>
          </cell>
          <cell r="D773" t="e">
            <v>#N/A</v>
          </cell>
          <cell r="E773">
            <v>9.8733183083002292</v>
          </cell>
          <cell r="F773">
            <v>73.312053486166477</v>
          </cell>
          <cell r="G773">
            <v>43.70731040316241</v>
          </cell>
          <cell r="H773">
            <v>43.70731040316241</v>
          </cell>
          <cell r="I773" t="e">
            <v>#N/A</v>
          </cell>
          <cell r="J773" t="e">
            <v>#N/A</v>
          </cell>
          <cell r="K773" t="e">
            <v>#N/A</v>
          </cell>
          <cell r="L773" t="e">
            <v>#N/A</v>
          </cell>
          <cell r="M773" t="e">
            <v>#N/A</v>
          </cell>
          <cell r="N773" t="e">
            <v>#N/A</v>
          </cell>
          <cell r="O773" t="e">
            <v>#N/A</v>
          </cell>
          <cell r="P773" t="str">
            <v/>
          </cell>
          <cell r="Q773" t="str">
            <v/>
          </cell>
          <cell r="R773" t="e">
            <v>#N/A</v>
          </cell>
        </row>
        <row r="774">
          <cell r="A774">
            <v>41271</v>
          </cell>
          <cell r="B774">
            <v>41271</v>
          </cell>
          <cell r="C774" t="str">
            <v>Future</v>
          </cell>
          <cell r="D774" t="e">
            <v>#N/A</v>
          </cell>
          <cell r="E774">
            <v>9.6201563003950916</v>
          </cell>
          <cell r="F774">
            <v>73.355334166008376</v>
          </cell>
          <cell r="G774">
            <v>43.612251162055692</v>
          </cell>
          <cell r="H774">
            <v>43.612251162055692</v>
          </cell>
          <cell r="I774" t="e">
            <v>#N/A</v>
          </cell>
          <cell r="J774" t="e">
            <v>#N/A</v>
          </cell>
          <cell r="K774" t="e">
            <v>#N/A</v>
          </cell>
          <cell r="L774" t="e">
            <v>#N/A</v>
          </cell>
          <cell r="M774" t="e">
            <v>#N/A</v>
          </cell>
          <cell r="N774" t="e">
            <v>#N/A</v>
          </cell>
          <cell r="O774" t="e">
            <v>#N/A</v>
          </cell>
          <cell r="P774" t="str">
            <v/>
          </cell>
          <cell r="Q774" t="str">
            <v/>
          </cell>
          <cell r="R774" t="e">
            <v>#N/A</v>
          </cell>
        </row>
        <row r="775">
          <cell r="A775">
            <v>41274</v>
          </cell>
          <cell r="B775">
            <v>41274</v>
          </cell>
          <cell r="C775" t="str">
            <v>Future</v>
          </cell>
          <cell r="D775" t="e">
            <v>#N/A</v>
          </cell>
          <cell r="E775">
            <v>9.3669942924899541</v>
          </cell>
          <cell r="F775">
            <v>73.398614845850275</v>
          </cell>
          <cell r="G775">
            <v>43.517191920948974</v>
          </cell>
          <cell r="H775">
            <v>43.517191920948974</v>
          </cell>
          <cell r="I775" t="e">
            <v>#N/A</v>
          </cell>
          <cell r="J775" t="e">
            <v>#N/A</v>
          </cell>
          <cell r="K775" t="e">
            <v>#N/A</v>
          </cell>
          <cell r="L775" t="e">
            <v>#N/A</v>
          </cell>
          <cell r="M775" t="e">
            <v>#N/A</v>
          </cell>
          <cell r="N775" t="e">
            <v>#N/A</v>
          </cell>
          <cell r="O775" t="e">
            <v>#N/A</v>
          </cell>
          <cell r="P775" t="str">
            <v/>
          </cell>
          <cell r="Q775" t="str">
            <v/>
          </cell>
          <cell r="R775" t="e">
            <v>#N/A</v>
          </cell>
        </row>
        <row r="776">
          <cell r="A776">
            <v>41276</v>
          </cell>
          <cell r="B776">
            <v>41276</v>
          </cell>
          <cell r="C776" t="str">
            <v>Future</v>
          </cell>
          <cell r="D776" t="e">
            <v>#N/A</v>
          </cell>
          <cell r="E776">
            <v>9.1138322845848165</v>
          </cell>
          <cell r="F776">
            <v>73.441895525692175</v>
          </cell>
          <cell r="G776">
            <v>43.422132679842257</v>
          </cell>
          <cell r="H776">
            <v>43.422132679842257</v>
          </cell>
          <cell r="I776" t="e">
            <v>#N/A</v>
          </cell>
          <cell r="J776" t="e">
            <v>#N/A</v>
          </cell>
          <cell r="K776" t="e">
            <v>#N/A</v>
          </cell>
          <cell r="L776" t="e">
            <v>#N/A</v>
          </cell>
          <cell r="M776" t="e">
            <v>#N/A</v>
          </cell>
          <cell r="N776" t="e">
            <v>#N/A</v>
          </cell>
          <cell r="O776" t="e">
            <v>#N/A</v>
          </cell>
          <cell r="P776" t="str">
            <v/>
          </cell>
          <cell r="Q776" t="str">
            <v/>
          </cell>
          <cell r="R776" t="e">
            <v>#N/A</v>
          </cell>
        </row>
        <row r="777">
          <cell r="A777">
            <v>41277</v>
          </cell>
          <cell r="B777">
            <v>41277</v>
          </cell>
          <cell r="C777" t="str">
            <v>Future</v>
          </cell>
          <cell r="D777" t="e">
            <v>#N/A</v>
          </cell>
          <cell r="E777">
            <v>8.860670276679679</v>
          </cell>
          <cell r="F777">
            <v>73.485176205534074</v>
          </cell>
          <cell r="G777">
            <v>43.327073438735539</v>
          </cell>
          <cell r="H777">
            <v>43.327073438735539</v>
          </cell>
          <cell r="I777" t="e">
            <v>#N/A</v>
          </cell>
          <cell r="J777" t="e">
            <v>#N/A</v>
          </cell>
          <cell r="K777" t="e">
            <v>#N/A</v>
          </cell>
          <cell r="L777" t="e">
            <v>#N/A</v>
          </cell>
          <cell r="M777" t="e">
            <v>#N/A</v>
          </cell>
          <cell r="N777" t="e">
            <v>#N/A</v>
          </cell>
          <cell r="O777" t="e">
            <v>#N/A</v>
          </cell>
          <cell r="P777" t="str">
            <v/>
          </cell>
          <cell r="Q777" t="str">
            <v/>
          </cell>
          <cell r="R777" t="e">
            <v>#N/A</v>
          </cell>
        </row>
        <row r="778">
          <cell r="A778">
            <v>41278</v>
          </cell>
          <cell r="B778">
            <v>41278</v>
          </cell>
          <cell r="C778" t="str">
            <v>Future</v>
          </cell>
          <cell r="D778" t="e">
            <v>#N/A</v>
          </cell>
          <cell r="E778">
            <v>8.6075082687745414</v>
          </cell>
          <cell r="F778">
            <v>73.528456885375974</v>
          </cell>
          <cell r="G778">
            <v>43.232014197628821</v>
          </cell>
          <cell r="H778">
            <v>43.232014197628821</v>
          </cell>
          <cell r="I778" t="e">
            <v>#N/A</v>
          </cell>
          <cell r="J778" t="e">
            <v>#N/A</v>
          </cell>
          <cell r="K778" t="e">
            <v>#N/A</v>
          </cell>
          <cell r="L778" t="e">
            <v>#N/A</v>
          </cell>
          <cell r="M778" t="e">
            <v>#N/A</v>
          </cell>
          <cell r="N778" t="e">
            <v>#N/A</v>
          </cell>
          <cell r="O778" t="e">
            <v>#N/A</v>
          </cell>
          <cell r="P778" t="str">
            <v/>
          </cell>
          <cell r="Q778" t="str">
            <v/>
          </cell>
          <cell r="R778" t="e">
            <v>#N/A</v>
          </cell>
        </row>
        <row r="779">
          <cell r="A779">
            <v>41281</v>
          </cell>
          <cell r="B779">
            <v>41281</v>
          </cell>
          <cell r="C779" t="str">
            <v>Future</v>
          </cell>
          <cell r="D779" t="e">
            <v>#N/A</v>
          </cell>
          <cell r="E779">
            <v>8.3543462608694039</v>
          </cell>
          <cell r="F779">
            <v>73.571737565217873</v>
          </cell>
          <cell r="G779">
            <v>43.136954956522104</v>
          </cell>
          <cell r="H779">
            <v>43.136954956522104</v>
          </cell>
          <cell r="I779" t="e">
            <v>#N/A</v>
          </cell>
          <cell r="J779" t="e">
            <v>#N/A</v>
          </cell>
          <cell r="K779" t="e">
            <v>#N/A</v>
          </cell>
          <cell r="L779" t="e">
            <v>#N/A</v>
          </cell>
          <cell r="M779" t="e">
            <v>#N/A</v>
          </cell>
          <cell r="N779" t="e">
            <v>#N/A</v>
          </cell>
          <cell r="O779" t="e">
            <v>#N/A</v>
          </cell>
          <cell r="P779" t="str">
            <v/>
          </cell>
          <cell r="Q779" t="str">
            <v/>
          </cell>
          <cell r="R779" t="e">
            <v>#N/A</v>
          </cell>
        </row>
        <row r="780">
          <cell r="A780">
            <v>41282</v>
          </cell>
          <cell r="B780">
            <v>41282</v>
          </cell>
          <cell r="C780" t="str">
            <v>Future</v>
          </cell>
          <cell r="D780" t="e">
            <v>#N/A</v>
          </cell>
          <cell r="E780">
            <v>8.1011842529642664</v>
          </cell>
          <cell r="F780">
            <v>73.615018245059773</v>
          </cell>
          <cell r="G780">
            <v>43.041895715415386</v>
          </cell>
          <cell r="H780">
            <v>43.041895715415386</v>
          </cell>
          <cell r="I780" t="e">
            <v>#N/A</v>
          </cell>
          <cell r="J780" t="e">
            <v>#N/A</v>
          </cell>
          <cell r="K780" t="e">
            <v>#N/A</v>
          </cell>
          <cell r="L780" t="e">
            <v>#N/A</v>
          </cell>
          <cell r="M780" t="e">
            <v>#N/A</v>
          </cell>
          <cell r="N780" t="e">
            <v>#N/A</v>
          </cell>
          <cell r="O780" t="e">
            <v>#N/A</v>
          </cell>
          <cell r="P780" t="str">
            <v/>
          </cell>
          <cell r="Q780" t="str">
            <v/>
          </cell>
          <cell r="R780" t="e">
            <v>#N/A</v>
          </cell>
        </row>
        <row r="781">
          <cell r="A781">
            <v>41283</v>
          </cell>
          <cell r="B781">
            <v>41283</v>
          </cell>
          <cell r="C781" t="str">
            <v>Future</v>
          </cell>
          <cell r="D781" t="e">
            <v>#N/A</v>
          </cell>
          <cell r="E781">
            <v>7.8480222450591279</v>
          </cell>
          <cell r="F781">
            <v>73.658298924901672</v>
          </cell>
          <cell r="G781">
            <v>42.946836474308668</v>
          </cell>
          <cell r="H781">
            <v>42.946836474308668</v>
          </cell>
          <cell r="I781" t="e">
            <v>#N/A</v>
          </cell>
          <cell r="J781" t="e">
            <v>#N/A</v>
          </cell>
          <cell r="K781" t="e">
            <v>#N/A</v>
          </cell>
          <cell r="L781" t="e">
            <v>#N/A</v>
          </cell>
          <cell r="M781" t="e">
            <v>#N/A</v>
          </cell>
          <cell r="N781" t="e">
            <v>#N/A</v>
          </cell>
          <cell r="O781" t="e">
            <v>#N/A</v>
          </cell>
          <cell r="P781" t="str">
            <v/>
          </cell>
          <cell r="Q781" t="str">
            <v/>
          </cell>
          <cell r="R781" t="e">
            <v>#N/A</v>
          </cell>
        </row>
        <row r="782">
          <cell r="A782">
            <v>41284</v>
          </cell>
          <cell r="B782">
            <v>41284</v>
          </cell>
          <cell r="C782" t="str">
            <v>Future</v>
          </cell>
          <cell r="D782" t="e">
            <v>#N/A</v>
          </cell>
          <cell r="E782">
            <v>7.5948602371539895</v>
          </cell>
          <cell r="F782">
            <v>73.701579604743571</v>
          </cell>
          <cell r="G782">
            <v>42.85177723320195</v>
          </cell>
          <cell r="H782">
            <v>42.85177723320195</v>
          </cell>
          <cell r="I782" t="e">
            <v>#N/A</v>
          </cell>
          <cell r="J782" t="e">
            <v>#N/A</v>
          </cell>
          <cell r="K782" t="e">
            <v>#N/A</v>
          </cell>
          <cell r="L782" t="e">
            <v>#N/A</v>
          </cell>
          <cell r="M782" t="e">
            <v>#N/A</v>
          </cell>
          <cell r="N782" t="e">
            <v>#N/A</v>
          </cell>
          <cell r="O782" t="e">
            <v>#N/A</v>
          </cell>
          <cell r="P782" t="str">
            <v/>
          </cell>
          <cell r="Q782" t="str">
            <v/>
          </cell>
          <cell r="R782" t="e">
            <v>#N/A</v>
          </cell>
        </row>
        <row r="783">
          <cell r="A783">
            <v>41285</v>
          </cell>
          <cell r="B783">
            <v>41285</v>
          </cell>
          <cell r="C783" t="str">
            <v>Future</v>
          </cell>
          <cell r="D783" t="e">
            <v>#N/A</v>
          </cell>
          <cell r="E783">
            <v>7.3416982292488511</v>
          </cell>
          <cell r="F783">
            <v>73.744860284585471</v>
          </cell>
          <cell r="G783">
            <v>42.756717992095233</v>
          </cell>
          <cell r="H783">
            <v>42.756717992095233</v>
          </cell>
          <cell r="I783" t="e">
            <v>#N/A</v>
          </cell>
          <cell r="J783" t="e">
            <v>#N/A</v>
          </cell>
          <cell r="K783" t="e">
            <v>#N/A</v>
          </cell>
          <cell r="L783" t="e">
            <v>#N/A</v>
          </cell>
          <cell r="M783" t="e">
            <v>#N/A</v>
          </cell>
          <cell r="N783" t="e">
            <v>#N/A</v>
          </cell>
          <cell r="O783" t="e">
            <v>#N/A</v>
          </cell>
          <cell r="P783" t="str">
            <v/>
          </cell>
          <cell r="Q783" t="str">
            <v/>
          </cell>
          <cell r="R783" t="e">
            <v>#N/A</v>
          </cell>
        </row>
        <row r="784">
          <cell r="A784">
            <v>41288</v>
          </cell>
          <cell r="B784">
            <v>41288</v>
          </cell>
          <cell r="C784" t="str">
            <v>Future</v>
          </cell>
          <cell r="D784" t="e">
            <v>#N/A</v>
          </cell>
          <cell r="E784">
            <v>7.0885362213437126</v>
          </cell>
          <cell r="F784">
            <v>73.78814096442737</v>
          </cell>
          <cell r="G784">
            <v>42.661658750988515</v>
          </cell>
          <cell r="H784">
            <v>42.661658750988515</v>
          </cell>
          <cell r="I784" t="e">
            <v>#N/A</v>
          </cell>
          <cell r="J784" t="e">
            <v>#N/A</v>
          </cell>
          <cell r="K784" t="e">
            <v>#N/A</v>
          </cell>
          <cell r="L784" t="e">
            <v>#N/A</v>
          </cell>
          <cell r="M784" t="e">
            <v>#N/A</v>
          </cell>
          <cell r="N784" t="e">
            <v>#N/A</v>
          </cell>
          <cell r="O784" t="e">
            <v>#N/A</v>
          </cell>
          <cell r="P784" t="str">
            <v/>
          </cell>
          <cell r="Q784" t="str">
            <v/>
          </cell>
          <cell r="R784" t="e">
            <v>#N/A</v>
          </cell>
        </row>
        <row r="785">
          <cell r="A785">
            <v>41289</v>
          </cell>
          <cell r="B785">
            <v>41289</v>
          </cell>
          <cell r="C785" t="str">
            <v>Future</v>
          </cell>
          <cell r="D785" t="e">
            <v>#N/A</v>
          </cell>
          <cell r="E785">
            <v>6.8353742134385742</v>
          </cell>
          <cell r="F785">
            <v>73.83142164426927</v>
          </cell>
          <cell r="G785">
            <v>42.566599509881797</v>
          </cell>
          <cell r="H785">
            <v>42.566599509881797</v>
          </cell>
          <cell r="I785" t="e">
            <v>#N/A</v>
          </cell>
          <cell r="J785" t="e">
            <v>#N/A</v>
          </cell>
          <cell r="K785" t="e">
            <v>#N/A</v>
          </cell>
          <cell r="L785" t="e">
            <v>#N/A</v>
          </cell>
          <cell r="M785" t="e">
            <v>#N/A</v>
          </cell>
          <cell r="N785" t="e">
            <v>#N/A</v>
          </cell>
          <cell r="O785" t="e">
            <v>#N/A</v>
          </cell>
          <cell r="P785" t="str">
            <v/>
          </cell>
          <cell r="Q785" t="str">
            <v/>
          </cell>
          <cell r="R785" t="e">
            <v>#N/A</v>
          </cell>
        </row>
        <row r="786">
          <cell r="A786">
            <v>41290</v>
          </cell>
          <cell r="B786">
            <v>41290</v>
          </cell>
          <cell r="C786" t="str">
            <v>Future</v>
          </cell>
          <cell r="D786" t="e">
            <v>#N/A</v>
          </cell>
          <cell r="E786">
            <v>6.5822122055334358</v>
          </cell>
          <cell r="F786">
            <v>73.874702324111169</v>
          </cell>
          <cell r="G786">
            <v>42.47154026877508</v>
          </cell>
          <cell r="H786">
            <v>42.47154026877508</v>
          </cell>
          <cell r="I786" t="e">
            <v>#N/A</v>
          </cell>
          <cell r="J786" t="e">
            <v>#N/A</v>
          </cell>
          <cell r="K786" t="e">
            <v>#N/A</v>
          </cell>
          <cell r="L786" t="e">
            <v>#N/A</v>
          </cell>
          <cell r="M786" t="e">
            <v>#N/A</v>
          </cell>
          <cell r="N786" t="e">
            <v>#N/A</v>
          </cell>
          <cell r="O786" t="e">
            <v>#N/A</v>
          </cell>
          <cell r="P786" t="str">
            <v/>
          </cell>
          <cell r="Q786" t="str">
            <v/>
          </cell>
          <cell r="R786" t="e">
            <v>#N/A</v>
          </cell>
        </row>
        <row r="787">
          <cell r="A787">
            <v>41291</v>
          </cell>
          <cell r="B787">
            <v>41291</v>
          </cell>
          <cell r="C787" t="str">
            <v>Future</v>
          </cell>
          <cell r="D787" t="e">
            <v>#N/A</v>
          </cell>
          <cell r="E787">
            <v>6.3290501976282973</v>
          </cell>
          <cell r="F787">
            <v>73.917983003953069</v>
          </cell>
          <cell r="G787">
            <v>42.376481027668362</v>
          </cell>
          <cell r="H787">
            <v>42.376481027668362</v>
          </cell>
          <cell r="I787" t="e">
            <v>#N/A</v>
          </cell>
          <cell r="J787" t="e">
            <v>#N/A</v>
          </cell>
          <cell r="K787" t="e">
            <v>#N/A</v>
          </cell>
          <cell r="L787" t="e">
            <v>#N/A</v>
          </cell>
          <cell r="M787" t="e">
            <v>#N/A</v>
          </cell>
          <cell r="N787" t="e">
            <v>#N/A</v>
          </cell>
          <cell r="O787" t="e">
            <v>#N/A</v>
          </cell>
          <cell r="P787" t="str">
            <v/>
          </cell>
          <cell r="Q787" t="str">
            <v/>
          </cell>
          <cell r="R787" t="e">
            <v>#N/A</v>
          </cell>
        </row>
        <row r="788">
          <cell r="A788">
            <v>41292</v>
          </cell>
          <cell r="B788">
            <v>41292</v>
          </cell>
          <cell r="C788" t="str">
            <v>Future</v>
          </cell>
          <cell r="D788" t="e">
            <v>#N/A</v>
          </cell>
          <cell r="E788">
            <v>6.0758881897231589</v>
          </cell>
          <cell r="F788">
            <v>73.961263683794968</v>
          </cell>
          <cell r="G788">
            <v>42.281421786561644</v>
          </cell>
          <cell r="H788">
            <v>42.281421786561644</v>
          </cell>
          <cell r="I788" t="e">
            <v>#N/A</v>
          </cell>
          <cell r="J788" t="e">
            <v>#N/A</v>
          </cell>
          <cell r="K788" t="e">
            <v>#N/A</v>
          </cell>
          <cell r="L788" t="e">
            <v>#N/A</v>
          </cell>
          <cell r="M788" t="e">
            <v>#N/A</v>
          </cell>
          <cell r="N788" t="e">
            <v>#N/A</v>
          </cell>
          <cell r="O788" t="e">
            <v>#N/A</v>
          </cell>
          <cell r="P788" t="str">
            <v/>
          </cell>
          <cell r="Q788" t="str">
            <v/>
          </cell>
          <cell r="R788" t="e">
            <v>#N/A</v>
          </cell>
        </row>
        <row r="789">
          <cell r="A789">
            <v>41296</v>
          </cell>
          <cell r="B789">
            <v>41296</v>
          </cell>
          <cell r="C789" t="str">
            <v>Future</v>
          </cell>
          <cell r="D789" t="e">
            <v>#N/A</v>
          </cell>
          <cell r="E789">
            <v>5.8227261818180205</v>
          </cell>
          <cell r="F789">
            <v>74.004544363636867</v>
          </cell>
          <cell r="G789">
            <v>42.186362545454926</v>
          </cell>
          <cell r="H789">
            <v>42.186362545454926</v>
          </cell>
          <cell r="I789" t="e">
            <v>#N/A</v>
          </cell>
          <cell r="J789" t="e">
            <v>#N/A</v>
          </cell>
          <cell r="K789" t="e">
            <v>#N/A</v>
          </cell>
          <cell r="L789" t="e">
            <v>#N/A</v>
          </cell>
          <cell r="M789" t="e">
            <v>#N/A</v>
          </cell>
          <cell r="N789" t="e">
            <v>#N/A</v>
          </cell>
          <cell r="O789" t="e">
            <v>#N/A</v>
          </cell>
          <cell r="P789" t="str">
            <v/>
          </cell>
          <cell r="Q789" t="str">
            <v/>
          </cell>
          <cell r="R789" t="e">
            <v>#N/A</v>
          </cell>
        </row>
        <row r="790">
          <cell r="A790">
            <v>41297</v>
          </cell>
          <cell r="B790">
            <v>41297</v>
          </cell>
          <cell r="C790" t="str">
            <v>Future</v>
          </cell>
          <cell r="D790" t="e">
            <v>#N/A</v>
          </cell>
          <cell r="E790">
            <v>5.5695641739128821</v>
          </cell>
          <cell r="F790">
            <v>74.047825043478767</v>
          </cell>
          <cell r="G790">
            <v>42.091303304348209</v>
          </cell>
          <cell r="H790">
            <v>42.091303304348209</v>
          </cell>
          <cell r="I790" t="e">
            <v>#N/A</v>
          </cell>
          <cell r="J790" t="e">
            <v>#N/A</v>
          </cell>
          <cell r="K790" t="e">
            <v>#N/A</v>
          </cell>
          <cell r="L790" t="e">
            <v>#N/A</v>
          </cell>
          <cell r="M790" t="e">
            <v>#N/A</v>
          </cell>
          <cell r="N790" t="e">
            <v>#N/A</v>
          </cell>
          <cell r="O790" t="e">
            <v>#N/A</v>
          </cell>
          <cell r="P790" t="str">
            <v/>
          </cell>
          <cell r="Q790" t="str">
            <v/>
          </cell>
          <cell r="R790" t="e">
            <v>#N/A</v>
          </cell>
        </row>
        <row r="791">
          <cell r="A791">
            <v>41298</v>
          </cell>
          <cell r="B791">
            <v>41298</v>
          </cell>
          <cell r="C791" t="str">
            <v>Future</v>
          </cell>
          <cell r="D791" t="e">
            <v>#N/A</v>
          </cell>
          <cell r="E791">
            <v>5.3164021660077436</v>
          </cell>
          <cell r="F791">
            <v>74.091105723320666</v>
          </cell>
          <cell r="G791">
            <v>41.996244063241491</v>
          </cell>
          <cell r="H791">
            <v>41.996244063241491</v>
          </cell>
          <cell r="I791" t="e">
            <v>#N/A</v>
          </cell>
          <cell r="J791" t="e">
            <v>#N/A</v>
          </cell>
          <cell r="K791" t="e">
            <v>#N/A</v>
          </cell>
          <cell r="L791" t="e">
            <v>#N/A</v>
          </cell>
          <cell r="M791" t="e">
            <v>#N/A</v>
          </cell>
          <cell r="N791" t="e">
            <v>#N/A</v>
          </cell>
          <cell r="O791" t="e">
            <v>#N/A</v>
          </cell>
          <cell r="P791" t="str">
            <v/>
          </cell>
          <cell r="Q791" t="str">
            <v/>
          </cell>
          <cell r="R791" t="e">
            <v>#N/A</v>
          </cell>
        </row>
        <row r="792">
          <cell r="A792">
            <v>41299</v>
          </cell>
          <cell r="B792">
            <v>41299</v>
          </cell>
          <cell r="C792" t="str">
            <v>Future</v>
          </cell>
          <cell r="D792" t="e">
            <v>#N/A</v>
          </cell>
          <cell r="E792">
            <v>5.0632401581026052</v>
          </cell>
          <cell r="F792">
            <v>74.134386403162566</v>
          </cell>
          <cell r="G792">
            <v>41.901184822134773</v>
          </cell>
          <cell r="H792">
            <v>41.901184822134773</v>
          </cell>
          <cell r="I792" t="e">
            <v>#N/A</v>
          </cell>
          <cell r="J792" t="e">
            <v>#N/A</v>
          </cell>
          <cell r="K792" t="e">
            <v>#N/A</v>
          </cell>
          <cell r="L792" t="e">
            <v>#N/A</v>
          </cell>
          <cell r="M792" t="e">
            <v>#N/A</v>
          </cell>
          <cell r="N792" t="e">
            <v>#N/A</v>
          </cell>
          <cell r="O792" t="e">
            <v>#N/A</v>
          </cell>
          <cell r="P792" t="str">
            <v/>
          </cell>
          <cell r="Q792" t="str">
            <v/>
          </cell>
          <cell r="R792" t="e">
            <v>#N/A</v>
          </cell>
        </row>
        <row r="793">
          <cell r="A793">
            <v>41302</v>
          </cell>
          <cell r="B793">
            <v>41302</v>
          </cell>
          <cell r="C793" t="str">
            <v>Future</v>
          </cell>
          <cell r="D793" t="e">
            <v>#N/A</v>
          </cell>
          <cell r="E793">
            <v>4.8100781501974668</v>
          </cell>
          <cell r="F793">
            <v>74.177667083004465</v>
          </cell>
          <cell r="G793">
            <v>41.806125581028056</v>
          </cell>
          <cell r="H793">
            <v>41.806125581028056</v>
          </cell>
          <cell r="I793" t="e">
            <v>#N/A</v>
          </cell>
          <cell r="J793" t="e">
            <v>#N/A</v>
          </cell>
          <cell r="K793" t="e">
            <v>#N/A</v>
          </cell>
          <cell r="L793" t="e">
            <v>#N/A</v>
          </cell>
          <cell r="M793" t="e">
            <v>#N/A</v>
          </cell>
          <cell r="N793" t="e">
            <v>#N/A</v>
          </cell>
          <cell r="O793" t="e">
            <v>#N/A</v>
          </cell>
          <cell r="P793" t="str">
            <v/>
          </cell>
          <cell r="Q793" t="str">
            <v/>
          </cell>
          <cell r="R793" t="e">
            <v>#N/A</v>
          </cell>
        </row>
        <row r="794">
          <cell r="A794">
            <v>41303</v>
          </cell>
          <cell r="B794">
            <v>41303</v>
          </cell>
          <cell r="C794" t="str">
            <v>Future</v>
          </cell>
          <cell r="D794" t="e">
            <v>#N/A</v>
          </cell>
          <cell r="E794">
            <v>4.5569161422923283</v>
          </cell>
          <cell r="F794">
            <v>74.220947762846365</v>
          </cell>
          <cell r="G794">
            <v>41.711066339921338</v>
          </cell>
          <cell r="H794">
            <v>41.711066339921338</v>
          </cell>
          <cell r="I794" t="e">
            <v>#N/A</v>
          </cell>
          <cell r="J794" t="e">
            <v>#N/A</v>
          </cell>
          <cell r="K794" t="e">
            <v>#N/A</v>
          </cell>
          <cell r="L794" t="e">
            <v>#N/A</v>
          </cell>
          <cell r="M794" t="e">
            <v>#N/A</v>
          </cell>
          <cell r="N794" t="e">
            <v>#N/A</v>
          </cell>
          <cell r="O794" t="e">
            <v>#N/A</v>
          </cell>
          <cell r="P794" t="str">
            <v/>
          </cell>
          <cell r="Q794" t="str">
            <v/>
          </cell>
          <cell r="R794" t="e">
            <v>#N/A</v>
          </cell>
        </row>
        <row r="795">
          <cell r="A795">
            <v>41304</v>
          </cell>
          <cell r="B795">
            <v>41304</v>
          </cell>
          <cell r="C795" t="str">
            <v>Future</v>
          </cell>
          <cell r="D795" t="e">
            <v>#N/A</v>
          </cell>
          <cell r="E795">
            <v>4.3037541343871899</v>
          </cell>
          <cell r="F795">
            <v>74.264228442688264</v>
          </cell>
          <cell r="G795">
            <v>41.61600709881462</v>
          </cell>
          <cell r="H795">
            <v>41.61600709881462</v>
          </cell>
          <cell r="I795" t="e">
            <v>#N/A</v>
          </cell>
          <cell r="J795" t="e">
            <v>#N/A</v>
          </cell>
          <cell r="K795" t="e">
            <v>#N/A</v>
          </cell>
          <cell r="L795" t="e">
            <v>#N/A</v>
          </cell>
          <cell r="M795" t="e">
            <v>#N/A</v>
          </cell>
          <cell r="N795" t="e">
            <v>#N/A</v>
          </cell>
          <cell r="O795" t="e">
            <v>#N/A</v>
          </cell>
          <cell r="P795" t="str">
            <v/>
          </cell>
          <cell r="Q795" t="str">
            <v/>
          </cell>
          <cell r="R795" t="e">
            <v>#N/A</v>
          </cell>
        </row>
        <row r="796">
          <cell r="A796">
            <v>41305</v>
          </cell>
          <cell r="B796">
            <v>41305</v>
          </cell>
          <cell r="C796" t="str">
            <v>Future</v>
          </cell>
          <cell r="D796" t="e">
            <v>#N/A</v>
          </cell>
          <cell r="E796">
            <v>4.0505921264820515</v>
          </cell>
          <cell r="F796">
            <v>74.307509122530163</v>
          </cell>
          <cell r="G796">
            <v>41.520947857707903</v>
          </cell>
          <cell r="H796">
            <v>41.520947857707903</v>
          </cell>
          <cell r="I796" t="e">
            <v>#N/A</v>
          </cell>
          <cell r="J796" t="e">
            <v>#N/A</v>
          </cell>
          <cell r="K796" t="e">
            <v>#N/A</v>
          </cell>
          <cell r="L796" t="e">
            <v>#N/A</v>
          </cell>
          <cell r="M796" t="e">
            <v>#N/A</v>
          </cell>
          <cell r="N796" t="e">
            <v>#N/A</v>
          </cell>
          <cell r="O796" t="e">
            <v>#N/A</v>
          </cell>
          <cell r="P796" t="str">
            <v/>
          </cell>
          <cell r="Q796" t="str">
            <v/>
          </cell>
          <cell r="R796" t="e">
            <v>#N/A</v>
          </cell>
        </row>
        <row r="797">
          <cell r="A797">
            <v>41306</v>
          </cell>
          <cell r="B797">
            <v>41306</v>
          </cell>
          <cell r="C797" t="str">
            <v>Future</v>
          </cell>
          <cell r="D797" t="e">
            <v>#N/A</v>
          </cell>
          <cell r="E797">
            <v>3.797430118576913</v>
          </cell>
          <cell r="F797">
            <v>74.350789802372063</v>
          </cell>
          <cell r="G797">
            <v>41.425888616601185</v>
          </cell>
          <cell r="H797">
            <v>41.425888616601185</v>
          </cell>
          <cell r="I797" t="e">
            <v>#N/A</v>
          </cell>
          <cell r="J797" t="e">
            <v>#N/A</v>
          </cell>
          <cell r="K797" t="e">
            <v>#N/A</v>
          </cell>
          <cell r="L797" t="e">
            <v>#N/A</v>
          </cell>
          <cell r="M797" t="e">
            <v>#N/A</v>
          </cell>
          <cell r="N797" t="e">
            <v>#N/A</v>
          </cell>
          <cell r="O797" t="e">
            <v>#N/A</v>
          </cell>
          <cell r="P797" t="str">
            <v/>
          </cell>
          <cell r="Q797" t="str">
            <v/>
          </cell>
          <cell r="R797" t="e">
            <v>#N/A</v>
          </cell>
        </row>
        <row r="798">
          <cell r="A798">
            <v>41309</v>
          </cell>
          <cell r="B798">
            <v>41309</v>
          </cell>
          <cell r="C798" t="str">
            <v>Future</v>
          </cell>
          <cell r="D798" t="e">
            <v>#N/A</v>
          </cell>
          <cell r="E798">
            <v>3.5442681106717746</v>
          </cell>
          <cell r="F798">
            <v>74.394070482213962</v>
          </cell>
          <cell r="G798">
            <v>41.330829375494467</v>
          </cell>
          <cell r="H798">
            <v>41.330829375494467</v>
          </cell>
          <cell r="I798" t="e">
            <v>#N/A</v>
          </cell>
          <cell r="J798" t="e">
            <v>#N/A</v>
          </cell>
          <cell r="K798" t="e">
            <v>#N/A</v>
          </cell>
          <cell r="L798" t="e">
            <v>#N/A</v>
          </cell>
          <cell r="M798" t="e">
            <v>#N/A</v>
          </cell>
          <cell r="N798" t="e">
            <v>#N/A</v>
          </cell>
          <cell r="O798" t="e">
            <v>#N/A</v>
          </cell>
          <cell r="P798" t="str">
            <v/>
          </cell>
          <cell r="Q798" t="str">
            <v/>
          </cell>
          <cell r="R798" t="e">
            <v>#N/A</v>
          </cell>
        </row>
        <row r="799">
          <cell r="A799">
            <v>41310</v>
          </cell>
          <cell r="B799">
            <v>41310</v>
          </cell>
          <cell r="C799" t="str">
            <v>Future</v>
          </cell>
          <cell r="D799" t="e">
            <v>#N/A</v>
          </cell>
          <cell r="E799">
            <v>3.2911061027666362</v>
          </cell>
          <cell r="F799">
            <v>74.437351162055862</v>
          </cell>
          <cell r="G799">
            <v>41.235770134387749</v>
          </cell>
          <cell r="H799">
            <v>41.235770134387749</v>
          </cell>
          <cell r="I799" t="e">
            <v>#N/A</v>
          </cell>
          <cell r="J799" t="e">
            <v>#N/A</v>
          </cell>
          <cell r="K799" t="e">
            <v>#N/A</v>
          </cell>
          <cell r="L799" t="e">
            <v>#N/A</v>
          </cell>
          <cell r="M799" t="e">
            <v>#N/A</v>
          </cell>
          <cell r="N799" t="e">
            <v>#N/A</v>
          </cell>
          <cell r="O799" t="e">
            <v>#N/A</v>
          </cell>
          <cell r="P799" t="str">
            <v/>
          </cell>
          <cell r="Q799" t="str">
            <v/>
          </cell>
          <cell r="R799" t="e">
            <v>#N/A</v>
          </cell>
        </row>
        <row r="800">
          <cell r="A800">
            <v>41311</v>
          </cell>
          <cell r="B800">
            <v>41311</v>
          </cell>
          <cell r="C800" t="str">
            <v>Future</v>
          </cell>
          <cell r="D800" t="e">
            <v>#N/A</v>
          </cell>
          <cell r="E800">
            <v>3.0379440948614977</v>
          </cell>
          <cell r="F800">
            <v>74.480631841897761</v>
          </cell>
          <cell r="G800">
            <v>41.140710893281032</v>
          </cell>
          <cell r="H800">
            <v>41.140710893281032</v>
          </cell>
          <cell r="I800" t="e">
            <v>#N/A</v>
          </cell>
          <cell r="J800" t="e">
            <v>#N/A</v>
          </cell>
          <cell r="K800" t="e">
            <v>#N/A</v>
          </cell>
          <cell r="L800" t="e">
            <v>#N/A</v>
          </cell>
          <cell r="M800" t="e">
            <v>#N/A</v>
          </cell>
          <cell r="N800" t="e">
            <v>#N/A</v>
          </cell>
          <cell r="O800" t="e">
            <v>#N/A</v>
          </cell>
          <cell r="P800" t="str">
            <v/>
          </cell>
          <cell r="Q800" t="str">
            <v/>
          </cell>
          <cell r="R800" t="e">
            <v>#N/A</v>
          </cell>
        </row>
        <row r="801">
          <cell r="A801">
            <v>41312</v>
          </cell>
          <cell r="B801">
            <v>41312</v>
          </cell>
          <cell r="C801" t="str">
            <v>Future</v>
          </cell>
          <cell r="D801" t="e">
            <v>#N/A</v>
          </cell>
          <cell r="E801">
            <v>2.7847820869563593</v>
          </cell>
          <cell r="F801">
            <v>74.523912521739661</v>
          </cell>
          <cell r="G801">
            <v>41.045651652174314</v>
          </cell>
          <cell r="H801">
            <v>41.045651652174314</v>
          </cell>
          <cell r="I801" t="e">
            <v>#N/A</v>
          </cell>
          <cell r="J801" t="e">
            <v>#N/A</v>
          </cell>
          <cell r="K801" t="e">
            <v>#N/A</v>
          </cell>
          <cell r="L801" t="e">
            <v>#N/A</v>
          </cell>
          <cell r="M801" t="e">
            <v>#N/A</v>
          </cell>
          <cell r="N801" t="e">
            <v>#N/A</v>
          </cell>
          <cell r="O801" t="e">
            <v>#N/A</v>
          </cell>
          <cell r="P801" t="str">
            <v/>
          </cell>
          <cell r="Q801" t="str">
            <v/>
          </cell>
          <cell r="R801" t="e">
            <v>#N/A</v>
          </cell>
        </row>
        <row r="802">
          <cell r="A802">
            <v>41313</v>
          </cell>
          <cell r="B802">
            <v>41313</v>
          </cell>
          <cell r="C802" t="str">
            <v>Future</v>
          </cell>
          <cell r="D802" t="e">
            <v>#N/A</v>
          </cell>
          <cell r="E802">
            <v>2.5316200790512209</v>
          </cell>
          <cell r="F802">
            <v>74.56719320158156</v>
          </cell>
          <cell r="G802">
            <v>40.950592411067596</v>
          </cell>
          <cell r="H802">
            <v>40.950592411067596</v>
          </cell>
          <cell r="I802" t="e">
            <v>#N/A</v>
          </cell>
          <cell r="J802" t="e">
            <v>#N/A</v>
          </cell>
          <cell r="K802" t="e">
            <v>#N/A</v>
          </cell>
          <cell r="L802" t="e">
            <v>#N/A</v>
          </cell>
          <cell r="M802" t="e">
            <v>#N/A</v>
          </cell>
          <cell r="N802" t="e">
            <v>#N/A</v>
          </cell>
          <cell r="O802" t="e">
            <v>#N/A</v>
          </cell>
          <cell r="P802" t="str">
            <v/>
          </cell>
          <cell r="Q802" t="str">
            <v/>
          </cell>
          <cell r="R802" t="e">
            <v>#N/A</v>
          </cell>
        </row>
        <row r="803">
          <cell r="A803">
            <v>41316</v>
          </cell>
          <cell r="B803">
            <v>41316</v>
          </cell>
          <cell r="C803" t="str">
            <v>Future</v>
          </cell>
          <cell r="D803" t="e">
            <v>#N/A</v>
          </cell>
          <cell r="E803">
            <v>2.2784580711460825</v>
          </cell>
          <cell r="F803">
            <v>74.610473881423459</v>
          </cell>
          <cell r="G803">
            <v>40.855533169960879</v>
          </cell>
          <cell r="H803">
            <v>40.855533169960879</v>
          </cell>
          <cell r="I803" t="e">
            <v>#N/A</v>
          </cell>
          <cell r="J803" t="e">
            <v>#N/A</v>
          </cell>
          <cell r="K803" t="e">
            <v>#N/A</v>
          </cell>
          <cell r="L803" t="e">
            <v>#N/A</v>
          </cell>
          <cell r="M803" t="e">
            <v>#N/A</v>
          </cell>
          <cell r="N803" t="e">
            <v>#N/A</v>
          </cell>
          <cell r="O803" t="e">
            <v>#N/A</v>
          </cell>
          <cell r="P803" t="str">
            <v/>
          </cell>
          <cell r="Q803" t="str">
            <v/>
          </cell>
          <cell r="R803" t="e">
            <v>#N/A</v>
          </cell>
        </row>
        <row r="804">
          <cell r="A804">
            <v>41317</v>
          </cell>
          <cell r="B804">
            <v>41317</v>
          </cell>
          <cell r="C804" t="str">
            <v>Future</v>
          </cell>
          <cell r="D804" t="e">
            <v>#N/A</v>
          </cell>
          <cell r="E804">
            <v>2.025296063240944</v>
          </cell>
          <cell r="F804">
            <v>74.653754561265359</v>
          </cell>
          <cell r="G804">
            <v>40.760473928854161</v>
          </cell>
          <cell r="H804">
            <v>40.760473928854161</v>
          </cell>
          <cell r="I804" t="e">
            <v>#N/A</v>
          </cell>
          <cell r="J804" t="e">
            <v>#N/A</v>
          </cell>
          <cell r="K804" t="e">
            <v>#N/A</v>
          </cell>
          <cell r="L804" t="e">
            <v>#N/A</v>
          </cell>
          <cell r="M804" t="e">
            <v>#N/A</v>
          </cell>
          <cell r="N804" t="e">
            <v>#N/A</v>
          </cell>
          <cell r="O804" t="e">
            <v>#N/A</v>
          </cell>
          <cell r="P804" t="str">
            <v/>
          </cell>
          <cell r="Q804" t="str">
            <v/>
          </cell>
          <cell r="R804" t="e">
            <v>#N/A</v>
          </cell>
        </row>
        <row r="805">
          <cell r="A805">
            <v>41318</v>
          </cell>
          <cell r="B805">
            <v>41318</v>
          </cell>
          <cell r="C805" t="str">
            <v>Future</v>
          </cell>
          <cell r="D805" t="e">
            <v>#N/A</v>
          </cell>
          <cell r="E805">
            <v>1.7721340553358056</v>
          </cell>
          <cell r="F805">
            <v>74.697035241107258</v>
          </cell>
          <cell r="G805">
            <v>40.665414687747443</v>
          </cell>
          <cell r="H805">
            <v>40.665414687747443</v>
          </cell>
          <cell r="I805" t="e">
            <v>#N/A</v>
          </cell>
          <cell r="J805" t="e">
            <v>#N/A</v>
          </cell>
          <cell r="K805" t="e">
            <v>#N/A</v>
          </cell>
          <cell r="L805" t="e">
            <v>#N/A</v>
          </cell>
          <cell r="M805" t="e">
            <v>#N/A</v>
          </cell>
          <cell r="N805" t="e">
            <v>#N/A</v>
          </cell>
          <cell r="O805" t="e">
            <v>#N/A</v>
          </cell>
          <cell r="P805" t="str">
            <v/>
          </cell>
          <cell r="Q805" t="str">
            <v/>
          </cell>
          <cell r="R805" t="e">
            <v>#N/A</v>
          </cell>
        </row>
        <row r="806">
          <cell r="A806">
            <v>41319</v>
          </cell>
          <cell r="B806">
            <v>41319</v>
          </cell>
          <cell r="C806" t="str">
            <v>Future</v>
          </cell>
          <cell r="D806" t="e">
            <v>#N/A</v>
          </cell>
          <cell r="E806">
            <v>1.5189720474306672</v>
          </cell>
          <cell r="F806">
            <v>74.740315920949158</v>
          </cell>
          <cell r="G806">
            <v>40.570355446640725</v>
          </cell>
          <cell r="H806">
            <v>40.570355446640725</v>
          </cell>
          <cell r="I806" t="e">
            <v>#N/A</v>
          </cell>
          <cell r="J806" t="e">
            <v>#N/A</v>
          </cell>
          <cell r="K806" t="e">
            <v>#N/A</v>
          </cell>
          <cell r="L806" t="e">
            <v>#N/A</v>
          </cell>
          <cell r="M806" t="e">
            <v>#N/A</v>
          </cell>
          <cell r="N806" t="e">
            <v>#N/A</v>
          </cell>
          <cell r="O806" t="e">
            <v>#N/A</v>
          </cell>
          <cell r="P806" t="str">
            <v/>
          </cell>
          <cell r="Q806" t="str">
            <v/>
          </cell>
          <cell r="R806" t="e">
            <v>#N/A</v>
          </cell>
        </row>
        <row r="807">
          <cell r="A807">
            <v>41320</v>
          </cell>
          <cell r="B807">
            <v>41320</v>
          </cell>
          <cell r="C807" t="str">
            <v>Future</v>
          </cell>
          <cell r="D807" t="e">
            <v>#N/A</v>
          </cell>
          <cell r="E807">
            <v>1.2658100395255287</v>
          </cell>
          <cell r="F807">
            <v>74.783596600791057</v>
          </cell>
          <cell r="G807">
            <v>40.475296205534008</v>
          </cell>
          <cell r="H807">
            <v>40.475296205534008</v>
          </cell>
          <cell r="I807" t="e">
            <v>#N/A</v>
          </cell>
          <cell r="J807" t="e">
            <v>#N/A</v>
          </cell>
          <cell r="K807" t="e">
            <v>#N/A</v>
          </cell>
          <cell r="L807" t="e">
            <v>#N/A</v>
          </cell>
          <cell r="M807" t="e">
            <v>#N/A</v>
          </cell>
          <cell r="N807" t="e">
            <v>#N/A</v>
          </cell>
          <cell r="O807" t="e">
            <v>#N/A</v>
          </cell>
          <cell r="P807" t="str">
            <v/>
          </cell>
          <cell r="Q807" t="str">
            <v/>
          </cell>
          <cell r="R807" t="e">
            <v>#N/A</v>
          </cell>
        </row>
        <row r="808">
          <cell r="A808">
            <v>41324</v>
          </cell>
          <cell r="B808">
            <v>41324</v>
          </cell>
          <cell r="C808" t="str">
            <v>Future</v>
          </cell>
          <cell r="D808" t="e">
            <v>#N/A</v>
          </cell>
          <cell r="E808">
            <v>1.0126480316203903</v>
          </cell>
          <cell r="F808">
            <v>74.826877280632957</v>
          </cell>
          <cell r="G808">
            <v>40.38023696442729</v>
          </cell>
          <cell r="H808">
            <v>40.38023696442729</v>
          </cell>
          <cell r="I808" t="e">
            <v>#N/A</v>
          </cell>
          <cell r="J808" t="e">
            <v>#N/A</v>
          </cell>
          <cell r="K808" t="e">
            <v>#N/A</v>
          </cell>
          <cell r="L808" t="e">
            <v>#N/A</v>
          </cell>
          <cell r="M808" t="e">
            <v>#N/A</v>
          </cell>
          <cell r="N808" t="e">
            <v>#N/A</v>
          </cell>
          <cell r="O808" t="e">
            <v>#N/A</v>
          </cell>
          <cell r="P808" t="str">
            <v/>
          </cell>
          <cell r="Q808" t="str">
            <v/>
          </cell>
          <cell r="R808" t="e">
            <v>#N/A</v>
          </cell>
        </row>
        <row r="809">
          <cell r="A809">
            <v>41325</v>
          </cell>
          <cell r="B809">
            <v>41325</v>
          </cell>
          <cell r="C809" t="str">
            <v>Future</v>
          </cell>
          <cell r="D809" t="e">
            <v>#N/A</v>
          </cell>
          <cell r="E809">
            <v>0.75948602371525198</v>
          </cell>
          <cell r="F809">
            <v>74.870157960474856</v>
          </cell>
          <cell r="G809">
            <v>40.285177723320572</v>
          </cell>
          <cell r="H809">
            <v>40.285177723320572</v>
          </cell>
          <cell r="I809" t="e">
            <v>#N/A</v>
          </cell>
          <cell r="J809" t="e">
            <v>#N/A</v>
          </cell>
          <cell r="K809" t="e">
            <v>#N/A</v>
          </cell>
          <cell r="L809" t="e">
            <v>#N/A</v>
          </cell>
          <cell r="M809" t="e">
            <v>#N/A</v>
          </cell>
          <cell r="N809" t="e">
            <v>#N/A</v>
          </cell>
          <cell r="O809" t="e">
            <v>#N/A</v>
          </cell>
          <cell r="P809" t="str">
            <v/>
          </cell>
          <cell r="Q809" t="str">
            <v/>
          </cell>
          <cell r="R809" t="e">
            <v>#N/A</v>
          </cell>
        </row>
        <row r="810">
          <cell r="A810">
            <v>41326</v>
          </cell>
          <cell r="B810">
            <v>41326</v>
          </cell>
          <cell r="C810" t="str">
            <v>Future</v>
          </cell>
          <cell r="D810" t="e">
            <v>#N/A</v>
          </cell>
          <cell r="E810">
            <v>0.50632401581011366</v>
          </cell>
          <cell r="F810">
            <v>74.913438640316755</v>
          </cell>
          <cell r="G810">
            <v>40.190118482213855</v>
          </cell>
          <cell r="H810">
            <v>40.190118482213855</v>
          </cell>
          <cell r="I810" t="e">
            <v>#N/A</v>
          </cell>
          <cell r="J810" t="e">
            <v>#N/A</v>
          </cell>
          <cell r="K810" t="e">
            <v>#N/A</v>
          </cell>
          <cell r="L810" t="e">
            <v>#N/A</v>
          </cell>
          <cell r="M810" t="e">
            <v>#N/A</v>
          </cell>
          <cell r="N810" t="e">
            <v>#N/A</v>
          </cell>
          <cell r="O810" t="e">
            <v>#N/A</v>
          </cell>
          <cell r="P810" t="str">
            <v/>
          </cell>
          <cell r="Q810" t="str">
            <v/>
          </cell>
          <cell r="R810" t="e">
            <v>#N/A</v>
          </cell>
        </row>
        <row r="811">
          <cell r="A811">
            <v>41327</v>
          </cell>
          <cell r="B811">
            <v>41327</v>
          </cell>
          <cell r="C811" t="str">
            <v>Future</v>
          </cell>
          <cell r="D811" t="e">
            <v>#N/A</v>
          </cell>
          <cell r="E811">
            <v>0.25316200790497534</v>
          </cell>
          <cell r="F811">
            <v>74.956719320158655</v>
          </cell>
          <cell r="G811">
            <v>40.095059241107137</v>
          </cell>
          <cell r="H811">
            <v>40.095059241107137</v>
          </cell>
          <cell r="I811" t="e">
            <v>#N/A</v>
          </cell>
          <cell r="J811" t="e">
            <v>#N/A</v>
          </cell>
          <cell r="K811">
            <v>75</v>
          </cell>
          <cell r="L811">
            <v>40</v>
          </cell>
          <cell r="M811" t="e">
            <v>#N/A</v>
          </cell>
          <cell r="N811">
            <v>68</v>
          </cell>
          <cell r="O811" t="e">
            <v>#N/A</v>
          </cell>
          <cell r="P811" t="str">
            <v/>
          </cell>
          <cell r="Q811" t="str">
            <v/>
          </cell>
          <cell r="R811">
            <v>68</v>
          </cell>
        </row>
        <row r="812">
          <cell r="A812" t="str">
            <v/>
          </cell>
          <cell r="B812" t="str">
            <v/>
          </cell>
          <cell r="C812" t="str">
            <v>Future</v>
          </cell>
          <cell r="D812" t="e">
            <v>#N/A</v>
          </cell>
          <cell r="E812">
            <v>-1.6298074001497298E-13</v>
          </cell>
          <cell r="F812">
            <v>75.000000000000554</v>
          </cell>
          <cell r="G812">
            <v>40.000000000000419</v>
          </cell>
          <cell r="H812">
            <v>40.000000000000419</v>
          </cell>
          <cell r="I812" t="e">
            <v>#N/A</v>
          </cell>
          <cell r="J812" t="e">
            <v>#N/A</v>
          </cell>
          <cell r="K812">
            <v>75</v>
          </cell>
          <cell r="L812">
            <v>40</v>
          </cell>
          <cell r="M812" t="e">
            <v>#N/A</v>
          </cell>
          <cell r="N812">
            <v>68</v>
          </cell>
          <cell r="O812" t="e">
            <v>#N/A</v>
          </cell>
          <cell r="P812" t="str">
            <v/>
          </cell>
          <cell r="Q812" t="str">
            <v/>
          </cell>
          <cell r="R812">
            <v>68</v>
          </cell>
        </row>
        <row r="813">
          <cell r="A813" t="str">
            <v/>
          </cell>
          <cell r="B813" t="str">
            <v/>
          </cell>
          <cell r="C813" t="str">
            <v>Future</v>
          </cell>
          <cell r="D813" t="e">
            <v>#N/A</v>
          </cell>
          <cell r="E813">
            <v>-0.2531620079053013</v>
          </cell>
          <cell r="F813">
            <v>75.043280679842454</v>
          </cell>
          <cell r="G813">
            <v>39.904940758893702</v>
          </cell>
          <cell r="H813">
            <v>39.904940758893702</v>
          </cell>
          <cell r="I813" t="e">
            <v>#N/A</v>
          </cell>
          <cell r="J813" t="e">
            <v>#N/A</v>
          </cell>
          <cell r="K813">
            <v>75</v>
          </cell>
          <cell r="L813">
            <v>40</v>
          </cell>
          <cell r="M813" t="e">
            <v>#N/A</v>
          </cell>
          <cell r="N813">
            <v>68</v>
          </cell>
          <cell r="O813" t="e">
            <v>#N/A</v>
          </cell>
          <cell r="P813" t="str">
            <v/>
          </cell>
          <cell r="Q813" t="str">
            <v/>
          </cell>
          <cell r="R813">
            <v>68</v>
          </cell>
        </row>
        <row r="814">
          <cell r="A814" t="str">
            <v/>
          </cell>
          <cell r="B814" t="str">
            <v/>
          </cell>
          <cell r="C814" t="str">
            <v>Future</v>
          </cell>
          <cell r="D814" t="e">
            <v>#N/A</v>
          </cell>
          <cell r="E814">
            <v>-0.50632401581043962</v>
          </cell>
          <cell r="F814">
            <v>75.086561359684353</v>
          </cell>
          <cell r="G814">
            <v>39.809881517786984</v>
          </cell>
          <cell r="H814">
            <v>39.809881517786984</v>
          </cell>
          <cell r="I814" t="e">
            <v>#N/A</v>
          </cell>
          <cell r="J814" t="e">
            <v>#N/A</v>
          </cell>
          <cell r="K814">
            <v>75</v>
          </cell>
          <cell r="L814">
            <v>40</v>
          </cell>
          <cell r="M814" t="e">
            <v>#N/A</v>
          </cell>
          <cell r="N814">
            <v>68</v>
          </cell>
          <cell r="O814" t="e">
            <v>#N/A</v>
          </cell>
          <cell r="P814" t="str">
            <v/>
          </cell>
          <cell r="Q814" t="str">
            <v/>
          </cell>
          <cell r="R814">
            <v>68</v>
          </cell>
        </row>
        <row r="815">
          <cell r="A815" t="str">
            <v/>
          </cell>
          <cell r="B815" t="str">
            <v/>
          </cell>
          <cell r="C815" t="str">
            <v>Future</v>
          </cell>
          <cell r="D815" t="e">
            <v>#N/A</v>
          </cell>
          <cell r="E815">
            <v>-0.75948602371557794</v>
          </cell>
          <cell r="F815">
            <v>75.129842039526253</v>
          </cell>
          <cell r="G815">
            <v>39.714822276680266</v>
          </cell>
          <cell r="H815">
            <v>39.714822276680266</v>
          </cell>
          <cell r="I815" t="e">
            <v>#N/A</v>
          </cell>
          <cell r="J815" t="e">
            <v>#N/A</v>
          </cell>
          <cell r="K815">
            <v>75</v>
          </cell>
          <cell r="L815">
            <v>40</v>
          </cell>
          <cell r="M815" t="e">
            <v>#N/A</v>
          </cell>
          <cell r="N815">
            <v>68</v>
          </cell>
          <cell r="O815" t="e">
            <v>#N/A</v>
          </cell>
          <cell r="P815" t="str">
            <v/>
          </cell>
          <cell r="Q815" t="str">
            <v/>
          </cell>
          <cell r="R815">
            <v>68</v>
          </cell>
        </row>
        <row r="816">
          <cell r="A816" t="str">
            <v/>
          </cell>
          <cell r="B816" t="str">
            <v/>
          </cell>
          <cell r="C816" t="str">
            <v>Future</v>
          </cell>
          <cell r="D816" t="e">
            <v>#N/A</v>
          </cell>
          <cell r="E816">
            <v>-1.0126480316207163</v>
          </cell>
          <cell r="F816">
            <v>75.173122719368152</v>
          </cell>
          <cell r="G816">
            <v>39.619763035573548</v>
          </cell>
          <cell r="H816">
            <v>39.619763035573548</v>
          </cell>
          <cell r="I816" t="e">
            <v>#N/A</v>
          </cell>
          <cell r="J816" t="e">
            <v>#N/A</v>
          </cell>
          <cell r="K816">
            <v>75</v>
          </cell>
          <cell r="L816">
            <v>40</v>
          </cell>
          <cell r="M816" t="e">
            <v>#N/A</v>
          </cell>
          <cell r="N816">
            <v>68</v>
          </cell>
          <cell r="O816" t="e">
            <v>#N/A</v>
          </cell>
          <cell r="P816" t="str">
            <v/>
          </cell>
          <cell r="Q816" t="str">
            <v/>
          </cell>
          <cell r="R816">
            <v>68</v>
          </cell>
        </row>
        <row r="817">
          <cell r="A817" t="str">
            <v/>
          </cell>
          <cell r="B817" t="str">
            <v/>
          </cell>
          <cell r="C817" t="str">
            <v>Future</v>
          </cell>
          <cell r="D817" t="e">
            <v>#N/A</v>
          </cell>
          <cell r="E817">
            <v>-1.2658100395258547</v>
          </cell>
          <cell r="F817">
            <v>75.216403399210051</v>
          </cell>
          <cell r="G817">
            <v>39.524703794466831</v>
          </cell>
          <cell r="H817">
            <v>39.524703794466831</v>
          </cell>
          <cell r="I817" t="e">
            <v>#N/A</v>
          </cell>
          <cell r="J817" t="e">
            <v>#N/A</v>
          </cell>
          <cell r="K817">
            <v>75</v>
          </cell>
          <cell r="L817">
            <v>40</v>
          </cell>
          <cell r="M817" t="e">
            <v>#N/A</v>
          </cell>
          <cell r="N817">
            <v>68</v>
          </cell>
          <cell r="O817" t="e">
            <v>#N/A</v>
          </cell>
          <cell r="P817" t="str">
            <v/>
          </cell>
          <cell r="Q817" t="str">
            <v/>
          </cell>
          <cell r="R817">
            <v>68</v>
          </cell>
        </row>
        <row r="818">
          <cell r="A818" t="str">
            <v/>
          </cell>
          <cell r="B818" t="str">
            <v/>
          </cell>
          <cell r="C818" t="str">
            <v>Future</v>
          </cell>
          <cell r="D818" t="e">
            <v>#N/A</v>
          </cell>
          <cell r="E818">
            <v>-1.5189720474309931</v>
          </cell>
          <cell r="F818">
            <v>75.259684079051951</v>
          </cell>
          <cell r="G818">
            <v>39.429644553360113</v>
          </cell>
          <cell r="H818">
            <v>39.429644553360113</v>
          </cell>
          <cell r="I818" t="e">
            <v>#N/A</v>
          </cell>
          <cell r="J818" t="e">
            <v>#N/A</v>
          </cell>
          <cell r="K818">
            <v>75</v>
          </cell>
          <cell r="L818">
            <v>40</v>
          </cell>
          <cell r="M818" t="e">
            <v>#N/A</v>
          </cell>
          <cell r="N818">
            <v>68</v>
          </cell>
          <cell r="O818" t="e">
            <v>#N/A</v>
          </cell>
          <cell r="P818" t="str">
            <v/>
          </cell>
          <cell r="Q818" t="str">
            <v/>
          </cell>
          <cell r="R818">
            <v>68</v>
          </cell>
        </row>
        <row r="819">
          <cell r="A819" t="str">
            <v/>
          </cell>
          <cell r="B819" t="str">
            <v/>
          </cell>
          <cell r="C819" t="str">
            <v>Future</v>
          </cell>
          <cell r="D819" t="e">
            <v>#N/A</v>
          </cell>
          <cell r="E819">
            <v>-1.7721340553361316</v>
          </cell>
          <cell r="F819">
            <v>75.30296475889385</v>
          </cell>
          <cell r="G819">
            <v>39.334585312253395</v>
          </cell>
          <cell r="H819">
            <v>39.334585312253395</v>
          </cell>
          <cell r="I819" t="e">
            <v>#N/A</v>
          </cell>
          <cell r="J819" t="e">
            <v>#N/A</v>
          </cell>
          <cell r="K819">
            <v>75</v>
          </cell>
          <cell r="L819">
            <v>40</v>
          </cell>
          <cell r="M819" t="e">
            <v>#N/A</v>
          </cell>
          <cell r="N819">
            <v>68</v>
          </cell>
          <cell r="O819" t="e">
            <v>#N/A</v>
          </cell>
          <cell r="P819" t="str">
            <v/>
          </cell>
          <cell r="Q819" t="str">
            <v/>
          </cell>
          <cell r="R819">
            <v>68</v>
          </cell>
        </row>
        <row r="820">
          <cell r="A820" t="str">
            <v/>
          </cell>
          <cell r="B820" t="str">
            <v/>
          </cell>
          <cell r="C820" t="str">
            <v>Future</v>
          </cell>
          <cell r="D820" t="e">
            <v>#N/A</v>
          </cell>
          <cell r="E820">
            <v>-2.02529606324127</v>
          </cell>
          <cell r="F820">
            <v>75.34624543873575</v>
          </cell>
          <cell r="G820">
            <v>39.239526071146678</v>
          </cell>
          <cell r="H820">
            <v>39.239526071146678</v>
          </cell>
          <cell r="I820" t="e">
            <v>#N/A</v>
          </cell>
          <cell r="J820" t="e">
            <v>#N/A</v>
          </cell>
          <cell r="K820">
            <v>75</v>
          </cell>
          <cell r="L820">
            <v>40</v>
          </cell>
          <cell r="M820" t="e">
            <v>#N/A</v>
          </cell>
          <cell r="N820">
            <v>68</v>
          </cell>
          <cell r="O820" t="e">
            <v>#N/A</v>
          </cell>
          <cell r="P820" t="str">
            <v/>
          </cell>
          <cell r="Q820" t="str">
            <v/>
          </cell>
          <cell r="R820">
            <v>68</v>
          </cell>
        </row>
        <row r="821">
          <cell r="A821" t="str">
            <v/>
          </cell>
          <cell r="B821" t="str">
            <v/>
          </cell>
          <cell r="C821" t="str">
            <v>Future</v>
          </cell>
          <cell r="D821" t="e">
            <v>#N/A</v>
          </cell>
          <cell r="E821">
            <v>-2.2784580711464084</v>
          </cell>
          <cell r="F821">
            <v>75.389526118577649</v>
          </cell>
          <cell r="G821">
            <v>39.14446683003996</v>
          </cell>
          <cell r="H821">
            <v>39.14446683003996</v>
          </cell>
          <cell r="I821" t="e">
            <v>#N/A</v>
          </cell>
          <cell r="J821" t="e">
            <v>#N/A</v>
          </cell>
          <cell r="K821">
            <v>75</v>
          </cell>
          <cell r="L821">
            <v>40</v>
          </cell>
          <cell r="M821" t="e">
            <v>#N/A</v>
          </cell>
          <cell r="N821">
            <v>68</v>
          </cell>
          <cell r="O821" t="e">
            <v>#N/A</v>
          </cell>
          <cell r="P821" t="str">
            <v/>
          </cell>
          <cell r="Q821" t="str">
            <v/>
          </cell>
          <cell r="R821">
            <v>68</v>
          </cell>
        </row>
        <row r="822">
          <cell r="A822" t="str">
            <v/>
          </cell>
          <cell r="B822" t="str">
            <v/>
          </cell>
          <cell r="C822" t="str">
            <v>Future</v>
          </cell>
          <cell r="D822" t="e">
            <v>#N/A</v>
          </cell>
          <cell r="E822">
            <v>-2.5316200790515468</v>
          </cell>
          <cell r="F822">
            <v>75.432806798419548</v>
          </cell>
          <cell r="G822">
            <v>39.049407588933242</v>
          </cell>
          <cell r="H822">
            <v>39.049407588933242</v>
          </cell>
          <cell r="I822" t="e">
            <v>#N/A</v>
          </cell>
          <cell r="J822" t="e">
            <v>#N/A</v>
          </cell>
          <cell r="K822">
            <v>75</v>
          </cell>
          <cell r="L822">
            <v>40</v>
          </cell>
          <cell r="M822" t="e">
            <v>#N/A</v>
          </cell>
          <cell r="N822">
            <v>68</v>
          </cell>
          <cell r="O822" t="e">
            <v>#N/A</v>
          </cell>
          <cell r="P822" t="str">
            <v/>
          </cell>
          <cell r="Q822" t="str">
            <v/>
          </cell>
          <cell r="R822">
            <v>68</v>
          </cell>
        </row>
        <row r="823">
          <cell r="A823" t="str">
            <v/>
          </cell>
          <cell r="B823" t="str">
            <v/>
          </cell>
          <cell r="C823" t="str">
            <v>Future</v>
          </cell>
          <cell r="D823" t="e">
            <v>#N/A</v>
          </cell>
          <cell r="E823">
            <v>-2.7847820869566853</v>
          </cell>
          <cell r="F823">
            <v>75.476087478261448</v>
          </cell>
          <cell r="G823">
            <v>38.954348347826524</v>
          </cell>
          <cell r="H823">
            <v>38.954348347826524</v>
          </cell>
          <cell r="I823" t="e">
            <v>#N/A</v>
          </cell>
          <cell r="J823" t="e">
            <v>#N/A</v>
          </cell>
          <cell r="K823">
            <v>75</v>
          </cell>
          <cell r="L823">
            <v>40</v>
          </cell>
          <cell r="M823" t="e">
            <v>#N/A</v>
          </cell>
          <cell r="N823">
            <v>68</v>
          </cell>
          <cell r="O823" t="e">
            <v>#N/A</v>
          </cell>
          <cell r="P823" t="str">
            <v/>
          </cell>
          <cell r="Q823" t="str">
            <v/>
          </cell>
          <cell r="R823">
            <v>68</v>
          </cell>
        </row>
        <row r="824">
          <cell r="A824" t="str">
            <v/>
          </cell>
          <cell r="B824" t="str">
            <v/>
          </cell>
          <cell r="C824" t="str">
            <v>Future</v>
          </cell>
          <cell r="D824" t="e">
            <v>#N/A</v>
          </cell>
          <cell r="E824">
            <v>-3.0379440948618237</v>
          </cell>
          <cell r="F824">
            <v>75.519368158103347</v>
          </cell>
          <cell r="G824">
            <v>38.859289106719807</v>
          </cell>
          <cell r="H824">
            <v>38.859289106719807</v>
          </cell>
          <cell r="I824" t="e">
            <v>#N/A</v>
          </cell>
          <cell r="J824" t="e">
            <v>#N/A</v>
          </cell>
          <cell r="K824">
            <v>75</v>
          </cell>
          <cell r="L824">
            <v>40</v>
          </cell>
          <cell r="M824" t="e">
            <v>#N/A</v>
          </cell>
          <cell r="N824">
            <v>68</v>
          </cell>
          <cell r="O824" t="e">
            <v>#N/A</v>
          </cell>
          <cell r="P824" t="str">
            <v/>
          </cell>
          <cell r="Q824" t="str">
            <v/>
          </cell>
          <cell r="R824">
            <v>68</v>
          </cell>
        </row>
        <row r="825">
          <cell r="A825" t="str">
            <v/>
          </cell>
          <cell r="B825" t="str">
            <v/>
          </cell>
          <cell r="C825" t="str">
            <v>Future</v>
          </cell>
          <cell r="D825" t="e">
            <v>#N/A</v>
          </cell>
          <cell r="E825">
            <v>-3.2911061027669621</v>
          </cell>
          <cell r="F825">
            <v>75.562648837945247</v>
          </cell>
          <cell r="G825">
            <v>38.764229865613089</v>
          </cell>
          <cell r="H825">
            <v>38.764229865613089</v>
          </cell>
          <cell r="I825" t="e">
            <v>#N/A</v>
          </cell>
          <cell r="J825" t="e">
            <v>#N/A</v>
          </cell>
          <cell r="K825">
            <v>75</v>
          </cell>
          <cell r="L825">
            <v>40</v>
          </cell>
          <cell r="M825" t="e">
            <v>#N/A</v>
          </cell>
          <cell r="N825">
            <v>68</v>
          </cell>
          <cell r="O825" t="e">
            <v>#N/A</v>
          </cell>
          <cell r="P825" t="str">
            <v/>
          </cell>
          <cell r="Q825" t="str">
            <v/>
          </cell>
          <cell r="R825">
            <v>68</v>
          </cell>
        </row>
        <row r="826">
          <cell r="A826" t="str">
            <v/>
          </cell>
          <cell r="B826" t="str">
            <v/>
          </cell>
          <cell r="C826" t="str">
            <v>Future</v>
          </cell>
          <cell r="D826" t="e">
            <v>#N/A</v>
          </cell>
          <cell r="E826">
            <v>-3.5442681106721006</v>
          </cell>
          <cell r="F826">
            <v>75.605929517787146</v>
          </cell>
          <cell r="G826">
            <v>38.669170624506371</v>
          </cell>
          <cell r="H826">
            <v>38.669170624506371</v>
          </cell>
          <cell r="I826" t="e">
            <v>#N/A</v>
          </cell>
          <cell r="J826" t="e">
            <v>#N/A</v>
          </cell>
          <cell r="K826">
            <v>75</v>
          </cell>
          <cell r="L826">
            <v>40</v>
          </cell>
          <cell r="M826" t="e">
            <v>#N/A</v>
          </cell>
          <cell r="N826">
            <v>68</v>
          </cell>
          <cell r="O826" t="e">
            <v>#N/A</v>
          </cell>
          <cell r="P826" t="str">
            <v/>
          </cell>
          <cell r="Q826" t="str">
            <v/>
          </cell>
          <cell r="R826">
            <v>68</v>
          </cell>
        </row>
        <row r="827">
          <cell r="A827" t="str">
            <v/>
          </cell>
          <cell r="B827" t="str">
            <v/>
          </cell>
          <cell r="C827" t="str">
            <v>Future</v>
          </cell>
          <cell r="D827" t="e">
            <v>#N/A</v>
          </cell>
          <cell r="E827">
            <v>-3.797430118577239</v>
          </cell>
          <cell r="F827">
            <v>75.649210197629046</v>
          </cell>
          <cell r="G827">
            <v>38.574111383399654</v>
          </cell>
          <cell r="H827">
            <v>38.574111383399654</v>
          </cell>
          <cell r="I827" t="e">
            <v>#N/A</v>
          </cell>
          <cell r="J827" t="e">
            <v>#N/A</v>
          </cell>
          <cell r="K827">
            <v>75</v>
          </cell>
          <cell r="L827">
            <v>40</v>
          </cell>
          <cell r="M827" t="e">
            <v>#N/A</v>
          </cell>
          <cell r="N827">
            <v>68</v>
          </cell>
          <cell r="O827" t="e">
            <v>#N/A</v>
          </cell>
          <cell r="P827" t="str">
            <v/>
          </cell>
          <cell r="Q827" t="str">
            <v/>
          </cell>
          <cell r="R827">
            <v>68</v>
          </cell>
        </row>
        <row r="828">
          <cell r="A828" t="str">
            <v/>
          </cell>
          <cell r="B828" t="str">
            <v/>
          </cell>
          <cell r="C828" t="str">
            <v>Future</v>
          </cell>
          <cell r="D828" t="e">
            <v>#N/A</v>
          </cell>
          <cell r="E828">
            <v>-4.0505921264823774</v>
          </cell>
          <cell r="F828">
            <v>75.692490877470945</v>
          </cell>
          <cell r="G828">
            <v>38.479052142292936</v>
          </cell>
          <cell r="H828">
            <v>38.479052142292936</v>
          </cell>
          <cell r="I828" t="e">
            <v>#N/A</v>
          </cell>
          <cell r="J828" t="e">
            <v>#N/A</v>
          </cell>
          <cell r="K828">
            <v>75</v>
          </cell>
          <cell r="L828">
            <v>40</v>
          </cell>
          <cell r="M828" t="e">
            <v>#N/A</v>
          </cell>
          <cell r="N828">
            <v>68</v>
          </cell>
          <cell r="O828" t="e">
            <v>#N/A</v>
          </cell>
          <cell r="P828" t="str">
            <v/>
          </cell>
          <cell r="Q828" t="str">
            <v/>
          </cell>
          <cell r="R828">
            <v>68</v>
          </cell>
        </row>
        <row r="829">
          <cell r="A829" t="str">
            <v/>
          </cell>
          <cell r="B829" t="str">
            <v/>
          </cell>
          <cell r="C829" t="str">
            <v>Future</v>
          </cell>
          <cell r="D829" t="e">
            <v>#N/A</v>
          </cell>
          <cell r="E829">
            <v>-4.3037541343875159</v>
          </cell>
          <cell r="F829">
            <v>75.735771557312844</v>
          </cell>
          <cell r="G829">
            <v>38.383992901186218</v>
          </cell>
          <cell r="H829">
            <v>38.383992901186218</v>
          </cell>
          <cell r="I829" t="e">
            <v>#N/A</v>
          </cell>
          <cell r="J829" t="e">
            <v>#N/A</v>
          </cell>
          <cell r="K829">
            <v>75</v>
          </cell>
          <cell r="L829">
            <v>40</v>
          </cell>
          <cell r="M829" t="e">
            <v>#N/A</v>
          </cell>
          <cell r="N829">
            <v>68</v>
          </cell>
          <cell r="O829" t="e">
            <v>#N/A</v>
          </cell>
          <cell r="P829" t="str">
            <v/>
          </cell>
          <cell r="Q829" t="str">
            <v/>
          </cell>
          <cell r="R829">
            <v>68</v>
          </cell>
        </row>
        <row r="830">
          <cell r="A830" t="str">
            <v/>
          </cell>
          <cell r="B830" t="str">
            <v/>
          </cell>
          <cell r="C830" t="str">
            <v>Future</v>
          </cell>
          <cell r="D830" t="e">
            <v>#N/A</v>
          </cell>
          <cell r="E830">
            <v>-4.5569161422926543</v>
          </cell>
          <cell r="F830">
            <v>75.779052237154744</v>
          </cell>
          <cell r="G830">
            <v>38.2889336600795</v>
          </cell>
          <cell r="H830">
            <v>38.2889336600795</v>
          </cell>
          <cell r="I830" t="e">
            <v>#N/A</v>
          </cell>
          <cell r="J830" t="e">
            <v>#N/A</v>
          </cell>
          <cell r="K830">
            <v>75</v>
          </cell>
          <cell r="L830">
            <v>40</v>
          </cell>
          <cell r="M830" t="e">
            <v>#N/A</v>
          </cell>
          <cell r="N830">
            <v>68</v>
          </cell>
          <cell r="O830" t="e">
            <v>#N/A</v>
          </cell>
          <cell r="P830" t="str">
            <v/>
          </cell>
          <cell r="Q830" t="str">
            <v/>
          </cell>
          <cell r="R830">
            <v>68</v>
          </cell>
        </row>
        <row r="831">
          <cell r="A831" t="str">
            <v/>
          </cell>
          <cell r="B831" t="str">
            <v/>
          </cell>
          <cell r="C831" t="str">
            <v>Future</v>
          </cell>
          <cell r="D831" t="e">
            <v>#N/A</v>
          </cell>
          <cell r="E831">
            <v>-4.8100781501977927</v>
          </cell>
          <cell r="F831">
            <v>75.822332916996643</v>
          </cell>
          <cell r="G831">
            <v>38.193874418972783</v>
          </cell>
          <cell r="H831">
            <v>38.193874418972783</v>
          </cell>
          <cell r="I831" t="e">
            <v>#N/A</v>
          </cell>
          <cell r="J831" t="e">
            <v>#N/A</v>
          </cell>
          <cell r="K831">
            <v>75</v>
          </cell>
          <cell r="L831">
            <v>40</v>
          </cell>
          <cell r="M831" t="e">
            <v>#N/A</v>
          </cell>
          <cell r="N831">
            <v>68</v>
          </cell>
          <cell r="O831" t="e">
            <v>#N/A</v>
          </cell>
          <cell r="P831" t="str">
            <v/>
          </cell>
          <cell r="Q831" t="str">
            <v/>
          </cell>
          <cell r="R831">
            <v>68</v>
          </cell>
        </row>
        <row r="832">
          <cell r="A832" t="str">
            <v/>
          </cell>
          <cell r="B832" t="str">
            <v/>
          </cell>
          <cell r="C832" t="str">
            <v>Future</v>
          </cell>
          <cell r="D832" t="e">
            <v>#N/A</v>
          </cell>
          <cell r="E832">
            <v>-5.0632401581029312</v>
          </cell>
          <cell r="F832">
            <v>75.865613596838543</v>
          </cell>
          <cell r="G832">
            <v>38.098815177866065</v>
          </cell>
          <cell r="H832">
            <v>38.098815177866065</v>
          </cell>
          <cell r="I832" t="e">
            <v>#N/A</v>
          </cell>
          <cell r="J832" t="e">
            <v>#N/A</v>
          </cell>
          <cell r="K832">
            <v>75</v>
          </cell>
          <cell r="L832">
            <v>40</v>
          </cell>
          <cell r="M832" t="e">
            <v>#N/A</v>
          </cell>
          <cell r="N832">
            <v>68</v>
          </cell>
          <cell r="O832" t="e">
            <v>#N/A</v>
          </cell>
          <cell r="P832" t="str">
            <v/>
          </cell>
          <cell r="Q832" t="str">
            <v/>
          </cell>
          <cell r="R832">
            <v>68</v>
          </cell>
        </row>
        <row r="833">
          <cell r="A833" t="str">
            <v/>
          </cell>
          <cell r="B833" t="str">
            <v/>
          </cell>
          <cell r="C833" t="str">
            <v>Future</v>
          </cell>
          <cell r="D833" t="e">
            <v>#N/A</v>
          </cell>
          <cell r="E833">
            <v>-5.3164021660080696</v>
          </cell>
          <cell r="F833">
            <v>75.908894276680442</v>
          </cell>
          <cell r="G833">
            <v>38.003755936759347</v>
          </cell>
          <cell r="H833">
            <v>38.003755936759347</v>
          </cell>
          <cell r="I833" t="e">
            <v>#N/A</v>
          </cell>
          <cell r="J833" t="e">
            <v>#N/A</v>
          </cell>
          <cell r="K833">
            <v>75</v>
          </cell>
          <cell r="L833">
            <v>40</v>
          </cell>
          <cell r="M833" t="e">
            <v>#N/A</v>
          </cell>
          <cell r="N833">
            <v>68</v>
          </cell>
          <cell r="O833" t="e">
            <v>#N/A</v>
          </cell>
          <cell r="P833" t="str">
            <v/>
          </cell>
          <cell r="Q833" t="str">
            <v/>
          </cell>
          <cell r="R833">
            <v>68</v>
          </cell>
        </row>
        <row r="834">
          <cell r="A834" t="str">
            <v/>
          </cell>
          <cell r="B834" t="str">
            <v/>
          </cell>
          <cell r="C834" t="str">
            <v>Future</v>
          </cell>
          <cell r="D834" t="e">
            <v>#N/A</v>
          </cell>
          <cell r="E834">
            <v>-5.569564173913208</v>
          </cell>
          <cell r="F834">
            <v>75.952174956522342</v>
          </cell>
          <cell r="G834">
            <v>37.90869669565263</v>
          </cell>
          <cell r="H834">
            <v>37.90869669565263</v>
          </cell>
          <cell r="I834" t="e">
            <v>#N/A</v>
          </cell>
          <cell r="J834" t="e">
            <v>#N/A</v>
          </cell>
          <cell r="K834">
            <v>75</v>
          </cell>
          <cell r="L834">
            <v>40</v>
          </cell>
          <cell r="M834" t="e">
            <v>#N/A</v>
          </cell>
          <cell r="N834">
            <v>68</v>
          </cell>
          <cell r="O834" t="e">
            <v>#N/A</v>
          </cell>
          <cell r="P834" t="str">
            <v/>
          </cell>
          <cell r="Q834" t="str">
            <v/>
          </cell>
          <cell r="R834">
            <v>68</v>
          </cell>
        </row>
        <row r="835">
          <cell r="A835" t="str">
            <v/>
          </cell>
          <cell r="B835" t="str">
            <v/>
          </cell>
          <cell r="C835" t="str">
            <v>Future</v>
          </cell>
          <cell r="D835" t="e">
            <v>#N/A</v>
          </cell>
          <cell r="E835">
            <v>-5.8227261818183464</v>
          </cell>
          <cell r="F835">
            <v>75.995455636364241</v>
          </cell>
          <cell r="G835">
            <v>37.813637454545912</v>
          </cell>
          <cell r="H835">
            <v>37.813637454545912</v>
          </cell>
          <cell r="I835" t="e">
            <v>#N/A</v>
          </cell>
          <cell r="J835" t="e">
            <v>#N/A</v>
          </cell>
          <cell r="K835">
            <v>75</v>
          </cell>
          <cell r="L835">
            <v>40</v>
          </cell>
          <cell r="M835" t="e">
            <v>#N/A</v>
          </cell>
          <cell r="N835">
            <v>68</v>
          </cell>
          <cell r="O835" t="e">
            <v>#N/A</v>
          </cell>
          <cell r="P835" t="str">
            <v/>
          </cell>
          <cell r="Q835" t="str">
            <v/>
          </cell>
          <cell r="R835">
            <v>68</v>
          </cell>
        </row>
        <row r="836">
          <cell r="A836" t="str">
            <v/>
          </cell>
          <cell r="B836" t="str">
            <v/>
          </cell>
          <cell r="C836" t="str">
            <v>Future</v>
          </cell>
          <cell r="D836" t="e">
            <v>#N/A</v>
          </cell>
          <cell r="E836">
            <v>-6.0758881897234849</v>
          </cell>
          <cell r="F836">
            <v>76.03873631620614</v>
          </cell>
          <cell r="G836">
            <v>37.718578213439194</v>
          </cell>
          <cell r="H836">
            <v>37.718578213439194</v>
          </cell>
          <cell r="I836" t="e">
            <v>#N/A</v>
          </cell>
          <cell r="J836" t="e">
            <v>#N/A</v>
          </cell>
          <cell r="K836">
            <v>75</v>
          </cell>
          <cell r="L836">
            <v>40</v>
          </cell>
          <cell r="M836" t="e">
            <v>#N/A</v>
          </cell>
          <cell r="N836">
            <v>68</v>
          </cell>
          <cell r="O836" t="e">
            <v>#N/A</v>
          </cell>
          <cell r="P836" t="str">
            <v/>
          </cell>
          <cell r="Q836" t="str">
            <v/>
          </cell>
          <cell r="R836">
            <v>68</v>
          </cell>
        </row>
        <row r="837">
          <cell r="A837" t="str">
            <v/>
          </cell>
          <cell r="B837" t="str">
            <v/>
          </cell>
          <cell r="C837" t="str">
            <v>Future</v>
          </cell>
          <cell r="D837" t="e">
            <v>#N/A</v>
          </cell>
          <cell r="E837">
            <v>-6.3290501976286233</v>
          </cell>
          <cell r="F837">
            <v>76.08201699604804</v>
          </cell>
          <cell r="G837">
            <v>37.623518972332477</v>
          </cell>
          <cell r="H837">
            <v>37.623518972332477</v>
          </cell>
          <cell r="I837" t="e">
            <v>#N/A</v>
          </cell>
          <cell r="J837" t="e">
            <v>#N/A</v>
          </cell>
          <cell r="K837">
            <v>75</v>
          </cell>
          <cell r="L837">
            <v>40</v>
          </cell>
          <cell r="M837" t="e">
            <v>#N/A</v>
          </cell>
          <cell r="N837">
            <v>68</v>
          </cell>
          <cell r="O837" t="e">
            <v>#N/A</v>
          </cell>
          <cell r="P837" t="str">
            <v/>
          </cell>
          <cell r="Q837" t="str">
            <v/>
          </cell>
          <cell r="R837">
            <v>68</v>
          </cell>
        </row>
        <row r="838">
          <cell r="A838" t="str">
            <v/>
          </cell>
          <cell r="B838" t="str">
            <v/>
          </cell>
          <cell r="C838" t="str">
            <v>Future</v>
          </cell>
          <cell r="D838" t="e">
            <v>#N/A</v>
          </cell>
          <cell r="E838">
            <v>-6.5822122055337617</v>
          </cell>
          <cell r="F838">
            <v>76.125297675889939</v>
          </cell>
          <cell r="G838">
            <v>37.528459731225759</v>
          </cell>
          <cell r="H838">
            <v>37.528459731225759</v>
          </cell>
          <cell r="I838" t="e">
            <v>#N/A</v>
          </cell>
          <cell r="J838" t="e">
            <v>#N/A</v>
          </cell>
          <cell r="K838">
            <v>75</v>
          </cell>
          <cell r="L838">
            <v>40</v>
          </cell>
          <cell r="M838" t="e">
            <v>#N/A</v>
          </cell>
          <cell r="N838">
            <v>68</v>
          </cell>
          <cell r="O838" t="e">
            <v>#N/A</v>
          </cell>
          <cell r="P838" t="str">
            <v/>
          </cell>
          <cell r="Q838" t="str">
            <v/>
          </cell>
          <cell r="R838">
            <v>68</v>
          </cell>
        </row>
        <row r="839">
          <cell r="A839" t="str">
            <v/>
          </cell>
          <cell r="B839" t="str">
            <v/>
          </cell>
          <cell r="C839" t="str">
            <v>Future</v>
          </cell>
          <cell r="D839" t="e">
            <v>#N/A</v>
          </cell>
          <cell r="E839">
            <v>-6.8353742134389002</v>
          </cell>
          <cell r="F839">
            <v>76.168578355731839</v>
          </cell>
          <cell r="G839">
            <v>37.433400490119041</v>
          </cell>
          <cell r="H839">
            <v>37.433400490119041</v>
          </cell>
          <cell r="I839" t="e">
            <v>#N/A</v>
          </cell>
          <cell r="J839" t="e">
            <v>#N/A</v>
          </cell>
          <cell r="K839">
            <v>75</v>
          </cell>
          <cell r="L839">
            <v>40</v>
          </cell>
          <cell r="M839" t="e">
            <v>#N/A</v>
          </cell>
          <cell r="N839">
            <v>68</v>
          </cell>
          <cell r="O839" t="e">
            <v>#N/A</v>
          </cell>
          <cell r="P839" t="str">
            <v/>
          </cell>
          <cell r="Q839" t="str">
            <v/>
          </cell>
          <cell r="R839">
            <v>68</v>
          </cell>
        </row>
        <row r="840">
          <cell r="A840" t="str">
            <v/>
          </cell>
          <cell r="B840" t="str">
            <v/>
          </cell>
          <cell r="C840" t="str">
            <v>Future</v>
          </cell>
          <cell r="D840" t="e">
            <v>#N/A</v>
          </cell>
          <cell r="E840">
            <v>-7.0885362213440386</v>
          </cell>
          <cell r="F840">
            <v>76.211859035573738</v>
          </cell>
          <cell r="G840">
            <v>37.338341249012323</v>
          </cell>
          <cell r="H840">
            <v>37.338341249012323</v>
          </cell>
          <cell r="I840" t="e">
            <v>#N/A</v>
          </cell>
          <cell r="J840" t="e">
            <v>#N/A</v>
          </cell>
          <cell r="K840">
            <v>75</v>
          </cell>
          <cell r="L840">
            <v>40</v>
          </cell>
          <cell r="M840" t="e">
            <v>#N/A</v>
          </cell>
          <cell r="N840">
            <v>68</v>
          </cell>
          <cell r="O840" t="e">
            <v>#N/A</v>
          </cell>
          <cell r="P840" t="str">
            <v/>
          </cell>
          <cell r="Q840" t="str">
            <v/>
          </cell>
          <cell r="R840">
            <v>68</v>
          </cell>
        </row>
        <row r="841">
          <cell r="A841" t="str">
            <v/>
          </cell>
          <cell r="B841" t="str">
            <v/>
          </cell>
          <cell r="C841" t="str">
            <v>Future</v>
          </cell>
          <cell r="D841" t="e">
            <v>#N/A</v>
          </cell>
          <cell r="E841">
            <v>-7.341698229249177</v>
          </cell>
          <cell r="F841">
            <v>76.255139715415638</v>
          </cell>
          <cell r="G841">
            <v>37.243282007905606</v>
          </cell>
          <cell r="H841">
            <v>37.243282007905606</v>
          </cell>
          <cell r="I841" t="e">
            <v>#N/A</v>
          </cell>
          <cell r="J841" t="e">
            <v>#N/A</v>
          </cell>
          <cell r="K841">
            <v>75</v>
          </cell>
          <cell r="L841">
            <v>40</v>
          </cell>
          <cell r="M841" t="e">
            <v>#N/A</v>
          </cell>
          <cell r="N841">
            <v>68</v>
          </cell>
          <cell r="O841" t="e">
            <v>#N/A</v>
          </cell>
          <cell r="P841" t="str">
            <v/>
          </cell>
          <cell r="Q841" t="str">
            <v/>
          </cell>
          <cell r="R841">
            <v>68</v>
          </cell>
        </row>
        <row r="842">
          <cell r="A842" t="str">
            <v/>
          </cell>
          <cell r="B842" t="str">
            <v/>
          </cell>
          <cell r="C842" t="str">
            <v>Future</v>
          </cell>
          <cell r="D842" t="e">
            <v>#N/A</v>
          </cell>
          <cell r="E842">
            <v>-7.5948602371543155</v>
          </cell>
          <cell r="F842">
            <v>76.298420395257537</v>
          </cell>
          <cell r="G842">
            <v>37.148222766798888</v>
          </cell>
          <cell r="H842">
            <v>37.148222766798888</v>
          </cell>
          <cell r="I842" t="e">
            <v>#N/A</v>
          </cell>
          <cell r="J842" t="e">
            <v>#N/A</v>
          </cell>
          <cell r="K842">
            <v>75</v>
          </cell>
          <cell r="L842">
            <v>40</v>
          </cell>
          <cell r="M842" t="e">
            <v>#N/A</v>
          </cell>
          <cell r="N842">
            <v>68</v>
          </cell>
          <cell r="O842" t="e">
            <v>#N/A</v>
          </cell>
          <cell r="P842" t="str">
            <v/>
          </cell>
          <cell r="Q842" t="str">
            <v/>
          </cell>
          <cell r="R842">
            <v>68</v>
          </cell>
        </row>
        <row r="843">
          <cell r="A843" t="str">
            <v/>
          </cell>
          <cell r="B843" t="str">
            <v/>
          </cell>
          <cell r="C843" t="str">
            <v>Future</v>
          </cell>
          <cell r="D843" t="e">
            <v>#N/A</v>
          </cell>
          <cell r="E843">
            <v>-7.8480222450594539</v>
          </cell>
          <cell r="F843">
            <v>76.341701075099436</v>
          </cell>
          <cell r="G843">
            <v>37.05316352569217</v>
          </cell>
          <cell r="H843">
            <v>37.05316352569217</v>
          </cell>
          <cell r="I843" t="e">
            <v>#N/A</v>
          </cell>
          <cell r="J843" t="e">
            <v>#N/A</v>
          </cell>
          <cell r="K843">
            <v>75</v>
          </cell>
          <cell r="L843">
            <v>40</v>
          </cell>
          <cell r="M843" t="e">
            <v>#N/A</v>
          </cell>
          <cell r="N843">
            <v>68</v>
          </cell>
          <cell r="O843" t="e">
            <v>#N/A</v>
          </cell>
          <cell r="P843" t="str">
            <v/>
          </cell>
          <cell r="Q843" t="str">
            <v/>
          </cell>
          <cell r="R843">
            <v>68</v>
          </cell>
        </row>
        <row r="844">
          <cell r="A844" t="str">
            <v/>
          </cell>
          <cell r="B844" t="str">
            <v/>
          </cell>
          <cell r="C844" t="str">
            <v>Future</v>
          </cell>
          <cell r="D844" t="e">
            <v>#N/A</v>
          </cell>
          <cell r="E844">
            <v>-8.1011842529645914</v>
          </cell>
          <cell r="F844">
            <v>76.384981754941336</v>
          </cell>
          <cell r="G844">
            <v>36.958104284585453</v>
          </cell>
          <cell r="H844">
            <v>36.958104284585453</v>
          </cell>
          <cell r="I844" t="e">
            <v>#N/A</v>
          </cell>
          <cell r="J844" t="e">
            <v>#N/A</v>
          </cell>
          <cell r="K844">
            <v>75</v>
          </cell>
          <cell r="L844">
            <v>40</v>
          </cell>
          <cell r="M844" t="e">
            <v>#N/A</v>
          </cell>
          <cell r="N844">
            <v>68</v>
          </cell>
          <cell r="O844" t="e">
            <v>#N/A</v>
          </cell>
          <cell r="P844" t="str">
            <v/>
          </cell>
          <cell r="Q844" t="str">
            <v/>
          </cell>
          <cell r="R844">
            <v>68</v>
          </cell>
        </row>
        <row r="845">
          <cell r="A845" t="str">
            <v/>
          </cell>
          <cell r="B845" t="str">
            <v/>
          </cell>
          <cell r="C845" t="str">
            <v>Future</v>
          </cell>
          <cell r="D845" t="e">
            <v>#N/A</v>
          </cell>
          <cell r="E845">
            <v>-8.354346260869729</v>
          </cell>
          <cell r="F845">
            <v>76.428262434783235</v>
          </cell>
          <cell r="G845">
            <v>36.863045043478735</v>
          </cell>
          <cell r="H845">
            <v>36.863045043478735</v>
          </cell>
          <cell r="I845" t="e">
            <v>#N/A</v>
          </cell>
          <cell r="J845" t="e">
            <v>#N/A</v>
          </cell>
          <cell r="K845">
            <v>75</v>
          </cell>
          <cell r="L845">
            <v>40</v>
          </cell>
          <cell r="M845" t="e">
            <v>#N/A</v>
          </cell>
          <cell r="N845">
            <v>68</v>
          </cell>
          <cell r="O845" t="e">
            <v>#N/A</v>
          </cell>
          <cell r="P845" t="str">
            <v/>
          </cell>
          <cell r="Q845" t="str">
            <v/>
          </cell>
          <cell r="R845">
            <v>68</v>
          </cell>
        </row>
        <row r="846">
          <cell r="A846" t="str">
            <v/>
          </cell>
          <cell r="B846" t="str">
            <v/>
          </cell>
          <cell r="C846" t="str">
            <v>Future</v>
          </cell>
          <cell r="D846" t="e">
            <v>#N/A</v>
          </cell>
          <cell r="E846">
            <v>-8.6075082687748665</v>
          </cell>
          <cell r="F846">
            <v>76.471543114625135</v>
          </cell>
          <cell r="G846">
            <v>36.767985802372017</v>
          </cell>
          <cell r="H846">
            <v>36.767985802372017</v>
          </cell>
          <cell r="I846" t="e">
            <v>#N/A</v>
          </cell>
          <cell r="J846" t="e">
            <v>#N/A</v>
          </cell>
          <cell r="K846">
            <v>75</v>
          </cell>
          <cell r="L846">
            <v>40</v>
          </cell>
          <cell r="M846" t="e">
            <v>#N/A</v>
          </cell>
          <cell r="N846">
            <v>68</v>
          </cell>
          <cell r="O846" t="e">
            <v>#N/A</v>
          </cell>
          <cell r="P846" t="str">
            <v/>
          </cell>
          <cell r="Q846" t="str">
            <v/>
          </cell>
          <cell r="R846">
            <v>68</v>
          </cell>
        </row>
        <row r="847">
          <cell r="A847" t="str">
            <v/>
          </cell>
          <cell r="B847" t="str">
            <v/>
          </cell>
          <cell r="C847" t="str">
            <v>Future</v>
          </cell>
          <cell r="D847" t="e">
            <v>#N/A</v>
          </cell>
          <cell r="E847">
            <v>-8.8606702766800041</v>
          </cell>
          <cell r="F847">
            <v>76.514823794467034</v>
          </cell>
          <cell r="G847">
            <v>36.672926561265299</v>
          </cell>
          <cell r="H847">
            <v>36.672926561265299</v>
          </cell>
          <cell r="I847" t="e">
            <v>#N/A</v>
          </cell>
          <cell r="J847" t="e">
            <v>#N/A</v>
          </cell>
          <cell r="K847">
            <v>75</v>
          </cell>
          <cell r="L847">
            <v>40</v>
          </cell>
          <cell r="M847" t="e">
            <v>#N/A</v>
          </cell>
          <cell r="N847">
            <v>68</v>
          </cell>
          <cell r="O847" t="e">
            <v>#N/A</v>
          </cell>
          <cell r="P847" t="str">
            <v/>
          </cell>
          <cell r="Q847" t="str">
            <v/>
          </cell>
          <cell r="R847">
            <v>68</v>
          </cell>
        </row>
        <row r="848">
          <cell r="A848" t="str">
            <v/>
          </cell>
          <cell r="B848" t="str">
            <v/>
          </cell>
          <cell r="C848" t="str">
            <v>Future</v>
          </cell>
          <cell r="D848" t="e">
            <v>#N/A</v>
          </cell>
          <cell r="E848">
            <v>-9.1138322845851416</v>
          </cell>
          <cell r="F848">
            <v>76.558104474308934</v>
          </cell>
          <cell r="G848">
            <v>36.577867320158582</v>
          </cell>
          <cell r="H848">
            <v>36.577867320158582</v>
          </cell>
          <cell r="I848" t="e">
            <v>#N/A</v>
          </cell>
          <cell r="J848" t="e">
            <v>#N/A</v>
          </cell>
          <cell r="K848">
            <v>75</v>
          </cell>
          <cell r="L848">
            <v>40</v>
          </cell>
          <cell r="M848" t="e">
            <v>#N/A</v>
          </cell>
          <cell r="N848">
            <v>68</v>
          </cell>
          <cell r="O848" t="e">
            <v>#N/A</v>
          </cell>
          <cell r="P848" t="str">
            <v/>
          </cell>
          <cell r="Q848" t="str">
            <v/>
          </cell>
          <cell r="R848">
            <v>68</v>
          </cell>
        </row>
        <row r="849">
          <cell r="A849" t="str">
            <v/>
          </cell>
          <cell r="B849" t="str">
            <v/>
          </cell>
          <cell r="C849" t="str">
            <v>Future</v>
          </cell>
          <cell r="D849" t="e">
            <v>#N/A</v>
          </cell>
          <cell r="E849">
            <v>-9.3669942924902792</v>
          </cell>
          <cell r="F849">
            <v>76.601385154150833</v>
          </cell>
          <cell r="G849">
            <v>36.482808079051864</v>
          </cell>
          <cell r="H849">
            <v>36.482808079051864</v>
          </cell>
          <cell r="I849" t="e">
            <v>#N/A</v>
          </cell>
          <cell r="J849" t="e">
            <v>#N/A</v>
          </cell>
          <cell r="K849">
            <v>75</v>
          </cell>
          <cell r="L849">
            <v>40</v>
          </cell>
          <cell r="M849" t="e">
            <v>#N/A</v>
          </cell>
          <cell r="N849">
            <v>68</v>
          </cell>
          <cell r="O849" t="e">
            <v>#N/A</v>
          </cell>
          <cell r="P849" t="str">
            <v/>
          </cell>
          <cell r="Q849" t="str">
            <v/>
          </cell>
          <cell r="R849">
            <v>68</v>
          </cell>
        </row>
        <row r="850">
          <cell r="A850" t="str">
            <v/>
          </cell>
          <cell r="B850" t="str">
            <v/>
          </cell>
          <cell r="C850" t="str">
            <v>Future</v>
          </cell>
          <cell r="D850" t="e">
            <v>#N/A</v>
          </cell>
          <cell r="E850">
            <v>-9.6201563003954167</v>
          </cell>
          <cell r="F850">
            <v>76.644665833992732</v>
          </cell>
          <cell r="G850">
            <v>36.387748837945146</v>
          </cell>
          <cell r="H850">
            <v>36.387748837945146</v>
          </cell>
          <cell r="I850" t="e">
            <v>#N/A</v>
          </cell>
          <cell r="J850" t="e">
            <v>#N/A</v>
          </cell>
          <cell r="K850">
            <v>75</v>
          </cell>
          <cell r="L850">
            <v>40</v>
          </cell>
          <cell r="M850" t="e">
            <v>#N/A</v>
          </cell>
          <cell r="N850">
            <v>68</v>
          </cell>
          <cell r="O850" t="e">
            <v>#N/A</v>
          </cell>
          <cell r="P850" t="str">
            <v/>
          </cell>
          <cell r="Q850" t="str">
            <v/>
          </cell>
          <cell r="R850">
            <v>68</v>
          </cell>
        </row>
        <row r="851">
          <cell r="A851" t="str">
            <v/>
          </cell>
          <cell r="B851" t="str">
            <v/>
          </cell>
          <cell r="C851" t="str">
            <v>Future</v>
          </cell>
          <cell r="D851" t="e">
            <v>#N/A</v>
          </cell>
          <cell r="E851">
            <v>-9.8733183083005542</v>
          </cell>
          <cell r="F851">
            <v>76.687946513834632</v>
          </cell>
          <cell r="G851">
            <v>36.292689596838429</v>
          </cell>
          <cell r="H851">
            <v>36.292689596838429</v>
          </cell>
          <cell r="I851" t="e">
            <v>#N/A</v>
          </cell>
          <cell r="J851" t="e">
            <v>#N/A</v>
          </cell>
          <cell r="K851">
            <v>75</v>
          </cell>
          <cell r="L851">
            <v>40</v>
          </cell>
          <cell r="M851" t="e">
            <v>#N/A</v>
          </cell>
          <cell r="N851">
            <v>68</v>
          </cell>
          <cell r="O851" t="e">
            <v>#N/A</v>
          </cell>
          <cell r="P851" t="str">
            <v/>
          </cell>
          <cell r="Q851" t="str">
            <v/>
          </cell>
          <cell r="R851">
            <v>68</v>
          </cell>
        </row>
        <row r="852">
          <cell r="A852" t="str">
            <v/>
          </cell>
          <cell r="B852" t="str">
            <v/>
          </cell>
          <cell r="C852" t="str">
            <v>Future</v>
          </cell>
          <cell r="D852" t="e">
            <v>#N/A</v>
          </cell>
          <cell r="E852">
            <v>-10.126480316205692</v>
          </cell>
          <cell r="F852">
            <v>76.731227193676531</v>
          </cell>
          <cell r="G852">
            <v>36.197630355731711</v>
          </cell>
          <cell r="H852">
            <v>36.197630355731711</v>
          </cell>
          <cell r="I852" t="e">
            <v>#N/A</v>
          </cell>
          <cell r="J852" t="e">
            <v>#N/A</v>
          </cell>
          <cell r="K852">
            <v>75</v>
          </cell>
          <cell r="L852">
            <v>40</v>
          </cell>
          <cell r="M852" t="e">
            <v>#N/A</v>
          </cell>
          <cell r="N852">
            <v>68</v>
          </cell>
          <cell r="O852" t="e">
            <v>#N/A</v>
          </cell>
          <cell r="P852" t="str">
            <v/>
          </cell>
          <cell r="Q852" t="str">
            <v/>
          </cell>
          <cell r="R852">
            <v>68</v>
          </cell>
        </row>
        <row r="853">
          <cell r="A853" t="str">
            <v/>
          </cell>
          <cell r="B853" t="str">
            <v/>
          </cell>
          <cell r="C853" t="str">
            <v>Future</v>
          </cell>
          <cell r="D853" t="e">
            <v>#N/A</v>
          </cell>
          <cell r="E853">
            <v>-10.379642324110829</v>
          </cell>
          <cell r="F853">
            <v>76.774507873518431</v>
          </cell>
          <cell r="G853">
            <v>36.102571114624993</v>
          </cell>
          <cell r="H853">
            <v>36.102571114624993</v>
          </cell>
          <cell r="I853" t="e">
            <v>#N/A</v>
          </cell>
          <cell r="J853" t="e">
            <v>#N/A</v>
          </cell>
          <cell r="K853">
            <v>75</v>
          </cell>
          <cell r="L853">
            <v>40</v>
          </cell>
          <cell r="M853" t="e">
            <v>#N/A</v>
          </cell>
          <cell r="N853">
            <v>68</v>
          </cell>
          <cell r="O853" t="e">
            <v>#N/A</v>
          </cell>
          <cell r="P853" t="str">
            <v/>
          </cell>
          <cell r="Q853" t="str">
            <v/>
          </cell>
          <cell r="R853">
            <v>68</v>
          </cell>
        </row>
        <row r="854">
          <cell r="A854" t="str">
            <v/>
          </cell>
          <cell r="B854" t="str">
            <v/>
          </cell>
          <cell r="C854" t="str">
            <v>Future</v>
          </cell>
          <cell r="D854" t="e">
            <v>#N/A</v>
          </cell>
          <cell r="E854">
            <v>-10.632804332015967</v>
          </cell>
          <cell r="F854">
            <v>76.81778855336033</v>
          </cell>
          <cell r="G854">
            <v>36.007511873518276</v>
          </cell>
          <cell r="H854">
            <v>36.007511873518276</v>
          </cell>
          <cell r="I854" t="e">
            <v>#N/A</v>
          </cell>
          <cell r="J854" t="e">
            <v>#N/A</v>
          </cell>
          <cell r="K854">
            <v>75</v>
          </cell>
          <cell r="L854">
            <v>40</v>
          </cell>
          <cell r="M854" t="e">
            <v>#N/A</v>
          </cell>
          <cell r="N854">
            <v>68</v>
          </cell>
          <cell r="O854" t="e">
            <v>#N/A</v>
          </cell>
          <cell r="P854" t="str">
            <v/>
          </cell>
          <cell r="Q854" t="str">
            <v/>
          </cell>
          <cell r="R854">
            <v>68</v>
          </cell>
        </row>
        <row r="855">
          <cell r="A855" t="str">
            <v/>
          </cell>
          <cell r="B855" t="str">
            <v/>
          </cell>
          <cell r="C855" t="str">
            <v>Future</v>
          </cell>
          <cell r="D855" t="e">
            <v>#N/A</v>
          </cell>
          <cell r="E855">
            <v>-10.885966339921104</v>
          </cell>
          <cell r="F855">
            <v>76.86106923320223</v>
          </cell>
          <cell r="G855">
            <v>35.912452632411558</v>
          </cell>
          <cell r="H855">
            <v>35.912452632411558</v>
          </cell>
          <cell r="I855" t="e">
            <v>#N/A</v>
          </cell>
          <cell r="J855" t="e">
            <v>#N/A</v>
          </cell>
          <cell r="K855">
            <v>75</v>
          </cell>
          <cell r="L855">
            <v>40</v>
          </cell>
          <cell r="M855" t="e">
            <v>#N/A</v>
          </cell>
          <cell r="N855">
            <v>68</v>
          </cell>
          <cell r="O855" t="e">
            <v>#N/A</v>
          </cell>
          <cell r="P855" t="str">
            <v/>
          </cell>
          <cell r="Q855" t="str">
            <v/>
          </cell>
          <cell r="R855">
            <v>68</v>
          </cell>
        </row>
        <row r="856">
          <cell r="A856" t="str">
            <v/>
          </cell>
          <cell r="B856" t="str">
            <v/>
          </cell>
          <cell r="C856" t="str">
            <v>Future</v>
          </cell>
          <cell r="D856" t="e">
            <v>#N/A</v>
          </cell>
          <cell r="E856">
            <v>-11.139128347826242</v>
          </cell>
          <cell r="F856">
            <v>76.904349913044129</v>
          </cell>
          <cell r="G856">
            <v>35.81739339130484</v>
          </cell>
          <cell r="H856">
            <v>35.81739339130484</v>
          </cell>
          <cell r="I856" t="e">
            <v>#N/A</v>
          </cell>
          <cell r="J856" t="e">
            <v>#N/A</v>
          </cell>
          <cell r="K856">
            <v>75</v>
          </cell>
          <cell r="L856">
            <v>40</v>
          </cell>
          <cell r="M856" t="e">
            <v>#N/A</v>
          </cell>
          <cell r="N856">
            <v>68</v>
          </cell>
          <cell r="O856" t="e">
            <v>#N/A</v>
          </cell>
          <cell r="P856" t="str">
            <v/>
          </cell>
          <cell r="Q856" t="str">
            <v/>
          </cell>
          <cell r="R856">
            <v>68</v>
          </cell>
        </row>
        <row r="857">
          <cell r="A857" t="str">
            <v/>
          </cell>
          <cell r="B857" t="str">
            <v/>
          </cell>
          <cell r="C857" t="str">
            <v>Future</v>
          </cell>
          <cell r="D857" t="e">
            <v>#N/A</v>
          </cell>
          <cell r="E857">
            <v>-11.392290355731379</v>
          </cell>
          <cell r="F857">
            <v>76.947630592886028</v>
          </cell>
          <cell r="G857">
            <v>35.722334150198122</v>
          </cell>
          <cell r="H857">
            <v>35.722334150198122</v>
          </cell>
          <cell r="I857" t="e">
            <v>#N/A</v>
          </cell>
          <cell r="J857" t="e">
            <v>#N/A</v>
          </cell>
          <cell r="K857">
            <v>75</v>
          </cell>
          <cell r="L857">
            <v>40</v>
          </cell>
          <cell r="M857" t="e">
            <v>#N/A</v>
          </cell>
          <cell r="N857">
            <v>68</v>
          </cell>
          <cell r="O857" t="e">
            <v>#N/A</v>
          </cell>
          <cell r="P857" t="str">
            <v/>
          </cell>
          <cell r="Q857" t="str">
            <v/>
          </cell>
          <cell r="R857">
            <v>68</v>
          </cell>
        </row>
        <row r="858">
          <cell r="A858" t="str">
            <v/>
          </cell>
          <cell r="B858" t="str">
            <v/>
          </cell>
          <cell r="C858" t="str">
            <v>Future</v>
          </cell>
          <cell r="D858" t="e">
            <v>#N/A</v>
          </cell>
          <cell r="E858">
            <v>-11.645452363636517</v>
          </cell>
          <cell r="F858">
            <v>76.990911272727928</v>
          </cell>
          <cell r="G858">
            <v>35.627274909091405</v>
          </cell>
          <cell r="H858">
            <v>35.627274909091405</v>
          </cell>
          <cell r="I858" t="e">
            <v>#N/A</v>
          </cell>
          <cell r="J858" t="e">
            <v>#N/A</v>
          </cell>
          <cell r="K858">
            <v>75</v>
          </cell>
          <cell r="L858">
            <v>40</v>
          </cell>
          <cell r="M858" t="e">
            <v>#N/A</v>
          </cell>
          <cell r="N858">
            <v>68</v>
          </cell>
          <cell r="O858" t="e">
            <v>#N/A</v>
          </cell>
          <cell r="P858" t="str">
            <v/>
          </cell>
          <cell r="Q858" t="str">
            <v/>
          </cell>
          <cell r="R858">
            <v>68</v>
          </cell>
        </row>
        <row r="859">
          <cell r="A859" t="str">
            <v/>
          </cell>
          <cell r="B859" t="str">
            <v/>
          </cell>
          <cell r="C859" t="str">
            <v>Future</v>
          </cell>
          <cell r="D859" t="e">
            <v>#N/A</v>
          </cell>
          <cell r="E859">
            <v>-11.898614371541655</v>
          </cell>
          <cell r="F859">
            <v>77.034191952569827</v>
          </cell>
          <cell r="G859">
            <v>35.532215667984687</v>
          </cell>
          <cell r="H859">
            <v>35.532215667984687</v>
          </cell>
          <cell r="I859" t="e">
            <v>#N/A</v>
          </cell>
          <cell r="J859" t="e">
            <v>#N/A</v>
          </cell>
          <cell r="K859">
            <v>75</v>
          </cell>
          <cell r="L859">
            <v>40</v>
          </cell>
          <cell r="M859" t="e">
            <v>#N/A</v>
          </cell>
          <cell r="N859">
            <v>68</v>
          </cell>
          <cell r="O859" t="e">
            <v>#N/A</v>
          </cell>
          <cell r="P859" t="str">
            <v/>
          </cell>
          <cell r="Q859" t="str">
            <v/>
          </cell>
          <cell r="R859">
            <v>68</v>
          </cell>
        </row>
        <row r="860">
          <cell r="A860" t="str">
            <v/>
          </cell>
          <cell r="B860" t="str">
            <v/>
          </cell>
          <cell r="C860" t="str">
            <v>Future</v>
          </cell>
          <cell r="D860" t="e">
            <v>#N/A</v>
          </cell>
          <cell r="E860">
            <v>-12.151776379446792</v>
          </cell>
          <cell r="F860">
            <v>77.077472632411727</v>
          </cell>
          <cell r="G860">
            <v>35.437156426877969</v>
          </cell>
          <cell r="H860">
            <v>35.437156426877969</v>
          </cell>
          <cell r="I860" t="e">
            <v>#N/A</v>
          </cell>
          <cell r="J860" t="e">
            <v>#N/A</v>
          </cell>
          <cell r="K860">
            <v>75</v>
          </cell>
          <cell r="L860">
            <v>40</v>
          </cell>
          <cell r="M860" t="e">
            <v>#N/A</v>
          </cell>
          <cell r="N860">
            <v>68</v>
          </cell>
          <cell r="O860" t="e">
            <v>#N/A</v>
          </cell>
          <cell r="P860" t="str">
            <v/>
          </cell>
          <cell r="Q860" t="str">
            <v/>
          </cell>
          <cell r="R860">
            <v>68</v>
          </cell>
        </row>
        <row r="861">
          <cell r="A861" t="str">
            <v/>
          </cell>
          <cell r="B861" t="str">
            <v/>
          </cell>
          <cell r="C861" t="str">
            <v>Future</v>
          </cell>
          <cell r="D861" t="e">
            <v>#N/A</v>
          </cell>
          <cell r="E861">
            <v>-12.40493838735193</v>
          </cell>
          <cell r="F861">
            <v>77.120753312253626</v>
          </cell>
          <cell r="G861">
            <v>35.342097185771252</v>
          </cell>
          <cell r="H861">
            <v>35.342097185771252</v>
          </cell>
          <cell r="I861" t="e">
            <v>#N/A</v>
          </cell>
          <cell r="J861" t="e">
            <v>#N/A</v>
          </cell>
          <cell r="K861">
            <v>75</v>
          </cell>
          <cell r="L861">
            <v>40</v>
          </cell>
          <cell r="M861" t="e">
            <v>#N/A</v>
          </cell>
          <cell r="N861">
            <v>68</v>
          </cell>
          <cell r="O861" t="e">
            <v>#N/A</v>
          </cell>
          <cell r="P861" t="str">
            <v/>
          </cell>
          <cell r="Q861" t="str">
            <v/>
          </cell>
          <cell r="R861">
            <v>68</v>
          </cell>
        </row>
        <row r="862">
          <cell r="A862" t="str">
            <v/>
          </cell>
          <cell r="B862" t="str">
            <v/>
          </cell>
          <cell r="C862" t="str">
            <v>Future</v>
          </cell>
          <cell r="D862" t="e">
            <v>#N/A</v>
          </cell>
          <cell r="E862">
            <v>-12.658100395257067</v>
          </cell>
          <cell r="F862">
            <v>77.164033992095526</v>
          </cell>
          <cell r="G862">
            <v>35.247037944664534</v>
          </cell>
          <cell r="H862">
            <v>35.247037944664534</v>
          </cell>
          <cell r="I862" t="e">
            <v>#N/A</v>
          </cell>
          <cell r="J862" t="e">
            <v>#N/A</v>
          </cell>
          <cell r="K862">
            <v>75</v>
          </cell>
          <cell r="L862">
            <v>40</v>
          </cell>
          <cell r="M862" t="e">
            <v>#N/A</v>
          </cell>
          <cell r="N862">
            <v>68</v>
          </cell>
          <cell r="O862" t="e">
            <v>#N/A</v>
          </cell>
          <cell r="P862" t="str">
            <v/>
          </cell>
          <cell r="Q862" t="str">
            <v/>
          </cell>
          <cell r="R862">
            <v>68</v>
          </cell>
        </row>
        <row r="863">
          <cell r="A863" t="str">
            <v/>
          </cell>
          <cell r="B863" t="str">
            <v/>
          </cell>
          <cell r="C863" t="str">
            <v>Future</v>
          </cell>
          <cell r="D863" t="e">
            <v>#N/A</v>
          </cell>
          <cell r="E863">
            <v>-12.911262403162205</v>
          </cell>
          <cell r="F863">
            <v>77.207314671937425</v>
          </cell>
          <cell r="G863">
            <v>35.151978703557816</v>
          </cell>
          <cell r="H863">
            <v>35.151978703557816</v>
          </cell>
          <cell r="I863" t="e">
            <v>#N/A</v>
          </cell>
          <cell r="J863" t="e">
            <v>#N/A</v>
          </cell>
          <cell r="K863">
            <v>75</v>
          </cell>
          <cell r="L863">
            <v>40</v>
          </cell>
          <cell r="M863" t="e">
            <v>#N/A</v>
          </cell>
          <cell r="N863">
            <v>68</v>
          </cell>
          <cell r="O863" t="e">
            <v>#N/A</v>
          </cell>
          <cell r="P863" t="str">
            <v/>
          </cell>
          <cell r="Q863" t="str">
            <v/>
          </cell>
          <cell r="R863">
            <v>68</v>
          </cell>
        </row>
        <row r="864">
          <cell r="A864" t="str">
            <v/>
          </cell>
          <cell r="B864" t="str">
            <v/>
          </cell>
          <cell r="C864" t="str">
            <v>Future</v>
          </cell>
          <cell r="D864" t="e">
            <v>#N/A</v>
          </cell>
          <cell r="E864">
            <v>-13.164424411067342</v>
          </cell>
          <cell r="F864">
            <v>77.250595351779324</v>
          </cell>
          <cell r="G864">
            <v>35.056919462451098</v>
          </cell>
          <cell r="H864">
            <v>35.056919462451098</v>
          </cell>
          <cell r="I864" t="e">
            <v>#N/A</v>
          </cell>
          <cell r="J864" t="e">
            <v>#N/A</v>
          </cell>
          <cell r="K864">
            <v>75</v>
          </cell>
          <cell r="L864">
            <v>40</v>
          </cell>
          <cell r="M864" t="e">
            <v>#N/A</v>
          </cell>
          <cell r="N864">
            <v>68</v>
          </cell>
          <cell r="O864" t="e">
            <v>#N/A</v>
          </cell>
          <cell r="P864" t="str">
            <v/>
          </cell>
          <cell r="Q864" t="str">
            <v/>
          </cell>
          <cell r="R864">
            <v>68</v>
          </cell>
        </row>
        <row r="865">
          <cell r="A865" t="str">
            <v/>
          </cell>
          <cell r="B865" t="str">
            <v/>
          </cell>
          <cell r="C865" t="str">
            <v>Future</v>
          </cell>
          <cell r="D865" t="e">
            <v>#N/A</v>
          </cell>
          <cell r="E865">
            <v>-13.41758641897248</v>
          </cell>
          <cell r="F865">
            <v>77.293876031621224</v>
          </cell>
          <cell r="G865">
            <v>34.961860221344381</v>
          </cell>
          <cell r="H865">
            <v>34.961860221344381</v>
          </cell>
          <cell r="I865" t="e">
            <v>#N/A</v>
          </cell>
          <cell r="J865" t="e">
            <v>#N/A</v>
          </cell>
          <cell r="K865">
            <v>75</v>
          </cell>
          <cell r="L865">
            <v>40</v>
          </cell>
          <cell r="M865" t="e">
            <v>#N/A</v>
          </cell>
          <cell r="N865">
            <v>68</v>
          </cell>
          <cell r="O865" t="e">
            <v>#N/A</v>
          </cell>
          <cell r="P865" t="str">
            <v/>
          </cell>
          <cell r="Q865" t="str">
            <v/>
          </cell>
          <cell r="R865">
            <v>68</v>
          </cell>
        </row>
        <row r="866">
          <cell r="A866" t="str">
            <v/>
          </cell>
          <cell r="B866" t="str">
            <v/>
          </cell>
          <cell r="C866" t="str">
            <v>Future</v>
          </cell>
          <cell r="D866" t="e">
            <v>#N/A</v>
          </cell>
          <cell r="E866">
            <v>-13.670748426877617</v>
          </cell>
          <cell r="F866">
            <v>77.337156711463123</v>
          </cell>
          <cell r="G866">
            <v>34.866800980237663</v>
          </cell>
          <cell r="H866">
            <v>34.866800980237663</v>
          </cell>
          <cell r="I866" t="e">
            <v>#N/A</v>
          </cell>
          <cell r="J866" t="e">
            <v>#N/A</v>
          </cell>
          <cell r="K866">
            <v>75</v>
          </cell>
          <cell r="L866">
            <v>40</v>
          </cell>
          <cell r="M866" t="e">
            <v>#N/A</v>
          </cell>
          <cell r="N866">
            <v>68</v>
          </cell>
          <cell r="O866" t="e">
            <v>#N/A</v>
          </cell>
          <cell r="P866" t="str">
            <v/>
          </cell>
          <cell r="Q866" t="str">
            <v/>
          </cell>
          <cell r="R866">
            <v>68</v>
          </cell>
        </row>
        <row r="867">
          <cell r="A867" t="str">
            <v/>
          </cell>
          <cell r="B867" t="str">
            <v/>
          </cell>
          <cell r="C867" t="str">
            <v>Future</v>
          </cell>
          <cell r="D867" t="e">
            <v>#N/A</v>
          </cell>
          <cell r="E867">
            <v>-13.923910434782755</v>
          </cell>
          <cell r="F867">
            <v>77.380437391305023</v>
          </cell>
          <cell r="G867">
            <v>34.771741739130945</v>
          </cell>
          <cell r="H867">
            <v>34.771741739130945</v>
          </cell>
          <cell r="I867" t="e">
            <v>#N/A</v>
          </cell>
          <cell r="J867" t="e">
            <v>#N/A</v>
          </cell>
          <cell r="K867">
            <v>75</v>
          </cell>
          <cell r="L867">
            <v>40</v>
          </cell>
          <cell r="M867" t="e">
            <v>#N/A</v>
          </cell>
          <cell r="N867">
            <v>68</v>
          </cell>
          <cell r="O867" t="e">
            <v>#N/A</v>
          </cell>
          <cell r="P867" t="str">
            <v/>
          </cell>
          <cell r="Q867" t="str">
            <v/>
          </cell>
          <cell r="R867">
            <v>68</v>
          </cell>
        </row>
        <row r="868">
          <cell r="A868" t="str">
            <v/>
          </cell>
          <cell r="B868" t="str">
            <v/>
          </cell>
          <cell r="C868" t="str">
            <v>Future</v>
          </cell>
          <cell r="D868" t="e">
            <v>#N/A</v>
          </cell>
          <cell r="E868">
            <v>-14.177072442687892</v>
          </cell>
          <cell r="F868">
            <v>77.423718071146922</v>
          </cell>
          <cell r="G868">
            <v>34.676682498024228</v>
          </cell>
          <cell r="H868">
            <v>34.676682498024228</v>
          </cell>
          <cell r="I868" t="e">
            <v>#N/A</v>
          </cell>
          <cell r="J868" t="e">
            <v>#N/A</v>
          </cell>
          <cell r="K868">
            <v>75</v>
          </cell>
          <cell r="L868">
            <v>40</v>
          </cell>
          <cell r="M868" t="e">
            <v>#N/A</v>
          </cell>
          <cell r="N868">
            <v>68</v>
          </cell>
          <cell r="O868" t="e">
            <v>#N/A</v>
          </cell>
          <cell r="P868" t="str">
            <v/>
          </cell>
          <cell r="Q868" t="str">
            <v/>
          </cell>
          <cell r="R868">
            <v>68</v>
          </cell>
        </row>
        <row r="869">
          <cell r="A869" t="str">
            <v/>
          </cell>
          <cell r="B869" t="str">
            <v/>
          </cell>
          <cell r="C869" t="str">
            <v>Future</v>
          </cell>
          <cell r="D869" t="e">
            <v>#N/A</v>
          </cell>
          <cell r="E869">
            <v>-14.43023445059303</v>
          </cell>
          <cell r="F869">
            <v>77.466998750988822</v>
          </cell>
          <cell r="G869">
            <v>34.58162325691751</v>
          </cell>
          <cell r="H869">
            <v>34.58162325691751</v>
          </cell>
          <cell r="I869" t="e">
            <v>#N/A</v>
          </cell>
          <cell r="J869" t="e">
            <v>#N/A</v>
          </cell>
          <cell r="K869">
            <v>75</v>
          </cell>
          <cell r="L869">
            <v>40</v>
          </cell>
          <cell r="M869" t="e">
            <v>#N/A</v>
          </cell>
          <cell r="N869">
            <v>68</v>
          </cell>
          <cell r="O869" t="e">
            <v>#N/A</v>
          </cell>
          <cell r="P869" t="str">
            <v/>
          </cell>
          <cell r="Q869" t="str">
            <v/>
          </cell>
          <cell r="R869">
            <v>68</v>
          </cell>
        </row>
        <row r="870">
          <cell r="A870" t="str">
            <v/>
          </cell>
          <cell r="B870" t="str">
            <v/>
          </cell>
          <cell r="C870" t="str">
            <v>Future</v>
          </cell>
          <cell r="D870" t="e">
            <v>#N/A</v>
          </cell>
          <cell r="E870">
            <v>-14.683396458498168</v>
          </cell>
          <cell r="F870">
            <v>77.510279430830721</v>
          </cell>
          <cell r="G870">
            <v>34.486564015810792</v>
          </cell>
          <cell r="H870">
            <v>34.486564015810792</v>
          </cell>
          <cell r="I870" t="e">
            <v>#N/A</v>
          </cell>
          <cell r="J870" t="e">
            <v>#N/A</v>
          </cell>
          <cell r="K870">
            <v>75</v>
          </cell>
          <cell r="L870">
            <v>40</v>
          </cell>
          <cell r="M870" t="e">
            <v>#N/A</v>
          </cell>
          <cell r="N870">
            <v>68</v>
          </cell>
          <cell r="O870" t="e">
            <v>#N/A</v>
          </cell>
          <cell r="P870" t="str">
            <v/>
          </cell>
          <cell r="Q870" t="str">
            <v/>
          </cell>
          <cell r="R870">
            <v>68</v>
          </cell>
        </row>
        <row r="871">
          <cell r="A871" t="str">
            <v/>
          </cell>
          <cell r="B871" t="str">
            <v/>
          </cell>
          <cell r="C871" t="str">
            <v>Future</v>
          </cell>
          <cell r="D871" t="e">
            <v>#N/A</v>
          </cell>
          <cell r="E871">
            <v>-14.936558466403305</v>
          </cell>
          <cell r="F871">
            <v>77.55356011067262</v>
          </cell>
          <cell r="G871">
            <v>34.391504774704075</v>
          </cell>
          <cell r="H871">
            <v>34.391504774704075</v>
          </cell>
          <cell r="I871" t="e">
            <v>#N/A</v>
          </cell>
          <cell r="J871" t="e">
            <v>#N/A</v>
          </cell>
          <cell r="K871">
            <v>75</v>
          </cell>
          <cell r="L871">
            <v>40</v>
          </cell>
          <cell r="M871" t="e">
            <v>#N/A</v>
          </cell>
          <cell r="N871">
            <v>68</v>
          </cell>
          <cell r="O871" t="e">
            <v>#N/A</v>
          </cell>
          <cell r="P871" t="str">
            <v/>
          </cell>
          <cell r="Q871" t="str">
            <v/>
          </cell>
          <cell r="R871">
            <v>68</v>
          </cell>
        </row>
        <row r="872">
          <cell r="A872" t="str">
            <v/>
          </cell>
          <cell r="B872" t="str">
            <v/>
          </cell>
          <cell r="C872" t="str">
            <v>Future</v>
          </cell>
          <cell r="D872" t="e">
            <v>#N/A</v>
          </cell>
          <cell r="E872">
            <v>-15.189720474308443</v>
          </cell>
          <cell r="F872">
            <v>77.59684079051452</v>
          </cell>
          <cell r="G872">
            <v>34.296445533597357</v>
          </cell>
          <cell r="H872">
            <v>34.296445533597357</v>
          </cell>
          <cell r="I872" t="e">
            <v>#N/A</v>
          </cell>
          <cell r="J872" t="e">
            <v>#N/A</v>
          </cell>
          <cell r="K872">
            <v>75</v>
          </cell>
          <cell r="L872">
            <v>40</v>
          </cell>
          <cell r="M872" t="e">
            <v>#N/A</v>
          </cell>
          <cell r="N872">
            <v>68</v>
          </cell>
          <cell r="O872" t="e">
            <v>#N/A</v>
          </cell>
          <cell r="P872" t="str">
            <v/>
          </cell>
          <cell r="Q872" t="str">
            <v/>
          </cell>
          <cell r="R872">
            <v>68</v>
          </cell>
        </row>
        <row r="873">
          <cell r="A873" t="str">
            <v/>
          </cell>
          <cell r="B873" t="str">
            <v/>
          </cell>
          <cell r="C873" t="str">
            <v>Future</v>
          </cell>
          <cell r="D873" t="e">
            <v>#N/A</v>
          </cell>
          <cell r="E873">
            <v>-15.44288248221358</v>
          </cell>
          <cell r="F873">
            <v>77.640121470356419</v>
          </cell>
          <cell r="G873">
            <v>34.201386292490639</v>
          </cell>
          <cell r="H873">
            <v>34.201386292490639</v>
          </cell>
          <cell r="I873" t="e">
            <v>#N/A</v>
          </cell>
          <cell r="J873" t="e">
            <v>#N/A</v>
          </cell>
          <cell r="K873">
            <v>75</v>
          </cell>
          <cell r="L873">
            <v>40</v>
          </cell>
          <cell r="M873" t="e">
            <v>#N/A</v>
          </cell>
          <cell r="N873">
            <v>68</v>
          </cell>
          <cell r="O873" t="e">
            <v>#N/A</v>
          </cell>
          <cell r="P873" t="str">
            <v/>
          </cell>
          <cell r="Q873" t="str">
            <v/>
          </cell>
          <cell r="R873">
            <v>68</v>
          </cell>
        </row>
        <row r="874">
          <cell r="A874" t="str">
            <v/>
          </cell>
          <cell r="B874" t="str">
            <v/>
          </cell>
          <cell r="C874" t="str">
            <v>Future</v>
          </cell>
          <cell r="D874" t="e">
            <v>#N/A</v>
          </cell>
          <cell r="E874">
            <v>-15.696044490118718</v>
          </cell>
          <cell r="F874">
            <v>77.683402150198319</v>
          </cell>
          <cell r="G874">
            <v>34.106327051383921</v>
          </cell>
          <cell r="H874">
            <v>34.106327051383921</v>
          </cell>
          <cell r="I874" t="e">
            <v>#N/A</v>
          </cell>
          <cell r="J874" t="e">
            <v>#N/A</v>
          </cell>
          <cell r="K874">
            <v>75</v>
          </cell>
          <cell r="L874">
            <v>40</v>
          </cell>
          <cell r="M874" t="e">
            <v>#N/A</v>
          </cell>
          <cell r="N874">
            <v>68</v>
          </cell>
          <cell r="O874" t="e">
            <v>#N/A</v>
          </cell>
          <cell r="P874" t="str">
            <v/>
          </cell>
          <cell r="Q874" t="str">
            <v/>
          </cell>
          <cell r="R874">
            <v>68</v>
          </cell>
        </row>
        <row r="875">
          <cell r="A875" t="str">
            <v/>
          </cell>
          <cell r="B875" t="str">
            <v/>
          </cell>
          <cell r="C875" t="str">
            <v>Future</v>
          </cell>
          <cell r="D875" t="e">
            <v>#N/A</v>
          </cell>
          <cell r="E875">
            <v>-15.949206498023855</v>
          </cell>
          <cell r="F875">
            <v>77.726682830040218</v>
          </cell>
          <cell r="G875">
            <v>34.011267810277204</v>
          </cell>
          <cell r="H875">
            <v>34.011267810277204</v>
          </cell>
          <cell r="I875" t="e">
            <v>#N/A</v>
          </cell>
          <cell r="J875" t="e">
            <v>#N/A</v>
          </cell>
          <cell r="K875">
            <v>75</v>
          </cell>
          <cell r="L875">
            <v>40</v>
          </cell>
          <cell r="M875" t="e">
            <v>#N/A</v>
          </cell>
          <cell r="N875">
            <v>68</v>
          </cell>
          <cell r="O875" t="e">
            <v>#N/A</v>
          </cell>
          <cell r="P875" t="str">
            <v/>
          </cell>
          <cell r="Q875" t="str">
            <v/>
          </cell>
          <cell r="R875">
            <v>68</v>
          </cell>
        </row>
        <row r="876">
          <cell r="A876" t="str">
            <v/>
          </cell>
          <cell r="B876" t="str">
            <v/>
          </cell>
          <cell r="C876" t="str">
            <v>Future</v>
          </cell>
          <cell r="D876" t="e">
            <v>#N/A</v>
          </cell>
          <cell r="E876">
            <v>-16.202368505928995</v>
          </cell>
          <cell r="F876">
            <v>77.769963509882118</v>
          </cell>
          <cell r="G876">
            <v>33.916208569170486</v>
          </cell>
          <cell r="H876">
            <v>33.916208569170486</v>
          </cell>
          <cell r="I876" t="e">
            <v>#N/A</v>
          </cell>
          <cell r="J876" t="e">
            <v>#N/A</v>
          </cell>
          <cell r="K876">
            <v>75</v>
          </cell>
          <cell r="L876">
            <v>40</v>
          </cell>
          <cell r="M876" t="e">
            <v>#N/A</v>
          </cell>
          <cell r="N876">
            <v>68</v>
          </cell>
          <cell r="O876" t="e">
            <v>#N/A</v>
          </cell>
          <cell r="P876" t="str">
            <v/>
          </cell>
          <cell r="Q876" t="str">
            <v/>
          </cell>
          <cell r="R876">
            <v>68</v>
          </cell>
        </row>
        <row r="877">
          <cell r="A877" t="str">
            <v/>
          </cell>
          <cell r="B877" t="str">
            <v/>
          </cell>
          <cell r="C877" t="str">
            <v>Future</v>
          </cell>
          <cell r="D877" t="e">
            <v>#N/A</v>
          </cell>
          <cell r="E877">
            <v>-16.455530513834134</v>
          </cell>
          <cell r="F877">
            <v>77.813244189724017</v>
          </cell>
          <cell r="G877">
            <v>33.821149328063768</v>
          </cell>
          <cell r="H877">
            <v>33.821149328063768</v>
          </cell>
          <cell r="I877" t="e">
            <v>#N/A</v>
          </cell>
          <cell r="J877" t="e">
            <v>#N/A</v>
          </cell>
          <cell r="K877">
            <v>75</v>
          </cell>
          <cell r="L877">
            <v>40</v>
          </cell>
          <cell r="M877" t="e">
            <v>#N/A</v>
          </cell>
          <cell r="N877">
            <v>68</v>
          </cell>
          <cell r="O877" t="e">
            <v>#N/A</v>
          </cell>
          <cell r="P877" t="str">
            <v/>
          </cell>
          <cell r="Q877" t="str">
            <v/>
          </cell>
          <cell r="R877">
            <v>68</v>
          </cell>
        </row>
        <row r="878">
          <cell r="A878" t="str">
            <v/>
          </cell>
          <cell r="B878" t="str">
            <v/>
          </cell>
          <cell r="C878" t="str">
            <v>Future</v>
          </cell>
          <cell r="D878" t="e">
            <v>#N/A</v>
          </cell>
          <cell r="E878">
            <v>-16.708692521739273</v>
          </cell>
          <cell r="F878">
            <v>77.856524869565916</v>
          </cell>
          <cell r="G878">
            <v>33.726090086957051</v>
          </cell>
          <cell r="H878">
            <v>33.726090086957051</v>
          </cell>
          <cell r="I878" t="e">
            <v>#N/A</v>
          </cell>
          <cell r="J878" t="e">
            <v>#N/A</v>
          </cell>
          <cell r="K878">
            <v>75</v>
          </cell>
          <cell r="L878">
            <v>40</v>
          </cell>
          <cell r="M878" t="e">
            <v>#N/A</v>
          </cell>
          <cell r="N878">
            <v>68</v>
          </cell>
          <cell r="O878" t="e">
            <v>#N/A</v>
          </cell>
          <cell r="P878" t="str">
            <v/>
          </cell>
          <cell r="Q878" t="str">
            <v/>
          </cell>
          <cell r="R878">
            <v>68</v>
          </cell>
        </row>
        <row r="879">
          <cell r="A879" t="str">
            <v/>
          </cell>
          <cell r="B879" t="str">
            <v/>
          </cell>
          <cell r="C879" t="str">
            <v>Future</v>
          </cell>
          <cell r="D879" t="e">
            <v>#N/A</v>
          </cell>
          <cell r="E879">
            <v>-16.961854529644413</v>
          </cell>
          <cell r="F879">
            <v>77.899805549407816</v>
          </cell>
          <cell r="G879">
            <v>33.631030845850333</v>
          </cell>
          <cell r="H879">
            <v>33.631030845850333</v>
          </cell>
          <cell r="I879" t="e">
            <v>#N/A</v>
          </cell>
          <cell r="J879" t="e">
            <v>#N/A</v>
          </cell>
          <cell r="K879">
            <v>75</v>
          </cell>
          <cell r="L879">
            <v>40</v>
          </cell>
          <cell r="M879" t="e">
            <v>#N/A</v>
          </cell>
          <cell r="N879">
            <v>68</v>
          </cell>
          <cell r="O879" t="e">
            <v>#N/A</v>
          </cell>
          <cell r="P879" t="str">
            <v/>
          </cell>
          <cell r="Q879" t="str">
            <v/>
          </cell>
          <cell r="R879">
            <v>68</v>
          </cell>
        </row>
        <row r="880">
          <cell r="A880" t="str">
            <v/>
          </cell>
          <cell r="B880" t="str">
            <v/>
          </cell>
          <cell r="C880" t="str">
            <v>Future</v>
          </cell>
          <cell r="D880" t="e">
            <v>#N/A</v>
          </cell>
          <cell r="E880">
            <v>-17.215016537549552</v>
          </cell>
          <cell r="F880">
            <v>77.943086229249715</v>
          </cell>
          <cell r="G880">
            <v>33.535971604743615</v>
          </cell>
          <cell r="H880">
            <v>33.535971604743615</v>
          </cell>
          <cell r="I880" t="e">
            <v>#N/A</v>
          </cell>
          <cell r="J880" t="e">
            <v>#N/A</v>
          </cell>
          <cell r="K880">
            <v>75</v>
          </cell>
          <cell r="L880">
            <v>40</v>
          </cell>
          <cell r="M880" t="e">
            <v>#N/A</v>
          </cell>
          <cell r="N880">
            <v>68</v>
          </cell>
          <cell r="O880" t="e">
            <v>#N/A</v>
          </cell>
          <cell r="P880" t="str">
            <v/>
          </cell>
          <cell r="Q880" t="str">
            <v/>
          </cell>
          <cell r="R880">
            <v>68</v>
          </cell>
        </row>
        <row r="881">
          <cell r="A881" t="str">
            <v/>
          </cell>
          <cell r="B881" t="str">
            <v/>
          </cell>
          <cell r="C881" t="str">
            <v>Future</v>
          </cell>
          <cell r="D881" t="e">
            <v>#N/A</v>
          </cell>
          <cell r="E881">
            <v>-17.468178545454691</v>
          </cell>
          <cell r="F881">
            <v>77.986366909091615</v>
          </cell>
          <cell r="G881">
            <v>33.440912363636897</v>
          </cell>
          <cell r="H881">
            <v>33.440912363636897</v>
          </cell>
          <cell r="I881" t="e">
            <v>#N/A</v>
          </cell>
          <cell r="J881" t="e">
            <v>#N/A</v>
          </cell>
          <cell r="K881">
            <v>75</v>
          </cell>
          <cell r="L881">
            <v>40</v>
          </cell>
          <cell r="M881" t="e">
            <v>#N/A</v>
          </cell>
          <cell r="N881">
            <v>68</v>
          </cell>
          <cell r="O881" t="e">
            <v>#N/A</v>
          </cell>
          <cell r="P881" t="str">
            <v/>
          </cell>
          <cell r="Q881" t="str">
            <v/>
          </cell>
          <cell r="R881">
            <v>68</v>
          </cell>
        </row>
        <row r="882">
          <cell r="A882" t="str">
            <v/>
          </cell>
          <cell r="B882" t="str">
            <v/>
          </cell>
          <cell r="C882" t="str">
            <v>Future</v>
          </cell>
          <cell r="D882" t="e">
            <v>#N/A</v>
          </cell>
          <cell r="E882">
            <v>-17.72134055335983</v>
          </cell>
          <cell r="F882">
            <v>78.029647588933514</v>
          </cell>
          <cell r="G882">
            <v>33.34585312253018</v>
          </cell>
          <cell r="H882">
            <v>33.34585312253018</v>
          </cell>
          <cell r="I882" t="e">
            <v>#N/A</v>
          </cell>
          <cell r="J882" t="e">
            <v>#N/A</v>
          </cell>
          <cell r="K882">
            <v>75</v>
          </cell>
          <cell r="L882">
            <v>40</v>
          </cell>
          <cell r="M882" t="e">
            <v>#N/A</v>
          </cell>
          <cell r="N882">
            <v>68</v>
          </cell>
          <cell r="O882" t="e">
            <v>#N/A</v>
          </cell>
          <cell r="P882" t="str">
            <v/>
          </cell>
          <cell r="Q882" t="str">
            <v/>
          </cell>
          <cell r="R882">
            <v>68</v>
          </cell>
        </row>
        <row r="883">
          <cell r="A883" t="str">
            <v/>
          </cell>
          <cell r="B883" t="str">
            <v/>
          </cell>
          <cell r="C883" t="str">
            <v>Future</v>
          </cell>
          <cell r="D883" t="e">
            <v>#N/A</v>
          </cell>
          <cell r="E883">
            <v>-17.97450256126497</v>
          </cell>
          <cell r="F883">
            <v>78.072928268775414</v>
          </cell>
          <cell r="G883">
            <v>33.250793881423462</v>
          </cell>
          <cell r="H883">
            <v>33.250793881423462</v>
          </cell>
          <cell r="I883" t="e">
            <v>#N/A</v>
          </cell>
          <cell r="J883" t="e">
            <v>#N/A</v>
          </cell>
          <cell r="K883">
            <v>75</v>
          </cell>
          <cell r="L883">
            <v>40</v>
          </cell>
          <cell r="M883" t="e">
            <v>#N/A</v>
          </cell>
          <cell r="N883">
            <v>68</v>
          </cell>
          <cell r="O883" t="e">
            <v>#N/A</v>
          </cell>
          <cell r="P883" t="str">
            <v/>
          </cell>
          <cell r="Q883" t="str">
            <v/>
          </cell>
          <cell r="R883">
            <v>68</v>
          </cell>
        </row>
        <row r="884">
          <cell r="A884" t="str">
            <v/>
          </cell>
          <cell r="B884" t="str">
            <v/>
          </cell>
          <cell r="C884" t="str">
            <v>Future</v>
          </cell>
          <cell r="D884" t="e">
            <v>#N/A</v>
          </cell>
          <cell r="E884">
            <v>-18.227664569170109</v>
          </cell>
          <cell r="F884">
            <v>78.116208948617313</v>
          </cell>
          <cell r="G884">
            <v>33.155734640316744</v>
          </cell>
          <cell r="H884">
            <v>33.155734640316744</v>
          </cell>
          <cell r="I884" t="e">
            <v>#N/A</v>
          </cell>
          <cell r="J884" t="e">
            <v>#N/A</v>
          </cell>
          <cell r="K884">
            <v>75</v>
          </cell>
          <cell r="L884">
            <v>40</v>
          </cell>
          <cell r="M884" t="e">
            <v>#N/A</v>
          </cell>
          <cell r="N884">
            <v>68</v>
          </cell>
          <cell r="O884" t="e">
            <v>#N/A</v>
          </cell>
          <cell r="P884" t="str">
            <v/>
          </cell>
          <cell r="Q884" t="str">
            <v/>
          </cell>
          <cell r="R884">
            <v>68</v>
          </cell>
        </row>
        <row r="885">
          <cell r="A885" t="str">
            <v/>
          </cell>
          <cell r="B885" t="str">
            <v/>
          </cell>
          <cell r="C885" t="str">
            <v>Future</v>
          </cell>
          <cell r="D885" t="e">
            <v>#N/A</v>
          </cell>
          <cell r="E885">
            <v>-18.480826577075248</v>
          </cell>
          <cell r="F885">
            <v>78.159489628459212</v>
          </cell>
          <cell r="G885">
            <v>33.060675399210027</v>
          </cell>
          <cell r="H885">
            <v>33.060675399210027</v>
          </cell>
          <cell r="I885" t="e">
            <v>#N/A</v>
          </cell>
          <cell r="J885" t="e">
            <v>#N/A</v>
          </cell>
          <cell r="K885">
            <v>75</v>
          </cell>
          <cell r="L885">
            <v>40</v>
          </cell>
          <cell r="M885" t="e">
            <v>#N/A</v>
          </cell>
          <cell r="N885">
            <v>68</v>
          </cell>
          <cell r="O885" t="e">
            <v>#N/A</v>
          </cell>
          <cell r="P885" t="str">
            <v/>
          </cell>
          <cell r="Q885" t="str">
            <v/>
          </cell>
          <cell r="R885">
            <v>68</v>
          </cell>
        </row>
        <row r="886">
          <cell r="A886" t="str">
            <v/>
          </cell>
          <cell r="B886" t="str">
            <v/>
          </cell>
          <cell r="C886" t="str">
            <v>Future</v>
          </cell>
          <cell r="D886" t="e">
            <v>#N/A</v>
          </cell>
          <cell r="E886">
            <v>-18.733988584980388</v>
          </cell>
          <cell r="F886">
            <v>78.202770308301112</v>
          </cell>
          <cell r="G886">
            <v>32.965616158103309</v>
          </cell>
          <cell r="H886">
            <v>32.965616158103309</v>
          </cell>
          <cell r="I886" t="e">
            <v>#N/A</v>
          </cell>
          <cell r="J886" t="e">
            <v>#N/A</v>
          </cell>
          <cell r="K886">
            <v>75</v>
          </cell>
          <cell r="L886">
            <v>40</v>
          </cell>
          <cell r="M886" t="e">
            <v>#N/A</v>
          </cell>
          <cell r="N886">
            <v>68</v>
          </cell>
          <cell r="O886" t="e">
            <v>#N/A</v>
          </cell>
          <cell r="P886" t="str">
            <v/>
          </cell>
          <cell r="Q886" t="str">
            <v/>
          </cell>
          <cell r="R886">
            <v>68</v>
          </cell>
        </row>
        <row r="887">
          <cell r="A887" t="str">
            <v/>
          </cell>
          <cell r="B887" t="str">
            <v/>
          </cell>
          <cell r="C887" t="str">
            <v>Future</v>
          </cell>
          <cell r="D887" t="e">
            <v>#N/A</v>
          </cell>
          <cell r="E887">
            <v>-18.987150592885527</v>
          </cell>
          <cell r="F887">
            <v>78.246050988143011</v>
          </cell>
          <cell r="G887">
            <v>32.870556916996591</v>
          </cell>
          <cell r="H887">
            <v>32.870556916996591</v>
          </cell>
          <cell r="I887" t="e">
            <v>#N/A</v>
          </cell>
          <cell r="J887" t="e">
            <v>#N/A</v>
          </cell>
          <cell r="K887">
            <v>75</v>
          </cell>
          <cell r="L887">
            <v>40</v>
          </cell>
          <cell r="M887" t="e">
            <v>#N/A</v>
          </cell>
          <cell r="N887">
            <v>68</v>
          </cell>
          <cell r="O887" t="e">
            <v>#N/A</v>
          </cell>
          <cell r="P887" t="str">
            <v/>
          </cell>
          <cell r="Q887" t="str">
            <v/>
          </cell>
          <cell r="R887">
            <v>68</v>
          </cell>
        </row>
        <row r="888">
          <cell r="A888" t="str">
            <v/>
          </cell>
          <cell r="B888" t="str">
            <v/>
          </cell>
          <cell r="C888" t="str">
            <v>Future</v>
          </cell>
          <cell r="D888" t="e">
            <v>#N/A</v>
          </cell>
          <cell r="E888">
            <v>-19.240312600790666</v>
          </cell>
          <cell r="F888">
            <v>78.289331667984911</v>
          </cell>
          <cell r="G888">
            <v>32.775497675889874</v>
          </cell>
          <cell r="H888">
            <v>32.775497675889874</v>
          </cell>
          <cell r="I888" t="e">
            <v>#N/A</v>
          </cell>
          <cell r="J888" t="e">
            <v>#N/A</v>
          </cell>
          <cell r="K888">
            <v>75</v>
          </cell>
          <cell r="L888">
            <v>40</v>
          </cell>
          <cell r="M888" t="e">
            <v>#N/A</v>
          </cell>
          <cell r="N888">
            <v>68</v>
          </cell>
          <cell r="O888" t="e">
            <v>#N/A</v>
          </cell>
          <cell r="P888" t="str">
            <v/>
          </cell>
          <cell r="Q888" t="str">
            <v/>
          </cell>
          <cell r="R888">
            <v>68</v>
          </cell>
        </row>
        <row r="889">
          <cell r="A889" t="str">
            <v/>
          </cell>
          <cell r="B889" t="str">
            <v/>
          </cell>
          <cell r="C889" t="str">
            <v>Future</v>
          </cell>
          <cell r="D889" t="e">
            <v>#N/A</v>
          </cell>
          <cell r="E889">
            <v>-19.493474608695806</v>
          </cell>
          <cell r="F889">
            <v>78.33261234782681</v>
          </cell>
          <cell r="G889">
            <v>32.680438434783156</v>
          </cell>
          <cell r="H889">
            <v>32.680438434783156</v>
          </cell>
          <cell r="I889" t="e">
            <v>#N/A</v>
          </cell>
          <cell r="J889" t="e">
            <v>#N/A</v>
          </cell>
          <cell r="K889">
            <v>75</v>
          </cell>
          <cell r="L889">
            <v>40</v>
          </cell>
          <cell r="M889" t="e">
            <v>#N/A</v>
          </cell>
          <cell r="N889">
            <v>68</v>
          </cell>
          <cell r="O889" t="e">
            <v>#N/A</v>
          </cell>
          <cell r="P889" t="str">
            <v/>
          </cell>
          <cell r="Q889" t="str">
            <v/>
          </cell>
          <cell r="R889">
            <v>68</v>
          </cell>
        </row>
        <row r="890">
          <cell r="A890" t="str">
            <v/>
          </cell>
          <cell r="B890" t="str">
            <v/>
          </cell>
          <cell r="C890" t="str">
            <v>Future</v>
          </cell>
          <cell r="D890" t="e">
            <v>#N/A</v>
          </cell>
          <cell r="E890">
            <v>-19.746636616600945</v>
          </cell>
          <cell r="F890">
            <v>78.37589302766871</v>
          </cell>
          <cell r="G890">
            <v>32.585379193676438</v>
          </cell>
          <cell r="H890">
            <v>32.585379193676438</v>
          </cell>
          <cell r="I890" t="e">
            <v>#N/A</v>
          </cell>
          <cell r="J890" t="e">
            <v>#N/A</v>
          </cell>
          <cell r="K890">
            <v>75</v>
          </cell>
          <cell r="L890">
            <v>40</v>
          </cell>
          <cell r="M890" t="e">
            <v>#N/A</v>
          </cell>
          <cell r="N890">
            <v>68</v>
          </cell>
          <cell r="O890" t="e">
            <v>#N/A</v>
          </cell>
          <cell r="P890" t="str">
            <v/>
          </cell>
          <cell r="Q890" t="str">
            <v/>
          </cell>
          <cell r="R890">
            <v>68</v>
          </cell>
        </row>
        <row r="891">
          <cell r="A891" t="str">
            <v/>
          </cell>
          <cell r="B891" t="str">
            <v/>
          </cell>
          <cell r="C891" t="str">
            <v>Future</v>
          </cell>
          <cell r="D891" t="e">
            <v>#N/A</v>
          </cell>
          <cell r="E891">
            <v>-19.999798624506084</v>
          </cell>
          <cell r="F891">
            <v>78.419173707510609</v>
          </cell>
          <cell r="G891">
            <v>32.49031995256972</v>
          </cell>
          <cell r="H891">
            <v>32.49031995256972</v>
          </cell>
          <cell r="I891" t="e">
            <v>#N/A</v>
          </cell>
          <cell r="J891" t="e">
            <v>#N/A</v>
          </cell>
          <cell r="K891">
            <v>75</v>
          </cell>
          <cell r="L891">
            <v>40</v>
          </cell>
          <cell r="M891" t="e">
            <v>#N/A</v>
          </cell>
          <cell r="N891">
            <v>68</v>
          </cell>
          <cell r="O891" t="e">
            <v>#N/A</v>
          </cell>
          <cell r="P891" t="str">
            <v/>
          </cell>
          <cell r="Q891" t="str">
            <v/>
          </cell>
          <cell r="R891">
            <v>68</v>
          </cell>
        </row>
        <row r="892">
          <cell r="A892" t="str">
            <v/>
          </cell>
          <cell r="B892" t="str">
            <v/>
          </cell>
          <cell r="C892" t="str">
            <v>Future</v>
          </cell>
          <cell r="D892" t="e">
            <v>#N/A</v>
          </cell>
          <cell r="E892">
            <v>-20.252960632411224</v>
          </cell>
          <cell r="F892">
            <v>78.462454387352508</v>
          </cell>
          <cell r="G892">
            <v>32.395260711463003</v>
          </cell>
          <cell r="H892">
            <v>32.395260711463003</v>
          </cell>
          <cell r="I892" t="e">
            <v>#N/A</v>
          </cell>
          <cell r="J892" t="e">
            <v>#N/A</v>
          </cell>
          <cell r="K892">
            <v>75</v>
          </cell>
          <cell r="L892">
            <v>40</v>
          </cell>
          <cell r="M892" t="e">
            <v>#N/A</v>
          </cell>
          <cell r="N892">
            <v>68</v>
          </cell>
          <cell r="O892" t="e">
            <v>#N/A</v>
          </cell>
          <cell r="P892" t="str">
            <v/>
          </cell>
          <cell r="Q892" t="str">
            <v/>
          </cell>
          <cell r="R892">
            <v>68</v>
          </cell>
        </row>
        <row r="893">
          <cell r="A893" t="str">
            <v/>
          </cell>
          <cell r="B893" t="str">
            <v/>
          </cell>
          <cell r="C893" t="str">
            <v>Future</v>
          </cell>
          <cell r="D893" t="e">
            <v>#N/A</v>
          </cell>
          <cell r="E893">
            <v>-20.506122640316363</v>
          </cell>
          <cell r="F893">
            <v>78.505735067194408</v>
          </cell>
          <cell r="G893">
            <v>32.300201470356285</v>
          </cell>
          <cell r="H893">
            <v>32.300201470356285</v>
          </cell>
          <cell r="I893" t="e">
            <v>#N/A</v>
          </cell>
          <cell r="J893" t="e">
            <v>#N/A</v>
          </cell>
          <cell r="K893">
            <v>75</v>
          </cell>
          <cell r="L893">
            <v>40</v>
          </cell>
          <cell r="M893" t="e">
            <v>#N/A</v>
          </cell>
          <cell r="N893">
            <v>68</v>
          </cell>
          <cell r="O893" t="e">
            <v>#N/A</v>
          </cell>
          <cell r="P893" t="str">
            <v/>
          </cell>
          <cell r="Q893" t="str">
            <v/>
          </cell>
          <cell r="R893">
            <v>68</v>
          </cell>
        </row>
        <row r="894">
          <cell r="A894" t="str">
            <v/>
          </cell>
          <cell r="B894" t="str">
            <v/>
          </cell>
          <cell r="C894" t="str">
            <v>Future</v>
          </cell>
          <cell r="D894" t="e">
            <v>#N/A</v>
          </cell>
          <cell r="E894">
            <v>-20.759284648221502</v>
          </cell>
          <cell r="F894">
            <v>78.549015747036307</v>
          </cell>
          <cell r="G894">
            <v>32.205142229249567</v>
          </cell>
          <cell r="H894">
            <v>32.205142229249567</v>
          </cell>
          <cell r="I894" t="e">
            <v>#N/A</v>
          </cell>
          <cell r="J894" t="e">
            <v>#N/A</v>
          </cell>
          <cell r="K894">
            <v>75</v>
          </cell>
          <cell r="L894">
            <v>40</v>
          </cell>
          <cell r="M894" t="e">
            <v>#N/A</v>
          </cell>
          <cell r="N894">
            <v>68</v>
          </cell>
          <cell r="O894" t="e">
            <v>#N/A</v>
          </cell>
          <cell r="P894" t="str">
            <v/>
          </cell>
          <cell r="Q894" t="str">
            <v/>
          </cell>
          <cell r="R894">
            <v>68</v>
          </cell>
        </row>
        <row r="895">
          <cell r="A895" t="str">
            <v/>
          </cell>
          <cell r="B895" t="str">
            <v/>
          </cell>
          <cell r="C895" t="str">
            <v>Future</v>
          </cell>
          <cell r="D895" t="e">
            <v>#N/A</v>
          </cell>
          <cell r="E895">
            <v>-21.012446656126642</v>
          </cell>
          <cell r="F895">
            <v>78.592296426878207</v>
          </cell>
          <cell r="G895">
            <v>32.11008298814285</v>
          </cell>
          <cell r="H895">
            <v>32.11008298814285</v>
          </cell>
          <cell r="I895" t="e">
            <v>#N/A</v>
          </cell>
          <cell r="J895" t="e">
            <v>#N/A</v>
          </cell>
          <cell r="K895">
            <v>75</v>
          </cell>
          <cell r="L895">
            <v>40</v>
          </cell>
          <cell r="M895" t="e">
            <v>#N/A</v>
          </cell>
          <cell r="N895">
            <v>68</v>
          </cell>
          <cell r="O895" t="e">
            <v>#N/A</v>
          </cell>
          <cell r="P895" t="str">
            <v/>
          </cell>
          <cell r="Q895" t="str">
            <v/>
          </cell>
          <cell r="R895">
            <v>68</v>
          </cell>
        </row>
        <row r="896">
          <cell r="A896" t="str">
            <v/>
          </cell>
          <cell r="B896" t="str">
            <v/>
          </cell>
          <cell r="C896" t="str">
            <v>Future</v>
          </cell>
          <cell r="D896" t="e">
            <v>#N/A</v>
          </cell>
          <cell r="E896">
            <v>-21.265608664031781</v>
          </cell>
          <cell r="F896">
            <v>78.635577106720106</v>
          </cell>
          <cell r="G896">
            <v>32.015023747036132</v>
          </cell>
          <cell r="H896">
            <v>32.015023747036132</v>
          </cell>
          <cell r="I896" t="e">
            <v>#N/A</v>
          </cell>
          <cell r="J896" t="e">
            <v>#N/A</v>
          </cell>
          <cell r="K896">
            <v>75</v>
          </cell>
          <cell r="L896">
            <v>40</v>
          </cell>
          <cell r="M896" t="e">
            <v>#N/A</v>
          </cell>
          <cell r="N896">
            <v>68</v>
          </cell>
          <cell r="O896" t="e">
            <v>#N/A</v>
          </cell>
          <cell r="P896" t="str">
            <v/>
          </cell>
          <cell r="Q896" t="str">
            <v/>
          </cell>
          <cell r="R896">
            <v>68</v>
          </cell>
        </row>
        <row r="897">
          <cell r="A897" t="str">
            <v/>
          </cell>
          <cell r="B897" t="str">
            <v/>
          </cell>
          <cell r="C897" t="str">
            <v>Future</v>
          </cell>
          <cell r="D897" t="e">
            <v>#N/A</v>
          </cell>
          <cell r="E897">
            <v>-21.51877067193692</v>
          </cell>
          <cell r="F897">
            <v>78.678857786562006</v>
          </cell>
          <cell r="G897">
            <v>31.919964505929414</v>
          </cell>
          <cell r="H897">
            <v>31.919964505929414</v>
          </cell>
          <cell r="I897" t="e">
            <v>#N/A</v>
          </cell>
          <cell r="J897" t="e">
            <v>#N/A</v>
          </cell>
          <cell r="K897">
            <v>75</v>
          </cell>
          <cell r="L897">
            <v>40</v>
          </cell>
          <cell r="M897" t="e">
            <v>#N/A</v>
          </cell>
          <cell r="N897">
            <v>68</v>
          </cell>
          <cell r="O897" t="e">
            <v>#N/A</v>
          </cell>
          <cell r="P897" t="str">
            <v/>
          </cell>
          <cell r="Q897" t="str">
            <v/>
          </cell>
          <cell r="R897">
            <v>68</v>
          </cell>
        </row>
        <row r="898">
          <cell r="A898" t="str">
            <v/>
          </cell>
          <cell r="B898" t="str">
            <v/>
          </cell>
          <cell r="C898" t="str">
            <v>Future</v>
          </cell>
          <cell r="D898" t="e">
            <v>#N/A</v>
          </cell>
          <cell r="E898">
            <v>-21.77193267984206</v>
          </cell>
          <cell r="F898">
            <v>78.722138466403905</v>
          </cell>
          <cell r="G898">
            <v>31.824905264822696</v>
          </cell>
          <cell r="H898">
            <v>31.824905264822696</v>
          </cell>
          <cell r="I898" t="e">
            <v>#N/A</v>
          </cell>
          <cell r="J898" t="e">
            <v>#N/A</v>
          </cell>
          <cell r="K898">
            <v>75</v>
          </cell>
          <cell r="L898">
            <v>40</v>
          </cell>
          <cell r="M898" t="e">
            <v>#N/A</v>
          </cell>
          <cell r="N898">
            <v>68</v>
          </cell>
          <cell r="O898" t="e">
            <v>#N/A</v>
          </cell>
          <cell r="P898" t="str">
            <v/>
          </cell>
          <cell r="Q898" t="str">
            <v/>
          </cell>
          <cell r="R898">
            <v>68</v>
          </cell>
        </row>
        <row r="899">
          <cell r="A899" t="str">
            <v/>
          </cell>
          <cell r="B899" t="str">
            <v/>
          </cell>
          <cell r="C899" t="str">
            <v>Future</v>
          </cell>
          <cell r="D899" t="e">
            <v>#N/A</v>
          </cell>
          <cell r="E899">
            <v>-22.025094687747199</v>
          </cell>
          <cell r="F899">
            <v>78.765419146245804</v>
          </cell>
          <cell r="G899">
            <v>31.729846023715979</v>
          </cell>
          <cell r="H899">
            <v>31.729846023715979</v>
          </cell>
          <cell r="I899" t="e">
            <v>#N/A</v>
          </cell>
          <cell r="J899" t="e">
            <v>#N/A</v>
          </cell>
          <cell r="K899">
            <v>75</v>
          </cell>
          <cell r="L899">
            <v>40</v>
          </cell>
          <cell r="M899" t="e">
            <v>#N/A</v>
          </cell>
          <cell r="N899">
            <v>68</v>
          </cell>
          <cell r="O899" t="e">
            <v>#N/A</v>
          </cell>
          <cell r="P899" t="str">
            <v/>
          </cell>
          <cell r="Q899" t="str">
            <v/>
          </cell>
          <cell r="R899">
            <v>68</v>
          </cell>
        </row>
        <row r="900">
          <cell r="A900" t="str">
            <v/>
          </cell>
          <cell r="B900" t="str">
            <v/>
          </cell>
          <cell r="C900" t="str">
            <v>Future</v>
          </cell>
          <cell r="D900" t="e">
            <v>#N/A</v>
          </cell>
          <cell r="E900">
            <v>-22.278256695652338</v>
          </cell>
          <cell r="F900">
            <v>78.808699826087704</v>
          </cell>
          <cell r="G900">
            <v>31.634786782609261</v>
          </cell>
          <cell r="H900">
            <v>31.634786782609261</v>
          </cell>
          <cell r="I900" t="e">
            <v>#N/A</v>
          </cell>
          <cell r="J900" t="e">
            <v>#N/A</v>
          </cell>
          <cell r="K900">
            <v>75</v>
          </cell>
          <cell r="L900">
            <v>40</v>
          </cell>
          <cell r="M900" t="e">
            <v>#N/A</v>
          </cell>
          <cell r="N900">
            <v>68</v>
          </cell>
          <cell r="O900" t="e">
            <v>#N/A</v>
          </cell>
          <cell r="P900" t="str">
            <v/>
          </cell>
          <cell r="Q900" t="str">
            <v/>
          </cell>
          <cell r="R900">
            <v>68</v>
          </cell>
        </row>
        <row r="901">
          <cell r="A901" t="str">
            <v/>
          </cell>
          <cell r="B901" t="str">
            <v/>
          </cell>
          <cell r="C901" t="str">
            <v>Future</v>
          </cell>
          <cell r="D901" t="e">
            <v>#N/A</v>
          </cell>
          <cell r="E901">
            <v>-22.531418703557478</v>
          </cell>
          <cell r="F901">
            <v>78.851980505929603</v>
          </cell>
          <cell r="G901">
            <v>31.539727541502543</v>
          </cell>
          <cell r="H901">
            <v>31.539727541502543</v>
          </cell>
          <cell r="I901" t="e">
            <v>#N/A</v>
          </cell>
          <cell r="J901" t="e">
            <v>#N/A</v>
          </cell>
          <cell r="K901">
            <v>75</v>
          </cell>
          <cell r="L901">
            <v>40</v>
          </cell>
          <cell r="M901" t="e">
            <v>#N/A</v>
          </cell>
          <cell r="N901">
            <v>68</v>
          </cell>
          <cell r="O901" t="e">
            <v>#N/A</v>
          </cell>
          <cell r="P901" t="str">
            <v/>
          </cell>
          <cell r="Q901" t="str">
            <v/>
          </cell>
          <cell r="R901">
            <v>68</v>
          </cell>
        </row>
        <row r="902">
          <cell r="A902" t="str">
            <v/>
          </cell>
          <cell r="B902" t="str">
            <v/>
          </cell>
          <cell r="C902" t="str">
            <v>Future</v>
          </cell>
          <cell r="D902" t="e">
            <v>#N/A</v>
          </cell>
          <cell r="E902">
            <v>-22.784580711462617</v>
          </cell>
          <cell r="F902">
            <v>78.895261185771503</v>
          </cell>
          <cell r="G902">
            <v>31.444668300395826</v>
          </cell>
          <cell r="H902">
            <v>31.444668300395826</v>
          </cell>
          <cell r="I902" t="e">
            <v>#N/A</v>
          </cell>
          <cell r="J902" t="e">
            <v>#N/A</v>
          </cell>
          <cell r="K902">
            <v>75</v>
          </cell>
          <cell r="L902">
            <v>40</v>
          </cell>
          <cell r="M902" t="e">
            <v>#N/A</v>
          </cell>
          <cell r="N902">
            <v>68</v>
          </cell>
          <cell r="O902" t="e">
            <v>#N/A</v>
          </cell>
          <cell r="P902" t="str">
            <v/>
          </cell>
          <cell r="Q902" t="str">
            <v/>
          </cell>
          <cell r="R902">
            <v>68</v>
          </cell>
        </row>
        <row r="903">
          <cell r="A903" t="str">
            <v/>
          </cell>
          <cell r="B903" t="str">
            <v/>
          </cell>
          <cell r="C903" t="str">
            <v>Future</v>
          </cell>
          <cell r="D903" t="e">
            <v>#N/A</v>
          </cell>
          <cell r="E903">
            <v>-23.037742719367756</v>
          </cell>
          <cell r="F903">
            <v>78.938541865613402</v>
          </cell>
          <cell r="G903">
            <v>31.349609059289108</v>
          </cell>
          <cell r="H903">
            <v>31.349609059289108</v>
          </cell>
          <cell r="I903" t="e">
            <v>#N/A</v>
          </cell>
          <cell r="J903" t="e">
            <v>#N/A</v>
          </cell>
          <cell r="K903">
            <v>75</v>
          </cell>
          <cell r="L903">
            <v>40</v>
          </cell>
          <cell r="M903" t="e">
            <v>#N/A</v>
          </cell>
          <cell r="N903">
            <v>68</v>
          </cell>
          <cell r="O903" t="e">
            <v>#N/A</v>
          </cell>
          <cell r="P903" t="str">
            <v/>
          </cell>
          <cell r="Q903" t="str">
            <v/>
          </cell>
          <cell r="R903">
            <v>68</v>
          </cell>
        </row>
        <row r="904">
          <cell r="A904" t="str">
            <v/>
          </cell>
          <cell r="B904" t="str">
            <v/>
          </cell>
          <cell r="C904" t="str">
            <v>Future</v>
          </cell>
          <cell r="D904" t="e">
            <v>#N/A</v>
          </cell>
          <cell r="E904">
            <v>-23.290904727272896</v>
          </cell>
          <cell r="F904">
            <v>78.981822545455302</v>
          </cell>
          <cell r="G904">
            <v>31.25454981818239</v>
          </cell>
          <cell r="H904">
            <v>31.25454981818239</v>
          </cell>
          <cell r="I904" t="e">
            <v>#N/A</v>
          </cell>
          <cell r="J904" t="e">
            <v>#N/A</v>
          </cell>
          <cell r="K904">
            <v>75</v>
          </cell>
          <cell r="L904">
            <v>40</v>
          </cell>
          <cell r="M904" t="e">
            <v>#N/A</v>
          </cell>
          <cell r="N904">
            <v>68</v>
          </cell>
          <cell r="O904" t="e">
            <v>#N/A</v>
          </cell>
          <cell r="P904" t="str">
            <v/>
          </cell>
          <cell r="Q904" t="str">
            <v/>
          </cell>
          <cell r="R904">
            <v>68</v>
          </cell>
        </row>
        <row r="905">
          <cell r="A905" t="str">
            <v/>
          </cell>
          <cell r="B905" t="str">
            <v/>
          </cell>
          <cell r="C905" t="str">
            <v>Future</v>
          </cell>
          <cell r="D905" t="e">
            <v>#N/A</v>
          </cell>
          <cell r="E905">
            <v>-23.544066735178035</v>
          </cell>
          <cell r="F905">
            <v>79.025103225297201</v>
          </cell>
          <cell r="G905">
            <v>31.159490577075672</v>
          </cell>
          <cell r="H905">
            <v>31.159490577075672</v>
          </cell>
          <cell r="I905" t="e">
            <v>#N/A</v>
          </cell>
          <cell r="J905" t="e">
            <v>#N/A</v>
          </cell>
          <cell r="K905">
            <v>75</v>
          </cell>
          <cell r="L905">
            <v>40</v>
          </cell>
          <cell r="M905" t="e">
            <v>#N/A</v>
          </cell>
          <cell r="N905">
            <v>68</v>
          </cell>
          <cell r="O905" t="e">
            <v>#N/A</v>
          </cell>
          <cell r="P905" t="str">
            <v/>
          </cell>
          <cell r="Q905" t="str">
            <v/>
          </cell>
          <cell r="R905">
            <v>68</v>
          </cell>
        </row>
        <row r="906">
          <cell r="A906" t="str">
            <v/>
          </cell>
          <cell r="B906" t="str">
            <v/>
          </cell>
          <cell r="C906" t="str">
            <v>Future</v>
          </cell>
          <cell r="D906" t="e">
            <v>#N/A</v>
          </cell>
          <cell r="E906">
            <v>-23.797228743083174</v>
          </cell>
          <cell r="F906">
            <v>79.0683839051391</v>
          </cell>
          <cell r="G906">
            <v>31.064431335968955</v>
          </cell>
          <cell r="H906">
            <v>31.064431335968955</v>
          </cell>
          <cell r="I906" t="e">
            <v>#N/A</v>
          </cell>
          <cell r="J906" t="e">
            <v>#N/A</v>
          </cell>
          <cell r="K906">
            <v>75</v>
          </cell>
          <cell r="L906">
            <v>40</v>
          </cell>
          <cell r="M906" t="e">
            <v>#N/A</v>
          </cell>
          <cell r="N906">
            <v>68</v>
          </cell>
          <cell r="O906" t="e">
            <v>#N/A</v>
          </cell>
          <cell r="P906" t="str">
            <v/>
          </cell>
          <cell r="Q906" t="str">
            <v/>
          </cell>
          <cell r="R906">
            <v>68</v>
          </cell>
        </row>
        <row r="907">
          <cell r="A907" t="str">
            <v/>
          </cell>
          <cell r="B907" t="str">
            <v/>
          </cell>
          <cell r="C907" t="str">
            <v>Future</v>
          </cell>
          <cell r="D907" t="e">
            <v>#N/A</v>
          </cell>
          <cell r="E907">
            <v>-24.050390750988313</v>
          </cell>
          <cell r="F907">
            <v>79.111664584981</v>
          </cell>
          <cell r="G907">
            <v>30.969372094862237</v>
          </cell>
          <cell r="H907">
            <v>30.969372094862237</v>
          </cell>
          <cell r="I907" t="e">
            <v>#N/A</v>
          </cell>
          <cell r="J907" t="e">
            <v>#N/A</v>
          </cell>
          <cell r="K907">
            <v>75</v>
          </cell>
          <cell r="L907">
            <v>40</v>
          </cell>
          <cell r="M907" t="e">
            <v>#N/A</v>
          </cell>
          <cell r="N907">
            <v>68</v>
          </cell>
          <cell r="O907" t="e">
            <v>#N/A</v>
          </cell>
          <cell r="P907" t="str">
            <v/>
          </cell>
          <cell r="Q907" t="str">
            <v/>
          </cell>
          <cell r="R907">
            <v>68</v>
          </cell>
        </row>
        <row r="908">
          <cell r="A908" t="str">
            <v/>
          </cell>
          <cell r="B908" t="str">
            <v/>
          </cell>
          <cell r="C908" t="str">
            <v>Future</v>
          </cell>
          <cell r="D908" t="e">
            <v>#N/A</v>
          </cell>
          <cell r="E908">
            <v>-24.303552758893453</v>
          </cell>
          <cell r="F908">
            <v>79.154945264822899</v>
          </cell>
          <cell r="G908">
            <v>30.874312853755519</v>
          </cell>
          <cell r="H908">
            <v>30.874312853755519</v>
          </cell>
          <cell r="I908" t="e">
            <v>#N/A</v>
          </cell>
          <cell r="J908" t="e">
            <v>#N/A</v>
          </cell>
          <cell r="K908">
            <v>75</v>
          </cell>
          <cell r="L908">
            <v>40</v>
          </cell>
          <cell r="M908" t="e">
            <v>#N/A</v>
          </cell>
          <cell r="N908">
            <v>68</v>
          </cell>
          <cell r="O908" t="e">
            <v>#N/A</v>
          </cell>
          <cell r="P908" t="str">
            <v/>
          </cell>
          <cell r="Q908" t="str">
            <v/>
          </cell>
          <cell r="R908">
            <v>68</v>
          </cell>
        </row>
        <row r="909">
          <cell r="A909" t="str">
            <v/>
          </cell>
          <cell r="B909" t="str">
            <v/>
          </cell>
          <cell r="C909" t="str">
            <v>Future</v>
          </cell>
          <cell r="D909" t="e">
            <v>#N/A</v>
          </cell>
          <cell r="E909">
            <v>-24.556714766798592</v>
          </cell>
          <cell r="F909">
            <v>79.198225944664799</v>
          </cell>
          <cell r="G909">
            <v>30.779253612648802</v>
          </cell>
          <cell r="H909">
            <v>30.779253612648802</v>
          </cell>
          <cell r="I909" t="e">
            <v>#N/A</v>
          </cell>
          <cell r="J909" t="e">
            <v>#N/A</v>
          </cell>
          <cell r="K909">
            <v>75</v>
          </cell>
          <cell r="L909">
            <v>40</v>
          </cell>
          <cell r="M909" t="e">
            <v>#N/A</v>
          </cell>
          <cell r="N909">
            <v>68</v>
          </cell>
          <cell r="O909" t="e">
            <v>#N/A</v>
          </cell>
          <cell r="P909" t="str">
            <v/>
          </cell>
          <cell r="Q909" t="str">
            <v/>
          </cell>
          <cell r="R909">
            <v>68</v>
          </cell>
        </row>
        <row r="910">
          <cell r="A910" t="str">
            <v/>
          </cell>
          <cell r="B910" t="str">
            <v/>
          </cell>
          <cell r="C910" t="str">
            <v>Future</v>
          </cell>
          <cell r="D910" t="e">
            <v>#N/A</v>
          </cell>
          <cell r="E910">
            <v>-24.809876774703731</v>
          </cell>
          <cell r="F910">
            <v>79.241506624506698</v>
          </cell>
          <cell r="G910">
            <v>30.684194371542084</v>
          </cell>
          <cell r="H910">
            <v>30.684194371542084</v>
          </cell>
          <cell r="I910" t="e">
            <v>#N/A</v>
          </cell>
          <cell r="J910" t="e">
            <v>#N/A</v>
          </cell>
          <cell r="K910">
            <v>75</v>
          </cell>
          <cell r="L910">
            <v>40</v>
          </cell>
          <cell r="M910" t="e">
            <v>#N/A</v>
          </cell>
          <cell r="N910">
            <v>68</v>
          </cell>
          <cell r="O910" t="e">
            <v>#N/A</v>
          </cell>
          <cell r="P910" t="str">
            <v/>
          </cell>
          <cell r="Q910" t="str">
            <v/>
          </cell>
          <cell r="R910">
            <v>68</v>
          </cell>
        </row>
        <row r="911">
          <cell r="A911" t="str">
            <v/>
          </cell>
          <cell r="B911" t="str">
            <v/>
          </cell>
          <cell r="C911" t="str">
            <v>Future</v>
          </cell>
          <cell r="D911" t="e">
            <v>#N/A</v>
          </cell>
          <cell r="E911">
            <v>-25.063038782608871</v>
          </cell>
          <cell r="F911">
            <v>79.284787304348598</v>
          </cell>
          <cell r="G911">
            <v>30.589135130435366</v>
          </cell>
          <cell r="H911">
            <v>30.589135130435366</v>
          </cell>
          <cell r="I911" t="e">
            <v>#N/A</v>
          </cell>
          <cell r="J911" t="e">
            <v>#N/A</v>
          </cell>
          <cell r="K911">
            <v>75</v>
          </cell>
          <cell r="L911">
            <v>40</v>
          </cell>
          <cell r="M911" t="e">
            <v>#N/A</v>
          </cell>
          <cell r="N911">
            <v>68</v>
          </cell>
          <cell r="O911" t="e">
            <v>#N/A</v>
          </cell>
          <cell r="P911" t="str">
            <v/>
          </cell>
          <cell r="Q911" t="str">
            <v/>
          </cell>
          <cell r="R911">
            <v>68</v>
          </cell>
        </row>
        <row r="912">
          <cell r="A912" t="str">
            <v/>
          </cell>
          <cell r="B912" t="str">
            <v/>
          </cell>
          <cell r="C912" t="str">
            <v>Future</v>
          </cell>
          <cell r="D912" t="e">
            <v>#N/A</v>
          </cell>
          <cell r="E912">
            <v>-25.31620079051401</v>
          </cell>
          <cell r="F912">
            <v>79.328067984190497</v>
          </cell>
          <cell r="G912">
            <v>30.494075889328649</v>
          </cell>
          <cell r="H912">
            <v>30.494075889328649</v>
          </cell>
          <cell r="I912" t="e">
            <v>#N/A</v>
          </cell>
          <cell r="J912" t="e">
            <v>#N/A</v>
          </cell>
          <cell r="K912">
            <v>75</v>
          </cell>
          <cell r="L912">
            <v>40</v>
          </cell>
          <cell r="M912" t="e">
            <v>#N/A</v>
          </cell>
          <cell r="N912">
            <v>68</v>
          </cell>
          <cell r="O912" t="e">
            <v>#N/A</v>
          </cell>
          <cell r="P912" t="str">
            <v/>
          </cell>
          <cell r="Q912" t="str">
            <v/>
          </cell>
          <cell r="R912">
            <v>68</v>
          </cell>
        </row>
        <row r="913">
          <cell r="A913" t="str">
            <v/>
          </cell>
          <cell r="B913" t="str">
            <v/>
          </cell>
          <cell r="C913" t="str">
            <v>Future</v>
          </cell>
          <cell r="D913" t="e">
            <v>#N/A</v>
          </cell>
          <cell r="E913">
            <v>-25.569362798419149</v>
          </cell>
          <cell r="F913">
            <v>79.371348664032396</v>
          </cell>
          <cell r="G913">
            <v>30.399016648221931</v>
          </cell>
          <cell r="H913">
            <v>30.399016648221931</v>
          </cell>
          <cell r="I913" t="e">
            <v>#N/A</v>
          </cell>
          <cell r="J913" t="e">
            <v>#N/A</v>
          </cell>
          <cell r="K913">
            <v>75</v>
          </cell>
          <cell r="L913">
            <v>40</v>
          </cell>
          <cell r="M913" t="e">
            <v>#N/A</v>
          </cell>
          <cell r="N913">
            <v>68</v>
          </cell>
          <cell r="O913" t="e">
            <v>#N/A</v>
          </cell>
          <cell r="P913" t="str">
            <v/>
          </cell>
          <cell r="Q913" t="str">
            <v/>
          </cell>
          <cell r="R913">
            <v>68</v>
          </cell>
        </row>
        <row r="914">
          <cell r="A914" t="str">
            <v/>
          </cell>
          <cell r="B914" t="str">
            <v/>
          </cell>
          <cell r="C914" t="str">
            <v>Future</v>
          </cell>
          <cell r="D914" t="e">
            <v>#N/A</v>
          </cell>
          <cell r="E914">
            <v>-25.822524806324289</v>
          </cell>
          <cell r="F914">
            <v>79.414629343874296</v>
          </cell>
          <cell r="G914">
            <v>30.303957407115213</v>
          </cell>
          <cell r="H914">
            <v>30.303957407115213</v>
          </cell>
          <cell r="I914" t="e">
            <v>#N/A</v>
          </cell>
          <cell r="J914" t="e">
            <v>#N/A</v>
          </cell>
          <cell r="K914">
            <v>75</v>
          </cell>
          <cell r="L914">
            <v>40</v>
          </cell>
          <cell r="M914" t="e">
            <v>#N/A</v>
          </cell>
          <cell r="N914">
            <v>68</v>
          </cell>
          <cell r="O914" t="e">
            <v>#N/A</v>
          </cell>
          <cell r="P914" t="str">
            <v/>
          </cell>
          <cell r="Q914" t="str">
            <v/>
          </cell>
          <cell r="R914">
            <v>68</v>
          </cell>
        </row>
        <row r="915">
          <cell r="A915" t="str">
            <v/>
          </cell>
          <cell r="B915" t="str">
            <v/>
          </cell>
          <cell r="C915" t="str">
            <v>Future</v>
          </cell>
          <cell r="D915" t="e">
            <v>#N/A</v>
          </cell>
          <cell r="E915">
            <v>-26.075686814229428</v>
          </cell>
          <cell r="F915">
            <v>79.457910023716195</v>
          </cell>
          <cell r="G915">
            <v>30.208898166008495</v>
          </cell>
          <cell r="H915">
            <v>30.208898166008495</v>
          </cell>
          <cell r="I915" t="e">
            <v>#N/A</v>
          </cell>
          <cell r="J915" t="e">
            <v>#N/A</v>
          </cell>
          <cell r="K915">
            <v>75</v>
          </cell>
          <cell r="L915">
            <v>40</v>
          </cell>
          <cell r="M915" t="e">
            <v>#N/A</v>
          </cell>
          <cell r="N915">
            <v>68</v>
          </cell>
          <cell r="O915" t="e">
            <v>#N/A</v>
          </cell>
          <cell r="P915" t="str">
            <v/>
          </cell>
          <cell r="Q915" t="str">
            <v/>
          </cell>
          <cell r="R915">
            <v>68</v>
          </cell>
        </row>
        <row r="916">
          <cell r="A916" t="str">
            <v/>
          </cell>
          <cell r="B916" t="str">
            <v/>
          </cell>
          <cell r="C916" t="str">
            <v>Future</v>
          </cell>
          <cell r="D916" t="e">
            <v>#N/A</v>
          </cell>
          <cell r="E916">
            <v>-26.328848822134567</v>
          </cell>
          <cell r="F916">
            <v>79.501190703558095</v>
          </cell>
          <cell r="G916">
            <v>30.113838924901778</v>
          </cell>
          <cell r="H916">
            <v>30.113838924901778</v>
          </cell>
          <cell r="I916" t="e">
            <v>#N/A</v>
          </cell>
          <cell r="J916" t="e">
            <v>#N/A</v>
          </cell>
          <cell r="K916">
            <v>75</v>
          </cell>
          <cell r="L916">
            <v>40</v>
          </cell>
          <cell r="M916" t="e">
            <v>#N/A</v>
          </cell>
          <cell r="N916">
            <v>68</v>
          </cell>
          <cell r="O916" t="e">
            <v>#N/A</v>
          </cell>
          <cell r="P916" t="str">
            <v/>
          </cell>
          <cell r="Q916" t="str">
            <v/>
          </cell>
          <cell r="R916">
            <v>68</v>
          </cell>
        </row>
        <row r="917">
          <cell r="A917" t="str">
            <v/>
          </cell>
          <cell r="B917" t="str">
            <v/>
          </cell>
          <cell r="C917" t="str">
            <v>Future</v>
          </cell>
          <cell r="D917" t="e">
            <v>#N/A</v>
          </cell>
          <cell r="E917">
            <v>-26.582010830039707</v>
          </cell>
          <cell r="F917">
            <v>79.544471383399994</v>
          </cell>
          <cell r="G917">
            <v>30.01877968379506</v>
          </cell>
          <cell r="H917">
            <v>30.01877968379506</v>
          </cell>
          <cell r="I917" t="e">
            <v>#N/A</v>
          </cell>
          <cell r="J917" t="e">
            <v>#N/A</v>
          </cell>
          <cell r="K917">
            <v>75</v>
          </cell>
          <cell r="L917">
            <v>40</v>
          </cell>
          <cell r="M917" t="e">
            <v>#N/A</v>
          </cell>
          <cell r="N917">
            <v>68</v>
          </cell>
          <cell r="O917" t="e">
            <v>#N/A</v>
          </cell>
          <cell r="P917" t="str">
            <v/>
          </cell>
          <cell r="Q917" t="str">
            <v/>
          </cell>
          <cell r="R917">
            <v>68</v>
          </cell>
        </row>
        <row r="918">
          <cell r="A918" t="str">
            <v/>
          </cell>
          <cell r="B918" t="str">
            <v/>
          </cell>
          <cell r="C918" t="str">
            <v>Future</v>
          </cell>
          <cell r="D918" t="e">
            <v>#N/A</v>
          </cell>
          <cell r="E918">
            <v>-26.835172837944846</v>
          </cell>
          <cell r="F918">
            <v>79.587752063241894</v>
          </cell>
          <cell r="G918">
            <v>29.923720442688342</v>
          </cell>
          <cell r="H918">
            <v>29.923720442688342</v>
          </cell>
          <cell r="I918" t="e">
            <v>#N/A</v>
          </cell>
          <cell r="J918" t="e">
            <v>#N/A</v>
          </cell>
          <cell r="K918">
            <v>75</v>
          </cell>
          <cell r="L918">
            <v>40</v>
          </cell>
          <cell r="M918" t="e">
            <v>#N/A</v>
          </cell>
          <cell r="N918">
            <v>68</v>
          </cell>
          <cell r="O918" t="e">
            <v>#N/A</v>
          </cell>
          <cell r="P918" t="str">
            <v/>
          </cell>
          <cell r="Q918" t="str">
            <v/>
          </cell>
          <cell r="R918">
            <v>68</v>
          </cell>
        </row>
        <row r="919">
          <cell r="A919" t="str">
            <v/>
          </cell>
          <cell r="B919" t="str">
            <v/>
          </cell>
          <cell r="C919" t="str">
            <v>Future</v>
          </cell>
          <cell r="D919" t="e">
            <v>#N/A</v>
          </cell>
          <cell r="E919">
            <v>-27.088334845849985</v>
          </cell>
          <cell r="F919">
            <v>79.631032743083793</v>
          </cell>
          <cell r="G919">
            <v>29.828661201581625</v>
          </cell>
          <cell r="H919">
            <v>29.828661201581625</v>
          </cell>
          <cell r="I919" t="e">
            <v>#N/A</v>
          </cell>
          <cell r="J919" t="e">
            <v>#N/A</v>
          </cell>
          <cell r="K919">
            <v>75</v>
          </cell>
          <cell r="L919">
            <v>40</v>
          </cell>
          <cell r="M919" t="e">
            <v>#N/A</v>
          </cell>
          <cell r="N919">
            <v>68</v>
          </cell>
          <cell r="O919" t="e">
            <v>#N/A</v>
          </cell>
          <cell r="P919" t="str">
            <v/>
          </cell>
          <cell r="Q919" t="str">
            <v/>
          </cell>
          <cell r="R919">
            <v>68</v>
          </cell>
        </row>
        <row r="920">
          <cell r="A920" t="str">
            <v/>
          </cell>
          <cell r="B920" t="str">
            <v/>
          </cell>
          <cell r="C920" t="str">
            <v>Future</v>
          </cell>
          <cell r="D920" t="e">
            <v>#N/A</v>
          </cell>
          <cell r="E920">
            <v>-27.341496853755125</v>
          </cell>
          <cell r="F920">
            <v>79.674313422925692</v>
          </cell>
          <cell r="G920">
            <v>29.733601960474907</v>
          </cell>
          <cell r="H920">
            <v>29.733601960474907</v>
          </cell>
          <cell r="I920" t="e">
            <v>#N/A</v>
          </cell>
          <cell r="J920" t="e">
            <v>#N/A</v>
          </cell>
          <cell r="K920">
            <v>75</v>
          </cell>
          <cell r="L920">
            <v>40</v>
          </cell>
          <cell r="M920" t="e">
            <v>#N/A</v>
          </cell>
          <cell r="N920">
            <v>68</v>
          </cell>
          <cell r="O920" t="e">
            <v>#N/A</v>
          </cell>
          <cell r="P920" t="str">
            <v/>
          </cell>
          <cell r="Q920" t="str">
            <v/>
          </cell>
          <cell r="R920">
            <v>68</v>
          </cell>
        </row>
        <row r="921">
          <cell r="A921" t="str">
            <v/>
          </cell>
          <cell r="B921" t="str">
            <v/>
          </cell>
          <cell r="C921" t="str">
            <v>Future</v>
          </cell>
          <cell r="D921" t="e">
            <v>#N/A</v>
          </cell>
          <cell r="E921">
            <v>-27.594658861660264</v>
          </cell>
          <cell r="F921">
            <v>79.717594102767592</v>
          </cell>
          <cell r="G921">
            <v>29.638542719368189</v>
          </cell>
          <cell r="H921">
            <v>29.638542719368189</v>
          </cell>
          <cell r="I921" t="e">
            <v>#N/A</v>
          </cell>
          <cell r="J921" t="e">
            <v>#N/A</v>
          </cell>
          <cell r="K921">
            <v>75</v>
          </cell>
          <cell r="L921">
            <v>40</v>
          </cell>
          <cell r="M921" t="e">
            <v>#N/A</v>
          </cell>
          <cell r="N921">
            <v>68</v>
          </cell>
          <cell r="O921" t="e">
            <v>#N/A</v>
          </cell>
          <cell r="P921" t="str">
            <v/>
          </cell>
          <cell r="Q921" t="str">
            <v/>
          </cell>
          <cell r="R921">
            <v>68</v>
          </cell>
        </row>
        <row r="922">
          <cell r="A922" t="str">
            <v/>
          </cell>
          <cell r="B922" t="str">
            <v/>
          </cell>
          <cell r="C922" t="str">
            <v>Future</v>
          </cell>
          <cell r="D922" t="e">
            <v>#N/A</v>
          </cell>
          <cell r="E922">
            <v>-27.847820869565403</v>
          </cell>
          <cell r="F922">
            <v>79.760874782609491</v>
          </cell>
          <cell r="G922">
            <v>29.543483478261471</v>
          </cell>
          <cell r="H922">
            <v>29.543483478261471</v>
          </cell>
          <cell r="I922" t="e">
            <v>#N/A</v>
          </cell>
          <cell r="J922" t="e">
            <v>#N/A</v>
          </cell>
          <cell r="K922">
            <v>75</v>
          </cell>
          <cell r="L922">
            <v>40</v>
          </cell>
          <cell r="M922" t="e">
            <v>#N/A</v>
          </cell>
          <cell r="N922">
            <v>68</v>
          </cell>
          <cell r="O922" t="e">
            <v>#N/A</v>
          </cell>
          <cell r="P922" t="str">
            <v/>
          </cell>
          <cell r="Q922" t="str">
            <v/>
          </cell>
          <cell r="R922">
            <v>68</v>
          </cell>
        </row>
        <row r="923">
          <cell r="A923" t="str">
            <v/>
          </cell>
          <cell r="B923" t="str">
            <v/>
          </cell>
          <cell r="C923" t="str">
            <v>Future</v>
          </cell>
          <cell r="D923" t="e">
            <v>#N/A</v>
          </cell>
          <cell r="E923">
            <v>-28.100982877470543</v>
          </cell>
          <cell r="F923">
            <v>79.804155462451391</v>
          </cell>
          <cell r="G923">
            <v>29.448424237154754</v>
          </cell>
          <cell r="H923">
            <v>29.448424237154754</v>
          </cell>
          <cell r="I923" t="e">
            <v>#N/A</v>
          </cell>
          <cell r="J923" t="e">
            <v>#N/A</v>
          </cell>
          <cell r="K923">
            <v>75</v>
          </cell>
          <cell r="L923">
            <v>40</v>
          </cell>
          <cell r="M923" t="e">
            <v>#N/A</v>
          </cell>
          <cell r="N923">
            <v>68</v>
          </cell>
          <cell r="O923" t="e">
            <v>#N/A</v>
          </cell>
          <cell r="P923" t="str">
            <v/>
          </cell>
          <cell r="Q923" t="str">
            <v/>
          </cell>
          <cell r="R923">
            <v>68</v>
          </cell>
        </row>
        <row r="924">
          <cell r="A924" t="str">
            <v/>
          </cell>
          <cell r="B924" t="str">
            <v/>
          </cell>
          <cell r="C924" t="str">
            <v>Future</v>
          </cell>
          <cell r="D924" t="e">
            <v>#N/A</v>
          </cell>
          <cell r="E924">
            <v>-28.354144885375682</v>
          </cell>
          <cell r="F924">
            <v>79.84743614229329</v>
          </cell>
          <cell r="G924">
            <v>29.353364996048036</v>
          </cell>
          <cell r="H924">
            <v>29.353364996048036</v>
          </cell>
          <cell r="I924" t="e">
            <v>#N/A</v>
          </cell>
          <cell r="J924" t="e">
            <v>#N/A</v>
          </cell>
          <cell r="K924">
            <v>75</v>
          </cell>
          <cell r="L924">
            <v>40</v>
          </cell>
          <cell r="M924" t="e">
            <v>#N/A</v>
          </cell>
          <cell r="N924">
            <v>68</v>
          </cell>
          <cell r="O924" t="e">
            <v>#N/A</v>
          </cell>
          <cell r="P924" t="str">
            <v/>
          </cell>
          <cell r="Q924" t="str">
            <v/>
          </cell>
          <cell r="R924">
            <v>68</v>
          </cell>
        </row>
        <row r="925">
          <cell r="A925" t="str">
            <v/>
          </cell>
          <cell r="B925" t="str">
            <v/>
          </cell>
          <cell r="C925" t="str">
            <v>Future</v>
          </cell>
          <cell r="D925" t="e">
            <v>#N/A</v>
          </cell>
          <cell r="E925">
            <v>-28.607306893280821</v>
          </cell>
          <cell r="F925">
            <v>79.89071682213519</v>
          </cell>
          <cell r="G925">
            <v>29.258305754941318</v>
          </cell>
          <cell r="H925">
            <v>29.258305754941318</v>
          </cell>
          <cell r="I925" t="e">
            <v>#N/A</v>
          </cell>
          <cell r="J925" t="e">
            <v>#N/A</v>
          </cell>
          <cell r="K925">
            <v>75</v>
          </cell>
          <cell r="L925">
            <v>40</v>
          </cell>
          <cell r="M925" t="e">
            <v>#N/A</v>
          </cell>
          <cell r="N925">
            <v>68</v>
          </cell>
          <cell r="O925" t="e">
            <v>#N/A</v>
          </cell>
          <cell r="P925" t="str">
            <v/>
          </cell>
          <cell r="Q925" t="str">
            <v/>
          </cell>
          <cell r="R925">
            <v>68</v>
          </cell>
        </row>
        <row r="926">
          <cell r="A926" t="str">
            <v/>
          </cell>
          <cell r="B926" t="str">
            <v/>
          </cell>
          <cell r="C926" t="str">
            <v>Future</v>
          </cell>
          <cell r="D926" t="e">
            <v>#N/A</v>
          </cell>
          <cell r="E926">
            <v>-28.860468901185961</v>
          </cell>
          <cell r="F926">
            <v>79.933997501977089</v>
          </cell>
          <cell r="G926">
            <v>29.163246513834601</v>
          </cell>
          <cell r="H926">
            <v>29.163246513834601</v>
          </cell>
          <cell r="I926" t="e">
            <v>#N/A</v>
          </cell>
          <cell r="J926" t="e">
            <v>#N/A</v>
          </cell>
          <cell r="K926">
            <v>75</v>
          </cell>
          <cell r="L926">
            <v>40</v>
          </cell>
          <cell r="M926" t="e">
            <v>#N/A</v>
          </cell>
          <cell r="N926">
            <v>68</v>
          </cell>
          <cell r="O926" t="e">
            <v>#N/A</v>
          </cell>
          <cell r="P926" t="str">
            <v/>
          </cell>
          <cell r="Q926" t="str">
            <v/>
          </cell>
          <cell r="R926">
            <v>68</v>
          </cell>
        </row>
        <row r="927">
          <cell r="A927" t="str">
            <v/>
          </cell>
          <cell r="B927" t="str">
            <v/>
          </cell>
          <cell r="C927" t="str">
            <v>Future</v>
          </cell>
          <cell r="D927" t="e">
            <v>#N/A</v>
          </cell>
          <cell r="E927">
            <v>-29.1136309090911</v>
          </cell>
          <cell r="F927">
            <v>79.977278181818988</v>
          </cell>
          <cell r="G927">
            <v>29.068187272727883</v>
          </cell>
          <cell r="H927">
            <v>29.068187272727883</v>
          </cell>
          <cell r="I927" t="e">
            <v>#N/A</v>
          </cell>
          <cell r="J927" t="e">
            <v>#N/A</v>
          </cell>
          <cell r="K927">
            <v>75</v>
          </cell>
          <cell r="L927">
            <v>40</v>
          </cell>
          <cell r="M927" t="e">
            <v>#N/A</v>
          </cell>
          <cell r="N927">
            <v>68</v>
          </cell>
          <cell r="O927" t="e">
            <v>#N/A</v>
          </cell>
          <cell r="P927" t="str">
            <v/>
          </cell>
          <cell r="Q927" t="str">
            <v/>
          </cell>
          <cell r="R927">
            <v>68</v>
          </cell>
        </row>
        <row r="928">
          <cell r="A928" t="str">
            <v/>
          </cell>
          <cell r="B928" t="str">
            <v/>
          </cell>
          <cell r="C928" t="str">
            <v>Future</v>
          </cell>
          <cell r="D928" t="e">
            <v>#N/A</v>
          </cell>
          <cell r="E928">
            <v>-29.366792916996239</v>
          </cell>
          <cell r="F928">
            <v>80.020558861660888</v>
          </cell>
          <cell r="G928">
            <v>28.973128031621165</v>
          </cell>
          <cell r="H928">
            <v>28.973128031621165</v>
          </cell>
          <cell r="I928" t="e">
            <v>#N/A</v>
          </cell>
          <cell r="J928" t="e">
            <v>#N/A</v>
          </cell>
          <cell r="K928">
            <v>75</v>
          </cell>
          <cell r="L928">
            <v>40</v>
          </cell>
          <cell r="M928" t="e">
            <v>#N/A</v>
          </cell>
          <cell r="N928">
            <v>68</v>
          </cell>
          <cell r="O928" t="e">
            <v>#N/A</v>
          </cell>
          <cell r="P928" t="str">
            <v/>
          </cell>
          <cell r="Q928" t="str">
            <v/>
          </cell>
          <cell r="R928">
            <v>68</v>
          </cell>
        </row>
        <row r="929">
          <cell r="A929" t="str">
            <v/>
          </cell>
          <cell r="B929" t="str">
            <v/>
          </cell>
          <cell r="C929" t="str">
            <v>Future</v>
          </cell>
          <cell r="D929" t="e">
            <v>#N/A</v>
          </cell>
          <cell r="E929">
            <v>-29.619954924901378</v>
          </cell>
          <cell r="F929">
            <v>80.063839541502787</v>
          </cell>
          <cell r="G929">
            <v>28.878068790514448</v>
          </cell>
          <cell r="H929">
            <v>28.878068790514448</v>
          </cell>
          <cell r="I929" t="e">
            <v>#N/A</v>
          </cell>
          <cell r="J929" t="e">
            <v>#N/A</v>
          </cell>
          <cell r="K929">
            <v>75</v>
          </cell>
          <cell r="L929">
            <v>40</v>
          </cell>
          <cell r="M929" t="e">
            <v>#N/A</v>
          </cell>
          <cell r="N929">
            <v>68</v>
          </cell>
          <cell r="O929" t="e">
            <v>#N/A</v>
          </cell>
          <cell r="P929" t="str">
            <v/>
          </cell>
          <cell r="Q929" t="str">
            <v/>
          </cell>
          <cell r="R929">
            <v>68</v>
          </cell>
        </row>
        <row r="930">
          <cell r="A930" t="str">
            <v/>
          </cell>
          <cell r="B930" t="str">
            <v/>
          </cell>
          <cell r="C930" t="str">
            <v>Future</v>
          </cell>
          <cell r="D930" t="e">
            <v>#N/A</v>
          </cell>
          <cell r="E930">
            <v>-29.873116932806518</v>
          </cell>
          <cell r="F930">
            <v>80.107120221344687</v>
          </cell>
          <cell r="G930">
            <v>28.78300954940773</v>
          </cell>
          <cell r="H930">
            <v>28.78300954940773</v>
          </cell>
          <cell r="I930" t="e">
            <v>#N/A</v>
          </cell>
          <cell r="J930" t="e">
            <v>#N/A</v>
          </cell>
          <cell r="K930">
            <v>75</v>
          </cell>
          <cell r="L930">
            <v>40</v>
          </cell>
          <cell r="M930" t="e">
            <v>#N/A</v>
          </cell>
          <cell r="N930">
            <v>68</v>
          </cell>
          <cell r="O930" t="e">
            <v>#N/A</v>
          </cell>
          <cell r="P930" t="str">
            <v/>
          </cell>
          <cell r="Q930" t="str">
            <v/>
          </cell>
          <cell r="R930">
            <v>68</v>
          </cell>
        </row>
        <row r="931">
          <cell r="A931" t="str">
            <v/>
          </cell>
          <cell r="B931" t="str">
            <v/>
          </cell>
          <cell r="C931" t="str">
            <v>Future</v>
          </cell>
          <cell r="D931" t="e">
            <v>#N/A</v>
          </cell>
          <cell r="E931">
            <v>-30.126278940711657</v>
          </cell>
          <cell r="F931">
            <v>80.150400901186586</v>
          </cell>
          <cell r="G931">
            <v>28.687950308301012</v>
          </cell>
          <cell r="H931">
            <v>28.687950308301012</v>
          </cell>
          <cell r="I931" t="e">
            <v>#N/A</v>
          </cell>
          <cell r="J931" t="e">
            <v>#N/A</v>
          </cell>
          <cell r="K931">
            <v>75</v>
          </cell>
          <cell r="L931">
            <v>40</v>
          </cell>
          <cell r="M931" t="e">
            <v>#N/A</v>
          </cell>
          <cell r="N931">
            <v>68</v>
          </cell>
          <cell r="O931" t="e">
            <v>#N/A</v>
          </cell>
          <cell r="P931" t="str">
            <v/>
          </cell>
          <cell r="Q931" t="str">
            <v/>
          </cell>
          <cell r="R931">
            <v>68</v>
          </cell>
        </row>
        <row r="932">
          <cell r="A932" t="str">
            <v/>
          </cell>
          <cell r="B932" t="str">
            <v/>
          </cell>
          <cell r="C932" t="str">
            <v>Future</v>
          </cell>
          <cell r="D932" t="e">
            <v>#N/A</v>
          </cell>
          <cell r="E932">
            <v>-30.379440948616796</v>
          </cell>
          <cell r="F932">
            <v>80.193681581028486</v>
          </cell>
          <cell r="G932">
            <v>28.592891067194294</v>
          </cell>
          <cell r="H932">
            <v>28.592891067194294</v>
          </cell>
          <cell r="I932" t="e">
            <v>#N/A</v>
          </cell>
          <cell r="J932" t="e">
            <v>#N/A</v>
          </cell>
          <cell r="K932">
            <v>75</v>
          </cell>
          <cell r="L932">
            <v>40</v>
          </cell>
          <cell r="M932" t="e">
            <v>#N/A</v>
          </cell>
          <cell r="N932">
            <v>68</v>
          </cell>
          <cell r="O932" t="e">
            <v>#N/A</v>
          </cell>
          <cell r="P932" t="str">
            <v/>
          </cell>
          <cell r="Q932" t="str">
            <v/>
          </cell>
          <cell r="R932">
            <v>68</v>
          </cell>
        </row>
        <row r="933">
          <cell r="A933" t="str">
            <v/>
          </cell>
          <cell r="B933" t="str">
            <v/>
          </cell>
          <cell r="C933" t="str">
            <v>Future</v>
          </cell>
          <cell r="D933" t="e">
            <v>#N/A</v>
          </cell>
          <cell r="E933">
            <v>-30.632602956521936</v>
          </cell>
          <cell r="F933">
            <v>80.236962260870385</v>
          </cell>
          <cell r="G933">
            <v>28.497831826087577</v>
          </cell>
          <cell r="H933">
            <v>28.497831826087577</v>
          </cell>
          <cell r="I933" t="e">
            <v>#N/A</v>
          </cell>
          <cell r="J933" t="e">
            <v>#N/A</v>
          </cell>
          <cell r="K933">
            <v>75</v>
          </cell>
          <cell r="L933">
            <v>40</v>
          </cell>
          <cell r="M933" t="e">
            <v>#N/A</v>
          </cell>
          <cell r="N933">
            <v>68</v>
          </cell>
          <cell r="O933" t="e">
            <v>#N/A</v>
          </cell>
          <cell r="P933" t="str">
            <v/>
          </cell>
          <cell r="Q933" t="str">
            <v/>
          </cell>
          <cell r="R933">
            <v>68</v>
          </cell>
        </row>
        <row r="934">
          <cell r="A934" t="str">
            <v/>
          </cell>
          <cell r="B934" t="str">
            <v/>
          </cell>
          <cell r="C934" t="str">
            <v>Future</v>
          </cell>
          <cell r="D934" t="e">
            <v>#N/A</v>
          </cell>
          <cell r="E934">
            <v>-30.885764964427075</v>
          </cell>
          <cell r="F934">
            <v>80.280242940712284</v>
          </cell>
          <cell r="G934">
            <v>28.402772584980859</v>
          </cell>
          <cell r="H934">
            <v>28.402772584980859</v>
          </cell>
          <cell r="I934" t="e">
            <v>#N/A</v>
          </cell>
          <cell r="J934" t="e">
            <v>#N/A</v>
          </cell>
          <cell r="K934">
            <v>75</v>
          </cell>
          <cell r="L934">
            <v>40</v>
          </cell>
          <cell r="M934" t="e">
            <v>#N/A</v>
          </cell>
          <cell r="N934">
            <v>68</v>
          </cell>
          <cell r="O934" t="e">
            <v>#N/A</v>
          </cell>
          <cell r="P934" t="str">
            <v/>
          </cell>
          <cell r="Q934" t="str">
            <v/>
          </cell>
          <cell r="R934">
            <v>68</v>
          </cell>
        </row>
        <row r="935">
          <cell r="A935" t="str">
            <v/>
          </cell>
          <cell r="B935" t="str">
            <v/>
          </cell>
          <cell r="C935" t="str">
            <v>Future</v>
          </cell>
          <cell r="D935" t="e">
            <v>#N/A</v>
          </cell>
          <cell r="E935">
            <v>-31.138926972332214</v>
          </cell>
          <cell r="F935">
            <v>80.323523620554184</v>
          </cell>
          <cell r="G935">
            <v>28.307713343874141</v>
          </cell>
          <cell r="H935">
            <v>28.307713343874141</v>
          </cell>
          <cell r="I935" t="e">
            <v>#N/A</v>
          </cell>
          <cell r="J935" t="e">
            <v>#N/A</v>
          </cell>
          <cell r="K935">
            <v>75</v>
          </cell>
          <cell r="L935">
            <v>40</v>
          </cell>
          <cell r="M935" t="e">
            <v>#N/A</v>
          </cell>
          <cell r="N935">
            <v>68</v>
          </cell>
          <cell r="O935" t="e">
            <v>#N/A</v>
          </cell>
          <cell r="P935" t="str">
            <v/>
          </cell>
          <cell r="Q935" t="str">
            <v/>
          </cell>
          <cell r="R935">
            <v>68</v>
          </cell>
        </row>
        <row r="936">
          <cell r="A936" t="str">
            <v/>
          </cell>
          <cell r="B936" t="str">
            <v/>
          </cell>
          <cell r="C936" t="str">
            <v>Future</v>
          </cell>
          <cell r="D936" t="e">
            <v>#N/A</v>
          </cell>
          <cell r="E936">
            <v>-31.392088980237354</v>
          </cell>
          <cell r="F936">
            <v>80.366804300396083</v>
          </cell>
          <cell r="G936">
            <v>28.212654102767424</v>
          </cell>
          <cell r="H936">
            <v>28.212654102767424</v>
          </cell>
          <cell r="I936" t="e">
            <v>#N/A</v>
          </cell>
          <cell r="J936" t="e">
            <v>#N/A</v>
          </cell>
          <cell r="K936">
            <v>75</v>
          </cell>
          <cell r="L936">
            <v>40</v>
          </cell>
          <cell r="M936" t="e">
            <v>#N/A</v>
          </cell>
          <cell r="N936">
            <v>68</v>
          </cell>
          <cell r="O936" t="e">
            <v>#N/A</v>
          </cell>
          <cell r="P936" t="str">
            <v/>
          </cell>
          <cell r="Q936" t="str">
            <v/>
          </cell>
          <cell r="R936">
            <v>68</v>
          </cell>
        </row>
        <row r="937">
          <cell r="A937" t="str">
            <v/>
          </cell>
          <cell r="B937" t="str">
            <v/>
          </cell>
          <cell r="C937" t="str">
            <v>Future</v>
          </cell>
          <cell r="D937" t="e">
            <v>#N/A</v>
          </cell>
          <cell r="E937">
            <v>-31.645250988142493</v>
          </cell>
          <cell r="F937">
            <v>80.410084980237983</v>
          </cell>
          <cell r="G937">
            <v>28.117594861660706</v>
          </cell>
          <cell r="H937">
            <v>28.117594861660706</v>
          </cell>
          <cell r="I937" t="e">
            <v>#N/A</v>
          </cell>
          <cell r="J937" t="e">
            <v>#N/A</v>
          </cell>
          <cell r="K937">
            <v>75</v>
          </cell>
          <cell r="L937">
            <v>40</v>
          </cell>
          <cell r="M937" t="e">
            <v>#N/A</v>
          </cell>
          <cell r="N937">
            <v>68</v>
          </cell>
          <cell r="O937" t="e">
            <v>#N/A</v>
          </cell>
          <cell r="P937" t="str">
            <v/>
          </cell>
          <cell r="Q937" t="str">
            <v/>
          </cell>
          <cell r="R937">
            <v>68</v>
          </cell>
        </row>
        <row r="938">
          <cell r="A938" t="str">
            <v/>
          </cell>
          <cell r="B938" t="str">
            <v/>
          </cell>
          <cell r="C938" t="str">
            <v>Future</v>
          </cell>
          <cell r="D938" t="e">
            <v>#N/A</v>
          </cell>
          <cell r="E938">
            <v>-31.898412996047632</v>
          </cell>
          <cell r="F938">
            <v>80.453365660079882</v>
          </cell>
          <cell r="G938">
            <v>28.022535620553988</v>
          </cell>
          <cell r="H938">
            <v>28.022535620553988</v>
          </cell>
          <cell r="I938" t="e">
            <v>#N/A</v>
          </cell>
          <cell r="J938" t="e">
            <v>#N/A</v>
          </cell>
          <cell r="K938">
            <v>75</v>
          </cell>
          <cell r="L938">
            <v>40</v>
          </cell>
          <cell r="M938" t="e">
            <v>#N/A</v>
          </cell>
          <cell r="N938">
            <v>68</v>
          </cell>
          <cell r="O938" t="e">
            <v>#N/A</v>
          </cell>
          <cell r="P938" t="str">
            <v/>
          </cell>
          <cell r="Q938" t="str">
            <v/>
          </cell>
          <cell r="R938">
            <v>68</v>
          </cell>
        </row>
        <row r="939">
          <cell r="A939" t="str">
            <v/>
          </cell>
          <cell r="B939" t="str">
            <v/>
          </cell>
          <cell r="C939" t="str">
            <v>Future</v>
          </cell>
          <cell r="D939" t="e">
            <v>#N/A</v>
          </cell>
          <cell r="E939">
            <v>-32.151575003952772</v>
          </cell>
          <cell r="F939">
            <v>80.496646339921782</v>
          </cell>
          <cell r="G939">
            <v>27.92747637944727</v>
          </cell>
          <cell r="H939">
            <v>27.92747637944727</v>
          </cell>
          <cell r="I939" t="e">
            <v>#N/A</v>
          </cell>
          <cell r="J939" t="e">
            <v>#N/A</v>
          </cell>
          <cell r="K939">
            <v>75</v>
          </cell>
          <cell r="L939">
            <v>40</v>
          </cell>
          <cell r="M939" t="e">
            <v>#N/A</v>
          </cell>
          <cell r="N939">
            <v>68</v>
          </cell>
          <cell r="O939" t="e">
            <v>#N/A</v>
          </cell>
          <cell r="P939" t="str">
            <v/>
          </cell>
          <cell r="Q939" t="str">
            <v/>
          </cell>
          <cell r="R939">
            <v>68</v>
          </cell>
        </row>
        <row r="940">
          <cell r="A940" t="str">
            <v/>
          </cell>
          <cell r="B940" t="str">
            <v/>
          </cell>
          <cell r="C940" t="str">
            <v>Future</v>
          </cell>
          <cell r="D940" t="e">
            <v>#N/A</v>
          </cell>
          <cell r="E940">
            <v>-32.404737011857911</v>
          </cell>
          <cell r="F940">
            <v>80.539927019763681</v>
          </cell>
          <cell r="G940">
            <v>27.832417138340553</v>
          </cell>
          <cell r="H940">
            <v>27.832417138340553</v>
          </cell>
          <cell r="I940" t="e">
            <v>#N/A</v>
          </cell>
          <cell r="J940" t="e">
            <v>#N/A</v>
          </cell>
          <cell r="K940">
            <v>75</v>
          </cell>
          <cell r="L940">
            <v>40</v>
          </cell>
          <cell r="M940" t="e">
            <v>#N/A</v>
          </cell>
          <cell r="N940">
            <v>68</v>
          </cell>
          <cell r="O940" t="e">
            <v>#N/A</v>
          </cell>
          <cell r="P940" t="str">
            <v/>
          </cell>
          <cell r="Q940" t="str">
            <v/>
          </cell>
          <cell r="R940">
            <v>68</v>
          </cell>
        </row>
        <row r="941">
          <cell r="A941" t="str">
            <v/>
          </cell>
          <cell r="B941" t="str">
            <v/>
          </cell>
          <cell r="C941" t="str">
            <v>Future</v>
          </cell>
          <cell r="D941" t="e">
            <v>#N/A</v>
          </cell>
          <cell r="E941">
            <v>-32.65789901976305</v>
          </cell>
          <cell r="F941">
            <v>80.58320769960558</v>
          </cell>
          <cell r="G941">
            <v>27.737357897233835</v>
          </cell>
          <cell r="H941">
            <v>27.737357897233835</v>
          </cell>
          <cell r="I941" t="e">
            <v>#N/A</v>
          </cell>
          <cell r="J941" t="e">
            <v>#N/A</v>
          </cell>
          <cell r="K941">
            <v>75</v>
          </cell>
          <cell r="L941">
            <v>40</v>
          </cell>
          <cell r="M941" t="e">
            <v>#N/A</v>
          </cell>
          <cell r="N941">
            <v>68</v>
          </cell>
          <cell r="O941" t="e">
            <v>#N/A</v>
          </cell>
          <cell r="P941" t="str">
            <v/>
          </cell>
          <cell r="Q941" t="str">
            <v/>
          </cell>
          <cell r="R941">
            <v>68</v>
          </cell>
        </row>
        <row r="942">
          <cell r="A942" t="str">
            <v/>
          </cell>
          <cell r="B942" t="str">
            <v/>
          </cell>
          <cell r="C942" t="str">
            <v>Future</v>
          </cell>
          <cell r="D942" t="e">
            <v>#N/A</v>
          </cell>
          <cell r="E942">
            <v>-32.91106102766819</v>
          </cell>
          <cell r="F942">
            <v>80.62648837944748</v>
          </cell>
          <cell r="G942">
            <v>27.642298656127117</v>
          </cell>
          <cell r="H942">
            <v>27.642298656127117</v>
          </cell>
          <cell r="I942" t="e">
            <v>#N/A</v>
          </cell>
          <cell r="J942" t="e">
            <v>#N/A</v>
          </cell>
          <cell r="K942">
            <v>75</v>
          </cell>
          <cell r="L942">
            <v>40</v>
          </cell>
          <cell r="M942" t="e">
            <v>#N/A</v>
          </cell>
          <cell r="N942">
            <v>68</v>
          </cell>
          <cell r="O942" t="e">
            <v>#N/A</v>
          </cell>
          <cell r="P942" t="str">
            <v/>
          </cell>
          <cell r="Q942" t="str">
            <v/>
          </cell>
          <cell r="R942">
            <v>68</v>
          </cell>
        </row>
        <row r="943">
          <cell r="A943" t="str">
            <v/>
          </cell>
          <cell r="B943" t="str">
            <v/>
          </cell>
          <cell r="C943" t="str">
            <v>Future</v>
          </cell>
          <cell r="D943" t="e">
            <v>#N/A</v>
          </cell>
          <cell r="E943">
            <v>-33.164223035573329</v>
          </cell>
          <cell r="F943">
            <v>80.669769059289379</v>
          </cell>
          <cell r="G943">
            <v>27.5472394150204</v>
          </cell>
          <cell r="H943">
            <v>27.5472394150204</v>
          </cell>
          <cell r="I943" t="e">
            <v>#N/A</v>
          </cell>
          <cell r="J943" t="e">
            <v>#N/A</v>
          </cell>
          <cell r="K943">
            <v>75</v>
          </cell>
          <cell r="L943">
            <v>40</v>
          </cell>
          <cell r="M943" t="e">
            <v>#N/A</v>
          </cell>
          <cell r="N943">
            <v>68</v>
          </cell>
          <cell r="O943" t="e">
            <v>#N/A</v>
          </cell>
          <cell r="P943" t="str">
            <v/>
          </cell>
          <cell r="Q943" t="str">
            <v/>
          </cell>
          <cell r="R943">
            <v>68</v>
          </cell>
        </row>
        <row r="944">
          <cell r="A944" t="str">
            <v/>
          </cell>
          <cell r="B944" t="str">
            <v/>
          </cell>
          <cell r="C944" t="str">
            <v>Future</v>
          </cell>
          <cell r="D944" t="e">
            <v>#N/A</v>
          </cell>
          <cell r="E944">
            <v>-33.417385043478468</v>
          </cell>
          <cell r="F944">
            <v>80.713049739131279</v>
          </cell>
          <cell r="G944">
            <v>27.452180173913682</v>
          </cell>
          <cell r="H944">
            <v>27.452180173913682</v>
          </cell>
          <cell r="I944" t="e">
            <v>#N/A</v>
          </cell>
          <cell r="J944" t="e">
            <v>#N/A</v>
          </cell>
          <cell r="K944">
            <v>75</v>
          </cell>
          <cell r="L944">
            <v>40</v>
          </cell>
          <cell r="M944" t="e">
            <v>#N/A</v>
          </cell>
          <cell r="N944">
            <v>68</v>
          </cell>
          <cell r="O944" t="e">
            <v>#N/A</v>
          </cell>
          <cell r="P944" t="str">
            <v/>
          </cell>
          <cell r="Q944" t="str">
            <v/>
          </cell>
          <cell r="R944">
            <v>68</v>
          </cell>
        </row>
        <row r="945">
          <cell r="A945" t="str">
            <v/>
          </cell>
          <cell r="B945" t="str">
            <v/>
          </cell>
          <cell r="C945" t="str">
            <v>Future</v>
          </cell>
          <cell r="D945" t="e">
            <v>#N/A</v>
          </cell>
          <cell r="E945">
            <v>-33.670547051383608</v>
          </cell>
          <cell r="F945">
            <v>80.756330418973178</v>
          </cell>
          <cell r="G945">
            <v>27.357120932806964</v>
          </cell>
          <cell r="H945">
            <v>27.357120932806964</v>
          </cell>
          <cell r="I945" t="e">
            <v>#N/A</v>
          </cell>
          <cell r="J945" t="e">
            <v>#N/A</v>
          </cell>
          <cell r="K945">
            <v>75</v>
          </cell>
          <cell r="L945">
            <v>40</v>
          </cell>
          <cell r="M945" t="e">
            <v>#N/A</v>
          </cell>
          <cell r="N945">
            <v>68</v>
          </cell>
          <cell r="O945" t="e">
            <v>#N/A</v>
          </cell>
          <cell r="P945" t="str">
            <v/>
          </cell>
          <cell r="Q945" t="str">
            <v/>
          </cell>
          <cell r="R945">
            <v>68</v>
          </cell>
        </row>
        <row r="946">
          <cell r="A946" t="str">
            <v/>
          </cell>
          <cell r="B946" t="str">
            <v/>
          </cell>
          <cell r="C946" t="str">
            <v>Future</v>
          </cell>
          <cell r="D946" t="e">
            <v>#N/A</v>
          </cell>
          <cell r="E946">
            <v>-33.923709059288747</v>
          </cell>
          <cell r="F946">
            <v>80.799611098815078</v>
          </cell>
          <cell r="G946">
            <v>27.262061691700247</v>
          </cell>
          <cell r="H946">
            <v>27.262061691700247</v>
          </cell>
          <cell r="I946" t="e">
            <v>#N/A</v>
          </cell>
          <cell r="J946" t="e">
            <v>#N/A</v>
          </cell>
          <cell r="K946">
            <v>75</v>
          </cell>
          <cell r="L946">
            <v>40</v>
          </cell>
          <cell r="M946" t="e">
            <v>#N/A</v>
          </cell>
          <cell r="N946">
            <v>68</v>
          </cell>
          <cell r="O946" t="e">
            <v>#N/A</v>
          </cell>
          <cell r="P946" t="str">
            <v/>
          </cell>
          <cell r="Q946" t="str">
            <v/>
          </cell>
          <cell r="R946">
            <v>68</v>
          </cell>
        </row>
        <row r="947">
          <cell r="A947" t="str">
            <v/>
          </cell>
          <cell r="B947" t="str">
            <v/>
          </cell>
          <cell r="C947" t="str">
            <v>Future</v>
          </cell>
          <cell r="D947" t="e">
            <v>#N/A</v>
          </cell>
          <cell r="E947">
            <v>-34.176871067193886</v>
          </cell>
          <cell r="F947">
            <v>80.842891778656977</v>
          </cell>
          <cell r="G947">
            <v>27.167002450593529</v>
          </cell>
          <cell r="H947">
            <v>27.167002450593529</v>
          </cell>
          <cell r="I947" t="e">
            <v>#N/A</v>
          </cell>
          <cell r="J947" t="e">
            <v>#N/A</v>
          </cell>
          <cell r="K947">
            <v>75</v>
          </cell>
          <cell r="L947">
            <v>40</v>
          </cell>
          <cell r="M947" t="e">
            <v>#N/A</v>
          </cell>
          <cell r="N947">
            <v>68</v>
          </cell>
          <cell r="O947" t="e">
            <v>#N/A</v>
          </cell>
          <cell r="P947" t="str">
            <v/>
          </cell>
          <cell r="Q947" t="str">
            <v/>
          </cell>
          <cell r="R947">
            <v>68</v>
          </cell>
        </row>
        <row r="948">
          <cell r="A948" t="str">
            <v/>
          </cell>
          <cell r="B948" t="str">
            <v/>
          </cell>
          <cell r="C948" t="str">
            <v>Future</v>
          </cell>
          <cell r="D948" t="e">
            <v>#N/A</v>
          </cell>
          <cell r="E948">
            <v>-34.430033075099026</v>
          </cell>
          <cell r="F948">
            <v>80.886172458498876</v>
          </cell>
          <cell r="G948">
            <v>27.071943209486811</v>
          </cell>
          <cell r="H948">
            <v>27.071943209486811</v>
          </cell>
          <cell r="I948" t="e">
            <v>#N/A</v>
          </cell>
          <cell r="J948" t="e">
            <v>#N/A</v>
          </cell>
          <cell r="K948">
            <v>75</v>
          </cell>
          <cell r="L948">
            <v>40</v>
          </cell>
          <cell r="M948" t="e">
            <v>#N/A</v>
          </cell>
          <cell r="N948">
            <v>68</v>
          </cell>
          <cell r="O948" t="e">
            <v>#N/A</v>
          </cell>
          <cell r="P948" t="str">
            <v/>
          </cell>
          <cell r="Q948" t="str">
            <v/>
          </cell>
          <cell r="R948">
            <v>68</v>
          </cell>
        </row>
        <row r="949">
          <cell r="A949" t="str">
            <v/>
          </cell>
          <cell r="B949" t="str">
            <v/>
          </cell>
          <cell r="C949" t="str">
            <v>Future</v>
          </cell>
          <cell r="D949" t="e">
            <v>#N/A</v>
          </cell>
          <cell r="E949">
            <v>-34.683195083004165</v>
          </cell>
          <cell r="F949">
            <v>80.929453138340776</v>
          </cell>
          <cell r="G949">
            <v>26.976883968380093</v>
          </cell>
          <cell r="H949">
            <v>26.976883968380093</v>
          </cell>
          <cell r="I949" t="e">
            <v>#N/A</v>
          </cell>
          <cell r="J949" t="e">
            <v>#N/A</v>
          </cell>
          <cell r="K949">
            <v>75</v>
          </cell>
          <cell r="L949">
            <v>40</v>
          </cell>
          <cell r="M949" t="e">
            <v>#N/A</v>
          </cell>
          <cell r="N949">
            <v>68</v>
          </cell>
          <cell r="O949" t="e">
            <v>#N/A</v>
          </cell>
          <cell r="P949" t="str">
            <v/>
          </cell>
          <cell r="Q949" t="str">
            <v/>
          </cell>
          <cell r="R949">
            <v>68</v>
          </cell>
        </row>
        <row r="950">
          <cell r="A950" t="str">
            <v/>
          </cell>
          <cell r="B950" t="str">
            <v/>
          </cell>
          <cell r="C950" t="str">
            <v>Future</v>
          </cell>
          <cell r="D950" t="e">
            <v>#N/A</v>
          </cell>
          <cell r="E950">
            <v>-34.936357090909304</v>
          </cell>
          <cell r="F950">
            <v>80.972733818182675</v>
          </cell>
          <cell r="G950">
            <v>26.881824727273376</v>
          </cell>
          <cell r="H950">
            <v>26.881824727273376</v>
          </cell>
          <cell r="I950" t="e">
            <v>#N/A</v>
          </cell>
          <cell r="J950" t="e">
            <v>#N/A</v>
          </cell>
          <cell r="K950">
            <v>75</v>
          </cell>
          <cell r="L950">
            <v>40</v>
          </cell>
          <cell r="M950" t="e">
            <v>#N/A</v>
          </cell>
          <cell r="N950">
            <v>68</v>
          </cell>
          <cell r="O950" t="e">
            <v>#N/A</v>
          </cell>
          <cell r="P950" t="str">
            <v/>
          </cell>
          <cell r="Q950" t="str">
            <v/>
          </cell>
          <cell r="R950">
            <v>68</v>
          </cell>
        </row>
        <row r="951">
          <cell r="A951" t="str">
            <v/>
          </cell>
          <cell r="B951" t="str">
            <v/>
          </cell>
          <cell r="C951" t="str">
            <v>Future</v>
          </cell>
          <cell r="D951" t="e">
            <v>#N/A</v>
          </cell>
          <cell r="E951">
            <v>-35.189519098814444</v>
          </cell>
          <cell r="F951">
            <v>81.016014498024575</v>
          </cell>
          <cell r="G951">
            <v>26.786765486166658</v>
          </cell>
          <cell r="H951">
            <v>26.786765486166658</v>
          </cell>
          <cell r="I951" t="e">
            <v>#N/A</v>
          </cell>
          <cell r="J951" t="e">
            <v>#N/A</v>
          </cell>
          <cell r="K951">
            <v>75</v>
          </cell>
          <cell r="L951">
            <v>40</v>
          </cell>
          <cell r="M951" t="e">
            <v>#N/A</v>
          </cell>
          <cell r="N951">
            <v>68</v>
          </cell>
          <cell r="O951" t="e">
            <v>#N/A</v>
          </cell>
          <cell r="P951" t="str">
            <v/>
          </cell>
          <cell r="Q951" t="str">
            <v/>
          </cell>
          <cell r="R951">
            <v>68</v>
          </cell>
        </row>
        <row r="952">
          <cell r="A952" t="str">
            <v/>
          </cell>
          <cell r="B952" t="str">
            <v/>
          </cell>
          <cell r="C952" t="str">
            <v>Future</v>
          </cell>
          <cell r="D952" t="e">
            <v>#N/A</v>
          </cell>
          <cell r="E952">
            <v>-35.442681106719583</v>
          </cell>
          <cell r="F952">
            <v>81.059295177866474</v>
          </cell>
          <cell r="G952">
            <v>26.69170624505994</v>
          </cell>
          <cell r="H952">
            <v>26.69170624505994</v>
          </cell>
          <cell r="I952" t="e">
            <v>#N/A</v>
          </cell>
          <cell r="J952" t="e">
            <v>#N/A</v>
          </cell>
          <cell r="K952">
            <v>75</v>
          </cell>
          <cell r="L952">
            <v>40</v>
          </cell>
          <cell r="M952" t="e">
            <v>#N/A</v>
          </cell>
          <cell r="N952">
            <v>68</v>
          </cell>
          <cell r="O952" t="e">
            <v>#N/A</v>
          </cell>
          <cell r="P952" t="str">
            <v/>
          </cell>
          <cell r="Q952" t="str">
            <v/>
          </cell>
          <cell r="R952">
            <v>68</v>
          </cell>
        </row>
        <row r="953">
          <cell r="A953" t="str">
            <v/>
          </cell>
          <cell r="B953" t="str">
            <v/>
          </cell>
          <cell r="C953" t="str">
            <v>Future</v>
          </cell>
          <cell r="D953" t="e">
            <v>#N/A</v>
          </cell>
          <cell r="E953">
            <v>-35.695843114624722</v>
          </cell>
          <cell r="F953">
            <v>81.102575857708374</v>
          </cell>
          <cell r="G953">
            <v>26.596647003953223</v>
          </cell>
          <cell r="H953">
            <v>26.596647003953223</v>
          </cell>
          <cell r="I953" t="e">
            <v>#N/A</v>
          </cell>
          <cell r="J953" t="e">
            <v>#N/A</v>
          </cell>
          <cell r="K953">
            <v>75</v>
          </cell>
          <cell r="L953">
            <v>40</v>
          </cell>
          <cell r="M953" t="e">
            <v>#N/A</v>
          </cell>
          <cell r="N953">
            <v>68</v>
          </cell>
          <cell r="O953" t="e">
            <v>#N/A</v>
          </cell>
          <cell r="P953" t="str">
            <v/>
          </cell>
          <cell r="Q953" t="str">
            <v/>
          </cell>
          <cell r="R953">
            <v>68</v>
          </cell>
        </row>
        <row r="954">
          <cell r="A954" t="str">
            <v/>
          </cell>
          <cell r="B954" t="str">
            <v/>
          </cell>
          <cell r="C954" t="str">
            <v>Future</v>
          </cell>
          <cell r="D954" t="e">
            <v>#N/A</v>
          </cell>
          <cell r="E954">
            <v>-35.949005122529861</v>
          </cell>
          <cell r="F954">
            <v>81.145856537550273</v>
          </cell>
          <cell r="G954">
            <v>26.501587762846505</v>
          </cell>
          <cell r="H954">
            <v>26.501587762846505</v>
          </cell>
          <cell r="I954" t="e">
            <v>#N/A</v>
          </cell>
          <cell r="J954" t="e">
            <v>#N/A</v>
          </cell>
          <cell r="K954">
            <v>75</v>
          </cell>
          <cell r="L954">
            <v>40</v>
          </cell>
          <cell r="M954" t="e">
            <v>#N/A</v>
          </cell>
          <cell r="N954">
            <v>68</v>
          </cell>
          <cell r="O954" t="e">
            <v>#N/A</v>
          </cell>
          <cell r="P954" t="str">
            <v/>
          </cell>
          <cell r="Q954" t="str">
            <v/>
          </cell>
          <cell r="R954">
            <v>68</v>
          </cell>
        </row>
        <row r="955">
          <cell r="A955" t="str">
            <v/>
          </cell>
          <cell r="B955" t="str">
            <v/>
          </cell>
          <cell r="C955" t="str">
            <v>Future</v>
          </cell>
          <cell r="D955" t="e">
            <v>#N/A</v>
          </cell>
          <cell r="E955">
            <v>-36.202167130435001</v>
          </cell>
          <cell r="F955">
            <v>81.189137217392172</v>
          </cell>
          <cell r="G955">
            <v>26.406528521739787</v>
          </cell>
          <cell r="H955">
            <v>26.406528521739787</v>
          </cell>
          <cell r="I955" t="e">
            <v>#N/A</v>
          </cell>
          <cell r="J955" t="e">
            <v>#N/A</v>
          </cell>
          <cell r="K955">
            <v>75</v>
          </cell>
          <cell r="L955">
            <v>40</v>
          </cell>
          <cell r="M955" t="e">
            <v>#N/A</v>
          </cell>
          <cell r="N955">
            <v>68</v>
          </cell>
          <cell r="O955" t="e">
            <v>#N/A</v>
          </cell>
          <cell r="P955" t="str">
            <v/>
          </cell>
          <cell r="Q955" t="str">
            <v/>
          </cell>
          <cell r="R955">
            <v>68</v>
          </cell>
        </row>
        <row r="956">
          <cell r="A956" t="str">
            <v/>
          </cell>
          <cell r="B956" t="str">
            <v/>
          </cell>
          <cell r="C956" t="str">
            <v>Future</v>
          </cell>
          <cell r="D956" t="e">
            <v>#N/A</v>
          </cell>
          <cell r="E956">
            <v>-36.45532913834014</v>
          </cell>
          <cell r="F956">
            <v>81.232417897234072</v>
          </cell>
          <cell r="G956">
            <v>26.311469280633069</v>
          </cell>
          <cell r="H956">
            <v>26.311469280633069</v>
          </cell>
          <cell r="I956" t="e">
            <v>#N/A</v>
          </cell>
          <cell r="J956" t="e">
            <v>#N/A</v>
          </cell>
          <cell r="K956">
            <v>75</v>
          </cell>
          <cell r="L956">
            <v>40</v>
          </cell>
          <cell r="M956" t="e">
            <v>#N/A</v>
          </cell>
          <cell r="N956">
            <v>68</v>
          </cell>
          <cell r="O956" t="e">
            <v>#N/A</v>
          </cell>
          <cell r="P956" t="str">
            <v/>
          </cell>
          <cell r="Q956" t="str">
            <v/>
          </cell>
          <cell r="R956">
            <v>68</v>
          </cell>
        </row>
        <row r="957">
          <cell r="A957" t="str">
            <v/>
          </cell>
          <cell r="B957" t="str">
            <v/>
          </cell>
          <cell r="C957" t="str">
            <v>Future</v>
          </cell>
          <cell r="D957" t="e">
            <v>#N/A</v>
          </cell>
          <cell r="E957">
            <v>-36.708491146245279</v>
          </cell>
          <cell r="F957">
            <v>81.275698577075971</v>
          </cell>
          <cell r="G957">
            <v>26.216410039526352</v>
          </cell>
          <cell r="H957">
            <v>26.216410039526352</v>
          </cell>
          <cell r="I957" t="e">
            <v>#N/A</v>
          </cell>
          <cell r="J957" t="e">
            <v>#N/A</v>
          </cell>
          <cell r="K957">
            <v>75</v>
          </cell>
          <cell r="L957">
            <v>40</v>
          </cell>
          <cell r="M957" t="e">
            <v>#N/A</v>
          </cell>
          <cell r="N957">
            <v>68</v>
          </cell>
          <cell r="O957" t="e">
            <v>#N/A</v>
          </cell>
          <cell r="P957" t="str">
            <v/>
          </cell>
          <cell r="Q957" t="str">
            <v/>
          </cell>
          <cell r="R957">
            <v>68</v>
          </cell>
        </row>
        <row r="958">
          <cell r="A958" t="str">
            <v/>
          </cell>
          <cell r="B958" t="str">
            <v/>
          </cell>
          <cell r="C958" t="str">
            <v>Future</v>
          </cell>
          <cell r="D958" t="e">
            <v>#N/A</v>
          </cell>
          <cell r="E958">
            <v>-36.961653154150419</v>
          </cell>
          <cell r="F958">
            <v>81.318979256917871</v>
          </cell>
          <cell r="G958">
            <v>26.121350798419634</v>
          </cell>
          <cell r="H958">
            <v>26.121350798419634</v>
          </cell>
          <cell r="I958" t="e">
            <v>#N/A</v>
          </cell>
          <cell r="J958" t="e">
            <v>#N/A</v>
          </cell>
          <cell r="K958">
            <v>75</v>
          </cell>
          <cell r="L958">
            <v>40</v>
          </cell>
          <cell r="M958" t="e">
            <v>#N/A</v>
          </cell>
          <cell r="N958">
            <v>68</v>
          </cell>
          <cell r="O958" t="e">
            <v>#N/A</v>
          </cell>
          <cell r="P958" t="str">
            <v/>
          </cell>
          <cell r="Q958" t="str">
            <v/>
          </cell>
          <cell r="R958">
            <v>68</v>
          </cell>
        </row>
        <row r="959">
          <cell r="A959" t="str">
            <v/>
          </cell>
          <cell r="B959" t="str">
            <v/>
          </cell>
          <cell r="C959" t="str">
            <v>Future</v>
          </cell>
          <cell r="D959" t="e">
            <v>#N/A</v>
          </cell>
          <cell r="E959">
            <v>-37.214815162055558</v>
          </cell>
          <cell r="F959">
            <v>81.36225993675977</v>
          </cell>
          <cell r="G959">
            <v>26.026291557312916</v>
          </cell>
          <cell r="H959">
            <v>26.026291557312916</v>
          </cell>
          <cell r="I959" t="e">
            <v>#N/A</v>
          </cell>
          <cell r="J959" t="e">
            <v>#N/A</v>
          </cell>
          <cell r="K959">
            <v>75</v>
          </cell>
          <cell r="L959">
            <v>40</v>
          </cell>
          <cell r="M959" t="e">
            <v>#N/A</v>
          </cell>
          <cell r="N959">
            <v>68</v>
          </cell>
          <cell r="O959" t="e">
            <v>#N/A</v>
          </cell>
          <cell r="P959" t="str">
            <v/>
          </cell>
          <cell r="Q959" t="str">
            <v/>
          </cell>
          <cell r="R959">
            <v>68</v>
          </cell>
        </row>
        <row r="960">
          <cell r="A960" t="str">
            <v/>
          </cell>
          <cell r="B960" t="str">
            <v/>
          </cell>
          <cell r="C960" t="str">
            <v>Future</v>
          </cell>
          <cell r="D960" t="e">
            <v>#N/A</v>
          </cell>
          <cell r="E960">
            <v>-37.467977169960697</v>
          </cell>
          <cell r="F960">
            <v>81.40554061660167</v>
          </cell>
          <cell r="G960">
            <v>25.931232316206199</v>
          </cell>
          <cell r="H960">
            <v>25.931232316206199</v>
          </cell>
          <cell r="I960" t="e">
            <v>#N/A</v>
          </cell>
          <cell r="J960" t="e">
            <v>#N/A</v>
          </cell>
          <cell r="K960">
            <v>75</v>
          </cell>
          <cell r="L960">
            <v>40</v>
          </cell>
          <cell r="M960" t="e">
            <v>#N/A</v>
          </cell>
          <cell r="N960">
            <v>68</v>
          </cell>
          <cell r="O960" t="e">
            <v>#N/A</v>
          </cell>
          <cell r="P960" t="str">
            <v/>
          </cell>
          <cell r="Q960" t="str">
            <v/>
          </cell>
          <cell r="R960">
            <v>68</v>
          </cell>
        </row>
        <row r="961">
          <cell r="A961" t="str">
            <v/>
          </cell>
          <cell r="B961" t="str">
            <v/>
          </cell>
          <cell r="C961" t="str">
            <v>Future</v>
          </cell>
          <cell r="D961" t="e">
            <v>#N/A</v>
          </cell>
          <cell r="E961">
            <v>-37.721139177865837</v>
          </cell>
          <cell r="F961">
            <v>81.448821296443569</v>
          </cell>
          <cell r="G961">
            <v>25.836173075099481</v>
          </cell>
          <cell r="H961">
            <v>25.836173075099481</v>
          </cell>
          <cell r="I961" t="e">
            <v>#N/A</v>
          </cell>
          <cell r="J961" t="e">
            <v>#N/A</v>
          </cell>
          <cell r="K961">
            <v>75</v>
          </cell>
          <cell r="L961">
            <v>40</v>
          </cell>
          <cell r="M961" t="e">
            <v>#N/A</v>
          </cell>
          <cell r="N961">
            <v>68</v>
          </cell>
          <cell r="O961" t="e">
            <v>#N/A</v>
          </cell>
          <cell r="P961" t="str">
            <v/>
          </cell>
          <cell r="Q961" t="str">
            <v/>
          </cell>
          <cell r="R961">
            <v>68</v>
          </cell>
        </row>
        <row r="962">
          <cell r="A962" t="str">
            <v/>
          </cell>
          <cell r="B962" t="str">
            <v/>
          </cell>
          <cell r="C962" t="str">
            <v>Future</v>
          </cell>
          <cell r="D962" t="e">
            <v>#N/A</v>
          </cell>
          <cell r="E962">
            <v>-37.974301185770976</v>
          </cell>
          <cell r="F962">
            <v>81.492101976285468</v>
          </cell>
          <cell r="G962">
            <v>25.741113833992763</v>
          </cell>
          <cell r="H962">
            <v>25.741113833992763</v>
          </cell>
          <cell r="I962" t="e">
            <v>#N/A</v>
          </cell>
          <cell r="J962" t="e">
            <v>#N/A</v>
          </cell>
          <cell r="K962">
            <v>75</v>
          </cell>
          <cell r="L962">
            <v>40</v>
          </cell>
          <cell r="M962" t="e">
            <v>#N/A</v>
          </cell>
          <cell r="N962">
            <v>68</v>
          </cell>
          <cell r="O962" t="e">
            <v>#N/A</v>
          </cell>
          <cell r="P962" t="str">
            <v/>
          </cell>
          <cell r="Q962" t="str">
            <v/>
          </cell>
          <cell r="R962">
            <v>68</v>
          </cell>
        </row>
        <row r="963">
          <cell r="A963" t="str">
            <v/>
          </cell>
          <cell r="B963" t="str">
            <v/>
          </cell>
          <cell r="C963" t="str">
            <v>Future</v>
          </cell>
          <cell r="D963" t="e">
            <v>#N/A</v>
          </cell>
          <cell r="E963">
            <v>-38.227463193676115</v>
          </cell>
          <cell r="F963">
            <v>81.535382656127368</v>
          </cell>
          <cell r="G963">
            <v>25.646054592886045</v>
          </cell>
          <cell r="H963">
            <v>25.646054592886045</v>
          </cell>
          <cell r="I963" t="e">
            <v>#N/A</v>
          </cell>
          <cell r="J963" t="e">
            <v>#N/A</v>
          </cell>
          <cell r="K963">
            <v>75</v>
          </cell>
          <cell r="L963">
            <v>40</v>
          </cell>
          <cell r="M963" t="e">
            <v>#N/A</v>
          </cell>
          <cell r="N963">
            <v>68</v>
          </cell>
          <cell r="O963" t="e">
            <v>#N/A</v>
          </cell>
          <cell r="P963" t="str">
            <v/>
          </cell>
          <cell r="Q963" t="str">
            <v/>
          </cell>
          <cell r="R963">
            <v>68</v>
          </cell>
        </row>
        <row r="964">
          <cell r="A964" t="str">
            <v/>
          </cell>
          <cell r="B964" t="str">
            <v/>
          </cell>
          <cell r="C964" t="str">
            <v>Future</v>
          </cell>
          <cell r="D964" t="e">
            <v>#N/A</v>
          </cell>
          <cell r="E964">
            <v>-38.480625201581255</v>
          </cell>
          <cell r="F964">
            <v>81.578663335969267</v>
          </cell>
          <cell r="G964">
            <v>25.550995351779328</v>
          </cell>
          <cell r="H964">
            <v>25.550995351779328</v>
          </cell>
          <cell r="I964" t="e">
            <v>#N/A</v>
          </cell>
          <cell r="J964" t="e">
            <v>#N/A</v>
          </cell>
          <cell r="K964">
            <v>75</v>
          </cell>
          <cell r="L964">
            <v>40</v>
          </cell>
          <cell r="M964" t="e">
            <v>#N/A</v>
          </cell>
          <cell r="N964">
            <v>68</v>
          </cell>
          <cell r="O964" t="e">
            <v>#N/A</v>
          </cell>
          <cell r="P964" t="str">
            <v/>
          </cell>
          <cell r="Q964" t="str">
            <v/>
          </cell>
          <cell r="R964">
            <v>68</v>
          </cell>
        </row>
        <row r="965">
          <cell r="A965" t="str">
            <v/>
          </cell>
          <cell r="B965" t="str">
            <v/>
          </cell>
          <cell r="C965" t="str">
            <v>Future</v>
          </cell>
          <cell r="D965" t="e">
            <v>#N/A</v>
          </cell>
          <cell r="E965">
            <v>-38.733787209486394</v>
          </cell>
          <cell r="F965">
            <v>81.621944015811167</v>
          </cell>
          <cell r="G965">
            <v>25.45593611067261</v>
          </cell>
          <cell r="H965">
            <v>25.45593611067261</v>
          </cell>
          <cell r="I965" t="e">
            <v>#N/A</v>
          </cell>
          <cell r="J965" t="e">
            <v>#N/A</v>
          </cell>
          <cell r="K965">
            <v>75</v>
          </cell>
          <cell r="L965">
            <v>40</v>
          </cell>
          <cell r="M965" t="e">
            <v>#N/A</v>
          </cell>
          <cell r="N965">
            <v>68</v>
          </cell>
          <cell r="O965" t="e">
            <v>#N/A</v>
          </cell>
          <cell r="P965" t="str">
            <v/>
          </cell>
          <cell r="Q965" t="str">
            <v/>
          </cell>
          <cell r="R965">
            <v>68</v>
          </cell>
        </row>
        <row r="966">
          <cell r="A966" t="str">
            <v/>
          </cell>
          <cell r="B966" t="str">
            <v/>
          </cell>
          <cell r="C966" t="str">
            <v>Future</v>
          </cell>
          <cell r="D966" t="e">
            <v>#N/A</v>
          </cell>
          <cell r="E966">
            <v>-38.986949217391533</v>
          </cell>
          <cell r="F966">
            <v>81.665224695653066</v>
          </cell>
          <cell r="G966">
            <v>25.360876869565892</v>
          </cell>
          <cell r="H966">
            <v>25.360876869565892</v>
          </cell>
          <cell r="I966" t="e">
            <v>#N/A</v>
          </cell>
          <cell r="J966" t="e">
            <v>#N/A</v>
          </cell>
          <cell r="K966">
            <v>75</v>
          </cell>
          <cell r="L966">
            <v>40</v>
          </cell>
          <cell r="M966" t="e">
            <v>#N/A</v>
          </cell>
          <cell r="N966">
            <v>68</v>
          </cell>
          <cell r="O966" t="e">
            <v>#N/A</v>
          </cell>
          <cell r="P966" t="str">
            <v/>
          </cell>
          <cell r="Q966" t="str">
            <v/>
          </cell>
          <cell r="R966">
            <v>68</v>
          </cell>
        </row>
        <row r="967">
          <cell r="A967" t="str">
            <v/>
          </cell>
          <cell r="B967" t="str">
            <v/>
          </cell>
          <cell r="C967" t="str">
            <v>Future</v>
          </cell>
          <cell r="D967" t="e">
            <v>#N/A</v>
          </cell>
          <cell r="E967">
            <v>-39.240111225296673</v>
          </cell>
          <cell r="F967">
            <v>81.708505375494966</v>
          </cell>
          <cell r="G967">
            <v>25.265817628459175</v>
          </cell>
          <cell r="H967">
            <v>25.265817628459175</v>
          </cell>
          <cell r="I967" t="e">
            <v>#N/A</v>
          </cell>
          <cell r="J967" t="e">
            <v>#N/A</v>
          </cell>
          <cell r="K967">
            <v>75</v>
          </cell>
          <cell r="L967">
            <v>40</v>
          </cell>
          <cell r="M967" t="e">
            <v>#N/A</v>
          </cell>
          <cell r="N967">
            <v>68</v>
          </cell>
          <cell r="O967" t="e">
            <v>#N/A</v>
          </cell>
          <cell r="P967" t="str">
            <v/>
          </cell>
          <cell r="Q967" t="str">
            <v/>
          </cell>
          <cell r="R967">
            <v>68</v>
          </cell>
        </row>
        <row r="968">
          <cell r="A968" t="str">
            <v/>
          </cell>
          <cell r="B968" t="str">
            <v/>
          </cell>
          <cell r="C968" t="str">
            <v>Future</v>
          </cell>
          <cell r="D968" t="e">
            <v>#N/A</v>
          </cell>
          <cell r="E968">
            <v>-39.493273233201812</v>
          </cell>
          <cell r="F968">
            <v>81.751786055336865</v>
          </cell>
          <cell r="G968">
            <v>25.170758387352457</v>
          </cell>
          <cell r="H968">
            <v>25.170758387352457</v>
          </cell>
          <cell r="I968" t="e">
            <v>#N/A</v>
          </cell>
          <cell r="J968" t="e">
            <v>#N/A</v>
          </cell>
          <cell r="K968">
            <v>75</v>
          </cell>
          <cell r="L968">
            <v>40</v>
          </cell>
          <cell r="M968" t="e">
            <v>#N/A</v>
          </cell>
          <cell r="N968">
            <v>68</v>
          </cell>
          <cell r="O968" t="e">
            <v>#N/A</v>
          </cell>
          <cell r="P968" t="str">
            <v/>
          </cell>
          <cell r="Q968" t="str">
            <v/>
          </cell>
          <cell r="R968">
            <v>68</v>
          </cell>
        </row>
        <row r="969">
          <cell r="A969" t="str">
            <v/>
          </cell>
          <cell r="B969" t="str">
            <v/>
          </cell>
          <cell r="C969" t="str">
            <v>Future</v>
          </cell>
          <cell r="D969" t="e">
            <v>#N/A</v>
          </cell>
          <cell r="E969">
            <v>-39.746435241106951</v>
          </cell>
          <cell r="F969">
            <v>81.795066735178764</v>
          </cell>
          <cell r="G969">
            <v>25.075699146245739</v>
          </cell>
          <cell r="H969">
            <v>25.075699146245739</v>
          </cell>
          <cell r="I969" t="e">
            <v>#N/A</v>
          </cell>
          <cell r="J969" t="e">
            <v>#N/A</v>
          </cell>
          <cell r="K969">
            <v>75</v>
          </cell>
          <cell r="L969">
            <v>40</v>
          </cell>
          <cell r="M969" t="e">
            <v>#N/A</v>
          </cell>
          <cell r="N969">
            <v>68</v>
          </cell>
          <cell r="O969" t="e">
            <v>#N/A</v>
          </cell>
          <cell r="P969" t="str">
            <v/>
          </cell>
          <cell r="Q969" t="str">
            <v/>
          </cell>
          <cell r="R969">
            <v>68</v>
          </cell>
        </row>
        <row r="970">
          <cell r="A970" t="str">
            <v/>
          </cell>
          <cell r="B970" t="str">
            <v/>
          </cell>
          <cell r="C970" t="str">
            <v>Future</v>
          </cell>
          <cell r="D970" t="e">
            <v>#N/A</v>
          </cell>
          <cell r="E970">
            <v>-39.999597249012091</v>
          </cell>
          <cell r="F970">
            <v>81.838347415020664</v>
          </cell>
          <cell r="G970">
            <v>24.980639905139022</v>
          </cell>
          <cell r="H970">
            <v>24.980639905139022</v>
          </cell>
          <cell r="I970" t="e">
            <v>#N/A</v>
          </cell>
          <cell r="J970" t="e">
            <v>#N/A</v>
          </cell>
          <cell r="K970">
            <v>75</v>
          </cell>
          <cell r="L970">
            <v>40</v>
          </cell>
          <cell r="M970" t="e">
            <v>#N/A</v>
          </cell>
          <cell r="N970">
            <v>68</v>
          </cell>
          <cell r="O970" t="e">
            <v>#N/A</v>
          </cell>
          <cell r="P970" t="str">
            <v/>
          </cell>
          <cell r="Q970" t="str">
            <v/>
          </cell>
          <cell r="R970">
            <v>68</v>
          </cell>
        </row>
        <row r="971">
          <cell r="A971" t="str">
            <v/>
          </cell>
          <cell r="B971" t="str">
            <v/>
          </cell>
          <cell r="C971" t="str">
            <v>Future</v>
          </cell>
          <cell r="D971" t="e">
            <v>#N/A</v>
          </cell>
          <cell r="E971">
            <v>-40.25275925691723</v>
          </cell>
          <cell r="F971">
            <v>81.881628094862563</v>
          </cell>
          <cell r="G971">
            <v>24.885580664032304</v>
          </cell>
          <cell r="H971">
            <v>24.885580664032304</v>
          </cell>
          <cell r="I971" t="e">
            <v>#N/A</v>
          </cell>
          <cell r="J971" t="e">
            <v>#N/A</v>
          </cell>
          <cell r="K971">
            <v>75</v>
          </cell>
          <cell r="L971">
            <v>40</v>
          </cell>
          <cell r="M971" t="e">
            <v>#N/A</v>
          </cell>
          <cell r="N971">
            <v>68</v>
          </cell>
          <cell r="O971" t="e">
            <v>#N/A</v>
          </cell>
          <cell r="P971" t="str">
            <v/>
          </cell>
          <cell r="Q971" t="str">
            <v/>
          </cell>
          <cell r="R971">
            <v>68</v>
          </cell>
        </row>
        <row r="972">
          <cell r="A972" t="str">
            <v/>
          </cell>
          <cell r="B972" t="str">
            <v/>
          </cell>
          <cell r="C972" t="str">
            <v>Future</v>
          </cell>
          <cell r="D972" t="e">
            <v>#N/A</v>
          </cell>
          <cell r="E972">
            <v>-40.505921264822369</v>
          </cell>
          <cell r="F972">
            <v>81.924908774704463</v>
          </cell>
          <cell r="G972">
            <v>24.790521422925586</v>
          </cell>
          <cell r="H972">
            <v>24.790521422925586</v>
          </cell>
          <cell r="I972" t="e">
            <v>#N/A</v>
          </cell>
          <cell r="J972" t="e">
            <v>#N/A</v>
          </cell>
          <cell r="K972">
            <v>75</v>
          </cell>
          <cell r="L972">
            <v>40</v>
          </cell>
          <cell r="M972" t="e">
            <v>#N/A</v>
          </cell>
          <cell r="N972">
            <v>68</v>
          </cell>
          <cell r="O972" t="e">
            <v>#N/A</v>
          </cell>
          <cell r="P972" t="str">
            <v/>
          </cell>
          <cell r="Q972" t="str">
            <v/>
          </cell>
          <cell r="R972">
            <v>68</v>
          </cell>
        </row>
        <row r="973">
          <cell r="A973" t="str">
            <v/>
          </cell>
          <cell r="B973" t="str">
            <v/>
          </cell>
          <cell r="C973" t="str">
            <v>Future</v>
          </cell>
          <cell r="D973" t="e">
            <v>#N/A</v>
          </cell>
          <cell r="E973">
            <v>-40.759083272727509</v>
          </cell>
          <cell r="F973">
            <v>81.968189454546362</v>
          </cell>
          <cell r="G973">
            <v>24.695462181818868</v>
          </cell>
          <cell r="H973">
            <v>24.695462181818868</v>
          </cell>
          <cell r="I973" t="e">
            <v>#N/A</v>
          </cell>
          <cell r="J973" t="e">
            <v>#N/A</v>
          </cell>
          <cell r="K973">
            <v>75</v>
          </cell>
          <cell r="L973">
            <v>40</v>
          </cell>
          <cell r="M973" t="e">
            <v>#N/A</v>
          </cell>
          <cell r="N973">
            <v>68</v>
          </cell>
          <cell r="O973" t="e">
            <v>#N/A</v>
          </cell>
          <cell r="P973" t="str">
            <v/>
          </cell>
          <cell r="Q973" t="str">
            <v/>
          </cell>
          <cell r="R973">
            <v>68</v>
          </cell>
        </row>
        <row r="974">
          <cell r="A974" t="str">
            <v/>
          </cell>
          <cell r="B974" t="str">
            <v/>
          </cell>
          <cell r="C974" t="str">
            <v>Future</v>
          </cell>
          <cell r="D974" t="e">
            <v>#N/A</v>
          </cell>
          <cell r="E974">
            <v>-41.012245280632648</v>
          </cell>
          <cell r="F974">
            <v>82.011470134388261</v>
          </cell>
          <cell r="G974">
            <v>24.600402940712151</v>
          </cell>
          <cell r="H974">
            <v>24.600402940712151</v>
          </cell>
          <cell r="I974" t="e">
            <v>#N/A</v>
          </cell>
          <cell r="J974" t="e">
            <v>#N/A</v>
          </cell>
          <cell r="K974">
            <v>75</v>
          </cell>
          <cell r="L974">
            <v>40</v>
          </cell>
          <cell r="M974" t="e">
            <v>#N/A</v>
          </cell>
          <cell r="N974">
            <v>68</v>
          </cell>
          <cell r="O974" t="e">
            <v>#N/A</v>
          </cell>
          <cell r="P974" t="str">
            <v/>
          </cell>
          <cell r="Q974" t="str">
            <v/>
          </cell>
          <cell r="R974">
            <v>68</v>
          </cell>
        </row>
        <row r="975">
          <cell r="A975" t="str">
            <v/>
          </cell>
          <cell r="B975" t="str">
            <v/>
          </cell>
          <cell r="C975" t="str">
            <v>Future</v>
          </cell>
          <cell r="D975" t="e">
            <v>#N/A</v>
          </cell>
          <cell r="E975">
            <v>-41.265407288537787</v>
          </cell>
          <cell r="F975">
            <v>82.054750814230161</v>
          </cell>
          <cell r="G975">
            <v>24.505343699605433</v>
          </cell>
          <cell r="H975">
            <v>24.505343699605433</v>
          </cell>
          <cell r="I975" t="e">
            <v>#N/A</v>
          </cell>
          <cell r="J975" t="e">
            <v>#N/A</v>
          </cell>
          <cell r="K975">
            <v>75</v>
          </cell>
          <cell r="L975">
            <v>40</v>
          </cell>
          <cell r="M975" t="e">
            <v>#N/A</v>
          </cell>
          <cell r="N975">
            <v>68</v>
          </cell>
          <cell r="O975" t="e">
            <v>#N/A</v>
          </cell>
          <cell r="P975" t="str">
            <v/>
          </cell>
          <cell r="Q975" t="str">
            <v/>
          </cell>
          <cell r="R975">
            <v>68</v>
          </cell>
        </row>
        <row r="976">
          <cell r="A976" t="str">
            <v/>
          </cell>
          <cell r="B976" t="str">
            <v/>
          </cell>
          <cell r="C976" t="str">
            <v>Future</v>
          </cell>
          <cell r="D976" t="e">
            <v>#N/A</v>
          </cell>
          <cell r="E976">
            <v>-41.518569296442926</v>
          </cell>
          <cell r="F976">
            <v>82.09803149407206</v>
          </cell>
          <cell r="G976">
            <v>24.410284458498715</v>
          </cell>
          <cell r="H976">
            <v>24.410284458498715</v>
          </cell>
          <cell r="I976" t="e">
            <v>#N/A</v>
          </cell>
          <cell r="J976" t="e">
            <v>#N/A</v>
          </cell>
          <cell r="K976">
            <v>75</v>
          </cell>
          <cell r="L976">
            <v>40</v>
          </cell>
          <cell r="M976" t="e">
            <v>#N/A</v>
          </cell>
          <cell r="N976">
            <v>68</v>
          </cell>
          <cell r="O976" t="e">
            <v>#N/A</v>
          </cell>
          <cell r="P976" t="str">
            <v/>
          </cell>
          <cell r="Q976" t="str">
            <v/>
          </cell>
          <cell r="R976">
            <v>68</v>
          </cell>
        </row>
        <row r="977">
          <cell r="A977" t="str">
            <v/>
          </cell>
          <cell r="B977" t="str">
            <v/>
          </cell>
          <cell r="C977" t="str">
            <v>Future</v>
          </cell>
          <cell r="D977" t="e">
            <v>#N/A</v>
          </cell>
          <cell r="E977">
            <v>-41.771731304348066</v>
          </cell>
          <cell r="F977">
            <v>82.14131217391396</v>
          </cell>
          <cell r="G977">
            <v>24.315225217391998</v>
          </cell>
          <cell r="H977">
            <v>24.315225217391998</v>
          </cell>
          <cell r="I977" t="e">
            <v>#N/A</v>
          </cell>
          <cell r="J977" t="e">
            <v>#N/A</v>
          </cell>
          <cell r="K977">
            <v>75</v>
          </cell>
          <cell r="L977">
            <v>40</v>
          </cell>
          <cell r="M977" t="e">
            <v>#N/A</v>
          </cell>
          <cell r="N977">
            <v>68</v>
          </cell>
          <cell r="O977" t="e">
            <v>#N/A</v>
          </cell>
          <cell r="P977" t="str">
            <v/>
          </cell>
          <cell r="Q977" t="str">
            <v/>
          </cell>
          <cell r="R977">
            <v>68</v>
          </cell>
        </row>
        <row r="978">
          <cell r="A978" t="str">
            <v/>
          </cell>
          <cell r="B978" t="str">
            <v/>
          </cell>
          <cell r="C978" t="str">
            <v>Future</v>
          </cell>
          <cell r="D978" t="e">
            <v>#N/A</v>
          </cell>
          <cell r="E978">
            <v>-42.024893312253205</v>
          </cell>
          <cell r="F978">
            <v>82.184592853755859</v>
          </cell>
          <cell r="G978">
            <v>24.22016597628528</v>
          </cell>
          <cell r="H978">
            <v>24.22016597628528</v>
          </cell>
          <cell r="I978" t="e">
            <v>#N/A</v>
          </cell>
          <cell r="J978" t="e">
            <v>#N/A</v>
          </cell>
          <cell r="K978">
            <v>75</v>
          </cell>
          <cell r="L978">
            <v>40</v>
          </cell>
          <cell r="M978" t="e">
            <v>#N/A</v>
          </cell>
          <cell r="N978">
            <v>68</v>
          </cell>
          <cell r="O978" t="e">
            <v>#N/A</v>
          </cell>
          <cell r="P978" t="str">
            <v/>
          </cell>
          <cell r="Q978" t="str">
            <v/>
          </cell>
          <cell r="R978">
            <v>68</v>
          </cell>
        </row>
        <row r="979">
          <cell r="A979" t="str">
            <v/>
          </cell>
          <cell r="B979" t="str">
            <v/>
          </cell>
          <cell r="C979" t="str">
            <v>Future</v>
          </cell>
          <cell r="D979" t="e">
            <v>#N/A</v>
          </cell>
          <cell r="E979">
            <v>-42.278055320158344</v>
          </cell>
          <cell r="F979">
            <v>82.227873533597759</v>
          </cell>
          <cell r="G979">
            <v>24.125106735178562</v>
          </cell>
          <cell r="H979">
            <v>24.125106735178562</v>
          </cell>
          <cell r="I979" t="e">
            <v>#N/A</v>
          </cell>
          <cell r="J979" t="e">
            <v>#N/A</v>
          </cell>
          <cell r="K979">
            <v>75</v>
          </cell>
          <cell r="L979">
            <v>40</v>
          </cell>
          <cell r="M979" t="e">
            <v>#N/A</v>
          </cell>
          <cell r="N979">
            <v>68</v>
          </cell>
          <cell r="O979" t="e">
            <v>#N/A</v>
          </cell>
          <cell r="P979" t="str">
            <v/>
          </cell>
          <cell r="Q979" t="str">
            <v/>
          </cell>
          <cell r="R979">
            <v>68</v>
          </cell>
        </row>
        <row r="980">
          <cell r="A980" t="str">
            <v/>
          </cell>
          <cell r="B980" t="str">
            <v/>
          </cell>
          <cell r="C980" t="str">
            <v>Future</v>
          </cell>
          <cell r="D980" t="e">
            <v>#N/A</v>
          </cell>
          <cell r="E980">
            <v>-42.531217328063484</v>
          </cell>
          <cell r="F980">
            <v>82.271154213439658</v>
          </cell>
          <cell r="G980">
            <v>24.030047494071844</v>
          </cell>
          <cell r="H980">
            <v>24.030047494071844</v>
          </cell>
          <cell r="I980" t="e">
            <v>#N/A</v>
          </cell>
          <cell r="J980" t="e">
            <v>#N/A</v>
          </cell>
          <cell r="K980">
            <v>75</v>
          </cell>
          <cell r="L980">
            <v>40</v>
          </cell>
          <cell r="M980" t="e">
            <v>#N/A</v>
          </cell>
          <cell r="N980">
            <v>68</v>
          </cell>
          <cell r="O980" t="e">
            <v>#N/A</v>
          </cell>
          <cell r="P980" t="str">
            <v/>
          </cell>
          <cell r="Q980" t="str">
            <v/>
          </cell>
          <cell r="R980">
            <v>68</v>
          </cell>
        </row>
        <row r="981">
          <cell r="A981" t="str">
            <v/>
          </cell>
          <cell r="B981" t="str">
            <v/>
          </cell>
          <cell r="C981" t="str">
            <v>Future</v>
          </cell>
          <cell r="D981" t="e">
            <v>#N/A</v>
          </cell>
          <cell r="E981">
            <v>-42.784379335968623</v>
          </cell>
          <cell r="F981">
            <v>82.314434893281557</v>
          </cell>
          <cell r="G981">
            <v>23.934988252965127</v>
          </cell>
          <cell r="H981">
            <v>23.934988252965127</v>
          </cell>
          <cell r="I981" t="e">
            <v>#N/A</v>
          </cell>
          <cell r="J981" t="e">
            <v>#N/A</v>
          </cell>
          <cell r="K981">
            <v>75</v>
          </cell>
          <cell r="L981">
            <v>40</v>
          </cell>
          <cell r="M981" t="e">
            <v>#N/A</v>
          </cell>
          <cell r="N981">
            <v>68</v>
          </cell>
          <cell r="O981" t="e">
            <v>#N/A</v>
          </cell>
          <cell r="P981" t="str">
            <v/>
          </cell>
          <cell r="Q981" t="str">
            <v/>
          </cell>
          <cell r="R981">
            <v>68</v>
          </cell>
        </row>
        <row r="982">
          <cell r="A982" t="str">
            <v/>
          </cell>
          <cell r="B982" t="str">
            <v/>
          </cell>
          <cell r="C982" t="str">
            <v>Future</v>
          </cell>
          <cell r="D982" t="e">
            <v>#N/A</v>
          </cell>
          <cell r="E982">
            <v>-43.037541343873762</v>
          </cell>
          <cell r="F982">
            <v>82.357715573123457</v>
          </cell>
          <cell r="G982">
            <v>23.839929011858409</v>
          </cell>
          <cell r="H982">
            <v>23.839929011858409</v>
          </cell>
          <cell r="I982" t="e">
            <v>#N/A</v>
          </cell>
          <cell r="J982" t="e">
            <v>#N/A</v>
          </cell>
          <cell r="K982">
            <v>75</v>
          </cell>
          <cell r="L982">
            <v>40</v>
          </cell>
          <cell r="M982" t="e">
            <v>#N/A</v>
          </cell>
          <cell r="N982">
            <v>68</v>
          </cell>
          <cell r="O982" t="e">
            <v>#N/A</v>
          </cell>
          <cell r="P982" t="str">
            <v/>
          </cell>
          <cell r="Q982" t="str">
            <v/>
          </cell>
          <cell r="R982">
            <v>68</v>
          </cell>
        </row>
        <row r="983">
          <cell r="A983" t="str">
            <v/>
          </cell>
          <cell r="B983" t="str">
            <v/>
          </cell>
          <cell r="C983" t="str">
            <v>Future</v>
          </cell>
          <cell r="D983" t="e">
            <v>#N/A</v>
          </cell>
          <cell r="E983">
            <v>-43.290703351778902</v>
          </cell>
          <cell r="F983">
            <v>82.400996252965356</v>
          </cell>
          <cell r="G983">
            <v>23.744869770751691</v>
          </cell>
          <cell r="H983">
            <v>23.744869770751691</v>
          </cell>
          <cell r="I983" t="e">
            <v>#N/A</v>
          </cell>
          <cell r="J983" t="e">
            <v>#N/A</v>
          </cell>
          <cell r="K983">
            <v>75</v>
          </cell>
          <cell r="L983">
            <v>40</v>
          </cell>
          <cell r="M983" t="e">
            <v>#N/A</v>
          </cell>
          <cell r="N983">
            <v>68</v>
          </cell>
          <cell r="O983" t="e">
            <v>#N/A</v>
          </cell>
          <cell r="P983" t="str">
            <v/>
          </cell>
          <cell r="Q983" t="str">
            <v/>
          </cell>
          <cell r="R983">
            <v>68</v>
          </cell>
        </row>
        <row r="984">
          <cell r="A984" t="str">
            <v/>
          </cell>
          <cell r="B984" t="str">
            <v/>
          </cell>
          <cell r="C984" t="str">
            <v>Future</v>
          </cell>
          <cell r="D984" t="e">
            <v>#N/A</v>
          </cell>
          <cell r="E984">
            <v>-43.543865359684041</v>
          </cell>
          <cell r="F984">
            <v>82.444276932807256</v>
          </cell>
          <cell r="G984">
            <v>23.649810529644974</v>
          </cell>
          <cell r="H984">
            <v>23.649810529644974</v>
          </cell>
          <cell r="I984" t="e">
            <v>#N/A</v>
          </cell>
          <cell r="J984" t="e">
            <v>#N/A</v>
          </cell>
          <cell r="K984">
            <v>75</v>
          </cell>
          <cell r="L984">
            <v>40</v>
          </cell>
          <cell r="M984" t="e">
            <v>#N/A</v>
          </cell>
          <cell r="N984">
            <v>68</v>
          </cell>
          <cell r="O984" t="e">
            <v>#N/A</v>
          </cell>
          <cell r="P984" t="str">
            <v/>
          </cell>
          <cell r="Q984" t="str">
            <v/>
          </cell>
          <cell r="R984">
            <v>68</v>
          </cell>
        </row>
        <row r="985">
          <cell r="A985" t="str">
            <v/>
          </cell>
          <cell r="B985" t="str">
            <v/>
          </cell>
          <cell r="C985" t="str">
            <v>Future</v>
          </cell>
          <cell r="D985" t="e">
            <v>#N/A</v>
          </cell>
          <cell r="E985">
            <v>-43.79702736758918</v>
          </cell>
          <cell r="F985">
            <v>82.487557612649155</v>
          </cell>
          <cell r="G985">
            <v>23.554751288538256</v>
          </cell>
          <cell r="H985">
            <v>23.554751288538256</v>
          </cell>
          <cell r="I985" t="e">
            <v>#N/A</v>
          </cell>
          <cell r="J985" t="e">
            <v>#N/A</v>
          </cell>
          <cell r="K985">
            <v>75</v>
          </cell>
          <cell r="L985">
            <v>40</v>
          </cell>
          <cell r="M985" t="e">
            <v>#N/A</v>
          </cell>
          <cell r="N985">
            <v>68</v>
          </cell>
          <cell r="O985" t="e">
            <v>#N/A</v>
          </cell>
          <cell r="P985" t="str">
            <v/>
          </cell>
          <cell r="Q985" t="str">
            <v/>
          </cell>
          <cell r="R985">
            <v>68</v>
          </cell>
        </row>
        <row r="986">
          <cell r="A986" t="str">
            <v/>
          </cell>
          <cell r="B986" t="str">
            <v/>
          </cell>
          <cell r="C986" t="str">
            <v>Future</v>
          </cell>
          <cell r="D986" t="e">
            <v>#N/A</v>
          </cell>
          <cell r="E986">
            <v>-44.05018937549432</v>
          </cell>
          <cell r="F986">
            <v>82.530838292491055</v>
          </cell>
          <cell r="G986">
            <v>23.459692047431538</v>
          </cell>
          <cell r="H986">
            <v>23.459692047431538</v>
          </cell>
          <cell r="I986" t="e">
            <v>#N/A</v>
          </cell>
          <cell r="J986" t="e">
            <v>#N/A</v>
          </cell>
          <cell r="K986">
            <v>75</v>
          </cell>
          <cell r="L986">
            <v>40</v>
          </cell>
          <cell r="M986" t="e">
            <v>#N/A</v>
          </cell>
          <cell r="N986">
            <v>68</v>
          </cell>
          <cell r="O986" t="e">
            <v>#N/A</v>
          </cell>
          <cell r="P986" t="str">
            <v/>
          </cell>
          <cell r="Q986" t="str">
            <v/>
          </cell>
          <cell r="R986">
            <v>68</v>
          </cell>
        </row>
        <row r="987">
          <cell r="A987" t="str">
            <v/>
          </cell>
          <cell r="B987" t="str">
            <v/>
          </cell>
          <cell r="C987" t="str">
            <v>Future</v>
          </cell>
          <cell r="D987" t="e">
            <v>#N/A</v>
          </cell>
          <cell r="E987">
            <v>-44.303351383399459</v>
          </cell>
          <cell r="F987">
            <v>82.574118972332954</v>
          </cell>
          <cell r="G987">
            <v>23.364632806324821</v>
          </cell>
          <cell r="H987">
            <v>23.364632806324821</v>
          </cell>
          <cell r="I987" t="e">
            <v>#N/A</v>
          </cell>
          <cell r="J987" t="e">
            <v>#N/A</v>
          </cell>
          <cell r="K987">
            <v>75</v>
          </cell>
          <cell r="L987">
            <v>40</v>
          </cell>
          <cell r="M987" t="e">
            <v>#N/A</v>
          </cell>
          <cell r="N987">
            <v>68</v>
          </cell>
          <cell r="O987" t="e">
            <v>#N/A</v>
          </cell>
          <cell r="P987" t="str">
            <v/>
          </cell>
          <cell r="Q987" t="str">
            <v/>
          </cell>
          <cell r="R987">
            <v>68</v>
          </cell>
        </row>
        <row r="988">
          <cell r="A988" t="str">
            <v/>
          </cell>
          <cell r="B988" t="str">
            <v/>
          </cell>
          <cell r="C988" t="str">
            <v>Future</v>
          </cell>
          <cell r="D988" t="e">
            <v>#N/A</v>
          </cell>
          <cell r="E988">
            <v>-44.556513391304598</v>
          </cell>
          <cell r="F988">
            <v>82.617399652174853</v>
          </cell>
          <cell r="G988">
            <v>23.269573565218103</v>
          </cell>
          <cell r="H988">
            <v>23.269573565218103</v>
          </cell>
          <cell r="I988" t="e">
            <v>#N/A</v>
          </cell>
          <cell r="J988" t="e">
            <v>#N/A</v>
          </cell>
          <cell r="K988">
            <v>75</v>
          </cell>
          <cell r="L988">
            <v>40</v>
          </cell>
          <cell r="M988" t="e">
            <v>#N/A</v>
          </cell>
          <cell r="N988">
            <v>68</v>
          </cell>
          <cell r="O988" t="e">
            <v>#N/A</v>
          </cell>
          <cell r="P988" t="str">
            <v/>
          </cell>
          <cell r="Q988" t="str">
            <v/>
          </cell>
          <cell r="R988">
            <v>68</v>
          </cell>
        </row>
        <row r="989">
          <cell r="A989" t="str">
            <v/>
          </cell>
          <cell r="B989" t="str">
            <v/>
          </cell>
          <cell r="C989" t="str">
            <v>Future</v>
          </cell>
          <cell r="D989" t="e">
            <v>#N/A</v>
          </cell>
          <cell r="E989">
            <v>-44.809675399209738</v>
          </cell>
          <cell r="F989">
            <v>82.660680332016753</v>
          </cell>
          <cell r="G989">
            <v>23.174514324111385</v>
          </cell>
          <cell r="H989">
            <v>23.174514324111385</v>
          </cell>
          <cell r="I989" t="e">
            <v>#N/A</v>
          </cell>
          <cell r="J989" t="e">
            <v>#N/A</v>
          </cell>
          <cell r="K989">
            <v>75</v>
          </cell>
          <cell r="L989">
            <v>40</v>
          </cell>
          <cell r="M989" t="e">
            <v>#N/A</v>
          </cell>
          <cell r="N989">
            <v>68</v>
          </cell>
          <cell r="O989" t="e">
            <v>#N/A</v>
          </cell>
          <cell r="P989" t="str">
            <v/>
          </cell>
          <cell r="Q989" t="str">
            <v/>
          </cell>
          <cell r="R989">
            <v>68</v>
          </cell>
        </row>
        <row r="990">
          <cell r="A990" t="str">
            <v/>
          </cell>
          <cell r="B990" t="str">
            <v/>
          </cell>
          <cell r="C990" t="str">
            <v>Future</v>
          </cell>
          <cell r="D990" t="e">
            <v>#N/A</v>
          </cell>
          <cell r="E990">
            <v>-45.062837407114877</v>
          </cell>
          <cell r="F990">
            <v>82.703961011858652</v>
          </cell>
          <cell r="G990">
            <v>23.079455083004667</v>
          </cell>
          <cell r="H990">
            <v>23.079455083004667</v>
          </cell>
          <cell r="I990" t="e">
            <v>#N/A</v>
          </cell>
          <cell r="J990" t="e">
            <v>#N/A</v>
          </cell>
          <cell r="K990">
            <v>75</v>
          </cell>
          <cell r="L990">
            <v>40</v>
          </cell>
          <cell r="M990" t="e">
            <v>#N/A</v>
          </cell>
          <cell r="N990">
            <v>68</v>
          </cell>
          <cell r="O990" t="e">
            <v>#N/A</v>
          </cell>
          <cell r="P990" t="str">
            <v/>
          </cell>
          <cell r="Q990" t="str">
            <v/>
          </cell>
          <cell r="R990">
            <v>68</v>
          </cell>
        </row>
        <row r="991">
          <cell r="A991" t="str">
            <v/>
          </cell>
          <cell r="B991" t="str">
            <v/>
          </cell>
          <cell r="C991" t="str">
            <v>Future</v>
          </cell>
          <cell r="D991" t="e">
            <v>#N/A</v>
          </cell>
          <cell r="E991">
            <v>-45.315999415020016</v>
          </cell>
          <cell r="F991">
            <v>82.747241691700552</v>
          </cell>
          <cell r="G991">
            <v>22.98439584189795</v>
          </cell>
          <cell r="H991">
            <v>22.98439584189795</v>
          </cell>
          <cell r="I991" t="e">
            <v>#N/A</v>
          </cell>
          <cell r="J991" t="e">
            <v>#N/A</v>
          </cell>
          <cell r="K991">
            <v>75</v>
          </cell>
          <cell r="L991">
            <v>40</v>
          </cell>
          <cell r="M991" t="e">
            <v>#N/A</v>
          </cell>
          <cell r="N991">
            <v>68</v>
          </cell>
          <cell r="O991" t="e">
            <v>#N/A</v>
          </cell>
          <cell r="P991" t="str">
            <v/>
          </cell>
          <cell r="Q991" t="str">
            <v/>
          </cell>
          <cell r="R991">
            <v>68</v>
          </cell>
        </row>
        <row r="992">
          <cell r="A992" t="str">
            <v/>
          </cell>
          <cell r="B992" t="str">
            <v/>
          </cell>
          <cell r="C992" t="str">
            <v>Future</v>
          </cell>
          <cell r="D992" t="e">
            <v>#N/A</v>
          </cell>
          <cell r="E992">
            <v>-45.569161422925156</v>
          </cell>
          <cell r="F992">
            <v>82.790522371542451</v>
          </cell>
          <cell r="G992">
            <v>22.889336600791232</v>
          </cell>
          <cell r="H992">
            <v>22.889336600791232</v>
          </cell>
          <cell r="I992" t="e">
            <v>#N/A</v>
          </cell>
          <cell r="J992" t="e">
            <v>#N/A</v>
          </cell>
          <cell r="K992">
            <v>75</v>
          </cell>
          <cell r="L992">
            <v>40</v>
          </cell>
          <cell r="M992" t="e">
            <v>#N/A</v>
          </cell>
          <cell r="N992">
            <v>68</v>
          </cell>
          <cell r="O992" t="e">
            <v>#N/A</v>
          </cell>
          <cell r="P992" t="str">
            <v/>
          </cell>
          <cell r="Q992" t="str">
            <v/>
          </cell>
          <cell r="R992">
            <v>68</v>
          </cell>
        </row>
        <row r="993">
          <cell r="A993" t="str">
            <v/>
          </cell>
          <cell r="B993" t="str">
            <v/>
          </cell>
          <cell r="C993" t="str">
            <v>Future</v>
          </cell>
          <cell r="D993" t="e">
            <v>#N/A</v>
          </cell>
          <cell r="E993">
            <v>-45.822323430830295</v>
          </cell>
          <cell r="F993">
            <v>82.833803051384351</v>
          </cell>
          <cell r="G993">
            <v>22.794277359684514</v>
          </cell>
          <cell r="H993">
            <v>22.794277359684514</v>
          </cell>
          <cell r="I993" t="e">
            <v>#N/A</v>
          </cell>
          <cell r="J993" t="e">
            <v>#N/A</v>
          </cell>
          <cell r="K993">
            <v>75</v>
          </cell>
          <cell r="L993">
            <v>40</v>
          </cell>
          <cell r="M993" t="e">
            <v>#N/A</v>
          </cell>
          <cell r="N993">
            <v>68</v>
          </cell>
          <cell r="O993" t="e">
            <v>#N/A</v>
          </cell>
          <cell r="P993" t="str">
            <v/>
          </cell>
          <cell r="Q993" t="str">
            <v/>
          </cell>
          <cell r="R993">
            <v>68</v>
          </cell>
        </row>
        <row r="994">
          <cell r="A994" t="str">
            <v/>
          </cell>
          <cell r="B994" t="str">
            <v/>
          </cell>
          <cell r="C994" t="str">
            <v>Future</v>
          </cell>
          <cell r="D994" t="e">
            <v>#N/A</v>
          </cell>
          <cell r="E994">
            <v>-46.075485438735434</v>
          </cell>
          <cell r="F994">
            <v>82.87708373122625</v>
          </cell>
          <cell r="G994">
            <v>22.699218118577797</v>
          </cell>
          <cell r="H994">
            <v>22.699218118577797</v>
          </cell>
          <cell r="I994" t="e">
            <v>#N/A</v>
          </cell>
          <cell r="J994" t="e">
            <v>#N/A</v>
          </cell>
          <cell r="K994">
            <v>75</v>
          </cell>
          <cell r="L994">
            <v>40</v>
          </cell>
          <cell r="M994" t="e">
            <v>#N/A</v>
          </cell>
          <cell r="N994">
            <v>68</v>
          </cell>
          <cell r="O994" t="e">
            <v>#N/A</v>
          </cell>
          <cell r="P994" t="str">
            <v/>
          </cell>
          <cell r="Q994" t="str">
            <v/>
          </cell>
          <cell r="R994">
            <v>68</v>
          </cell>
        </row>
        <row r="995">
          <cell r="A995" t="str">
            <v/>
          </cell>
          <cell r="B995" t="str">
            <v/>
          </cell>
          <cell r="C995" t="str">
            <v>Future</v>
          </cell>
          <cell r="D995" t="e">
            <v>#N/A</v>
          </cell>
          <cell r="E995">
            <v>-46.328647446640574</v>
          </cell>
          <cell r="F995">
            <v>82.920364411068149</v>
          </cell>
          <cell r="G995">
            <v>22.604158877471079</v>
          </cell>
          <cell r="H995">
            <v>22.604158877471079</v>
          </cell>
          <cell r="I995" t="e">
            <v>#N/A</v>
          </cell>
          <cell r="J995" t="e">
            <v>#N/A</v>
          </cell>
          <cell r="K995">
            <v>75</v>
          </cell>
          <cell r="L995">
            <v>40</v>
          </cell>
          <cell r="M995" t="e">
            <v>#N/A</v>
          </cell>
          <cell r="N995">
            <v>68</v>
          </cell>
          <cell r="O995" t="e">
            <v>#N/A</v>
          </cell>
          <cell r="P995" t="str">
            <v/>
          </cell>
          <cell r="Q995" t="str">
            <v/>
          </cell>
          <cell r="R995">
            <v>68</v>
          </cell>
        </row>
        <row r="996">
          <cell r="A996" t="str">
            <v/>
          </cell>
          <cell r="B996" t="str">
            <v/>
          </cell>
          <cell r="C996" t="str">
            <v>Future</v>
          </cell>
          <cell r="D996" t="e">
            <v>#N/A</v>
          </cell>
          <cell r="E996">
            <v>-46.581809454545713</v>
          </cell>
          <cell r="F996">
            <v>82.963645090910049</v>
          </cell>
          <cell r="G996">
            <v>22.509099636364361</v>
          </cell>
          <cell r="H996">
            <v>22.509099636364361</v>
          </cell>
          <cell r="I996" t="e">
            <v>#N/A</v>
          </cell>
          <cell r="J996" t="e">
            <v>#N/A</v>
          </cell>
          <cell r="K996">
            <v>75</v>
          </cell>
          <cell r="L996">
            <v>40</v>
          </cell>
          <cell r="M996" t="e">
            <v>#N/A</v>
          </cell>
          <cell r="N996">
            <v>68</v>
          </cell>
          <cell r="O996" t="e">
            <v>#N/A</v>
          </cell>
          <cell r="P996" t="str">
            <v/>
          </cell>
          <cell r="Q996" t="str">
            <v/>
          </cell>
          <cell r="R996">
            <v>68</v>
          </cell>
        </row>
        <row r="997">
          <cell r="A997" t="str">
            <v/>
          </cell>
          <cell r="B997" t="str">
            <v/>
          </cell>
          <cell r="C997" t="str">
            <v>Future</v>
          </cell>
          <cell r="D997" t="e">
            <v>#N/A</v>
          </cell>
          <cell r="E997">
            <v>-46.834971462450852</v>
          </cell>
          <cell r="F997">
            <v>83.006925770751948</v>
          </cell>
          <cell r="G997">
            <v>22.414040395257643</v>
          </cell>
          <cell r="H997">
            <v>22.414040395257643</v>
          </cell>
          <cell r="I997" t="e">
            <v>#N/A</v>
          </cell>
          <cell r="J997" t="e">
            <v>#N/A</v>
          </cell>
          <cell r="K997">
            <v>75</v>
          </cell>
          <cell r="L997">
            <v>40</v>
          </cell>
          <cell r="M997" t="e">
            <v>#N/A</v>
          </cell>
          <cell r="N997">
            <v>68</v>
          </cell>
          <cell r="O997" t="e">
            <v>#N/A</v>
          </cell>
          <cell r="P997" t="str">
            <v/>
          </cell>
          <cell r="Q997" t="str">
            <v/>
          </cell>
          <cell r="R997">
            <v>68</v>
          </cell>
        </row>
        <row r="998">
          <cell r="A998" t="str">
            <v/>
          </cell>
          <cell r="B998" t="str">
            <v/>
          </cell>
          <cell r="C998" t="str">
            <v>Future</v>
          </cell>
          <cell r="D998" t="e">
            <v>#N/A</v>
          </cell>
          <cell r="E998">
            <v>-47.088133470355992</v>
          </cell>
          <cell r="F998">
            <v>83.050206450593848</v>
          </cell>
          <cell r="G998">
            <v>22.318981154150926</v>
          </cell>
          <cell r="H998">
            <v>22.318981154150926</v>
          </cell>
          <cell r="I998" t="e">
            <v>#N/A</v>
          </cell>
          <cell r="J998" t="e">
            <v>#N/A</v>
          </cell>
          <cell r="K998">
            <v>75</v>
          </cell>
          <cell r="L998">
            <v>40</v>
          </cell>
          <cell r="M998" t="e">
            <v>#N/A</v>
          </cell>
          <cell r="N998">
            <v>68</v>
          </cell>
          <cell r="O998" t="e">
            <v>#N/A</v>
          </cell>
          <cell r="P998" t="str">
            <v/>
          </cell>
          <cell r="Q998" t="str">
            <v/>
          </cell>
          <cell r="R998">
            <v>68</v>
          </cell>
        </row>
        <row r="999">
          <cell r="A999" t="str">
            <v/>
          </cell>
          <cell r="B999" t="str">
            <v/>
          </cell>
          <cell r="C999" t="str">
            <v>Future</v>
          </cell>
          <cell r="D999" t="e">
            <v>#N/A</v>
          </cell>
          <cell r="E999">
            <v>-47.341295478261131</v>
          </cell>
          <cell r="F999">
            <v>83.093487130435747</v>
          </cell>
          <cell r="G999">
            <v>22.223921913044208</v>
          </cell>
          <cell r="H999">
            <v>22.223921913044208</v>
          </cell>
          <cell r="I999" t="e">
            <v>#N/A</v>
          </cell>
          <cell r="J999" t="e">
            <v>#N/A</v>
          </cell>
          <cell r="K999">
            <v>75</v>
          </cell>
          <cell r="L999">
            <v>40</v>
          </cell>
          <cell r="M999" t="e">
            <v>#N/A</v>
          </cell>
          <cell r="N999">
            <v>68</v>
          </cell>
          <cell r="O999" t="e">
            <v>#N/A</v>
          </cell>
          <cell r="P999" t="str">
            <v/>
          </cell>
          <cell r="Q999" t="str">
            <v/>
          </cell>
          <cell r="R999">
            <v>68</v>
          </cell>
        </row>
        <row r="1000">
          <cell r="A1000" t="str">
            <v/>
          </cell>
          <cell r="B1000" t="str">
            <v/>
          </cell>
          <cell r="C1000" t="str">
            <v>Future</v>
          </cell>
          <cell r="D1000" t="e">
            <v>#N/A</v>
          </cell>
          <cell r="E1000">
            <v>-47.59445748616627</v>
          </cell>
          <cell r="F1000">
            <v>83.136767810277647</v>
          </cell>
          <cell r="G1000">
            <v>22.12886267193749</v>
          </cell>
          <cell r="H1000">
            <v>22.12886267193749</v>
          </cell>
          <cell r="I1000" t="e">
            <v>#N/A</v>
          </cell>
          <cell r="J1000" t="e">
            <v>#N/A</v>
          </cell>
          <cell r="K1000">
            <v>75</v>
          </cell>
          <cell r="L1000">
            <v>40</v>
          </cell>
          <cell r="M1000" t="e">
            <v>#N/A</v>
          </cell>
          <cell r="N1000">
            <v>68</v>
          </cell>
          <cell r="O1000" t="e">
            <v>#N/A</v>
          </cell>
          <cell r="P1000" t="str">
            <v/>
          </cell>
          <cell r="Q1000" t="str">
            <v/>
          </cell>
          <cell r="R1000">
            <v>68</v>
          </cell>
        </row>
        <row r="1001">
          <cell r="A1001" t="str">
            <v/>
          </cell>
          <cell r="B1001" t="str">
            <v/>
          </cell>
          <cell r="C1001" t="str">
            <v>Future</v>
          </cell>
          <cell r="D1001" t="e">
            <v>#N/A</v>
          </cell>
          <cell r="E1001">
            <v>-47.847619494071409</v>
          </cell>
          <cell r="F1001">
            <v>83.180048490119546</v>
          </cell>
          <cell r="G1001">
            <v>22.033803430830773</v>
          </cell>
          <cell r="H1001">
            <v>22.033803430830773</v>
          </cell>
          <cell r="I1001" t="e">
            <v>#N/A</v>
          </cell>
          <cell r="J1001" t="e">
            <v>#N/A</v>
          </cell>
          <cell r="K1001">
            <v>75</v>
          </cell>
          <cell r="L1001">
            <v>40</v>
          </cell>
          <cell r="M1001" t="e">
            <v>#N/A</v>
          </cell>
          <cell r="N1001">
            <v>68</v>
          </cell>
          <cell r="O1001" t="e">
            <v>#N/A</v>
          </cell>
          <cell r="P1001" t="str">
            <v/>
          </cell>
          <cell r="Q1001" t="str">
            <v/>
          </cell>
          <cell r="R1001">
            <v>68</v>
          </cell>
        </row>
        <row r="1002">
          <cell r="A1002" t="str">
            <v/>
          </cell>
          <cell r="B1002" t="str">
            <v/>
          </cell>
          <cell r="C1002" t="str">
            <v>Future</v>
          </cell>
          <cell r="D1002" t="e">
            <v>#N/A</v>
          </cell>
          <cell r="E1002">
            <v>-48.100781501976549</v>
          </cell>
          <cell r="F1002">
            <v>83.223329169961445</v>
          </cell>
          <cell r="G1002">
            <v>21.938744189724055</v>
          </cell>
          <cell r="H1002">
            <v>21.938744189724055</v>
          </cell>
          <cell r="I1002" t="e">
            <v>#N/A</v>
          </cell>
          <cell r="J1002" t="e">
            <v>#N/A</v>
          </cell>
          <cell r="K1002">
            <v>75</v>
          </cell>
          <cell r="L1002">
            <v>40</v>
          </cell>
          <cell r="M1002" t="e">
            <v>#N/A</v>
          </cell>
          <cell r="N1002">
            <v>68</v>
          </cell>
          <cell r="O1002" t="e">
            <v>#N/A</v>
          </cell>
          <cell r="P1002" t="str">
            <v/>
          </cell>
          <cell r="Q1002" t="str">
            <v/>
          </cell>
          <cell r="R1002">
            <v>68</v>
          </cell>
        </row>
        <row r="1003">
          <cell r="A1003" t="str">
            <v/>
          </cell>
          <cell r="B1003" t="str">
            <v/>
          </cell>
          <cell r="C1003" t="str">
            <v>Future</v>
          </cell>
          <cell r="D1003" t="e">
            <v>#N/A</v>
          </cell>
          <cell r="E1003">
            <v>-48.353943509881688</v>
          </cell>
          <cell r="F1003">
            <v>83.266609849803345</v>
          </cell>
          <cell r="G1003">
            <v>21.843684948617337</v>
          </cell>
          <cell r="H1003">
            <v>21.843684948617337</v>
          </cell>
          <cell r="I1003" t="e">
            <v>#N/A</v>
          </cell>
          <cell r="J1003" t="e">
            <v>#N/A</v>
          </cell>
          <cell r="K1003">
            <v>75</v>
          </cell>
          <cell r="L1003">
            <v>40</v>
          </cell>
          <cell r="M1003" t="e">
            <v>#N/A</v>
          </cell>
          <cell r="N1003">
            <v>68</v>
          </cell>
          <cell r="O1003" t="e">
            <v>#N/A</v>
          </cell>
          <cell r="P1003" t="str">
            <v/>
          </cell>
          <cell r="Q1003" t="str">
            <v/>
          </cell>
          <cell r="R1003">
            <v>68</v>
          </cell>
        </row>
        <row r="1004">
          <cell r="A1004" t="str">
            <v/>
          </cell>
          <cell r="B1004" t="str">
            <v/>
          </cell>
          <cell r="C1004" t="str">
            <v>Future</v>
          </cell>
          <cell r="D1004" t="e">
            <v>#N/A</v>
          </cell>
          <cell r="E1004">
            <v>-48.607105517786827</v>
          </cell>
          <cell r="F1004">
            <v>83.309890529645244</v>
          </cell>
          <cell r="G1004">
            <v>21.74862570751062</v>
          </cell>
          <cell r="H1004">
            <v>21.74862570751062</v>
          </cell>
          <cell r="I1004" t="e">
            <v>#N/A</v>
          </cell>
          <cell r="J1004" t="e">
            <v>#N/A</v>
          </cell>
          <cell r="K1004">
            <v>75</v>
          </cell>
          <cell r="L1004">
            <v>40</v>
          </cell>
          <cell r="M1004" t="e">
            <v>#N/A</v>
          </cell>
          <cell r="N1004">
            <v>68</v>
          </cell>
          <cell r="O1004" t="e">
            <v>#N/A</v>
          </cell>
          <cell r="P1004" t="str">
            <v/>
          </cell>
          <cell r="Q1004" t="str">
            <v/>
          </cell>
          <cell r="R1004">
            <v>68</v>
          </cell>
        </row>
        <row r="1005">
          <cell r="A1005" t="str">
            <v/>
          </cell>
          <cell r="B1005" t="str">
            <v/>
          </cell>
          <cell r="C1005" t="str">
            <v>Future</v>
          </cell>
          <cell r="D1005" t="e">
            <v>#N/A</v>
          </cell>
          <cell r="E1005">
            <v>-48.860267525691967</v>
          </cell>
          <cell r="F1005">
            <v>83.353171209487144</v>
          </cell>
          <cell r="G1005">
            <v>21.653566466403902</v>
          </cell>
          <cell r="H1005">
            <v>21.653566466403902</v>
          </cell>
          <cell r="I1005" t="e">
            <v>#N/A</v>
          </cell>
          <cell r="J1005" t="e">
            <v>#N/A</v>
          </cell>
          <cell r="K1005">
            <v>75</v>
          </cell>
          <cell r="L1005">
            <v>40</v>
          </cell>
          <cell r="M1005" t="e">
            <v>#N/A</v>
          </cell>
          <cell r="N1005">
            <v>68</v>
          </cell>
          <cell r="O1005" t="e">
            <v>#N/A</v>
          </cell>
          <cell r="P1005" t="str">
            <v/>
          </cell>
          <cell r="Q1005" t="str">
            <v/>
          </cell>
          <cell r="R1005">
            <v>68</v>
          </cell>
        </row>
        <row r="1006">
          <cell r="A1006" t="str">
            <v/>
          </cell>
          <cell r="B1006" t="str">
            <v/>
          </cell>
          <cell r="C1006" t="str">
            <v>Future</v>
          </cell>
          <cell r="D1006" t="e">
            <v>#N/A</v>
          </cell>
          <cell r="E1006">
            <v>-49.113429533597106</v>
          </cell>
          <cell r="F1006">
            <v>83.396451889329043</v>
          </cell>
          <cell r="G1006">
            <v>21.558507225297184</v>
          </cell>
          <cell r="H1006">
            <v>21.558507225297184</v>
          </cell>
          <cell r="I1006" t="e">
            <v>#N/A</v>
          </cell>
          <cell r="J1006" t="e">
            <v>#N/A</v>
          </cell>
          <cell r="K1006">
            <v>75</v>
          </cell>
          <cell r="L1006">
            <v>40</v>
          </cell>
          <cell r="M1006" t="e">
            <v>#N/A</v>
          </cell>
          <cell r="N1006">
            <v>68</v>
          </cell>
          <cell r="O1006" t="e">
            <v>#N/A</v>
          </cell>
          <cell r="P1006" t="str">
            <v/>
          </cell>
          <cell r="Q1006" t="str">
            <v/>
          </cell>
          <cell r="R1006">
            <v>68</v>
          </cell>
        </row>
        <row r="1007">
          <cell r="A1007" t="str">
            <v/>
          </cell>
          <cell r="B1007" t="str">
            <v/>
          </cell>
          <cell r="C1007" t="str">
            <v>Future</v>
          </cell>
          <cell r="D1007" t="e">
            <v>#N/A</v>
          </cell>
          <cell r="E1007">
            <v>-49.366591541502245</v>
          </cell>
          <cell r="F1007">
            <v>83.439732569170943</v>
          </cell>
          <cell r="G1007">
            <v>21.463447984190466</v>
          </cell>
          <cell r="H1007">
            <v>21.463447984190466</v>
          </cell>
          <cell r="I1007" t="e">
            <v>#N/A</v>
          </cell>
          <cell r="J1007" t="e">
            <v>#N/A</v>
          </cell>
          <cell r="K1007">
            <v>75</v>
          </cell>
          <cell r="L1007">
            <v>40</v>
          </cell>
          <cell r="M1007" t="e">
            <v>#N/A</v>
          </cell>
          <cell r="N1007">
            <v>68</v>
          </cell>
          <cell r="O1007" t="e">
            <v>#N/A</v>
          </cell>
          <cell r="P1007" t="str">
            <v/>
          </cell>
          <cell r="Q1007" t="str">
            <v/>
          </cell>
          <cell r="R1007">
            <v>68</v>
          </cell>
        </row>
        <row r="1008">
          <cell r="A1008" t="str">
            <v/>
          </cell>
          <cell r="B1008" t="str">
            <v/>
          </cell>
          <cell r="C1008" t="str">
            <v>Future</v>
          </cell>
          <cell r="D1008" t="e">
            <v>#N/A</v>
          </cell>
          <cell r="E1008">
            <v>-49.619753549407385</v>
          </cell>
          <cell r="F1008">
            <v>83.483013249012842</v>
          </cell>
          <cell r="G1008">
            <v>21.368388743083749</v>
          </cell>
          <cell r="H1008">
            <v>21.368388743083749</v>
          </cell>
          <cell r="I1008" t="e">
            <v>#N/A</v>
          </cell>
          <cell r="J1008" t="e">
            <v>#N/A</v>
          </cell>
          <cell r="K1008">
            <v>75</v>
          </cell>
          <cell r="L1008">
            <v>40</v>
          </cell>
          <cell r="M1008" t="e">
            <v>#N/A</v>
          </cell>
          <cell r="N1008">
            <v>68</v>
          </cell>
          <cell r="O1008" t="e">
            <v>#N/A</v>
          </cell>
          <cell r="P1008" t="str">
            <v/>
          </cell>
          <cell r="Q1008" t="str">
            <v/>
          </cell>
          <cell r="R1008">
            <v>68</v>
          </cell>
        </row>
        <row r="1009">
          <cell r="A1009" t="str">
            <v/>
          </cell>
          <cell r="B1009" t="str">
            <v/>
          </cell>
          <cell r="C1009" t="str">
            <v>Future</v>
          </cell>
          <cell r="D1009" t="e">
            <v>#N/A</v>
          </cell>
          <cell r="E1009">
            <v>-49.872915557312524</v>
          </cell>
          <cell r="F1009">
            <v>83.526293928854741</v>
          </cell>
          <cell r="G1009">
            <v>21.273329501977031</v>
          </cell>
          <cell r="H1009">
            <v>21.273329501977031</v>
          </cell>
          <cell r="I1009" t="e">
            <v>#N/A</v>
          </cell>
          <cell r="J1009" t="e">
            <v>#N/A</v>
          </cell>
          <cell r="K1009">
            <v>75</v>
          </cell>
          <cell r="L1009">
            <v>40</v>
          </cell>
          <cell r="M1009" t="e">
            <v>#N/A</v>
          </cell>
          <cell r="N1009">
            <v>68</v>
          </cell>
          <cell r="O1009" t="e">
            <v>#N/A</v>
          </cell>
          <cell r="P1009" t="str">
            <v/>
          </cell>
          <cell r="Q1009" t="str">
            <v/>
          </cell>
          <cell r="R1009">
            <v>68</v>
          </cell>
        </row>
        <row r="1010">
          <cell r="A1010" t="str">
            <v/>
          </cell>
          <cell r="B1010" t="str">
            <v/>
          </cell>
          <cell r="C1010" t="str">
            <v>Future</v>
          </cell>
          <cell r="D1010" t="e">
            <v>#N/A</v>
          </cell>
          <cell r="E1010">
            <v>-50.126077565217663</v>
          </cell>
          <cell r="F1010">
            <v>83.569574608696641</v>
          </cell>
          <cell r="G1010">
            <v>21.178270260870313</v>
          </cell>
          <cell r="H1010">
            <v>21.178270260870313</v>
          </cell>
          <cell r="I1010" t="e">
            <v>#N/A</v>
          </cell>
          <cell r="J1010" t="e">
            <v>#N/A</v>
          </cell>
          <cell r="K1010">
            <v>75</v>
          </cell>
          <cell r="L1010">
            <v>40</v>
          </cell>
          <cell r="M1010" t="e">
            <v>#N/A</v>
          </cell>
          <cell r="N1010">
            <v>68</v>
          </cell>
          <cell r="O1010" t="e">
            <v>#N/A</v>
          </cell>
          <cell r="P1010" t="str">
            <v/>
          </cell>
          <cell r="Q1010" t="str">
            <v/>
          </cell>
          <cell r="R1010">
            <v>68</v>
          </cell>
        </row>
        <row r="1011">
          <cell r="A1011" t="str">
            <v/>
          </cell>
          <cell r="B1011" t="str">
            <v/>
          </cell>
          <cell r="C1011" t="str">
            <v>Future</v>
          </cell>
          <cell r="D1011" t="e">
            <v>#N/A</v>
          </cell>
          <cell r="E1011">
            <v>-50.379239573122803</v>
          </cell>
          <cell r="F1011">
            <v>83.61285528853854</v>
          </cell>
          <cell r="G1011">
            <v>21.083211019763596</v>
          </cell>
          <cell r="H1011">
            <v>21.083211019763596</v>
          </cell>
          <cell r="I1011" t="e">
            <v>#N/A</v>
          </cell>
          <cell r="J1011" t="e">
            <v>#N/A</v>
          </cell>
          <cell r="K1011">
            <v>75</v>
          </cell>
          <cell r="L1011">
            <v>40</v>
          </cell>
          <cell r="M1011" t="e">
            <v>#N/A</v>
          </cell>
          <cell r="N1011">
            <v>68</v>
          </cell>
          <cell r="O1011" t="e">
            <v>#N/A</v>
          </cell>
          <cell r="P1011" t="str">
            <v/>
          </cell>
          <cell r="Q1011" t="str">
            <v/>
          </cell>
          <cell r="R1011">
            <v>68</v>
          </cell>
        </row>
        <row r="1012">
          <cell r="A1012" t="str">
            <v/>
          </cell>
          <cell r="B1012" t="str">
            <v/>
          </cell>
          <cell r="C1012" t="str">
            <v>Future</v>
          </cell>
          <cell r="D1012" t="e">
            <v>#N/A</v>
          </cell>
          <cell r="E1012">
            <v>-50.632401581027942</v>
          </cell>
          <cell r="F1012">
            <v>83.65613596838044</v>
          </cell>
          <cell r="G1012">
            <v>20.988151778656878</v>
          </cell>
          <cell r="H1012">
            <v>20.988151778656878</v>
          </cell>
          <cell r="I1012" t="e">
            <v>#N/A</v>
          </cell>
          <cell r="J1012" t="e">
            <v>#N/A</v>
          </cell>
          <cell r="K1012">
            <v>75</v>
          </cell>
          <cell r="L1012">
            <v>40</v>
          </cell>
          <cell r="M1012" t="e">
            <v>#N/A</v>
          </cell>
          <cell r="N1012">
            <v>68</v>
          </cell>
          <cell r="O1012" t="e">
            <v>#N/A</v>
          </cell>
          <cell r="P1012" t="str">
            <v/>
          </cell>
          <cell r="Q1012" t="str">
            <v/>
          </cell>
          <cell r="R1012">
            <v>68</v>
          </cell>
        </row>
        <row r="1013">
          <cell r="A1013" t="str">
            <v/>
          </cell>
          <cell r="B1013" t="str">
            <v/>
          </cell>
          <cell r="C1013" t="str">
            <v>Future</v>
          </cell>
          <cell r="D1013" t="e">
            <v>#N/A</v>
          </cell>
          <cell r="E1013">
            <v>-50.885563588933081</v>
          </cell>
          <cell r="F1013">
            <v>83.699416648222339</v>
          </cell>
          <cell r="G1013">
            <v>20.89309253755016</v>
          </cell>
          <cell r="H1013">
            <v>20.89309253755016</v>
          </cell>
          <cell r="I1013" t="e">
            <v>#N/A</v>
          </cell>
          <cell r="J1013" t="e">
            <v>#N/A</v>
          </cell>
          <cell r="K1013">
            <v>75</v>
          </cell>
          <cell r="L1013">
            <v>40</v>
          </cell>
          <cell r="M1013" t="e">
            <v>#N/A</v>
          </cell>
          <cell r="N1013">
            <v>68</v>
          </cell>
          <cell r="O1013" t="e">
            <v>#N/A</v>
          </cell>
          <cell r="P1013" t="str">
            <v/>
          </cell>
          <cell r="Q1013" t="str">
            <v/>
          </cell>
          <cell r="R1013">
            <v>68</v>
          </cell>
        </row>
        <row r="1014">
          <cell r="A1014" t="str">
            <v/>
          </cell>
          <cell r="B1014" t="str">
            <v/>
          </cell>
          <cell r="C1014" t="str">
            <v>Future</v>
          </cell>
          <cell r="D1014" t="e">
            <v>#N/A</v>
          </cell>
          <cell r="E1014">
            <v>-51.138725596838221</v>
          </cell>
          <cell r="F1014">
            <v>83.742697328064239</v>
          </cell>
          <cell r="G1014">
            <v>20.798033296443442</v>
          </cell>
          <cell r="H1014">
            <v>20.798033296443442</v>
          </cell>
          <cell r="I1014" t="e">
            <v>#N/A</v>
          </cell>
          <cell r="J1014" t="e">
            <v>#N/A</v>
          </cell>
          <cell r="K1014">
            <v>75</v>
          </cell>
          <cell r="L1014">
            <v>40</v>
          </cell>
          <cell r="M1014" t="e">
            <v>#N/A</v>
          </cell>
          <cell r="N1014">
            <v>68</v>
          </cell>
          <cell r="O1014" t="e">
            <v>#N/A</v>
          </cell>
          <cell r="P1014" t="str">
            <v/>
          </cell>
          <cell r="Q1014" t="str">
            <v/>
          </cell>
          <cell r="R1014">
            <v>68</v>
          </cell>
        </row>
        <row r="1015">
          <cell r="A1015" t="str">
            <v/>
          </cell>
          <cell r="B1015" t="str">
            <v/>
          </cell>
          <cell r="C1015" t="str">
            <v>Future</v>
          </cell>
          <cell r="D1015" t="e">
            <v>#N/A</v>
          </cell>
          <cell r="E1015">
            <v>-51.39188760474336</v>
          </cell>
          <cell r="F1015">
            <v>83.785978007906138</v>
          </cell>
          <cell r="G1015">
            <v>20.702974055336725</v>
          </cell>
          <cell r="H1015">
            <v>20.702974055336725</v>
          </cell>
          <cell r="I1015" t="e">
            <v>#N/A</v>
          </cell>
          <cell r="J1015" t="e">
            <v>#N/A</v>
          </cell>
          <cell r="K1015">
            <v>75</v>
          </cell>
          <cell r="L1015">
            <v>40</v>
          </cell>
          <cell r="M1015" t="e">
            <v>#N/A</v>
          </cell>
          <cell r="N1015">
            <v>68</v>
          </cell>
          <cell r="O1015" t="e">
            <v>#N/A</v>
          </cell>
          <cell r="P1015" t="str">
            <v/>
          </cell>
          <cell r="Q1015" t="str">
            <v/>
          </cell>
          <cell r="R1015">
            <v>68</v>
          </cell>
        </row>
        <row r="1016">
          <cell r="A1016" t="str">
            <v/>
          </cell>
          <cell r="B1016" t="str">
            <v/>
          </cell>
          <cell r="C1016" t="str">
            <v>Future</v>
          </cell>
          <cell r="D1016" t="e">
            <v>#N/A</v>
          </cell>
          <cell r="E1016">
            <v>-51.645049612648499</v>
          </cell>
          <cell r="F1016">
            <v>83.829258687748037</v>
          </cell>
          <cell r="G1016">
            <v>20.607914814230007</v>
          </cell>
          <cell r="H1016">
            <v>20.607914814230007</v>
          </cell>
          <cell r="I1016" t="e">
            <v>#N/A</v>
          </cell>
          <cell r="J1016" t="e">
            <v>#N/A</v>
          </cell>
          <cell r="K1016">
            <v>75</v>
          </cell>
          <cell r="L1016">
            <v>40</v>
          </cell>
          <cell r="M1016" t="e">
            <v>#N/A</v>
          </cell>
          <cell r="N1016">
            <v>68</v>
          </cell>
          <cell r="O1016" t="e">
            <v>#N/A</v>
          </cell>
          <cell r="P1016" t="str">
            <v/>
          </cell>
          <cell r="Q1016" t="str">
            <v/>
          </cell>
          <cell r="R1016">
            <v>68</v>
          </cell>
        </row>
        <row r="1017">
          <cell r="A1017" t="str">
            <v/>
          </cell>
          <cell r="B1017" t="str">
            <v/>
          </cell>
          <cell r="C1017" t="str">
            <v>Future</v>
          </cell>
          <cell r="D1017" t="e">
            <v>#N/A</v>
          </cell>
          <cell r="E1017">
            <v>-51.898211620553639</v>
          </cell>
          <cell r="F1017">
            <v>83.872539367589937</v>
          </cell>
          <cell r="G1017">
            <v>20.512855573123289</v>
          </cell>
          <cell r="H1017">
            <v>20.512855573123289</v>
          </cell>
          <cell r="I1017" t="e">
            <v>#N/A</v>
          </cell>
          <cell r="J1017" t="e">
            <v>#N/A</v>
          </cell>
          <cell r="K1017">
            <v>75</v>
          </cell>
          <cell r="L1017">
            <v>40</v>
          </cell>
          <cell r="M1017" t="e">
            <v>#N/A</v>
          </cell>
          <cell r="N1017">
            <v>68</v>
          </cell>
          <cell r="O1017" t="e">
            <v>#N/A</v>
          </cell>
          <cell r="P1017" t="str">
            <v/>
          </cell>
          <cell r="Q1017" t="str">
            <v/>
          </cell>
          <cell r="R1017">
            <v>68</v>
          </cell>
        </row>
        <row r="1018">
          <cell r="A1018" t="str">
            <v/>
          </cell>
          <cell r="B1018" t="str">
            <v/>
          </cell>
          <cell r="C1018" t="str">
            <v>Future</v>
          </cell>
          <cell r="D1018" t="e">
            <v>#N/A</v>
          </cell>
          <cell r="E1018">
            <v>-52.151373628458778</v>
          </cell>
          <cell r="F1018">
            <v>83.915820047431836</v>
          </cell>
          <cell r="G1018">
            <v>20.417796332016572</v>
          </cell>
          <cell r="H1018">
            <v>20.417796332016572</v>
          </cell>
          <cell r="I1018" t="e">
            <v>#N/A</v>
          </cell>
          <cell r="J1018" t="e">
            <v>#N/A</v>
          </cell>
          <cell r="K1018">
            <v>75</v>
          </cell>
          <cell r="L1018">
            <v>40</v>
          </cell>
          <cell r="M1018" t="e">
            <v>#N/A</v>
          </cell>
          <cell r="N1018">
            <v>68</v>
          </cell>
          <cell r="O1018" t="e">
            <v>#N/A</v>
          </cell>
          <cell r="P1018" t="str">
            <v/>
          </cell>
          <cell r="Q1018" t="str">
            <v/>
          </cell>
          <cell r="R1018">
            <v>68</v>
          </cell>
        </row>
        <row r="1019">
          <cell r="A1019" t="str">
            <v/>
          </cell>
          <cell r="B1019" t="str">
            <v/>
          </cell>
          <cell r="C1019" t="str">
            <v>Future</v>
          </cell>
          <cell r="D1019" t="e">
            <v>#N/A</v>
          </cell>
          <cell r="E1019">
            <v>-52.404535636363917</v>
          </cell>
          <cell r="F1019">
            <v>83.959100727273736</v>
          </cell>
          <cell r="G1019">
            <v>20.322737090909854</v>
          </cell>
          <cell r="H1019">
            <v>20.322737090909854</v>
          </cell>
          <cell r="I1019" t="e">
            <v>#N/A</v>
          </cell>
          <cell r="J1019" t="e">
            <v>#N/A</v>
          </cell>
          <cell r="K1019">
            <v>75</v>
          </cell>
          <cell r="L1019">
            <v>40</v>
          </cell>
          <cell r="M1019" t="e">
            <v>#N/A</v>
          </cell>
          <cell r="N1019">
            <v>68</v>
          </cell>
          <cell r="O1019" t="e">
            <v>#N/A</v>
          </cell>
          <cell r="P1019" t="str">
            <v/>
          </cell>
          <cell r="Q1019" t="str">
            <v/>
          </cell>
          <cell r="R1019">
            <v>68</v>
          </cell>
        </row>
        <row r="1020">
          <cell r="A1020" t="str">
            <v/>
          </cell>
          <cell r="B1020" t="str">
            <v/>
          </cell>
          <cell r="C1020" t="str">
            <v>Future</v>
          </cell>
          <cell r="D1020" t="e">
            <v>#N/A</v>
          </cell>
          <cell r="E1020">
            <v>-52.657697644269057</v>
          </cell>
          <cell r="F1020">
            <v>84.002381407115635</v>
          </cell>
          <cell r="G1020">
            <v>20.227677849803136</v>
          </cell>
          <cell r="H1020">
            <v>20.227677849803136</v>
          </cell>
          <cell r="I1020" t="e">
            <v>#N/A</v>
          </cell>
          <cell r="J1020" t="e">
            <v>#N/A</v>
          </cell>
          <cell r="K1020">
            <v>75</v>
          </cell>
          <cell r="L1020">
            <v>40</v>
          </cell>
          <cell r="M1020" t="e">
            <v>#N/A</v>
          </cell>
          <cell r="N1020">
            <v>68</v>
          </cell>
          <cell r="O1020" t="e">
            <v>#N/A</v>
          </cell>
          <cell r="P1020" t="str">
            <v/>
          </cell>
          <cell r="Q1020" t="str">
            <v/>
          </cell>
          <cell r="R1020">
            <v>68</v>
          </cell>
        </row>
        <row r="1021">
          <cell r="A1021" t="str">
            <v/>
          </cell>
          <cell r="B1021" t="str">
            <v/>
          </cell>
          <cell r="C1021" t="str">
            <v>Future</v>
          </cell>
          <cell r="D1021" t="e">
            <v>#N/A</v>
          </cell>
          <cell r="E1021">
            <v>-52.910859652174196</v>
          </cell>
          <cell r="F1021">
            <v>84.045662086957535</v>
          </cell>
          <cell r="G1021">
            <v>20.132618608696419</v>
          </cell>
          <cell r="H1021">
            <v>20.132618608696419</v>
          </cell>
          <cell r="I1021" t="e">
            <v>#N/A</v>
          </cell>
          <cell r="J1021" t="e">
            <v>#N/A</v>
          </cell>
          <cell r="K1021">
            <v>75</v>
          </cell>
          <cell r="L1021">
            <v>40</v>
          </cell>
          <cell r="M1021" t="e">
            <v>#N/A</v>
          </cell>
          <cell r="N1021">
            <v>68</v>
          </cell>
          <cell r="O1021" t="e">
            <v>#N/A</v>
          </cell>
          <cell r="P1021" t="str">
            <v/>
          </cell>
          <cell r="Q1021" t="str">
            <v/>
          </cell>
          <cell r="R1021">
            <v>68</v>
          </cell>
        </row>
        <row r="1022">
          <cell r="A1022" t="str">
            <v/>
          </cell>
          <cell r="B1022" t="str">
            <v/>
          </cell>
          <cell r="C1022" t="str">
            <v>Future</v>
          </cell>
          <cell r="D1022" t="e">
            <v>#N/A</v>
          </cell>
          <cell r="E1022">
            <v>-53.164021660079335</v>
          </cell>
          <cell r="F1022">
            <v>84.088942766799434</v>
          </cell>
          <cell r="G1022">
            <v>20.037559367589701</v>
          </cell>
          <cell r="H1022">
            <v>20.037559367589701</v>
          </cell>
          <cell r="I1022" t="e">
            <v>#N/A</v>
          </cell>
          <cell r="J1022" t="e">
            <v>#N/A</v>
          </cell>
          <cell r="K1022">
            <v>75</v>
          </cell>
          <cell r="L1022">
            <v>40</v>
          </cell>
          <cell r="M1022" t="e">
            <v>#N/A</v>
          </cell>
          <cell r="N1022">
            <v>68</v>
          </cell>
          <cell r="O1022" t="e">
            <v>#N/A</v>
          </cell>
          <cell r="P1022" t="str">
            <v/>
          </cell>
          <cell r="Q1022" t="str">
            <v/>
          </cell>
          <cell r="R1022">
            <v>68</v>
          </cell>
        </row>
        <row r="1023">
          <cell r="A1023" t="str">
            <v/>
          </cell>
          <cell r="B1023" t="str">
            <v/>
          </cell>
          <cell r="C1023" t="str">
            <v>Future</v>
          </cell>
          <cell r="D1023" t="e">
            <v>#N/A</v>
          </cell>
          <cell r="E1023">
            <v>-53.417183667984474</v>
          </cell>
          <cell r="F1023">
            <v>84.132223446641333</v>
          </cell>
          <cell r="G1023">
            <v>19.942500126482983</v>
          </cell>
          <cell r="H1023">
            <v>19.942500126482983</v>
          </cell>
          <cell r="I1023" t="e">
            <v>#N/A</v>
          </cell>
          <cell r="J1023" t="e">
            <v>#N/A</v>
          </cell>
          <cell r="K1023">
            <v>75</v>
          </cell>
          <cell r="L1023">
            <v>40</v>
          </cell>
          <cell r="M1023" t="e">
            <v>#N/A</v>
          </cell>
          <cell r="N1023">
            <v>68</v>
          </cell>
          <cell r="O1023" t="e">
            <v>#N/A</v>
          </cell>
          <cell r="P1023" t="str">
            <v/>
          </cell>
          <cell r="Q1023" t="str">
            <v/>
          </cell>
          <cell r="R1023">
            <v>68</v>
          </cell>
        </row>
        <row r="1024">
          <cell r="A1024" t="str">
            <v/>
          </cell>
          <cell r="B1024" t="str">
            <v/>
          </cell>
          <cell r="C1024" t="str">
            <v>Future</v>
          </cell>
          <cell r="D1024" t="e">
            <v>#N/A</v>
          </cell>
          <cell r="E1024">
            <v>-53.670345675889614</v>
          </cell>
          <cell r="F1024">
            <v>84.175504126483233</v>
          </cell>
          <cell r="G1024">
            <v>19.847440885376265</v>
          </cell>
          <cell r="H1024">
            <v>19.847440885376265</v>
          </cell>
          <cell r="I1024" t="e">
            <v>#N/A</v>
          </cell>
          <cell r="J1024" t="e">
            <v>#N/A</v>
          </cell>
          <cell r="K1024">
            <v>75</v>
          </cell>
          <cell r="L1024">
            <v>40</v>
          </cell>
          <cell r="M1024" t="e">
            <v>#N/A</v>
          </cell>
          <cell r="N1024">
            <v>68</v>
          </cell>
          <cell r="O1024" t="e">
            <v>#N/A</v>
          </cell>
          <cell r="P1024" t="str">
            <v/>
          </cell>
          <cell r="Q1024" t="str">
            <v/>
          </cell>
          <cell r="R1024">
            <v>68</v>
          </cell>
        </row>
        <row r="1025">
          <cell r="A1025" t="str">
            <v/>
          </cell>
          <cell r="B1025" t="str">
            <v/>
          </cell>
          <cell r="C1025" t="str">
            <v>Future</v>
          </cell>
          <cell r="D1025" t="e">
            <v>#N/A</v>
          </cell>
          <cell r="E1025">
            <v>-53.923507683794753</v>
          </cell>
          <cell r="F1025">
            <v>84.218784806325132</v>
          </cell>
          <cell r="G1025">
            <v>19.752381644269548</v>
          </cell>
          <cell r="H1025">
            <v>19.752381644269548</v>
          </cell>
          <cell r="I1025" t="e">
            <v>#N/A</v>
          </cell>
          <cell r="J1025" t="e">
            <v>#N/A</v>
          </cell>
          <cell r="K1025">
            <v>75</v>
          </cell>
          <cell r="L1025">
            <v>40</v>
          </cell>
          <cell r="M1025" t="e">
            <v>#N/A</v>
          </cell>
          <cell r="N1025">
            <v>68</v>
          </cell>
          <cell r="O1025" t="e">
            <v>#N/A</v>
          </cell>
          <cell r="P1025" t="str">
            <v/>
          </cell>
          <cell r="Q1025" t="str">
            <v/>
          </cell>
          <cell r="R1025">
            <v>68</v>
          </cell>
        </row>
        <row r="1026">
          <cell r="A1026" t="str">
            <v/>
          </cell>
          <cell r="B1026" t="str">
            <v/>
          </cell>
          <cell r="C1026" t="str">
            <v>Future</v>
          </cell>
          <cell r="D1026" t="e">
            <v>#N/A</v>
          </cell>
          <cell r="E1026">
            <v>-54.176669691699892</v>
          </cell>
          <cell r="F1026">
            <v>84.262065486167032</v>
          </cell>
          <cell r="G1026">
            <v>19.65732240316283</v>
          </cell>
          <cell r="H1026">
            <v>19.65732240316283</v>
          </cell>
          <cell r="I1026" t="e">
            <v>#N/A</v>
          </cell>
          <cell r="J1026" t="e">
            <v>#N/A</v>
          </cell>
          <cell r="K1026">
            <v>75</v>
          </cell>
          <cell r="L1026">
            <v>40</v>
          </cell>
          <cell r="M1026" t="e">
            <v>#N/A</v>
          </cell>
          <cell r="N1026">
            <v>68</v>
          </cell>
          <cell r="O1026" t="e">
            <v>#N/A</v>
          </cell>
          <cell r="P1026" t="str">
            <v/>
          </cell>
          <cell r="Q1026" t="str">
            <v/>
          </cell>
          <cell r="R1026">
            <v>68</v>
          </cell>
        </row>
        <row r="1027">
          <cell r="A1027" t="str">
            <v/>
          </cell>
          <cell r="B1027" t="str">
            <v/>
          </cell>
          <cell r="C1027" t="str">
            <v>Future</v>
          </cell>
          <cell r="D1027" t="e">
            <v>#N/A</v>
          </cell>
          <cell r="E1027">
            <v>-54.429831699605032</v>
          </cell>
          <cell r="F1027">
            <v>84.305346166008931</v>
          </cell>
          <cell r="G1027">
            <v>19.562263162056112</v>
          </cell>
          <cell r="H1027">
            <v>19.562263162056112</v>
          </cell>
          <cell r="I1027" t="e">
            <v>#N/A</v>
          </cell>
          <cell r="J1027" t="e">
            <v>#N/A</v>
          </cell>
          <cell r="K1027">
            <v>75</v>
          </cell>
          <cell r="L1027">
            <v>40</v>
          </cell>
          <cell r="M1027" t="e">
            <v>#N/A</v>
          </cell>
          <cell r="N1027">
            <v>68</v>
          </cell>
          <cell r="O1027" t="e">
            <v>#N/A</v>
          </cell>
          <cell r="P1027" t="str">
            <v/>
          </cell>
          <cell r="Q1027" t="str">
            <v/>
          </cell>
          <cell r="R1027">
            <v>68</v>
          </cell>
        </row>
        <row r="1028">
          <cell r="A1028" t="str">
            <v/>
          </cell>
          <cell r="B1028" t="str">
            <v/>
          </cell>
          <cell r="C1028" t="str">
            <v>Future</v>
          </cell>
          <cell r="D1028" t="e">
            <v>#N/A</v>
          </cell>
          <cell r="E1028">
            <v>-54.682993707510171</v>
          </cell>
          <cell r="F1028">
            <v>84.348626845850831</v>
          </cell>
          <cell r="G1028">
            <v>19.467203920949395</v>
          </cell>
          <cell r="H1028">
            <v>19.467203920949395</v>
          </cell>
          <cell r="I1028" t="e">
            <v>#N/A</v>
          </cell>
          <cell r="J1028" t="e">
            <v>#N/A</v>
          </cell>
          <cell r="K1028">
            <v>75</v>
          </cell>
          <cell r="L1028">
            <v>40</v>
          </cell>
          <cell r="M1028" t="e">
            <v>#N/A</v>
          </cell>
          <cell r="N1028">
            <v>68</v>
          </cell>
          <cell r="O1028" t="e">
            <v>#N/A</v>
          </cell>
          <cell r="P1028" t="str">
            <v/>
          </cell>
          <cell r="Q1028" t="str">
            <v/>
          </cell>
          <cell r="R1028">
            <v>68</v>
          </cell>
        </row>
        <row r="1029">
          <cell r="A1029" t="str">
            <v/>
          </cell>
          <cell r="B1029" t="str">
            <v/>
          </cell>
          <cell r="C1029" t="str">
            <v>Future</v>
          </cell>
          <cell r="D1029" t="e">
            <v>#N/A</v>
          </cell>
          <cell r="E1029">
            <v>-54.93615571541531</v>
          </cell>
          <cell r="F1029">
            <v>84.39190752569273</v>
          </cell>
          <cell r="G1029">
            <v>19.372144679842677</v>
          </cell>
          <cell r="H1029">
            <v>19.372144679842677</v>
          </cell>
          <cell r="I1029" t="e">
            <v>#N/A</v>
          </cell>
          <cell r="J1029" t="e">
            <v>#N/A</v>
          </cell>
          <cell r="K1029">
            <v>75</v>
          </cell>
          <cell r="L1029">
            <v>40</v>
          </cell>
          <cell r="M1029" t="e">
            <v>#N/A</v>
          </cell>
          <cell r="N1029">
            <v>68</v>
          </cell>
          <cell r="O1029" t="e">
            <v>#N/A</v>
          </cell>
          <cell r="P1029" t="str">
            <v/>
          </cell>
          <cell r="Q1029" t="str">
            <v/>
          </cell>
          <cell r="R1029">
            <v>68</v>
          </cell>
        </row>
        <row r="1030">
          <cell r="A1030" t="str">
            <v/>
          </cell>
          <cell r="B1030" t="str">
            <v/>
          </cell>
          <cell r="C1030" t="str">
            <v>Future</v>
          </cell>
          <cell r="D1030" t="e">
            <v>#N/A</v>
          </cell>
          <cell r="E1030">
            <v>-55.18931772332045</v>
          </cell>
          <cell r="F1030">
            <v>84.435188205534629</v>
          </cell>
          <cell r="G1030">
            <v>19.277085438735959</v>
          </cell>
          <cell r="H1030">
            <v>19.277085438735959</v>
          </cell>
          <cell r="I1030" t="e">
            <v>#N/A</v>
          </cell>
          <cell r="J1030" t="e">
            <v>#N/A</v>
          </cell>
          <cell r="K1030">
            <v>75</v>
          </cell>
          <cell r="L1030">
            <v>40</v>
          </cell>
          <cell r="M1030" t="e">
            <v>#N/A</v>
          </cell>
          <cell r="N1030">
            <v>68</v>
          </cell>
          <cell r="O1030" t="e">
            <v>#N/A</v>
          </cell>
          <cell r="P1030" t="str">
            <v/>
          </cell>
          <cell r="Q1030" t="str">
            <v/>
          </cell>
          <cell r="R1030">
            <v>68</v>
          </cell>
        </row>
        <row r="1031">
          <cell r="A1031" t="str">
            <v/>
          </cell>
          <cell r="B1031" t="str">
            <v/>
          </cell>
          <cell r="C1031" t="str">
            <v>Future</v>
          </cell>
          <cell r="D1031" t="e">
            <v>#N/A</v>
          </cell>
          <cell r="E1031">
            <v>-55.442479731225589</v>
          </cell>
          <cell r="F1031">
            <v>84.478468885376529</v>
          </cell>
          <cell r="G1031">
            <v>19.182026197629241</v>
          </cell>
          <cell r="H1031">
            <v>19.182026197629241</v>
          </cell>
          <cell r="I1031" t="e">
            <v>#N/A</v>
          </cell>
          <cell r="J1031" t="e">
            <v>#N/A</v>
          </cell>
          <cell r="K1031">
            <v>75</v>
          </cell>
          <cell r="L1031">
            <v>40</v>
          </cell>
          <cell r="M1031" t="e">
            <v>#N/A</v>
          </cell>
          <cell r="N1031">
            <v>68</v>
          </cell>
          <cell r="O1031" t="e">
            <v>#N/A</v>
          </cell>
          <cell r="P1031" t="str">
            <v/>
          </cell>
          <cell r="Q1031" t="str">
            <v/>
          </cell>
          <cell r="R1031">
            <v>68</v>
          </cell>
        </row>
        <row r="1032">
          <cell r="A1032" t="str">
            <v/>
          </cell>
          <cell r="B1032" t="str">
            <v/>
          </cell>
          <cell r="C1032" t="str">
            <v>Future</v>
          </cell>
          <cell r="D1032" t="e">
            <v>#N/A</v>
          </cell>
          <cell r="E1032">
            <v>-55.695641739130728</v>
          </cell>
          <cell r="F1032">
            <v>84.521749565218428</v>
          </cell>
          <cell r="G1032">
            <v>19.086966956522524</v>
          </cell>
          <cell r="H1032">
            <v>19.086966956522524</v>
          </cell>
          <cell r="I1032" t="e">
            <v>#N/A</v>
          </cell>
          <cell r="J1032" t="e">
            <v>#N/A</v>
          </cell>
          <cell r="K1032">
            <v>75</v>
          </cell>
          <cell r="L1032">
            <v>40</v>
          </cell>
          <cell r="M1032" t="e">
            <v>#N/A</v>
          </cell>
          <cell r="N1032">
            <v>68</v>
          </cell>
          <cell r="O1032" t="e">
            <v>#N/A</v>
          </cell>
          <cell r="P1032" t="str">
            <v/>
          </cell>
          <cell r="Q1032" t="str">
            <v/>
          </cell>
          <cell r="R1032">
            <v>68</v>
          </cell>
        </row>
        <row r="1033">
          <cell r="A1033" t="str">
            <v/>
          </cell>
          <cell r="B1033" t="str">
            <v/>
          </cell>
          <cell r="C1033" t="str">
            <v>Future</v>
          </cell>
          <cell r="D1033" t="e">
            <v>#N/A</v>
          </cell>
          <cell r="E1033">
            <v>-55.948803747035868</v>
          </cell>
          <cell r="F1033">
            <v>84.565030245060328</v>
          </cell>
          <cell r="G1033">
            <v>18.991907715415806</v>
          </cell>
          <cell r="H1033">
            <v>18.991907715415806</v>
          </cell>
          <cell r="I1033" t="e">
            <v>#N/A</v>
          </cell>
          <cell r="J1033" t="e">
            <v>#N/A</v>
          </cell>
          <cell r="K1033">
            <v>75</v>
          </cell>
          <cell r="L1033">
            <v>40</v>
          </cell>
          <cell r="M1033" t="e">
            <v>#N/A</v>
          </cell>
          <cell r="N1033">
            <v>68</v>
          </cell>
          <cell r="O1033" t="e">
            <v>#N/A</v>
          </cell>
          <cell r="P1033" t="str">
            <v/>
          </cell>
          <cell r="Q1033" t="str">
            <v/>
          </cell>
          <cell r="R1033">
            <v>68</v>
          </cell>
        </row>
        <row r="1034">
          <cell r="A1034" t="str">
            <v/>
          </cell>
          <cell r="B1034" t="str">
            <v/>
          </cell>
          <cell r="C1034" t="str">
            <v>Future</v>
          </cell>
          <cell r="D1034" t="e">
            <v>#N/A</v>
          </cell>
          <cell r="E1034">
            <v>-56.201965754941007</v>
          </cell>
          <cell r="F1034">
            <v>84.608310924902227</v>
          </cell>
          <cell r="G1034">
            <v>18.896848474309088</v>
          </cell>
          <cell r="H1034">
            <v>18.896848474309088</v>
          </cell>
          <cell r="I1034" t="e">
            <v>#N/A</v>
          </cell>
          <cell r="J1034" t="e">
            <v>#N/A</v>
          </cell>
          <cell r="K1034">
            <v>75</v>
          </cell>
          <cell r="L1034">
            <v>40</v>
          </cell>
          <cell r="M1034" t="e">
            <v>#N/A</v>
          </cell>
          <cell r="N1034">
            <v>68</v>
          </cell>
          <cell r="O1034" t="e">
            <v>#N/A</v>
          </cell>
          <cell r="P1034" t="str">
            <v/>
          </cell>
          <cell r="Q1034" t="str">
            <v/>
          </cell>
          <cell r="R1034">
            <v>68</v>
          </cell>
        </row>
        <row r="1035">
          <cell r="A1035" t="str">
            <v/>
          </cell>
          <cell r="B1035" t="str">
            <v/>
          </cell>
          <cell r="C1035" t="str">
            <v>Future</v>
          </cell>
          <cell r="D1035" t="e">
            <v>#N/A</v>
          </cell>
          <cell r="E1035">
            <v>-56.455127762846146</v>
          </cell>
          <cell r="F1035">
            <v>84.651591604744127</v>
          </cell>
          <cell r="G1035">
            <v>18.801789233202371</v>
          </cell>
          <cell r="H1035">
            <v>18.801789233202371</v>
          </cell>
          <cell r="I1035" t="e">
            <v>#N/A</v>
          </cell>
          <cell r="J1035" t="e">
            <v>#N/A</v>
          </cell>
          <cell r="K1035">
            <v>75</v>
          </cell>
          <cell r="L1035">
            <v>40</v>
          </cell>
          <cell r="M1035" t="e">
            <v>#N/A</v>
          </cell>
          <cell r="N1035">
            <v>68</v>
          </cell>
          <cell r="O1035" t="e">
            <v>#N/A</v>
          </cell>
          <cell r="P1035" t="str">
            <v/>
          </cell>
          <cell r="Q1035" t="str">
            <v/>
          </cell>
          <cell r="R1035">
            <v>68</v>
          </cell>
        </row>
        <row r="1036">
          <cell r="A1036" t="str">
            <v/>
          </cell>
          <cell r="B1036" t="str">
            <v/>
          </cell>
          <cell r="C1036" t="str">
            <v>Future</v>
          </cell>
          <cell r="D1036" t="e">
            <v>#N/A</v>
          </cell>
          <cell r="E1036">
            <v>-56.708289770751286</v>
          </cell>
          <cell r="F1036">
            <v>84.694872284586026</v>
          </cell>
          <cell r="G1036">
            <v>18.706729992095653</v>
          </cell>
          <cell r="H1036">
            <v>18.706729992095653</v>
          </cell>
          <cell r="I1036" t="e">
            <v>#N/A</v>
          </cell>
          <cell r="J1036" t="e">
            <v>#N/A</v>
          </cell>
          <cell r="K1036">
            <v>75</v>
          </cell>
          <cell r="L1036">
            <v>40</v>
          </cell>
          <cell r="M1036" t="e">
            <v>#N/A</v>
          </cell>
          <cell r="N1036">
            <v>68</v>
          </cell>
          <cell r="O1036" t="e">
            <v>#N/A</v>
          </cell>
          <cell r="P1036" t="str">
            <v/>
          </cell>
          <cell r="Q1036" t="str">
            <v/>
          </cell>
          <cell r="R1036">
            <v>68</v>
          </cell>
        </row>
        <row r="1037">
          <cell r="A1037" t="str">
            <v/>
          </cell>
          <cell r="B1037" t="str">
            <v/>
          </cell>
          <cell r="C1037" t="str">
            <v>Future</v>
          </cell>
          <cell r="D1037" t="e">
            <v>#N/A</v>
          </cell>
          <cell r="E1037">
            <v>-56.961451778656425</v>
          </cell>
          <cell r="F1037">
            <v>84.738152964427925</v>
          </cell>
          <cell r="G1037">
            <v>18.611670750988935</v>
          </cell>
          <cell r="H1037">
            <v>18.611670750988935</v>
          </cell>
          <cell r="I1037" t="e">
            <v>#N/A</v>
          </cell>
          <cell r="J1037" t="e">
            <v>#N/A</v>
          </cell>
          <cell r="K1037">
            <v>75</v>
          </cell>
          <cell r="L1037">
            <v>40</v>
          </cell>
          <cell r="M1037" t="e">
            <v>#N/A</v>
          </cell>
          <cell r="N1037">
            <v>68</v>
          </cell>
          <cell r="O1037" t="e">
            <v>#N/A</v>
          </cell>
          <cell r="P1037" t="str">
            <v/>
          </cell>
          <cell r="Q1037" t="str">
            <v/>
          </cell>
          <cell r="R1037">
            <v>68</v>
          </cell>
        </row>
        <row r="1038">
          <cell r="A1038" t="str">
            <v/>
          </cell>
          <cell r="B1038" t="str">
            <v/>
          </cell>
          <cell r="C1038" t="str">
            <v>Future</v>
          </cell>
          <cell r="D1038" t="e">
            <v>#N/A</v>
          </cell>
          <cell r="E1038">
            <v>-57.214613786561564</v>
          </cell>
          <cell r="F1038">
            <v>84.781433644269825</v>
          </cell>
          <cell r="G1038">
            <v>18.516611509882217</v>
          </cell>
          <cell r="H1038">
            <v>18.516611509882217</v>
          </cell>
          <cell r="I1038" t="e">
            <v>#N/A</v>
          </cell>
          <cell r="J1038" t="e">
            <v>#N/A</v>
          </cell>
          <cell r="K1038">
            <v>75</v>
          </cell>
          <cell r="L1038">
            <v>40</v>
          </cell>
          <cell r="M1038" t="e">
            <v>#N/A</v>
          </cell>
          <cell r="N1038">
            <v>68</v>
          </cell>
          <cell r="O1038" t="e">
            <v>#N/A</v>
          </cell>
          <cell r="P1038" t="str">
            <v/>
          </cell>
          <cell r="Q1038" t="str">
            <v/>
          </cell>
          <cell r="R1038">
            <v>68</v>
          </cell>
        </row>
        <row r="1039">
          <cell r="A1039" t="str">
            <v/>
          </cell>
          <cell r="B1039" t="str">
            <v/>
          </cell>
          <cell r="C1039" t="str">
            <v>Future</v>
          </cell>
          <cell r="D1039" t="e">
            <v>#N/A</v>
          </cell>
          <cell r="E1039">
            <v>-57.467775794466704</v>
          </cell>
          <cell r="F1039">
            <v>84.824714324111724</v>
          </cell>
          <cell r="G1039">
            <v>18.4215522687755</v>
          </cell>
          <cell r="H1039">
            <v>18.4215522687755</v>
          </cell>
          <cell r="I1039" t="e">
            <v>#N/A</v>
          </cell>
          <cell r="J1039" t="e">
            <v>#N/A</v>
          </cell>
          <cell r="K1039">
            <v>75</v>
          </cell>
          <cell r="L1039">
            <v>40</v>
          </cell>
          <cell r="M1039" t="e">
            <v>#N/A</v>
          </cell>
          <cell r="N1039">
            <v>68</v>
          </cell>
          <cell r="O1039" t="e">
            <v>#N/A</v>
          </cell>
          <cell r="P1039" t="str">
            <v/>
          </cell>
          <cell r="Q1039" t="str">
            <v/>
          </cell>
          <cell r="R1039">
            <v>68</v>
          </cell>
        </row>
        <row r="1040">
          <cell r="A1040" t="str">
            <v/>
          </cell>
          <cell r="B1040" t="str">
            <v/>
          </cell>
          <cell r="C1040" t="str">
            <v>Future</v>
          </cell>
          <cell r="D1040" t="e">
            <v>#N/A</v>
          </cell>
          <cell r="E1040">
            <v>-57.720937802371843</v>
          </cell>
          <cell r="F1040">
            <v>84.867995003953624</v>
          </cell>
          <cell r="G1040">
            <v>18.326493027668782</v>
          </cell>
          <cell r="H1040">
            <v>18.326493027668782</v>
          </cell>
          <cell r="I1040" t="e">
            <v>#N/A</v>
          </cell>
          <cell r="J1040" t="e">
            <v>#N/A</v>
          </cell>
          <cell r="K1040">
            <v>75</v>
          </cell>
          <cell r="L1040">
            <v>40</v>
          </cell>
          <cell r="M1040" t="e">
            <v>#N/A</v>
          </cell>
          <cell r="N1040">
            <v>68</v>
          </cell>
          <cell r="O1040" t="e">
            <v>#N/A</v>
          </cell>
          <cell r="P1040" t="str">
            <v/>
          </cell>
          <cell r="Q1040" t="str">
            <v/>
          </cell>
          <cell r="R1040">
            <v>68</v>
          </cell>
        </row>
        <row r="1041">
          <cell r="A1041" t="str">
            <v/>
          </cell>
          <cell r="B1041" t="str">
            <v/>
          </cell>
          <cell r="C1041" t="str">
            <v>Future</v>
          </cell>
          <cell r="D1041" t="e">
            <v>#N/A</v>
          </cell>
          <cell r="E1041">
            <v>-57.974099810276982</v>
          </cell>
          <cell r="F1041">
            <v>84.911275683795523</v>
          </cell>
          <cell r="G1041">
            <v>18.231433786562064</v>
          </cell>
          <cell r="H1041">
            <v>18.231433786562064</v>
          </cell>
          <cell r="I1041" t="e">
            <v>#N/A</v>
          </cell>
          <cell r="J1041" t="e">
            <v>#N/A</v>
          </cell>
          <cell r="K1041">
            <v>75</v>
          </cell>
          <cell r="L1041">
            <v>40</v>
          </cell>
          <cell r="M1041" t="e">
            <v>#N/A</v>
          </cell>
          <cell r="N1041">
            <v>68</v>
          </cell>
          <cell r="O1041" t="e">
            <v>#N/A</v>
          </cell>
          <cell r="P1041" t="str">
            <v/>
          </cell>
          <cell r="Q1041" t="str">
            <v/>
          </cell>
          <cell r="R1041">
            <v>68</v>
          </cell>
        </row>
        <row r="1042">
          <cell r="A1042" t="str">
            <v/>
          </cell>
          <cell r="B1042" t="str">
            <v/>
          </cell>
          <cell r="C1042" t="str">
            <v>Future</v>
          </cell>
          <cell r="D1042" t="e">
            <v>#N/A</v>
          </cell>
          <cell r="E1042">
            <v>-58.227261818182122</v>
          </cell>
          <cell r="F1042">
            <v>84.954556363637423</v>
          </cell>
          <cell r="G1042">
            <v>18.136374545455347</v>
          </cell>
          <cell r="H1042">
            <v>18.136374545455347</v>
          </cell>
          <cell r="I1042" t="e">
            <v>#N/A</v>
          </cell>
          <cell r="J1042" t="e">
            <v>#N/A</v>
          </cell>
          <cell r="K1042">
            <v>75</v>
          </cell>
          <cell r="L1042">
            <v>40</v>
          </cell>
          <cell r="M1042" t="e">
            <v>#N/A</v>
          </cell>
          <cell r="N1042">
            <v>68</v>
          </cell>
          <cell r="O1042" t="e">
            <v>#N/A</v>
          </cell>
          <cell r="P1042" t="str">
            <v/>
          </cell>
          <cell r="Q1042" t="str">
            <v/>
          </cell>
          <cell r="R1042">
            <v>68</v>
          </cell>
        </row>
        <row r="1043">
          <cell r="A1043" t="str">
            <v/>
          </cell>
          <cell r="B1043" t="str">
            <v/>
          </cell>
          <cell r="C1043" t="str">
            <v>Future</v>
          </cell>
          <cell r="D1043" t="e">
            <v>#N/A</v>
          </cell>
          <cell r="E1043">
            <v>-58.480423826087261</v>
          </cell>
          <cell r="F1043">
            <v>84.997837043479322</v>
          </cell>
          <cell r="G1043">
            <v>18.041315304348629</v>
          </cell>
          <cell r="H1043">
            <v>18.041315304348629</v>
          </cell>
          <cell r="I1043" t="e">
            <v>#N/A</v>
          </cell>
          <cell r="J1043" t="e">
            <v>#N/A</v>
          </cell>
          <cell r="K1043">
            <v>75</v>
          </cell>
          <cell r="L1043">
            <v>40</v>
          </cell>
          <cell r="M1043" t="e">
            <v>#N/A</v>
          </cell>
          <cell r="N1043">
            <v>68</v>
          </cell>
          <cell r="O1043" t="e">
            <v>#N/A</v>
          </cell>
          <cell r="P1043" t="str">
            <v/>
          </cell>
          <cell r="Q1043" t="str">
            <v/>
          </cell>
          <cell r="R1043">
            <v>68</v>
          </cell>
        </row>
        <row r="1044">
          <cell r="A1044" t="str">
            <v/>
          </cell>
          <cell r="B1044" t="str">
            <v/>
          </cell>
          <cell r="C1044" t="str">
            <v>Future</v>
          </cell>
          <cell r="D1044" t="e">
            <v>#N/A</v>
          </cell>
          <cell r="E1044">
            <v>-58.7335858339924</v>
          </cell>
          <cell r="F1044">
            <v>85.041117723321221</v>
          </cell>
          <cell r="G1044">
            <v>17.946256063241911</v>
          </cell>
          <cell r="H1044">
            <v>17.946256063241911</v>
          </cell>
          <cell r="I1044" t="e">
            <v>#N/A</v>
          </cell>
          <cell r="J1044" t="e">
            <v>#N/A</v>
          </cell>
          <cell r="K1044">
            <v>75</v>
          </cell>
          <cell r="L1044">
            <v>40</v>
          </cell>
          <cell r="M1044" t="e">
            <v>#N/A</v>
          </cell>
          <cell r="N1044">
            <v>68</v>
          </cell>
          <cell r="O1044" t="e">
            <v>#N/A</v>
          </cell>
          <cell r="P1044" t="str">
            <v/>
          </cell>
          <cell r="Q1044" t="str">
            <v/>
          </cell>
          <cell r="R1044">
            <v>68</v>
          </cell>
        </row>
        <row r="1045">
          <cell r="A1045" t="str">
            <v/>
          </cell>
          <cell r="B1045" t="str">
            <v/>
          </cell>
          <cell r="C1045" t="str">
            <v>Future</v>
          </cell>
          <cell r="D1045" t="e">
            <v>#N/A</v>
          </cell>
          <cell r="E1045">
            <v>-58.98674784189754</v>
          </cell>
          <cell r="F1045">
            <v>85.084398403163121</v>
          </cell>
          <cell r="G1045">
            <v>17.851196822135194</v>
          </cell>
          <cell r="H1045">
            <v>17.851196822135194</v>
          </cell>
          <cell r="I1045" t="e">
            <v>#N/A</v>
          </cell>
          <cell r="J1045" t="e">
            <v>#N/A</v>
          </cell>
          <cell r="K1045">
            <v>75</v>
          </cell>
          <cell r="L1045">
            <v>40</v>
          </cell>
          <cell r="M1045" t="e">
            <v>#N/A</v>
          </cell>
          <cell r="N1045">
            <v>68</v>
          </cell>
          <cell r="O1045" t="e">
            <v>#N/A</v>
          </cell>
          <cell r="P1045" t="str">
            <v/>
          </cell>
          <cell r="Q1045" t="str">
            <v/>
          </cell>
          <cell r="R1045">
            <v>68</v>
          </cell>
        </row>
        <row r="1046">
          <cell r="A1046" t="str">
            <v/>
          </cell>
          <cell r="B1046" t="str">
            <v/>
          </cell>
          <cell r="C1046" t="str">
            <v>Future</v>
          </cell>
          <cell r="D1046" t="e">
            <v>#N/A</v>
          </cell>
          <cell r="E1046">
            <v>-59.239909849802679</v>
          </cell>
          <cell r="F1046">
            <v>85.12767908300502</v>
          </cell>
          <cell r="G1046">
            <v>17.756137581028476</v>
          </cell>
          <cell r="H1046">
            <v>17.756137581028476</v>
          </cell>
          <cell r="I1046" t="e">
            <v>#N/A</v>
          </cell>
          <cell r="J1046" t="e">
            <v>#N/A</v>
          </cell>
          <cell r="K1046">
            <v>75</v>
          </cell>
          <cell r="L1046">
            <v>40</v>
          </cell>
          <cell r="M1046" t="e">
            <v>#N/A</v>
          </cell>
          <cell r="N1046">
            <v>68</v>
          </cell>
          <cell r="O1046" t="e">
            <v>#N/A</v>
          </cell>
          <cell r="P1046" t="str">
            <v/>
          </cell>
          <cell r="Q1046" t="str">
            <v/>
          </cell>
          <cell r="R1046">
            <v>68</v>
          </cell>
        </row>
        <row r="1047">
          <cell r="A1047" t="str">
            <v/>
          </cell>
          <cell r="B1047" t="str">
            <v/>
          </cell>
          <cell r="C1047" t="str">
            <v>Future</v>
          </cell>
          <cell r="D1047" t="e">
            <v>#N/A</v>
          </cell>
          <cell r="E1047">
            <v>-59.493071857707818</v>
          </cell>
          <cell r="F1047">
            <v>85.17095976284692</v>
          </cell>
          <cell r="G1047">
            <v>17.661078339921758</v>
          </cell>
          <cell r="H1047">
            <v>17.661078339921758</v>
          </cell>
          <cell r="I1047" t="e">
            <v>#N/A</v>
          </cell>
          <cell r="J1047" t="e">
            <v>#N/A</v>
          </cell>
          <cell r="K1047">
            <v>75</v>
          </cell>
          <cell r="L1047">
            <v>40</v>
          </cell>
          <cell r="M1047" t="e">
            <v>#N/A</v>
          </cell>
          <cell r="N1047">
            <v>68</v>
          </cell>
          <cell r="O1047" t="e">
            <v>#N/A</v>
          </cell>
          <cell r="P1047" t="str">
            <v/>
          </cell>
          <cell r="Q1047" t="str">
            <v/>
          </cell>
          <cell r="R1047">
            <v>68</v>
          </cell>
        </row>
        <row r="1048">
          <cell r="A1048" t="str">
            <v/>
          </cell>
          <cell r="B1048" t="str">
            <v/>
          </cell>
          <cell r="C1048" t="str">
            <v>Future</v>
          </cell>
          <cell r="D1048" t="e">
            <v>#N/A</v>
          </cell>
          <cell r="E1048">
            <v>-59.746233865612957</v>
          </cell>
          <cell r="F1048">
            <v>85.214240442688819</v>
          </cell>
          <cell r="G1048">
            <v>17.56601909881504</v>
          </cell>
          <cell r="H1048">
            <v>17.56601909881504</v>
          </cell>
          <cell r="I1048" t="e">
            <v>#N/A</v>
          </cell>
          <cell r="J1048" t="e">
            <v>#N/A</v>
          </cell>
          <cell r="K1048">
            <v>75</v>
          </cell>
          <cell r="L1048">
            <v>40</v>
          </cell>
          <cell r="M1048" t="e">
            <v>#N/A</v>
          </cell>
          <cell r="N1048">
            <v>68</v>
          </cell>
          <cell r="O1048" t="e">
            <v>#N/A</v>
          </cell>
          <cell r="P1048" t="str">
            <v/>
          </cell>
          <cell r="Q1048" t="str">
            <v/>
          </cell>
          <cell r="R1048">
            <v>68</v>
          </cell>
        </row>
        <row r="1049">
          <cell r="A1049" t="str">
            <v/>
          </cell>
          <cell r="B1049" t="str">
            <v/>
          </cell>
          <cell r="C1049" t="str">
            <v>Future</v>
          </cell>
          <cell r="D1049" t="e">
            <v>#N/A</v>
          </cell>
          <cell r="E1049">
            <v>-59.999395873518097</v>
          </cell>
          <cell r="F1049">
            <v>85.257521122530719</v>
          </cell>
          <cell r="G1049">
            <v>17.470959857708323</v>
          </cell>
          <cell r="H1049">
            <v>17.470959857708323</v>
          </cell>
          <cell r="I1049" t="e">
            <v>#N/A</v>
          </cell>
          <cell r="J1049" t="e">
            <v>#N/A</v>
          </cell>
          <cell r="K1049">
            <v>75</v>
          </cell>
          <cell r="L1049">
            <v>40</v>
          </cell>
          <cell r="M1049" t="e">
            <v>#N/A</v>
          </cell>
          <cell r="N1049">
            <v>68</v>
          </cell>
          <cell r="O1049" t="e">
            <v>#N/A</v>
          </cell>
          <cell r="P1049" t="str">
            <v/>
          </cell>
          <cell r="Q1049" t="str">
            <v/>
          </cell>
          <cell r="R1049">
            <v>68</v>
          </cell>
        </row>
        <row r="1050">
          <cell r="A1050" t="str">
            <v/>
          </cell>
          <cell r="B1050" t="str">
            <v/>
          </cell>
          <cell r="C1050" t="str">
            <v>Future</v>
          </cell>
          <cell r="D1050" t="e">
            <v>#N/A</v>
          </cell>
          <cell r="E1050">
            <v>-60.252557881423236</v>
          </cell>
          <cell r="F1050">
            <v>85.300801802372618</v>
          </cell>
          <cell r="G1050">
            <v>17.375900616601605</v>
          </cell>
          <cell r="H1050">
            <v>17.375900616601605</v>
          </cell>
          <cell r="I1050" t="e">
            <v>#N/A</v>
          </cell>
          <cell r="J1050" t="e">
            <v>#N/A</v>
          </cell>
          <cell r="K1050">
            <v>75</v>
          </cell>
          <cell r="L1050">
            <v>40</v>
          </cell>
          <cell r="M1050" t="e">
            <v>#N/A</v>
          </cell>
          <cell r="N1050">
            <v>68</v>
          </cell>
          <cell r="O1050" t="e">
            <v>#N/A</v>
          </cell>
          <cell r="P1050" t="str">
            <v/>
          </cell>
          <cell r="Q1050" t="str">
            <v/>
          </cell>
          <cell r="R1050">
            <v>68</v>
          </cell>
        </row>
        <row r="1051">
          <cell r="A1051" t="str">
            <v/>
          </cell>
          <cell r="B1051" t="str">
            <v/>
          </cell>
          <cell r="C1051" t="str">
            <v>Future</v>
          </cell>
          <cell r="D1051" t="e">
            <v>#N/A</v>
          </cell>
          <cell r="E1051">
            <v>-60.505719889328375</v>
          </cell>
          <cell r="F1051">
            <v>85.344082482214517</v>
          </cell>
          <cell r="G1051">
            <v>17.280841375494887</v>
          </cell>
          <cell r="H1051">
            <v>17.280841375494887</v>
          </cell>
          <cell r="I1051" t="e">
            <v>#N/A</v>
          </cell>
          <cell r="J1051" t="e">
            <v>#N/A</v>
          </cell>
          <cell r="K1051">
            <v>75</v>
          </cell>
          <cell r="L1051">
            <v>40</v>
          </cell>
          <cell r="M1051" t="e">
            <v>#N/A</v>
          </cell>
          <cell r="N1051">
            <v>68</v>
          </cell>
          <cell r="O1051" t="e">
            <v>#N/A</v>
          </cell>
          <cell r="P1051" t="str">
            <v/>
          </cell>
          <cell r="Q1051" t="str">
            <v/>
          </cell>
          <cell r="R1051">
            <v>68</v>
          </cell>
        </row>
        <row r="1052">
          <cell r="A1052" t="str">
            <v/>
          </cell>
          <cell r="B1052" t="str">
            <v/>
          </cell>
          <cell r="C1052" t="str">
            <v>Future</v>
          </cell>
          <cell r="D1052" t="e">
            <v>#N/A</v>
          </cell>
          <cell r="E1052">
            <v>-60.758881897233515</v>
          </cell>
          <cell r="F1052">
            <v>85.387363162056417</v>
          </cell>
          <cell r="G1052">
            <v>17.18578213438817</v>
          </cell>
          <cell r="H1052">
            <v>17.18578213438817</v>
          </cell>
          <cell r="I1052" t="e">
            <v>#N/A</v>
          </cell>
          <cell r="J1052" t="e">
            <v>#N/A</v>
          </cell>
          <cell r="K1052">
            <v>75</v>
          </cell>
          <cell r="L1052">
            <v>40</v>
          </cell>
          <cell r="M1052" t="e">
            <v>#N/A</v>
          </cell>
          <cell r="N1052">
            <v>68</v>
          </cell>
          <cell r="O1052" t="e">
            <v>#N/A</v>
          </cell>
          <cell r="P1052" t="str">
            <v/>
          </cell>
          <cell r="Q1052" t="str">
            <v/>
          </cell>
          <cell r="R1052">
            <v>68</v>
          </cell>
        </row>
        <row r="1053">
          <cell r="A1053" t="str">
            <v/>
          </cell>
          <cell r="B1053" t="str">
            <v/>
          </cell>
          <cell r="C1053" t="str">
            <v>Future</v>
          </cell>
          <cell r="D1053" t="e">
            <v>#N/A</v>
          </cell>
          <cell r="E1053">
            <v>-61.012043905138654</v>
          </cell>
          <cell r="F1053">
            <v>85.430643841898316</v>
          </cell>
          <cell r="G1053">
            <v>17.090722893281452</v>
          </cell>
          <cell r="H1053">
            <v>17.090722893281452</v>
          </cell>
          <cell r="I1053" t="e">
            <v>#N/A</v>
          </cell>
          <cell r="J1053" t="e">
            <v>#N/A</v>
          </cell>
          <cell r="K1053">
            <v>75</v>
          </cell>
          <cell r="L1053">
            <v>40</v>
          </cell>
          <cell r="M1053" t="e">
            <v>#N/A</v>
          </cell>
          <cell r="N1053">
            <v>68</v>
          </cell>
          <cell r="O1053" t="e">
            <v>#N/A</v>
          </cell>
          <cell r="P1053" t="str">
            <v/>
          </cell>
          <cell r="Q1053" t="str">
            <v/>
          </cell>
          <cell r="R1053">
            <v>68</v>
          </cell>
        </row>
        <row r="1054">
          <cell r="A1054" t="str">
            <v/>
          </cell>
          <cell r="B1054" t="str">
            <v/>
          </cell>
          <cell r="C1054" t="str">
            <v>Future</v>
          </cell>
          <cell r="D1054" t="e">
            <v>#N/A</v>
          </cell>
          <cell r="E1054">
            <v>-61.265205913043793</v>
          </cell>
          <cell r="F1054">
            <v>85.473924521740216</v>
          </cell>
          <cell r="G1054">
            <v>16.995663652174734</v>
          </cell>
          <cell r="H1054">
            <v>16.995663652174734</v>
          </cell>
          <cell r="I1054" t="e">
            <v>#N/A</v>
          </cell>
          <cell r="J1054" t="e">
            <v>#N/A</v>
          </cell>
          <cell r="K1054">
            <v>75</v>
          </cell>
          <cell r="L1054">
            <v>40</v>
          </cell>
          <cell r="M1054" t="e">
            <v>#N/A</v>
          </cell>
          <cell r="N1054">
            <v>68</v>
          </cell>
          <cell r="O1054" t="e">
            <v>#N/A</v>
          </cell>
          <cell r="P1054" t="str">
            <v/>
          </cell>
          <cell r="Q1054" t="str">
            <v/>
          </cell>
          <cell r="R1054">
            <v>68</v>
          </cell>
        </row>
        <row r="1055">
          <cell r="A1055" t="str">
            <v/>
          </cell>
          <cell r="B1055" t="str">
            <v/>
          </cell>
          <cell r="C1055" t="str">
            <v>Future</v>
          </cell>
          <cell r="D1055" t="e">
            <v>#N/A</v>
          </cell>
          <cell r="E1055">
            <v>-61.518367920948933</v>
          </cell>
          <cell r="F1055">
            <v>85.517205201582115</v>
          </cell>
          <cell r="G1055">
            <v>16.900604411068016</v>
          </cell>
          <cell r="H1055">
            <v>16.900604411068016</v>
          </cell>
          <cell r="I1055" t="e">
            <v>#N/A</v>
          </cell>
          <cell r="J1055" t="e">
            <v>#N/A</v>
          </cell>
          <cell r="K1055">
            <v>75</v>
          </cell>
          <cell r="L1055">
            <v>40</v>
          </cell>
          <cell r="M1055" t="e">
            <v>#N/A</v>
          </cell>
          <cell r="N1055">
            <v>68</v>
          </cell>
          <cell r="O1055" t="e">
            <v>#N/A</v>
          </cell>
          <cell r="P1055" t="str">
            <v/>
          </cell>
          <cell r="Q1055" t="str">
            <v/>
          </cell>
          <cell r="R1055">
            <v>68</v>
          </cell>
        </row>
        <row r="1056">
          <cell r="A1056" t="str">
            <v/>
          </cell>
          <cell r="B1056" t="str">
            <v/>
          </cell>
          <cell r="C1056" t="str">
            <v>Future</v>
          </cell>
          <cell r="D1056" t="e">
            <v>#N/A</v>
          </cell>
          <cell r="E1056">
            <v>-61.771529928854072</v>
          </cell>
          <cell r="F1056">
            <v>85.560485881424015</v>
          </cell>
          <cell r="G1056">
            <v>16.805545169961299</v>
          </cell>
          <cell r="H1056">
            <v>16.805545169961299</v>
          </cell>
          <cell r="I1056" t="e">
            <v>#N/A</v>
          </cell>
          <cell r="J1056" t="e">
            <v>#N/A</v>
          </cell>
          <cell r="K1056">
            <v>75</v>
          </cell>
          <cell r="L1056">
            <v>40</v>
          </cell>
          <cell r="M1056" t="e">
            <v>#N/A</v>
          </cell>
          <cell r="N1056">
            <v>68</v>
          </cell>
          <cell r="O1056" t="e">
            <v>#N/A</v>
          </cell>
          <cell r="P1056" t="str">
            <v/>
          </cell>
          <cell r="Q1056" t="str">
            <v/>
          </cell>
          <cell r="R1056">
            <v>68</v>
          </cell>
        </row>
        <row r="1057">
          <cell r="A1057" t="str">
            <v/>
          </cell>
          <cell r="B1057" t="str">
            <v/>
          </cell>
          <cell r="C1057" t="str">
            <v>Future</v>
          </cell>
          <cell r="D1057" t="e">
            <v>#N/A</v>
          </cell>
          <cell r="E1057">
            <v>-62.024691936759211</v>
          </cell>
          <cell r="F1057">
            <v>85.603766561265914</v>
          </cell>
          <cell r="G1057">
            <v>16.710485928854581</v>
          </cell>
          <cell r="H1057">
            <v>16.710485928854581</v>
          </cell>
          <cell r="I1057" t="e">
            <v>#N/A</v>
          </cell>
          <cell r="J1057" t="e">
            <v>#N/A</v>
          </cell>
          <cell r="K1057">
            <v>75</v>
          </cell>
          <cell r="L1057">
            <v>40</v>
          </cell>
          <cell r="M1057" t="e">
            <v>#N/A</v>
          </cell>
          <cell r="N1057">
            <v>68</v>
          </cell>
          <cell r="O1057" t="e">
            <v>#N/A</v>
          </cell>
          <cell r="P1057" t="str">
            <v/>
          </cell>
          <cell r="Q1057" t="str">
            <v/>
          </cell>
          <cell r="R1057">
            <v>68</v>
          </cell>
        </row>
        <row r="1058">
          <cell r="A1058" t="str">
            <v/>
          </cell>
          <cell r="B1058" t="str">
            <v/>
          </cell>
          <cell r="C1058" t="str">
            <v>Future</v>
          </cell>
          <cell r="D1058" t="e">
            <v>#N/A</v>
          </cell>
          <cell r="E1058">
            <v>-62.277853944664351</v>
          </cell>
          <cell r="F1058">
            <v>85.647047241107813</v>
          </cell>
          <cell r="G1058">
            <v>16.615426687747863</v>
          </cell>
          <cell r="H1058">
            <v>16.615426687747863</v>
          </cell>
          <cell r="I1058" t="e">
            <v>#N/A</v>
          </cell>
          <cell r="J1058" t="e">
            <v>#N/A</v>
          </cell>
          <cell r="K1058">
            <v>75</v>
          </cell>
          <cell r="L1058">
            <v>40</v>
          </cell>
          <cell r="M1058" t="e">
            <v>#N/A</v>
          </cell>
          <cell r="N1058">
            <v>68</v>
          </cell>
          <cell r="O1058" t="e">
            <v>#N/A</v>
          </cell>
          <cell r="P1058" t="str">
            <v/>
          </cell>
          <cell r="Q1058" t="str">
            <v/>
          </cell>
          <cell r="R1058">
            <v>68</v>
          </cell>
        </row>
        <row r="1059">
          <cell r="A1059" t="str">
            <v/>
          </cell>
          <cell r="B1059" t="str">
            <v/>
          </cell>
          <cell r="C1059" t="str">
            <v>Future</v>
          </cell>
          <cell r="D1059" t="e">
            <v>#N/A</v>
          </cell>
          <cell r="E1059">
            <v>-62.53101595256949</v>
          </cell>
          <cell r="F1059">
            <v>85.690327920949713</v>
          </cell>
          <cell r="G1059">
            <v>16.520367446641146</v>
          </cell>
          <cell r="H1059">
            <v>16.520367446641146</v>
          </cell>
          <cell r="I1059" t="e">
            <v>#N/A</v>
          </cell>
          <cell r="J1059" t="e">
            <v>#N/A</v>
          </cell>
          <cell r="K1059">
            <v>75</v>
          </cell>
          <cell r="L1059">
            <v>40</v>
          </cell>
          <cell r="M1059" t="e">
            <v>#N/A</v>
          </cell>
          <cell r="N1059">
            <v>68</v>
          </cell>
          <cell r="O1059" t="e">
            <v>#N/A</v>
          </cell>
          <cell r="P1059" t="str">
            <v/>
          </cell>
          <cell r="Q1059" t="str">
            <v/>
          </cell>
          <cell r="R1059">
            <v>68</v>
          </cell>
        </row>
        <row r="1060">
          <cell r="A1060" t="str">
            <v/>
          </cell>
          <cell r="B1060" t="str">
            <v/>
          </cell>
          <cell r="C1060" t="str">
            <v>Future</v>
          </cell>
          <cell r="D1060" t="e">
            <v>#N/A</v>
          </cell>
          <cell r="E1060">
            <v>-62.784177960474629</v>
          </cell>
          <cell r="F1060">
            <v>85.733608600791612</v>
          </cell>
          <cell r="G1060">
            <v>16.425308205534428</v>
          </cell>
          <cell r="H1060">
            <v>16.425308205534428</v>
          </cell>
          <cell r="I1060" t="e">
            <v>#N/A</v>
          </cell>
          <cell r="J1060" t="e">
            <v>#N/A</v>
          </cell>
          <cell r="K1060">
            <v>75</v>
          </cell>
          <cell r="L1060">
            <v>40</v>
          </cell>
          <cell r="M1060" t="e">
            <v>#N/A</v>
          </cell>
          <cell r="N1060">
            <v>68</v>
          </cell>
          <cell r="O1060" t="e">
            <v>#N/A</v>
          </cell>
          <cell r="P1060" t="str">
            <v/>
          </cell>
          <cell r="Q1060" t="str">
            <v/>
          </cell>
          <cell r="R1060">
            <v>68</v>
          </cell>
        </row>
        <row r="1061">
          <cell r="A1061" t="str">
            <v/>
          </cell>
          <cell r="B1061" t="str">
            <v/>
          </cell>
          <cell r="C1061" t="str">
            <v>Future</v>
          </cell>
          <cell r="D1061" t="e">
            <v>#N/A</v>
          </cell>
          <cell r="E1061">
            <v>-63.037339968379769</v>
          </cell>
          <cell r="F1061">
            <v>85.776889280633512</v>
          </cell>
          <cell r="G1061">
            <v>16.33024896442771</v>
          </cell>
          <cell r="H1061">
            <v>16.33024896442771</v>
          </cell>
          <cell r="I1061" t="e">
            <v>#N/A</v>
          </cell>
          <cell r="J1061" t="e">
            <v>#N/A</v>
          </cell>
          <cell r="K1061">
            <v>75</v>
          </cell>
          <cell r="L1061">
            <v>40</v>
          </cell>
          <cell r="M1061" t="e">
            <v>#N/A</v>
          </cell>
          <cell r="N1061">
            <v>68</v>
          </cell>
          <cell r="O1061" t="e">
            <v>#N/A</v>
          </cell>
          <cell r="P1061" t="str">
            <v/>
          </cell>
          <cell r="Q1061" t="str">
            <v/>
          </cell>
          <cell r="R1061">
            <v>68</v>
          </cell>
        </row>
        <row r="1062">
          <cell r="A1062" t="str">
            <v/>
          </cell>
          <cell r="B1062" t="str">
            <v/>
          </cell>
          <cell r="C1062" t="str">
            <v>Future</v>
          </cell>
          <cell r="D1062" t="e">
            <v>#N/A</v>
          </cell>
          <cell r="E1062">
            <v>-63.290501976284908</v>
          </cell>
          <cell r="F1062">
            <v>85.820169960475411</v>
          </cell>
          <cell r="G1062">
            <v>16.235189723320993</v>
          </cell>
          <cell r="H1062">
            <v>16.235189723320993</v>
          </cell>
          <cell r="I1062" t="e">
            <v>#N/A</v>
          </cell>
          <cell r="J1062" t="e">
            <v>#N/A</v>
          </cell>
          <cell r="K1062">
            <v>75</v>
          </cell>
          <cell r="L1062">
            <v>40</v>
          </cell>
          <cell r="M1062" t="e">
            <v>#N/A</v>
          </cell>
          <cell r="N1062">
            <v>68</v>
          </cell>
          <cell r="O1062" t="e">
            <v>#N/A</v>
          </cell>
          <cell r="P1062" t="str">
            <v/>
          </cell>
          <cell r="Q1062" t="str">
            <v/>
          </cell>
          <cell r="R1062">
            <v>68</v>
          </cell>
        </row>
        <row r="1063">
          <cell r="A1063" t="str">
            <v/>
          </cell>
          <cell r="B1063" t="str">
            <v/>
          </cell>
          <cell r="C1063" t="str">
            <v>Future</v>
          </cell>
          <cell r="D1063" t="e">
            <v>#N/A</v>
          </cell>
          <cell r="E1063">
            <v>-63.543663984190047</v>
          </cell>
          <cell r="F1063">
            <v>85.863450640317311</v>
          </cell>
          <cell r="G1063">
            <v>16.140130482214275</v>
          </cell>
          <cell r="H1063">
            <v>16.140130482214275</v>
          </cell>
          <cell r="I1063" t="e">
            <v>#N/A</v>
          </cell>
          <cell r="J1063" t="e">
            <v>#N/A</v>
          </cell>
          <cell r="K1063">
            <v>75</v>
          </cell>
          <cell r="L1063">
            <v>40</v>
          </cell>
          <cell r="M1063" t="e">
            <v>#N/A</v>
          </cell>
          <cell r="N1063">
            <v>68</v>
          </cell>
          <cell r="O1063" t="e">
            <v>#N/A</v>
          </cell>
          <cell r="P1063" t="str">
            <v/>
          </cell>
          <cell r="Q1063" t="str">
            <v/>
          </cell>
          <cell r="R1063">
            <v>68</v>
          </cell>
        </row>
        <row r="1064">
          <cell r="A1064" t="str">
            <v/>
          </cell>
          <cell r="B1064" t="str">
            <v/>
          </cell>
          <cell r="C1064" t="str">
            <v>Future</v>
          </cell>
          <cell r="D1064" t="e">
            <v>#N/A</v>
          </cell>
          <cell r="E1064">
            <v>-63.796825992095187</v>
          </cell>
          <cell r="F1064">
            <v>85.90673132015921</v>
          </cell>
          <cell r="G1064">
            <v>16.045071241107557</v>
          </cell>
          <cell r="H1064">
            <v>16.045071241107557</v>
          </cell>
          <cell r="I1064" t="e">
            <v>#N/A</v>
          </cell>
          <cell r="J1064" t="e">
            <v>#N/A</v>
          </cell>
          <cell r="K1064">
            <v>75</v>
          </cell>
          <cell r="L1064">
            <v>40</v>
          </cell>
          <cell r="M1064" t="e">
            <v>#N/A</v>
          </cell>
          <cell r="N1064">
            <v>68</v>
          </cell>
          <cell r="O1064" t="e">
            <v>#N/A</v>
          </cell>
          <cell r="P1064" t="str">
            <v/>
          </cell>
          <cell r="Q1064" t="str">
            <v/>
          </cell>
          <cell r="R1064">
            <v>68</v>
          </cell>
        </row>
        <row r="1065">
          <cell r="A1065" t="str">
            <v/>
          </cell>
          <cell r="B1065" t="str">
            <v/>
          </cell>
          <cell r="C1065" t="str">
            <v>Future</v>
          </cell>
          <cell r="D1065" t="e">
            <v>#N/A</v>
          </cell>
          <cell r="E1065">
            <v>-64.049988000000326</v>
          </cell>
          <cell r="F1065">
            <v>85.950012000001109</v>
          </cell>
          <cell r="G1065">
            <v>15.950012000000838</v>
          </cell>
          <cell r="H1065">
            <v>15.950012000000838</v>
          </cell>
          <cell r="I1065" t="e">
            <v>#N/A</v>
          </cell>
          <cell r="J1065" t="e">
            <v>#N/A</v>
          </cell>
          <cell r="K1065">
            <v>75</v>
          </cell>
          <cell r="L1065">
            <v>40</v>
          </cell>
          <cell r="M1065" t="e">
            <v>#N/A</v>
          </cell>
          <cell r="N1065">
            <v>68</v>
          </cell>
          <cell r="O1065" t="e">
            <v>#N/A</v>
          </cell>
          <cell r="P1065" t="str">
            <v/>
          </cell>
          <cell r="Q1065" t="str">
            <v/>
          </cell>
          <cell r="R1065">
            <v>68</v>
          </cell>
        </row>
        <row r="1066">
          <cell r="A1066" t="str">
            <v/>
          </cell>
          <cell r="B1066" t="str">
            <v/>
          </cell>
          <cell r="C1066" t="str">
            <v>Future</v>
          </cell>
          <cell r="D1066" t="e">
            <v>#N/A</v>
          </cell>
          <cell r="E1066">
            <v>-64.303150007905458</v>
          </cell>
          <cell r="F1066">
            <v>85.993292679843009</v>
          </cell>
          <cell r="G1066">
            <v>15.854952758894118</v>
          </cell>
          <cell r="H1066">
            <v>15.854952758894118</v>
          </cell>
          <cell r="I1066" t="e">
            <v>#N/A</v>
          </cell>
          <cell r="J1066" t="e">
            <v>#N/A</v>
          </cell>
          <cell r="K1066">
            <v>75</v>
          </cell>
          <cell r="L1066">
            <v>40</v>
          </cell>
          <cell r="M1066" t="e">
            <v>#N/A</v>
          </cell>
          <cell r="N1066">
            <v>68</v>
          </cell>
          <cell r="O1066" t="e">
            <v>#N/A</v>
          </cell>
          <cell r="P1066" t="str">
            <v/>
          </cell>
          <cell r="Q1066" t="str">
            <v/>
          </cell>
          <cell r="R1066">
            <v>68</v>
          </cell>
        </row>
        <row r="1067">
          <cell r="A1067" t="str">
            <v/>
          </cell>
          <cell r="B1067" t="str">
            <v/>
          </cell>
          <cell r="C1067" t="str">
            <v>Future</v>
          </cell>
          <cell r="D1067" t="e">
            <v>#N/A</v>
          </cell>
          <cell r="E1067">
            <v>-64.55631201581059</v>
          </cell>
          <cell r="F1067">
            <v>86.036573359684908</v>
          </cell>
          <cell r="G1067">
            <v>15.759893517787399</v>
          </cell>
          <cell r="H1067">
            <v>15.759893517787399</v>
          </cell>
          <cell r="I1067" t="e">
            <v>#N/A</v>
          </cell>
          <cell r="J1067" t="e">
            <v>#N/A</v>
          </cell>
          <cell r="K1067">
            <v>75</v>
          </cell>
          <cell r="L1067">
            <v>40</v>
          </cell>
          <cell r="M1067" t="e">
            <v>#N/A</v>
          </cell>
          <cell r="N1067">
            <v>68</v>
          </cell>
          <cell r="O1067" t="e">
            <v>#N/A</v>
          </cell>
          <cell r="P1067" t="str">
            <v/>
          </cell>
          <cell r="Q1067" t="str">
            <v/>
          </cell>
          <cell r="R1067">
            <v>68</v>
          </cell>
        </row>
        <row r="1068">
          <cell r="A1068" t="str">
            <v/>
          </cell>
          <cell r="B1068" t="str">
            <v/>
          </cell>
          <cell r="C1068" t="str">
            <v>Future</v>
          </cell>
          <cell r="D1068" t="e">
            <v>#N/A</v>
          </cell>
          <cell r="E1068">
            <v>-64.809474023715723</v>
          </cell>
          <cell r="F1068">
            <v>86.079854039526808</v>
          </cell>
          <cell r="G1068">
            <v>15.664834276680679</v>
          </cell>
          <cell r="H1068">
            <v>15.664834276680679</v>
          </cell>
          <cell r="I1068" t="e">
            <v>#N/A</v>
          </cell>
          <cell r="J1068" t="e">
            <v>#N/A</v>
          </cell>
          <cell r="K1068">
            <v>75</v>
          </cell>
          <cell r="L1068">
            <v>40</v>
          </cell>
          <cell r="M1068" t="e">
            <v>#N/A</v>
          </cell>
          <cell r="N1068">
            <v>68</v>
          </cell>
          <cell r="O1068" t="e">
            <v>#N/A</v>
          </cell>
          <cell r="P1068" t="str">
            <v/>
          </cell>
          <cell r="Q1068" t="str">
            <v/>
          </cell>
          <cell r="R1068">
            <v>68</v>
          </cell>
        </row>
        <row r="1069">
          <cell r="A1069" t="str">
            <v/>
          </cell>
          <cell r="B1069" t="str">
            <v/>
          </cell>
          <cell r="C1069" t="str">
            <v>Future</v>
          </cell>
          <cell r="D1069" t="e">
            <v>#N/A</v>
          </cell>
          <cell r="E1069">
            <v>-65.062636031620855</v>
          </cell>
          <cell r="F1069">
            <v>86.123134719368707</v>
          </cell>
          <cell r="G1069">
            <v>15.56977503557396</v>
          </cell>
          <cell r="H1069">
            <v>15.56977503557396</v>
          </cell>
          <cell r="I1069" t="e">
            <v>#N/A</v>
          </cell>
          <cell r="J1069" t="e">
            <v>#N/A</v>
          </cell>
          <cell r="K1069">
            <v>75</v>
          </cell>
          <cell r="L1069">
            <v>40</v>
          </cell>
          <cell r="M1069" t="e">
            <v>#N/A</v>
          </cell>
          <cell r="N1069">
            <v>68</v>
          </cell>
          <cell r="O1069" t="e">
            <v>#N/A</v>
          </cell>
          <cell r="P1069" t="str">
            <v/>
          </cell>
          <cell r="Q1069" t="str">
            <v/>
          </cell>
          <cell r="R1069">
            <v>68</v>
          </cell>
        </row>
        <row r="1070">
          <cell r="A1070" t="str">
            <v/>
          </cell>
          <cell r="B1070" t="str">
            <v/>
          </cell>
          <cell r="C1070" t="str">
            <v>Future</v>
          </cell>
          <cell r="D1070" t="e">
            <v>#N/A</v>
          </cell>
          <cell r="E1070">
            <v>-65.315798039525987</v>
          </cell>
          <cell r="F1070">
            <v>86.166415399210607</v>
          </cell>
          <cell r="G1070">
            <v>15.47471579446724</v>
          </cell>
          <cell r="H1070">
            <v>15.47471579446724</v>
          </cell>
          <cell r="I1070" t="e">
            <v>#N/A</v>
          </cell>
          <cell r="J1070" t="e">
            <v>#N/A</v>
          </cell>
          <cell r="K1070">
            <v>75</v>
          </cell>
          <cell r="L1070">
            <v>40</v>
          </cell>
          <cell r="M1070" t="e">
            <v>#N/A</v>
          </cell>
          <cell r="N1070">
            <v>68</v>
          </cell>
          <cell r="O1070" t="e">
            <v>#N/A</v>
          </cell>
          <cell r="P1070" t="str">
            <v/>
          </cell>
          <cell r="Q1070" t="str">
            <v/>
          </cell>
          <cell r="R1070">
            <v>68</v>
          </cell>
        </row>
        <row r="1071">
          <cell r="A1071" t="str">
            <v/>
          </cell>
          <cell r="B1071" t="str">
            <v/>
          </cell>
          <cell r="C1071" t="str">
            <v>Future</v>
          </cell>
          <cell r="D1071" t="e">
            <v>#N/A</v>
          </cell>
          <cell r="E1071">
            <v>-65.568960047431119</v>
          </cell>
          <cell r="F1071">
            <v>86.209696079052506</v>
          </cell>
          <cell r="G1071">
            <v>15.379656553360521</v>
          </cell>
          <cell r="H1071">
            <v>15.379656553360521</v>
          </cell>
          <cell r="I1071" t="e">
            <v>#N/A</v>
          </cell>
          <cell r="J1071" t="e">
            <v>#N/A</v>
          </cell>
          <cell r="K1071">
            <v>75</v>
          </cell>
          <cell r="L1071">
            <v>40</v>
          </cell>
          <cell r="M1071" t="e">
            <v>#N/A</v>
          </cell>
          <cell r="N1071">
            <v>68</v>
          </cell>
          <cell r="O1071" t="e">
            <v>#N/A</v>
          </cell>
          <cell r="P1071" t="str">
            <v/>
          </cell>
          <cell r="Q1071" t="str">
            <v/>
          </cell>
          <cell r="R1071">
            <v>68</v>
          </cell>
        </row>
        <row r="1072">
          <cell r="A1072" t="str">
            <v/>
          </cell>
          <cell r="B1072" t="str">
            <v/>
          </cell>
          <cell r="C1072" t="str">
            <v>Future</v>
          </cell>
          <cell r="D1072" t="e">
            <v>#N/A</v>
          </cell>
          <cell r="E1072">
            <v>-65.822122055336251</v>
          </cell>
          <cell r="F1072">
            <v>86.252976758894405</v>
          </cell>
          <cell r="G1072">
            <v>15.284597312253801</v>
          </cell>
          <cell r="H1072">
            <v>15.284597312253801</v>
          </cell>
          <cell r="I1072" t="e">
            <v>#N/A</v>
          </cell>
          <cell r="J1072" t="e">
            <v>#N/A</v>
          </cell>
          <cell r="K1072">
            <v>75</v>
          </cell>
          <cell r="L1072">
            <v>40</v>
          </cell>
          <cell r="M1072" t="e">
            <v>#N/A</v>
          </cell>
          <cell r="N1072">
            <v>68</v>
          </cell>
          <cell r="O1072" t="e">
            <v>#N/A</v>
          </cell>
          <cell r="P1072" t="str">
            <v/>
          </cell>
          <cell r="Q1072" t="str">
            <v/>
          </cell>
          <cell r="R1072">
            <v>68</v>
          </cell>
        </row>
        <row r="1073">
          <cell r="A1073" t="str">
            <v/>
          </cell>
          <cell r="B1073" t="str">
            <v/>
          </cell>
          <cell r="C1073" t="str">
            <v>Future</v>
          </cell>
          <cell r="D1073" t="e">
            <v>#N/A</v>
          </cell>
          <cell r="E1073">
            <v>-66.075284063241384</v>
          </cell>
          <cell r="F1073">
            <v>86.296257438736305</v>
          </cell>
          <cell r="G1073">
            <v>15.189538071147082</v>
          </cell>
          <cell r="H1073">
            <v>15.189538071147082</v>
          </cell>
          <cell r="I1073" t="e">
            <v>#N/A</v>
          </cell>
          <cell r="J1073" t="e">
            <v>#N/A</v>
          </cell>
          <cell r="K1073">
            <v>75</v>
          </cell>
          <cell r="L1073">
            <v>40</v>
          </cell>
          <cell r="M1073" t="e">
            <v>#N/A</v>
          </cell>
          <cell r="N1073">
            <v>68</v>
          </cell>
          <cell r="O1073" t="e">
            <v>#N/A</v>
          </cell>
          <cell r="P1073" t="str">
            <v/>
          </cell>
          <cell r="Q1073" t="str">
            <v/>
          </cell>
          <cell r="R1073">
            <v>68</v>
          </cell>
        </row>
        <row r="1074">
          <cell r="A1074" t="str">
            <v/>
          </cell>
          <cell r="B1074" t="str">
            <v/>
          </cell>
          <cell r="C1074" t="str">
            <v>Future</v>
          </cell>
          <cell r="D1074" t="e">
            <v>#N/A</v>
          </cell>
          <cell r="E1074">
            <v>-66.328446071146516</v>
          </cell>
          <cell r="F1074">
            <v>86.339538118578204</v>
          </cell>
          <cell r="G1074">
            <v>15.094478830040362</v>
          </cell>
          <cell r="H1074">
            <v>15.094478830040362</v>
          </cell>
          <cell r="I1074" t="e">
            <v>#N/A</v>
          </cell>
          <cell r="J1074" t="e">
            <v>#N/A</v>
          </cell>
          <cell r="K1074">
            <v>75</v>
          </cell>
          <cell r="L1074">
            <v>40</v>
          </cell>
          <cell r="M1074" t="e">
            <v>#N/A</v>
          </cell>
          <cell r="N1074">
            <v>68</v>
          </cell>
          <cell r="O1074" t="e">
            <v>#N/A</v>
          </cell>
          <cell r="P1074" t="str">
            <v/>
          </cell>
          <cell r="Q1074" t="str">
            <v/>
          </cell>
          <cell r="R1074">
            <v>68</v>
          </cell>
        </row>
        <row r="1075">
          <cell r="A1075" t="str">
            <v/>
          </cell>
          <cell r="B1075" t="str">
            <v/>
          </cell>
          <cell r="C1075" t="str">
            <v>Future</v>
          </cell>
          <cell r="D1075" t="e">
            <v>#N/A</v>
          </cell>
          <cell r="E1075">
            <v>-66.581608079051648</v>
          </cell>
          <cell r="F1075">
            <v>86.382818798420104</v>
          </cell>
          <cell r="G1075">
            <v>14.999419588933643</v>
          </cell>
          <cell r="H1075">
            <v>14.999419588933643</v>
          </cell>
          <cell r="I1075" t="e">
            <v>#N/A</v>
          </cell>
          <cell r="J1075" t="e">
            <v>#N/A</v>
          </cell>
          <cell r="K1075">
            <v>75</v>
          </cell>
          <cell r="L1075">
            <v>40</v>
          </cell>
          <cell r="M1075" t="e">
            <v>#N/A</v>
          </cell>
          <cell r="N1075">
            <v>68</v>
          </cell>
          <cell r="O1075" t="e">
            <v>#N/A</v>
          </cell>
          <cell r="P1075" t="str">
            <v/>
          </cell>
          <cell r="Q1075" t="str">
            <v/>
          </cell>
          <cell r="R1075">
            <v>68</v>
          </cell>
        </row>
        <row r="1076">
          <cell r="A1076" t="str">
            <v/>
          </cell>
          <cell r="B1076" t="str">
            <v/>
          </cell>
          <cell r="C1076" t="str">
            <v>Future</v>
          </cell>
          <cell r="D1076" t="e">
            <v>#N/A</v>
          </cell>
          <cell r="E1076">
            <v>-66.83477008695678</v>
          </cell>
          <cell r="F1076">
            <v>86.426099478262003</v>
          </cell>
          <cell r="G1076">
            <v>14.904360347826923</v>
          </cell>
          <cell r="H1076">
            <v>14.904360347826923</v>
          </cell>
          <cell r="I1076" t="e">
            <v>#N/A</v>
          </cell>
          <cell r="J1076" t="e">
            <v>#N/A</v>
          </cell>
          <cell r="K1076">
            <v>75</v>
          </cell>
          <cell r="L1076">
            <v>40</v>
          </cell>
          <cell r="M1076" t="e">
            <v>#N/A</v>
          </cell>
          <cell r="N1076">
            <v>68</v>
          </cell>
          <cell r="O1076" t="e">
            <v>#N/A</v>
          </cell>
          <cell r="P1076" t="str">
            <v/>
          </cell>
          <cell r="Q1076" t="str">
            <v/>
          </cell>
          <cell r="R1076">
            <v>68</v>
          </cell>
        </row>
        <row r="1077">
          <cell r="A1077" t="str">
            <v/>
          </cell>
          <cell r="B1077" t="str">
            <v/>
          </cell>
          <cell r="C1077" t="str">
            <v>Future</v>
          </cell>
          <cell r="D1077" t="e">
            <v>#N/A</v>
          </cell>
          <cell r="E1077">
            <v>-67.087932094861912</v>
          </cell>
          <cell r="F1077">
            <v>86.469380158103903</v>
          </cell>
          <cell r="G1077">
            <v>14.809301106720204</v>
          </cell>
          <cell r="H1077">
            <v>14.809301106720204</v>
          </cell>
          <cell r="I1077" t="e">
            <v>#N/A</v>
          </cell>
          <cell r="J1077" t="e">
            <v>#N/A</v>
          </cell>
          <cell r="K1077">
            <v>75</v>
          </cell>
          <cell r="L1077">
            <v>40</v>
          </cell>
          <cell r="M1077" t="e">
            <v>#N/A</v>
          </cell>
          <cell r="N1077">
            <v>68</v>
          </cell>
          <cell r="O1077" t="e">
            <v>#N/A</v>
          </cell>
          <cell r="P1077" t="str">
            <v/>
          </cell>
          <cell r="Q1077" t="str">
            <v/>
          </cell>
          <cell r="R1077">
            <v>68</v>
          </cell>
        </row>
        <row r="1078">
          <cell r="A1078" t="str">
            <v/>
          </cell>
          <cell r="B1078" t="str">
            <v/>
          </cell>
          <cell r="C1078" t="str">
            <v>Future</v>
          </cell>
          <cell r="D1078" t="e">
            <v>#N/A</v>
          </cell>
          <cell r="E1078">
            <v>-67.341094102767045</v>
          </cell>
          <cell r="F1078">
            <v>86.512660837945802</v>
          </cell>
          <cell r="G1078">
            <v>14.714241865613484</v>
          </cell>
          <cell r="H1078">
            <v>14.714241865613484</v>
          </cell>
          <cell r="I1078" t="e">
            <v>#N/A</v>
          </cell>
          <cell r="J1078" t="e">
            <v>#N/A</v>
          </cell>
          <cell r="K1078">
            <v>75</v>
          </cell>
          <cell r="L1078">
            <v>40</v>
          </cell>
          <cell r="M1078" t="e">
            <v>#N/A</v>
          </cell>
          <cell r="N1078">
            <v>68</v>
          </cell>
          <cell r="O1078" t="e">
            <v>#N/A</v>
          </cell>
          <cell r="P1078" t="str">
            <v/>
          </cell>
          <cell r="Q1078" t="str">
            <v/>
          </cell>
          <cell r="R1078">
            <v>68</v>
          </cell>
        </row>
        <row r="1079">
          <cell r="A1079" t="str">
            <v/>
          </cell>
          <cell r="B1079" t="str">
            <v/>
          </cell>
          <cell r="C1079" t="str">
            <v>Future</v>
          </cell>
          <cell r="D1079" t="e">
            <v>#N/A</v>
          </cell>
          <cell r="E1079">
            <v>-67.594256110672177</v>
          </cell>
          <cell r="F1079">
            <v>86.555941517787701</v>
          </cell>
          <cell r="G1079">
            <v>14.619182624506765</v>
          </cell>
          <cell r="H1079">
            <v>14.619182624506765</v>
          </cell>
          <cell r="I1079" t="e">
            <v>#N/A</v>
          </cell>
          <cell r="J1079" t="e">
            <v>#N/A</v>
          </cell>
          <cell r="K1079">
            <v>75</v>
          </cell>
          <cell r="L1079">
            <v>40</v>
          </cell>
          <cell r="M1079" t="e">
            <v>#N/A</v>
          </cell>
          <cell r="N1079">
            <v>68</v>
          </cell>
          <cell r="O1079" t="e">
            <v>#N/A</v>
          </cell>
          <cell r="P1079" t="str">
            <v/>
          </cell>
          <cell r="Q1079" t="str">
            <v/>
          </cell>
          <cell r="R1079">
            <v>68</v>
          </cell>
        </row>
        <row r="1080">
          <cell r="A1080" t="str">
            <v/>
          </cell>
          <cell r="B1080" t="str">
            <v/>
          </cell>
          <cell r="C1080" t="str">
            <v>Future</v>
          </cell>
          <cell r="D1080" t="e">
            <v>#N/A</v>
          </cell>
          <cell r="E1080">
            <v>-67.847418118577309</v>
          </cell>
          <cell r="F1080">
            <v>86.599222197629601</v>
          </cell>
          <cell r="G1080">
            <v>14.524123383400045</v>
          </cell>
          <cell r="H1080">
            <v>14.524123383400045</v>
          </cell>
          <cell r="I1080" t="e">
            <v>#N/A</v>
          </cell>
          <cell r="J1080" t="e">
            <v>#N/A</v>
          </cell>
          <cell r="K1080">
            <v>75</v>
          </cell>
          <cell r="L1080">
            <v>40</v>
          </cell>
          <cell r="M1080" t="e">
            <v>#N/A</v>
          </cell>
          <cell r="N1080">
            <v>68</v>
          </cell>
          <cell r="O1080" t="e">
            <v>#N/A</v>
          </cell>
          <cell r="P1080" t="str">
            <v/>
          </cell>
          <cell r="Q1080" t="str">
            <v/>
          </cell>
          <cell r="R1080">
            <v>68</v>
          </cell>
        </row>
        <row r="1081">
          <cell r="A1081" t="str">
            <v/>
          </cell>
          <cell r="B1081" t="str">
            <v/>
          </cell>
          <cell r="C1081" t="str">
            <v>Future</v>
          </cell>
          <cell r="D1081" t="e">
            <v>#N/A</v>
          </cell>
          <cell r="E1081">
            <v>-68.100580126482441</v>
          </cell>
          <cell r="F1081">
            <v>86.6425028774715</v>
          </cell>
          <cell r="G1081">
            <v>14.429064142293326</v>
          </cell>
          <cell r="H1081">
            <v>14.429064142293326</v>
          </cell>
          <cell r="I1081" t="e">
            <v>#N/A</v>
          </cell>
          <cell r="J1081" t="e">
            <v>#N/A</v>
          </cell>
          <cell r="K1081">
            <v>75</v>
          </cell>
          <cell r="L1081">
            <v>40</v>
          </cell>
          <cell r="M1081" t="e">
            <v>#N/A</v>
          </cell>
          <cell r="N1081">
            <v>68</v>
          </cell>
          <cell r="O1081" t="e">
            <v>#N/A</v>
          </cell>
          <cell r="P1081" t="str">
            <v/>
          </cell>
          <cell r="Q1081" t="str">
            <v/>
          </cell>
          <cell r="R1081">
            <v>68</v>
          </cell>
        </row>
        <row r="1082">
          <cell r="A1082" t="str">
            <v/>
          </cell>
          <cell r="B1082" t="str">
            <v/>
          </cell>
          <cell r="C1082" t="str">
            <v>Future</v>
          </cell>
          <cell r="D1082" t="e">
            <v>#N/A</v>
          </cell>
          <cell r="E1082">
            <v>-68.353742134387574</v>
          </cell>
          <cell r="F1082">
            <v>86.6857835573134</v>
          </cell>
          <cell r="G1082">
            <v>14.334004901186606</v>
          </cell>
          <cell r="H1082">
            <v>14.334004901186606</v>
          </cell>
          <cell r="I1082" t="e">
            <v>#N/A</v>
          </cell>
          <cell r="J1082" t="e">
            <v>#N/A</v>
          </cell>
          <cell r="K1082">
            <v>75</v>
          </cell>
          <cell r="L1082">
            <v>40</v>
          </cell>
          <cell r="M1082" t="e">
            <v>#N/A</v>
          </cell>
          <cell r="N1082">
            <v>68</v>
          </cell>
          <cell r="O1082" t="e">
            <v>#N/A</v>
          </cell>
          <cell r="P1082" t="str">
            <v/>
          </cell>
          <cell r="Q1082" t="str">
            <v/>
          </cell>
          <cell r="R1082">
            <v>68</v>
          </cell>
        </row>
        <row r="1083">
          <cell r="A1083" t="str">
            <v/>
          </cell>
          <cell r="B1083" t="str">
            <v/>
          </cell>
          <cell r="C1083" t="str">
            <v>Future</v>
          </cell>
          <cell r="D1083" t="e">
            <v>#N/A</v>
          </cell>
          <cell r="E1083">
            <v>-68.606904142292706</v>
          </cell>
          <cell r="F1083">
            <v>86.729064237155299</v>
          </cell>
          <cell r="G1083">
            <v>14.238945660079887</v>
          </cell>
          <cell r="H1083">
            <v>14.238945660079887</v>
          </cell>
          <cell r="I1083" t="e">
            <v>#N/A</v>
          </cell>
          <cell r="J1083" t="e">
            <v>#N/A</v>
          </cell>
          <cell r="K1083">
            <v>75</v>
          </cell>
          <cell r="L1083">
            <v>40</v>
          </cell>
          <cell r="M1083" t="e">
            <v>#N/A</v>
          </cell>
          <cell r="N1083">
            <v>68</v>
          </cell>
          <cell r="O1083" t="e">
            <v>#N/A</v>
          </cell>
          <cell r="P1083" t="str">
            <v/>
          </cell>
          <cell r="Q1083" t="str">
            <v/>
          </cell>
          <cell r="R1083">
            <v>68</v>
          </cell>
        </row>
        <row r="1084">
          <cell r="A1084" t="str">
            <v/>
          </cell>
          <cell r="B1084" t="str">
            <v/>
          </cell>
          <cell r="C1084" t="str">
            <v>Future</v>
          </cell>
          <cell r="D1084" t="e">
            <v>#N/A</v>
          </cell>
          <cell r="E1084">
            <v>-68.860066150197838</v>
          </cell>
          <cell r="F1084">
            <v>86.772344916997199</v>
          </cell>
          <cell r="G1084">
            <v>14.143886418973167</v>
          </cell>
          <cell r="H1084">
            <v>14.143886418973167</v>
          </cell>
          <cell r="I1084" t="e">
            <v>#N/A</v>
          </cell>
          <cell r="J1084" t="e">
            <v>#N/A</v>
          </cell>
          <cell r="K1084">
            <v>75</v>
          </cell>
          <cell r="L1084">
            <v>40</v>
          </cell>
          <cell r="M1084" t="e">
            <v>#N/A</v>
          </cell>
          <cell r="N1084">
            <v>68</v>
          </cell>
          <cell r="O1084" t="e">
            <v>#N/A</v>
          </cell>
          <cell r="P1084" t="str">
            <v/>
          </cell>
          <cell r="Q1084" t="str">
            <v/>
          </cell>
          <cell r="R1084">
            <v>68</v>
          </cell>
        </row>
        <row r="1085">
          <cell r="A1085" t="str">
            <v/>
          </cell>
          <cell r="B1085" t="str">
            <v/>
          </cell>
          <cell r="C1085" t="str">
            <v>Future</v>
          </cell>
          <cell r="D1085" t="e">
            <v>#N/A</v>
          </cell>
          <cell r="E1085">
            <v>-69.11322815810297</v>
          </cell>
          <cell r="F1085">
            <v>86.815625596839098</v>
          </cell>
          <cell r="G1085">
            <v>14.048827177866448</v>
          </cell>
          <cell r="H1085">
            <v>14.048827177866448</v>
          </cell>
          <cell r="I1085" t="e">
            <v>#N/A</v>
          </cell>
          <cell r="J1085" t="e">
            <v>#N/A</v>
          </cell>
          <cell r="K1085">
            <v>75</v>
          </cell>
          <cell r="L1085">
            <v>40</v>
          </cell>
          <cell r="M1085" t="e">
            <v>#N/A</v>
          </cell>
          <cell r="N1085">
            <v>68</v>
          </cell>
          <cell r="O1085" t="e">
            <v>#N/A</v>
          </cell>
          <cell r="P1085" t="str">
            <v/>
          </cell>
          <cell r="Q1085" t="str">
            <v/>
          </cell>
          <cell r="R1085">
            <v>68</v>
          </cell>
        </row>
        <row r="1086">
          <cell r="A1086" t="str">
            <v/>
          </cell>
          <cell r="B1086" t="str">
            <v/>
          </cell>
          <cell r="C1086" t="str">
            <v>Future</v>
          </cell>
          <cell r="D1086" t="e">
            <v>#N/A</v>
          </cell>
          <cell r="E1086">
            <v>-69.366390166008102</v>
          </cell>
          <cell r="F1086">
            <v>86.858906276680997</v>
          </cell>
          <cell r="G1086">
            <v>13.953767936759728</v>
          </cell>
          <cell r="H1086">
            <v>13.953767936759728</v>
          </cell>
          <cell r="I1086" t="e">
            <v>#N/A</v>
          </cell>
          <cell r="J1086" t="e">
            <v>#N/A</v>
          </cell>
          <cell r="K1086">
            <v>75</v>
          </cell>
          <cell r="L1086">
            <v>40</v>
          </cell>
          <cell r="M1086" t="e">
            <v>#N/A</v>
          </cell>
          <cell r="N1086">
            <v>68</v>
          </cell>
          <cell r="O1086" t="e">
            <v>#N/A</v>
          </cell>
          <cell r="P1086" t="str">
            <v/>
          </cell>
          <cell r="Q1086" t="str">
            <v/>
          </cell>
          <cell r="R1086">
            <v>68</v>
          </cell>
        </row>
        <row r="1087">
          <cell r="A1087" t="str">
            <v/>
          </cell>
          <cell r="B1087" t="str">
            <v/>
          </cell>
          <cell r="C1087" t="str">
            <v>Future</v>
          </cell>
          <cell r="D1087" t="e">
            <v>#N/A</v>
          </cell>
          <cell r="E1087">
            <v>-69.619552173913235</v>
          </cell>
          <cell r="F1087">
            <v>86.902186956522897</v>
          </cell>
          <cell r="G1087">
            <v>13.858708695653009</v>
          </cell>
          <cell r="H1087">
            <v>13.858708695653009</v>
          </cell>
          <cell r="I1087" t="e">
            <v>#N/A</v>
          </cell>
          <cell r="J1087" t="e">
            <v>#N/A</v>
          </cell>
          <cell r="K1087">
            <v>75</v>
          </cell>
          <cell r="L1087">
            <v>40</v>
          </cell>
          <cell r="M1087" t="e">
            <v>#N/A</v>
          </cell>
          <cell r="N1087">
            <v>68</v>
          </cell>
          <cell r="O1087" t="e">
            <v>#N/A</v>
          </cell>
          <cell r="P1087" t="str">
            <v/>
          </cell>
          <cell r="Q1087" t="str">
            <v/>
          </cell>
          <cell r="R1087">
            <v>68</v>
          </cell>
        </row>
        <row r="1088">
          <cell r="A1088" t="str">
            <v/>
          </cell>
          <cell r="B1088" t="str">
            <v/>
          </cell>
          <cell r="C1088" t="str">
            <v>Future</v>
          </cell>
          <cell r="D1088" t="e">
            <v>#N/A</v>
          </cell>
          <cell r="E1088">
            <v>-69.872714181818367</v>
          </cell>
          <cell r="F1088">
            <v>86.945467636364796</v>
          </cell>
          <cell r="G1088">
            <v>13.76364945454629</v>
          </cell>
          <cell r="H1088">
            <v>13.76364945454629</v>
          </cell>
          <cell r="I1088" t="e">
            <v>#N/A</v>
          </cell>
          <cell r="J1088" t="e">
            <v>#N/A</v>
          </cell>
          <cell r="K1088">
            <v>75</v>
          </cell>
          <cell r="L1088">
            <v>40</v>
          </cell>
          <cell r="M1088" t="e">
            <v>#N/A</v>
          </cell>
          <cell r="N1088">
            <v>68</v>
          </cell>
          <cell r="O1088" t="e">
            <v>#N/A</v>
          </cell>
          <cell r="P1088" t="str">
            <v/>
          </cell>
          <cell r="Q1088" t="str">
            <v/>
          </cell>
          <cell r="R1088">
            <v>68</v>
          </cell>
        </row>
        <row r="1089">
          <cell r="A1089" t="str">
            <v/>
          </cell>
          <cell r="B1089" t="str">
            <v/>
          </cell>
          <cell r="C1089" t="str">
            <v>Future</v>
          </cell>
          <cell r="D1089" t="e">
            <v>#N/A</v>
          </cell>
          <cell r="E1089">
            <v>-70.125876189723499</v>
          </cell>
          <cell r="F1089">
            <v>86.988748316206696</v>
          </cell>
          <cell r="G1089">
            <v>13.66859021343957</v>
          </cell>
          <cell r="H1089">
            <v>13.66859021343957</v>
          </cell>
          <cell r="I1089" t="e">
            <v>#N/A</v>
          </cell>
          <cell r="J1089" t="e">
            <v>#N/A</v>
          </cell>
          <cell r="K1089">
            <v>75</v>
          </cell>
          <cell r="L1089">
            <v>40</v>
          </cell>
          <cell r="M1089" t="e">
            <v>#N/A</v>
          </cell>
          <cell r="N1089">
            <v>68</v>
          </cell>
          <cell r="O1089" t="e">
            <v>#N/A</v>
          </cell>
          <cell r="P1089" t="str">
            <v/>
          </cell>
          <cell r="Q1089" t="str">
            <v/>
          </cell>
          <cell r="R1089">
            <v>68</v>
          </cell>
        </row>
        <row r="1090">
          <cell r="A1090" t="str">
            <v/>
          </cell>
          <cell r="B1090" t="str">
            <v/>
          </cell>
          <cell r="C1090" t="str">
            <v>Future</v>
          </cell>
          <cell r="D1090" t="e">
            <v>#N/A</v>
          </cell>
          <cell r="E1090">
            <v>-70.379038197628631</v>
          </cell>
          <cell r="F1090">
            <v>87.032028996048595</v>
          </cell>
          <cell r="G1090">
            <v>13.573530972332851</v>
          </cell>
          <cell r="H1090">
            <v>13.573530972332851</v>
          </cell>
          <cell r="I1090" t="e">
            <v>#N/A</v>
          </cell>
          <cell r="J1090" t="e">
            <v>#N/A</v>
          </cell>
          <cell r="K1090">
            <v>75</v>
          </cell>
          <cell r="L1090">
            <v>40</v>
          </cell>
          <cell r="M1090" t="e">
            <v>#N/A</v>
          </cell>
          <cell r="N1090">
            <v>68</v>
          </cell>
          <cell r="O1090" t="e">
            <v>#N/A</v>
          </cell>
          <cell r="P1090" t="str">
            <v/>
          </cell>
          <cell r="Q1090" t="str">
            <v/>
          </cell>
          <cell r="R1090">
            <v>68</v>
          </cell>
        </row>
        <row r="1091">
          <cell r="A1091" t="str">
            <v/>
          </cell>
          <cell r="B1091" t="str">
            <v/>
          </cell>
          <cell r="C1091" t="str">
            <v>Future</v>
          </cell>
          <cell r="D1091" t="e">
            <v>#N/A</v>
          </cell>
          <cell r="E1091">
            <v>-70.632200205533763</v>
          </cell>
          <cell r="F1091">
            <v>87.075309675890495</v>
          </cell>
          <cell r="G1091">
            <v>13.478471731226131</v>
          </cell>
          <cell r="H1091">
            <v>13.478471731226131</v>
          </cell>
          <cell r="I1091" t="e">
            <v>#N/A</v>
          </cell>
          <cell r="J1091" t="e">
            <v>#N/A</v>
          </cell>
          <cell r="K1091">
            <v>75</v>
          </cell>
          <cell r="L1091">
            <v>40</v>
          </cell>
          <cell r="M1091" t="e">
            <v>#N/A</v>
          </cell>
          <cell r="N1091">
            <v>68</v>
          </cell>
          <cell r="O1091" t="e">
            <v>#N/A</v>
          </cell>
          <cell r="P1091" t="str">
            <v/>
          </cell>
          <cell r="Q1091" t="str">
            <v/>
          </cell>
          <cell r="R1091">
            <v>68</v>
          </cell>
        </row>
        <row r="1092">
          <cell r="A1092" t="str">
            <v/>
          </cell>
          <cell r="B1092" t="str">
            <v/>
          </cell>
          <cell r="C1092" t="str">
            <v>Future</v>
          </cell>
          <cell r="D1092" t="e">
            <v>#N/A</v>
          </cell>
          <cell r="E1092">
            <v>-70.885362213438896</v>
          </cell>
          <cell r="F1092">
            <v>87.118590355732394</v>
          </cell>
          <cell r="G1092">
            <v>13.383412490119412</v>
          </cell>
          <cell r="H1092">
            <v>13.383412490119412</v>
          </cell>
          <cell r="I1092" t="e">
            <v>#N/A</v>
          </cell>
          <cell r="J1092" t="e">
            <v>#N/A</v>
          </cell>
          <cell r="K1092">
            <v>75</v>
          </cell>
          <cell r="L1092">
            <v>40</v>
          </cell>
          <cell r="M1092" t="e">
            <v>#N/A</v>
          </cell>
          <cell r="N1092">
            <v>68</v>
          </cell>
          <cell r="O1092" t="e">
            <v>#N/A</v>
          </cell>
          <cell r="P1092" t="str">
            <v/>
          </cell>
          <cell r="Q1092" t="str">
            <v/>
          </cell>
          <cell r="R1092">
            <v>68</v>
          </cell>
        </row>
        <row r="1093">
          <cell r="A1093" t="str">
            <v/>
          </cell>
          <cell r="B1093" t="str">
            <v/>
          </cell>
          <cell r="C1093" t="str">
            <v>Future</v>
          </cell>
          <cell r="D1093" t="e">
            <v>#N/A</v>
          </cell>
          <cell r="E1093">
            <v>-71.138524221344028</v>
          </cell>
          <cell r="F1093">
            <v>87.161871035574293</v>
          </cell>
          <cell r="G1093">
            <v>13.288353249012692</v>
          </cell>
          <cell r="H1093">
            <v>13.288353249012692</v>
          </cell>
          <cell r="I1093" t="e">
            <v>#N/A</v>
          </cell>
          <cell r="J1093" t="e">
            <v>#N/A</v>
          </cell>
          <cell r="K1093">
            <v>75</v>
          </cell>
          <cell r="L1093">
            <v>40</v>
          </cell>
          <cell r="M1093" t="e">
            <v>#N/A</v>
          </cell>
          <cell r="N1093">
            <v>68</v>
          </cell>
          <cell r="O1093" t="e">
            <v>#N/A</v>
          </cell>
          <cell r="P1093" t="str">
            <v/>
          </cell>
          <cell r="Q1093" t="str">
            <v/>
          </cell>
          <cell r="R1093">
            <v>68</v>
          </cell>
        </row>
        <row r="1094">
          <cell r="A1094" t="str">
            <v/>
          </cell>
          <cell r="B1094" t="str">
            <v/>
          </cell>
          <cell r="C1094" t="str">
            <v>Future</v>
          </cell>
          <cell r="D1094" t="e">
            <v>#N/A</v>
          </cell>
          <cell r="E1094">
            <v>-71.39168622924916</v>
          </cell>
          <cell r="F1094">
            <v>87.205151715416193</v>
          </cell>
          <cell r="G1094">
            <v>13.193294007905973</v>
          </cell>
          <cell r="H1094">
            <v>13.193294007905973</v>
          </cell>
          <cell r="I1094" t="e">
            <v>#N/A</v>
          </cell>
          <cell r="J1094" t="e">
            <v>#N/A</v>
          </cell>
          <cell r="K1094">
            <v>75</v>
          </cell>
          <cell r="L1094">
            <v>40</v>
          </cell>
          <cell r="M1094" t="e">
            <v>#N/A</v>
          </cell>
          <cell r="N1094">
            <v>68</v>
          </cell>
          <cell r="O1094" t="e">
            <v>#N/A</v>
          </cell>
          <cell r="P1094" t="str">
            <v/>
          </cell>
          <cell r="Q1094" t="str">
            <v/>
          </cell>
          <cell r="R1094">
            <v>68</v>
          </cell>
        </row>
        <row r="1095">
          <cell r="A1095" t="str">
            <v/>
          </cell>
          <cell r="B1095" t="str">
            <v/>
          </cell>
          <cell r="C1095" t="str">
            <v>Future</v>
          </cell>
          <cell r="D1095" t="e">
            <v>#N/A</v>
          </cell>
          <cell r="E1095">
            <v>-71.644848237154292</v>
          </cell>
          <cell r="F1095">
            <v>87.248432395258092</v>
          </cell>
          <cell r="G1095">
            <v>13.098234766799253</v>
          </cell>
          <cell r="H1095">
            <v>13.098234766799253</v>
          </cell>
          <cell r="I1095" t="e">
            <v>#N/A</v>
          </cell>
          <cell r="J1095" t="e">
            <v>#N/A</v>
          </cell>
          <cell r="K1095">
            <v>75</v>
          </cell>
          <cell r="L1095">
            <v>40</v>
          </cell>
          <cell r="M1095" t="e">
            <v>#N/A</v>
          </cell>
          <cell r="N1095">
            <v>68</v>
          </cell>
          <cell r="O1095" t="e">
            <v>#N/A</v>
          </cell>
          <cell r="P1095" t="str">
            <v/>
          </cell>
          <cell r="Q1095" t="str">
            <v/>
          </cell>
          <cell r="R1095">
            <v>68</v>
          </cell>
        </row>
        <row r="1096">
          <cell r="A1096" t="str">
            <v/>
          </cell>
          <cell r="B1096" t="str">
            <v/>
          </cell>
          <cell r="C1096" t="str">
            <v>Future</v>
          </cell>
          <cell r="D1096" t="e">
            <v>#N/A</v>
          </cell>
          <cell r="E1096">
            <v>-71.898010245059425</v>
          </cell>
          <cell r="F1096">
            <v>87.291713075099992</v>
          </cell>
          <cell r="G1096">
            <v>13.003175525692534</v>
          </cell>
          <cell r="H1096">
            <v>13.003175525692534</v>
          </cell>
          <cell r="I1096" t="e">
            <v>#N/A</v>
          </cell>
          <cell r="J1096" t="e">
            <v>#N/A</v>
          </cell>
          <cell r="K1096">
            <v>75</v>
          </cell>
          <cell r="L1096">
            <v>40</v>
          </cell>
          <cell r="M1096" t="e">
            <v>#N/A</v>
          </cell>
          <cell r="N1096">
            <v>68</v>
          </cell>
          <cell r="O1096" t="e">
            <v>#N/A</v>
          </cell>
          <cell r="P1096" t="str">
            <v/>
          </cell>
          <cell r="Q1096" t="str">
            <v/>
          </cell>
          <cell r="R1096">
            <v>68</v>
          </cell>
        </row>
        <row r="1097">
          <cell r="A1097" t="str">
            <v/>
          </cell>
          <cell r="B1097" t="str">
            <v/>
          </cell>
          <cell r="C1097" t="str">
            <v>Future</v>
          </cell>
          <cell r="D1097" t="e">
            <v>#N/A</v>
          </cell>
          <cell r="E1097">
            <v>-72.151172252964557</v>
          </cell>
          <cell r="F1097">
            <v>87.334993754941891</v>
          </cell>
          <cell r="G1097">
            <v>12.908116284585814</v>
          </cell>
          <cell r="H1097">
            <v>12.908116284585814</v>
          </cell>
          <cell r="I1097" t="e">
            <v>#N/A</v>
          </cell>
          <cell r="J1097" t="e">
            <v>#N/A</v>
          </cell>
          <cell r="K1097">
            <v>75</v>
          </cell>
          <cell r="L1097">
            <v>40</v>
          </cell>
          <cell r="M1097" t="e">
            <v>#N/A</v>
          </cell>
          <cell r="N1097">
            <v>68</v>
          </cell>
          <cell r="O1097" t="e">
            <v>#N/A</v>
          </cell>
          <cell r="P1097" t="str">
            <v/>
          </cell>
          <cell r="Q1097" t="str">
            <v/>
          </cell>
          <cell r="R1097">
            <v>68</v>
          </cell>
        </row>
        <row r="1098">
          <cell r="A1098" t="str">
            <v/>
          </cell>
          <cell r="B1098" t="str">
            <v/>
          </cell>
          <cell r="C1098" t="str">
            <v>Future</v>
          </cell>
          <cell r="D1098" t="e">
            <v>#N/A</v>
          </cell>
          <cell r="E1098">
            <v>-72.404334260869689</v>
          </cell>
          <cell r="F1098">
            <v>87.378274434783791</v>
          </cell>
          <cell r="G1098">
            <v>12.813057043479095</v>
          </cell>
          <cell r="H1098">
            <v>12.813057043479095</v>
          </cell>
          <cell r="I1098" t="e">
            <v>#N/A</v>
          </cell>
          <cell r="J1098" t="e">
            <v>#N/A</v>
          </cell>
          <cell r="K1098">
            <v>75</v>
          </cell>
          <cell r="L1098">
            <v>40</v>
          </cell>
          <cell r="M1098" t="e">
            <v>#N/A</v>
          </cell>
          <cell r="N1098">
            <v>68</v>
          </cell>
          <cell r="O1098" t="e">
            <v>#N/A</v>
          </cell>
          <cell r="P1098" t="str">
            <v/>
          </cell>
          <cell r="Q1098" t="str">
            <v/>
          </cell>
          <cell r="R1098">
            <v>68</v>
          </cell>
        </row>
        <row r="1099">
          <cell r="A1099" t="str">
            <v/>
          </cell>
          <cell r="B1099" t="str">
            <v/>
          </cell>
          <cell r="C1099" t="str">
            <v>Future</v>
          </cell>
          <cell r="D1099" t="e">
            <v>#N/A</v>
          </cell>
          <cell r="E1099">
            <v>-72.657496268774821</v>
          </cell>
          <cell r="F1099">
            <v>87.42155511462569</v>
          </cell>
          <cell r="G1099">
            <v>12.717997802372375</v>
          </cell>
          <cell r="H1099">
            <v>12.717997802372375</v>
          </cell>
          <cell r="I1099" t="e">
            <v>#N/A</v>
          </cell>
          <cell r="J1099" t="e">
            <v>#N/A</v>
          </cell>
          <cell r="K1099">
            <v>75</v>
          </cell>
          <cell r="L1099">
            <v>40</v>
          </cell>
          <cell r="M1099" t="e">
            <v>#N/A</v>
          </cell>
          <cell r="N1099">
            <v>68</v>
          </cell>
          <cell r="O1099" t="e">
            <v>#N/A</v>
          </cell>
          <cell r="P1099" t="str">
            <v/>
          </cell>
          <cell r="Q1099" t="str">
            <v/>
          </cell>
          <cell r="R1099">
            <v>68</v>
          </cell>
        </row>
        <row r="1100">
          <cell r="A1100" t="str">
            <v/>
          </cell>
          <cell r="B1100" t="str">
            <v/>
          </cell>
          <cell r="C1100" t="str">
            <v>Future</v>
          </cell>
          <cell r="D1100" t="e">
            <v>#N/A</v>
          </cell>
          <cell r="E1100">
            <v>-72.910658276679953</v>
          </cell>
          <cell r="F1100">
            <v>87.464835794467589</v>
          </cell>
          <cell r="G1100">
            <v>12.622938561265656</v>
          </cell>
          <cell r="H1100">
            <v>12.622938561265656</v>
          </cell>
          <cell r="I1100" t="e">
            <v>#N/A</v>
          </cell>
          <cell r="J1100" t="e">
            <v>#N/A</v>
          </cell>
          <cell r="K1100">
            <v>75</v>
          </cell>
          <cell r="L1100">
            <v>40</v>
          </cell>
          <cell r="M1100" t="e">
            <v>#N/A</v>
          </cell>
          <cell r="N1100">
            <v>68</v>
          </cell>
          <cell r="O1100" t="e">
            <v>#N/A</v>
          </cell>
          <cell r="P1100" t="str">
            <v/>
          </cell>
          <cell r="Q1100" t="str">
            <v/>
          </cell>
          <cell r="R1100">
            <v>68</v>
          </cell>
        </row>
        <row r="1101">
          <cell r="A1101" t="str">
            <v/>
          </cell>
          <cell r="B1101" t="str">
            <v/>
          </cell>
          <cell r="C1101" t="str">
            <v>Future</v>
          </cell>
          <cell r="D1101" t="e">
            <v>#N/A</v>
          </cell>
          <cell r="E1101">
            <v>-73.163820284585086</v>
          </cell>
          <cell r="F1101">
            <v>87.508116474309489</v>
          </cell>
          <cell r="G1101">
            <v>12.527879320158936</v>
          </cell>
          <cell r="H1101">
            <v>12.527879320158936</v>
          </cell>
          <cell r="I1101" t="e">
            <v>#N/A</v>
          </cell>
          <cell r="J1101" t="e">
            <v>#N/A</v>
          </cell>
          <cell r="K1101">
            <v>75</v>
          </cell>
          <cell r="L1101">
            <v>40</v>
          </cell>
          <cell r="M1101" t="e">
            <v>#N/A</v>
          </cell>
          <cell r="N1101">
            <v>68</v>
          </cell>
          <cell r="O1101" t="e">
            <v>#N/A</v>
          </cell>
          <cell r="P1101" t="str">
            <v/>
          </cell>
          <cell r="Q1101" t="str">
            <v/>
          </cell>
          <cell r="R1101">
            <v>68</v>
          </cell>
        </row>
        <row r="1102">
          <cell r="A1102" t="str">
            <v/>
          </cell>
          <cell r="B1102" t="str">
            <v/>
          </cell>
          <cell r="C1102" t="str">
            <v>Future</v>
          </cell>
          <cell r="D1102" t="e">
            <v>#N/A</v>
          </cell>
          <cell r="E1102">
            <v>-73.416982292490218</v>
          </cell>
          <cell r="F1102">
            <v>87.551397154151388</v>
          </cell>
          <cell r="G1102">
            <v>12.432820079052217</v>
          </cell>
          <cell r="H1102">
            <v>12.432820079052217</v>
          </cell>
          <cell r="I1102" t="e">
            <v>#N/A</v>
          </cell>
          <cell r="J1102" t="e">
            <v>#N/A</v>
          </cell>
          <cell r="K1102">
            <v>75</v>
          </cell>
          <cell r="L1102">
            <v>40</v>
          </cell>
          <cell r="M1102" t="e">
            <v>#N/A</v>
          </cell>
          <cell r="N1102">
            <v>68</v>
          </cell>
          <cell r="O1102" t="e">
            <v>#N/A</v>
          </cell>
          <cell r="P1102" t="str">
            <v/>
          </cell>
          <cell r="Q1102" t="str">
            <v/>
          </cell>
          <cell r="R1102">
            <v>68</v>
          </cell>
        </row>
        <row r="1103">
          <cell r="A1103" t="str">
            <v/>
          </cell>
          <cell r="B1103" t="str">
            <v/>
          </cell>
          <cell r="C1103" t="str">
            <v>Future</v>
          </cell>
          <cell r="D1103" t="e">
            <v>#N/A</v>
          </cell>
          <cell r="E1103">
            <v>-73.67014430039535</v>
          </cell>
          <cell r="F1103">
            <v>87.594677833993288</v>
          </cell>
          <cell r="G1103">
            <v>12.337760837945497</v>
          </cell>
          <cell r="H1103">
            <v>12.337760837945497</v>
          </cell>
          <cell r="I1103" t="e">
            <v>#N/A</v>
          </cell>
          <cell r="J1103" t="e">
            <v>#N/A</v>
          </cell>
          <cell r="K1103">
            <v>75</v>
          </cell>
          <cell r="L1103">
            <v>40</v>
          </cell>
          <cell r="M1103" t="e">
            <v>#N/A</v>
          </cell>
          <cell r="N1103">
            <v>68</v>
          </cell>
          <cell r="O1103" t="e">
            <v>#N/A</v>
          </cell>
          <cell r="P1103" t="str">
            <v/>
          </cell>
          <cell r="Q1103" t="str">
            <v/>
          </cell>
          <cell r="R1103">
            <v>68</v>
          </cell>
        </row>
        <row r="1104">
          <cell r="A1104" t="str">
            <v/>
          </cell>
          <cell r="B1104" t="str">
            <v/>
          </cell>
          <cell r="C1104" t="str">
            <v>Future</v>
          </cell>
          <cell r="D1104" t="e">
            <v>#N/A</v>
          </cell>
          <cell r="E1104">
            <v>-73.923306308300482</v>
          </cell>
          <cell r="F1104">
            <v>87.637958513835187</v>
          </cell>
          <cell r="G1104">
            <v>12.242701596838778</v>
          </cell>
          <cell r="H1104">
            <v>12.242701596838778</v>
          </cell>
          <cell r="I1104" t="e">
            <v>#N/A</v>
          </cell>
          <cell r="J1104" t="e">
            <v>#N/A</v>
          </cell>
          <cell r="K1104">
            <v>75</v>
          </cell>
          <cell r="L1104">
            <v>40</v>
          </cell>
          <cell r="M1104" t="e">
            <v>#N/A</v>
          </cell>
          <cell r="N1104">
            <v>68</v>
          </cell>
          <cell r="O1104" t="e">
            <v>#N/A</v>
          </cell>
          <cell r="P1104" t="str">
            <v/>
          </cell>
          <cell r="Q1104" t="str">
            <v/>
          </cell>
          <cell r="R1104">
            <v>68</v>
          </cell>
        </row>
        <row r="1105">
          <cell r="A1105" t="str">
            <v/>
          </cell>
          <cell r="B1105" t="str">
            <v/>
          </cell>
          <cell r="C1105" t="str">
            <v>Future</v>
          </cell>
          <cell r="D1105" t="e">
            <v>#N/A</v>
          </cell>
          <cell r="E1105">
            <v>-74.176468316205614</v>
          </cell>
          <cell r="F1105">
            <v>87.681239193677087</v>
          </cell>
          <cell r="G1105">
            <v>12.147642355732058</v>
          </cell>
          <cell r="H1105">
            <v>12.147642355732058</v>
          </cell>
          <cell r="I1105" t="e">
            <v>#N/A</v>
          </cell>
          <cell r="J1105" t="e">
            <v>#N/A</v>
          </cell>
          <cell r="K1105">
            <v>75</v>
          </cell>
          <cell r="L1105">
            <v>40</v>
          </cell>
          <cell r="M1105" t="e">
            <v>#N/A</v>
          </cell>
          <cell r="N1105">
            <v>68</v>
          </cell>
          <cell r="O1105" t="e">
            <v>#N/A</v>
          </cell>
          <cell r="P1105" t="str">
            <v/>
          </cell>
          <cell r="Q1105" t="str">
            <v/>
          </cell>
          <cell r="R1105">
            <v>68</v>
          </cell>
        </row>
        <row r="1106">
          <cell r="A1106" t="str">
            <v/>
          </cell>
          <cell r="B1106" t="str">
            <v/>
          </cell>
          <cell r="C1106" t="str">
            <v>Future</v>
          </cell>
          <cell r="D1106" t="e">
            <v>#N/A</v>
          </cell>
          <cell r="E1106">
            <v>-74.429630324110747</v>
          </cell>
          <cell r="F1106">
            <v>87.724519873518986</v>
          </cell>
          <cell r="G1106">
            <v>12.052583114625339</v>
          </cell>
          <cell r="H1106">
            <v>12.052583114625339</v>
          </cell>
          <cell r="I1106" t="e">
            <v>#N/A</v>
          </cell>
          <cell r="J1106" t="e">
            <v>#N/A</v>
          </cell>
          <cell r="K1106">
            <v>75</v>
          </cell>
          <cell r="L1106">
            <v>40</v>
          </cell>
          <cell r="M1106" t="e">
            <v>#N/A</v>
          </cell>
          <cell r="N1106">
            <v>68</v>
          </cell>
          <cell r="O1106" t="e">
            <v>#N/A</v>
          </cell>
          <cell r="P1106" t="str">
            <v/>
          </cell>
          <cell r="Q1106" t="str">
            <v/>
          </cell>
          <cell r="R1106">
            <v>68</v>
          </cell>
        </row>
        <row r="1107">
          <cell r="A1107" t="str">
            <v/>
          </cell>
          <cell r="B1107" t="str">
            <v/>
          </cell>
          <cell r="C1107" t="str">
            <v>Future</v>
          </cell>
          <cell r="D1107" t="e">
            <v>#N/A</v>
          </cell>
          <cell r="E1107">
            <v>-74.682792332015879</v>
          </cell>
          <cell r="F1107">
            <v>87.767800553360885</v>
          </cell>
          <cell r="G1107">
            <v>11.957523873518619</v>
          </cell>
          <cell r="H1107">
            <v>11.957523873518619</v>
          </cell>
          <cell r="I1107" t="e">
            <v>#N/A</v>
          </cell>
          <cell r="J1107" t="e">
            <v>#N/A</v>
          </cell>
          <cell r="K1107">
            <v>75</v>
          </cell>
          <cell r="L1107">
            <v>40</v>
          </cell>
          <cell r="M1107" t="e">
            <v>#N/A</v>
          </cell>
          <cell r="N1107">
            <v>68</v>
          </cell>
          <cell r="O1107" t="e">
            <v>#N/A</v>
          </cell>
          <cell r="P1107" t="str">
            <v/>
          </cell>
          <cell r="Q1107" t="str">
            <v/>
          </cell>
          <cell r="R1107">
            <v>68</v>
          </cell>
        </row>
        <row r="1108">
          <cell r="A1108" t="str">
            <v/>
          </cell>
          <cell r="B1108" t="str">
            <v/>
          </cell>
          <cell r="C1108" t="str">
            <v>Future</v>
          </cell>
          <cell r="D1108" t="e">
            <v>#N/A</v>
          </cell>
          <cell r="E1108">
            <v>-74.935954339921011</v>
          </cell>
          <cell r="F1108">
            <v>87.811081233202785</v>
          </cell>
          <cell r="G1108">
            <v>11.8624646324119</v>
          </cell>
          <cell r="H1108">
            <v>11.8624646324119</v>
          </cell>
          <cell r="I1108" t="e">
            <v>#N/A</v>
          </cell>
          <cell r="J1108" t="e">
            <v>#N/A</v>
          </cell>
          <cell r="K1108">
            <v>75</v>
          </cell>
          <cell r="L1108">
            <v>40</v>
          </cell>
          <cell r="M1108" t="e">
            <v>#N/A</v>
          </cell>
          <cell r="N1108">
            <v>68</v>
          </cell>
          <cell r="O1108" t="e">
            <v>#N/A</v>
          </cell>
          <cell r="P1108" t="str">
            <v/>
          </cell>
          <cell r="Q1108" t="str">
            <v/>
          </cell>
          <cell r="R1108">
            <v>68</v>
          </cell>
        </row>
        <row r="1109">
          <cell r="A1109" t="str">
            <v/>
          </cell>
          <cell r="B1109" t="str">
            <v/>
          </cell>
          <cell r="C1109" t="str">
            <v>Future</v>
          </cell>
          <cell r="D1109" t="e">
            <v>#N/A</v>
          </cell>
          <cell r="E1109">
            <v>-75.189116347826143</v>
          </cell>
          <cell r="F1109">
            <v>87.854361913044684</v>
          </cell>
          <cell r="G1109">
            <v>11.76740539130518</v>
          </cell>
          <cell r="H1109">
            <v>11.76740539130518</v>
          </cell>
          <cell r="I1109" t="e">
            <v>#N/A</v>
          </cell>
          <cell r="J1109" t="e">
            <v>#N/A</v>
          </cell>
          <cell r="K1109">
            <v>75</v>
          </cell>
          <cell r="L1109">
            <v>40</v>
          </cell>
          <cell r="M1109" t="e">
            <v>#N/A</v>
          </cell>
          <cell r="N1109">
            <v>68</v>
          </cell>
          <cell r="O1109" t="e">
            <v>#N/A</v>
          </cell>
          <cell r="P1109" t="str">
            <v/>
          </cell>
          <cell r="Q1109" t="str">
            <v/>
          </cell>
          <cell r="R1109">
            <v>68</v>
          </cell>
        </row>
        <row r="1110">
          <cell r="A1110" t="str">
            <v/>
          </cell>
          <cell r="B1110" t="str">
            <v/>
          </cell>
          <cell r="C1110" t="str">
            <v>Future</v>
          </cell>
          <cell r="D1110" t="e">
            <v>#N/A</v>
          </cell>
          <cell r="E1110">
            <v>-75.442278355731275</v>
          </cell>
          <cell r="F1110">
            <v>87.897642592886584</v>
          </cell>
          <cell r="G1110">
            <v>11.672346150198461</v>
          </cell>
          <cell r="H1110">
            <v>11.672346150198461</v>
          </cell>
          <cell r="I1110" t="e">
            <v>#N/A</v>
          </cell>
          <cell r="J1110" t="e">
            <v>#N/A</v>
          </cell>
          <cell r="K1110">
            <v>75</v>
          </cell>
          <cell r="L1110">
            <v>40</v>
          </cell>
          <cell r="M1110" t="e">
            <v>#N/A</v>
          </cell>
          <cell r="N1110">
            <v>68</v>
          </cell>
          <cell r="O1110" t="e">
            <v>#N/A</v>
          </cell>
          <cell r="P1110" t="str">
            <v/>
          </cell>
          <cell r="Q1110" t="str">
            <v/>
          </cell>
          <cell r="R1110">
            <v>68</v>
          </cell>
        </row>
        <row r="1111">
          <cell r="A1111" t="str">
            <v/>
          </cell>
          <cell r="B1111" t="str">
            <v/>
          </cell>
          <cell r="C1111" t="str">
            <v>Future</v>
          </cell>
          <cell r="D1111" t="e">
            <v>#N/A</v>
          </cell>
          <cell r="E1111">
            <v>-75.695440363636408</v>
          </cell>
          <cell r="F1111">
            <v>87.940923272728483</v>
          </cell>
          <cell r="G1111">
            <v>11.577286909091741</v>
          </cell>
          <cell r="H1111">
            <v>11.577286909091741</v>
          </cell>
          <cell r="I1111" t="e">
            <v>#N/A</v>
          </cell>
          <cell r="J1111" t="e">
            <v>#N/A</v>
          </cell>
          <cell r="K1111">
            <v>75</v>
          </cell>
          <cell r="L1111">
            <v>40</v>
          </cell>
          <cell r="M1111" t="e">
            <v>#N/A</v>
          </cell>
          <cell r="N1111">
            <v>68</v>
          </cell>
          <cell r="O1111" t="e">
            <v>#N/A</v>
          </cell>
          <cell r="P1111" t="str">
            <v/>
          </cell>
          <cell r="Q1111" t="str">
            <v/>
          </cell>
          <cell r="R1111">
            <v>68</v>
          </cell>
        </row>
        <row r="1112">
          <cell r="A1112" t="str">
            <v/>
          </cell>
          <cell r="B1112" t="str">
            <v/>
          </cell>
          <cell r="C1112" t="str">
            <v>Future</v>
          </cell>
          <cell r="D1112" t="e">
            <v>#N/A</v>
          </cell>
          <cell r="E1112">
            <v>-75.94860237154154</v>
          </cell>
          <cell r="F1112">
            <v>87.984203952570383</v>
          </cell>
          <cell r="G1112">
            <v>11.482227667985022</v>
          </cell>
          <cell r="H1112">
            <v>11.482227667985022</v>
          </cell>
          <cell r="I1112" t="e">
            <v>#N/A</v>
          </cell>
          <cell r="J1112" t="e">
            <v>#N/A</v>
          </cell>
          <cell r="K1112">
            <v>75</v>
          </cell>
          <cell r="L1112">
            <v>40</v>
          </cell>
          <cell r="M1112" t="e">
            <v>#N/A</v>
          </cell>
          <cell r="N1112">
            <v>68</v>
          </cell>
          <cell r="O1112" t="e">
            <v>#N/A</v>
          </cell>
          <cell r="P1112" t="str">
            <v/>
          </cell>
          <cell r="Q1112" t="str">
            <v/>
          </cell>
          <cell r="R1112">
            <v>68</v>
          </cell>
        </row>
        <row r="1113">
          <cell r="A1113" t="str">
            <v/>
          </cell>
          <cell r="B1113" t="str">
            <v/>
          </cell>
          <cell r="C1113" t="str">
            <v>Future</v>
          </cell>
          <cell r="D1113" t="e">
            <v>#N/A</v>
          </cell>
          <cell r="E1113">
            <v>-76.201764379446672</v>
          </cell>
          <cell r="F1113">
            <v>88.027484632412282</v>
          </cell>
          <cell r="G1113">
            <v>11.387168426878302</v>
          </cell>
          <cell r="H1113">
            <v>11.387168426878302</v>
          </cell>
          <cell r="I1113" t="e">
            <v>#N/A</v>
          </cell>
          <cell r="J1113" t="e">
            <v>#N/A</v>
          </cell>
          <cell r="K1113">
            <v>75</v>
          </cell>
          <cell r="L1113">
            <v>40</v>
          </cell>
          <cell r="M1113" t="e">
            <v>#N/A</v>
          </cell>
          <cell r="N1113">
            <v>68</v>
          </cell>
          <cell r="O1113" t="e">
            <v>#N/A</v>
          </cell>
          <cell r="P1113" t="str">
            <v/>
          </cell>
          <cell r="Q1113" t="str">
            <v/>
          </cell>
          <cell r="R1113">
            <v>68</v>
          </cell>
        </row>
        <row r="1114">
          <cell r="A1114" t="str">
            <v/>
          </cell>
          <cell r="B1114" t="str">
            <v/>
          </cell>
          <cell r="C1114" t="str">
            <v>Future</v>
          </cell>
          <cell r="D1114" t="e">
            <v>#N/A</v>
          </cell>
          <cell r="E1114">
            <v>-76.454926387351804</v>
          </cell>
          <cell r="F1114">
            <v>88.070765312254181</v>
          </cell>
          <cell r="G1114">
            <v>11.292109185771583</v>
          </cell>
          <cell r="H1114">
            <v>11.292109185771583</v>
          </cell>
          <cell r="I1114" t="e">
            <v>#N/A</v>
          </cell>
          <cell r="J1114" t="e">
            <v>#N/A</v>
          </cell>
          <cell r="K1114">
            <v>75</v>
          </cell>
          <cell r="L1114">
            <v>40</v>
          </cell>
          <cell r="M1114" t="e">
            <v>#N/A</v>
          </cell>
          <cell r="N1114">
            <v>68</v>
          </cell>
          <cell r="O1114" t="e">
            <v>#N/A</v>
          </cell>
          <cell r="P1114" t="str">
            <v/>
          </cell>
          <cell r="Q1114" t="str">
            <v/>
          </cell>
          <cell r="R1114">
            <v>68</v>
          </cell>
        </row>
        <row r="1115">
          <cell r="A1115" t="str">
            <v/>
          </cell>
          <cell r="B1115" t="str">
            <v/>
          </cell>
          <cell r="C1115" t="str">
            <v>Future</v>
          </cell>
          <cell r="D1115" t="e">
            <v>#N/A</v>
          </cell>
          <cell r="E1115">
            <v>-76.708088395256937</v>
          </cell>
          <cell r="F1115">
            <v>88.114045992096081</v>
          </cell>
          <cell r="G1115">
            <v>11.197049944664863</v>
          </cell>
          <cell r="H1115">
            <v>11.197049944664863</v>
          </cell>
          <cell r="I1115" t="e">
            <v>#N/A</v>
          </cell>
          <cell r="J1115" t="e">
            <v>#N/A</v>
          </cell>
          <cell r="K1115">
            <v>75</v>
          </cell>
          <cell r="L1115">
            <v>40</v>
          </cell>
          <cell r="M1115" t="e">
            <v>#N/A</v>
          </cell>
          <cell r="N1115">
            <v>68</v>
          </cell>
          <cell r="O1115" t="e">
            <v>#N/A</v>
          </cell>
          <cell r="P1115" t="str">
            <v/>
          </cell>
          <cell r="Q1115" t="str">
            <v/>
          </cell>
          <cell r="R1115">
            <v>68</v>
          </cell>
        </row>
        <row r="1116">
          <cell r="A1116" t="str">
            <v/>
          </cell>
          <cell r="B1116" t="str">
            <v/>
          </cell>
          <cell r="C1116" t="str">
            <v>Future</v>
          </cell>
          <cell r="D1116" t="e">
            <v>#N/A</v>
          </cell>
          <cell r="E1116">
            <v>-76.961250403162069</v>
          </cell>
          <cell r="F1116">
            <v>88.15732667193798</v>
          </cell>
          <cell r="G1116">
            <v>11.101990703558144</v>
          </cell>
          <cell r="H1116">
            <v>11.101990703558144</v>
          </cell>
          <cell r="I1116" t="e">
            <v>#N/A</v>
          </cell>
          <cell r="J1116" t="e">
            <v>#N/A</v>
          </cell>
          <cell r="K1116">
            <v>75</v>
          </cell>
          <cell r="L1116">
            <v>40</v>
          </cell>
          <cell r="M1116" t="e">
            <v>#N/A</v>
          </cell>
          <cell r="N1116">
            <v>68</v>
          </cell>
          <cell r="O1116" t="e">
            <v>#N/A</v>
          </cell>
          <cell r="P1116" t="str">
            <v/>
          </cell>
          <cell r="Q1116" t="str">
            <v/>
          </cell>
          <cell r="R1116">
            <v>68</v>
          </cell>
        </row>
        <row r="1117">
          <cell r="A1117" t="str">
            <v/>
          </cell>
          <cell r="B1117" t="str">
            <v/>
          </cell>
          <cell r="C1117" t="str">
            <v>Future</v>
          </cell>
          <cell r="D1117" t="e">
            <v>#N/A</v>
          </cell>
          <cell r="E1117">
            <v>-77.214412411067201</v>
          </cell>
          <cell r="F1117">
            <v>88.20060735177988</v>
          </cell>
          <cell r="G1117">
            <v>11.006931462451425</v>
          </cell>
          <cell r="H1117">
            <v>11.006931462451425</v>
          </cell>
          <cell r="I1117" t="e">
            <v>#N/A</v>
          </cell>
          <cell r="J1117" t="e">
            <v>#N/A</v>
          </cell>
          <cell r="K1117">
            <v>75</v>
          </cell>
          <cell r="L1117">
            <v>40</v>
          </cell>
          <cell r="M1117" t="e">
            <v>#N/A</v>
          </cell>
          <cell r="N1117">
            <v>68</v>
          </cell>
          <cell r="O1117" t="e">
            <v>#N/A</v>
          </cell>
          <cell r="P1117" t="str">
            <v/>
          </cell>
          <cell r="Q1117" t="str">
            <v/>
          </cell>
          <cell r="R1117">
            <v>68</v>
          </cell>
        </row>
        <row r="1118">
          <cell r="A1118" t="str">
            <v/>
          </cell>
          <cell r="B1118" t="str">
            <v/>
          </cell>
          <cell r="C1118" t="str">
            <v>Future</v>
          </cell>
          <cell r="D1118" t="e">
            <v>#N/A</v>
          </cell>
          <cell r="E1118">
            <v>-77.467574418972333</v>
          </cell>
          <cell r="F1118">
            <v>88.243888031621779</v>
          </cell>
          <cell r="G1118">
            <v>10.911872221344705</v>
          </cell>
          <cell r="H1118">
            <v>10.911872221344705</v>
          </cell>
          <cell r="I1118" t="e">
            <v>#N/A</v>
          </cell>
          <cell r="J1118" t="e">
            <v>#N/A</v>
          </cell>
          <cell r="K1118">
            <v>75</v>
          </cell>
          <cell r="L1118">
            <v>40</v>
          </cell>
          <cell r="M1118" t="e">
            <v>#N/A</v>
          </cell>
          <cell r="N1118">
            <v>68</v>
          </cell>
          <cell r="O1118" t="e">
            <v>#N/A</v>
          </cell>
          <cell r="P1118" t="str">
            <v/>
          </cell>
          <cell r="Q1118" t="str">
            <v/>
          </cell>
          <cell r="R1118">
            <v>68</v>
          </cell>
        </row>
        <row r="1119">
          <cell r="A1119" t="str">
            <v/>
          </cell>
          <cell r="B1119" t="str">
            <v/>
          </cell>
          <cell r="C1119" t="str">
            <v>Future</v>
          </cell>
          <cell r="D1119" t="e">
            <v>#N/A</v>
          </cell>
          <cell r="E1119">
            <v>-77.720736426877465</v>
          </cell>
          <cell r="F1119">
            <v>88.287168711463679</v>
          </cell>
          <cell r="G1119">
            <v>10.816812980237986</v>
          </cell>
          <cell r="H1119">
            <v>10.816812980237986</v>
          </cell>
          <cell r="I1119" t="e">
            <v>#N/A</v>
          </cell>
          <cell r="J1119" t="e">
            <v>#N/A</v>
          </cell>
          <cell r="K1119">
            <v>75</v>
          </cell>
          <cell r="L1119">
            <v>40</v>
          </cell>
          <cell r="M1119" t="e">
            <v>#N/A</v>
          </cell>
          <cell r="N1119">
            <v>68</v>
          </cell>
          <cell r="O1119" t="e">
            <v>#N/A</v>
          </cell>
          <cell r="P1119" t="str">
            <v/>
          </cell>
          <cell r="Q1119" t="str">
            <v/>
          </cell>
          <cell r="R1119">
            <v>68</v>
          </cell>
        </row>
        <row r="1120">
          <cell r="A1120" t="str">
            <v/>
          </cell>
          <cell r="B1120" t="str">
            <v/>
          </cell>
          <cell r="C1120" t="str">
            <v>Future</v>
          </cell>
          <cell r="D1120" t="e">
            <v>#N/A</v>
          </cell>
          <cell r="E1120">
            <v>-77.973898434782598</v>
          </cell>
          <cell r="F1120">
            <v>88.330449391305578</v>
          </cell>
          <cell r="G1120">
            <v>10.721753739131266</v>
          </cell>
          <cell r="H1120">
            <v>10.721753739131266</v>
          </cell>
          <cell r="I1120" t="e">
            <v>#N/A</v>
          </cell>
          <cell r="J1120" t="e">
            <v>#N/A</v>
          </cell>
          <cell r="K1120">
            <v>75</v>
          </cell>
          <cell r="L1120">
            <v>40</v>
          </cell>
          <cell r="M1120" t="e">
            <v>#N/A</v>
          </cell>
          <cell r="N1120">
            <v>68</v>
          </cell>
          <cell r="O1120" t="e">
            <v>#N/A</v>
          </cell>
          <cell r="P1120" t="str">
            <v/>
          </cell>
          <cell r="Q1120" t="str">
            <v/>
          </cell>
          <cell r="R1120">
            <v>68</v>
          </cell>
        </row>
        <row r="1121">
          <cell r="A1121" t="str">
            <v/>
          </cell>
          <cell r="B1121" t="str">
            <v/>
          </cell>
          <cell r="C1121" t="str">
            <v>Future</v>
          </cell>
          <cell r="D1121" t="e">
            <v>#N/A</v>
          </cell>
          <cell r="E1121">
            <v>-78.22706044268773</v>
          </cell>
          <cell r="F1121">
            <v>88.373730071147477</v>
          </cell>
          <cell r="G1121">
            <v>10.626694498024547</v>
          </cell>
          <cell r="H1121">
            <v>10.626694498024547</v>
          </cell>
          <cell r="I1121" t="e">
            <v>#N/A</v>
          </cell>
          <cell r="J1121" t="e">
            <v>#N/A</v>
          </cell>
          <cell r="K1121">
            <v>75</v>
          </cell>
          <cell r="L1121">
            <v>40</v>
          </cell>
          <cell r="M1121" t="e">
            <v>#N/A</v>
          </cell>
          <cell r="N1121">
            <v>68</v>
          </cell>
          <cell r="O1121" t="e">
            <v>#N/A</v>
          </cell>
          <cell r="P1121" t="str">
            <v/>
          </cell>
          <cell r="Q1121" t="str">
            <v/>
          </cell>
          <cell r="R1121">
            <v>68</v>
          </cell>
        </row>
        <row r="1122">
          <cell r="A1122" t="str">
            <v/>
          </cell>
          <cell r="B1122" t="str">
            <v/>
          </cell>
          <cell r="C1122" t="str">
            <v>Future</v>
          </cell>
          <cell r="D1122" t="e">
            <v>#N/A</v>
          </cell>
          <cell r="E1122">
            <v>-78.480222450592862</v>
          </cell>
          <cell r="F1122">
            <v>88.417010750989377</v>
          </cell>
          <cell r="G1122">
            <v>10.531635256917827</v>
          </cell>
          <cell r="H1122">
            <v>10.531635256917827</v>
          </cell>
          <cell r="I1122" t="e">
            <v>#N/A</v>
          </cell>
          <cell r="J1122" t="e">
            <v>#N/A</v>
          </cell>
          <cell r="K1122">
            <v>75</v>
          </cell>
          <cell r="L1122">
            <v>40</v>
          </cell>
          <cell r="M1122" t="e">
            <v>#N/A</v>
          </cell>
          <cell r="N1122">
            <v>68</v>
          </cell>
          <cell r="O1122" t="e">
            <v>#N/A</v>
          </cell>
          <cell r="P1122" t="str">
            <v/>
          </cell>
          <cell r="Q1122" t="str">
            <v/>
          </cell>
          <cell r="R1122">
            <v>68</v>
          </cell>
        </row>
        <row r="1123">
          <cell r="A1123" t="str">
            <v/>
          </cell>
          <cell r="B1123" t="str">
            <v/>
          </cell>
          <cell r="C1123" t="str">
            <v>Future</v>
          </cell>
          <cell r="D1123" t="e">
            <v>#N/A</v>
          </cell>
          <cell r="E1123">
            <v>-78.733384458497994</v>
          </cell>
          <cell r="F1123">
            <v>88.460291430831276</v>
          </cell>
          <cell r="G1123">
            <v>10.436576015811108</v>
          </cell>
          <cell r="H1123">
            <v>10.436576015811108</v>
          </cell>
          <cell r="I1123" t="e">
            <v>#N/A</v>
          </cell>
          <cell r="J1123" t="e">
            <v>#N/A</v>
          </cell>
          <cell r="K1123">
            <v>75</v>
          </cell>
          <cell r="L1123">
            <v>40</v>
          </cell>
          <cell r="M1123" t="e">
            <v>#N/A</v>
          </cell>
          <cell r="N1123">
            <v>68</v>
          </cell>
          <cell r="O1123" t="e">
            <v>#N/A</v>
          </cell>
          <cell r="P1123" t="str">
            <v/>
          </cell>
          <cell r="Q1123" t="str">
            <v/>
          </cell>
          <cell r="R1123">
            <v>68</v>
          </cell>
        </row>
        <row r="1124">
          <cell r="A1124" t="str">
            <v/>
          </cell>
          <cell r="B1124" t="str">
            <v/>
          </cell>
          <cell r="C1124" t="str">
            <v>Future</v>
          </cell>
          <cell r="D1124" t="e">
            <v>#N/A</v>
          </cell>
          <cell r="E1124">
            <v>-78.986546466403126</v>
          </cell>
          <cell r="F1124">
            <v>88.503572110673176</v>
          </cell>
          <cell r="G1124">
            <v>10.341516774704388</v>
          </cell>
          <cell r="H1124">
            <v>10.341516774704388</v>
          </cell>
          <cell r="I1124" t="e">
            <v>#N/A</v>
          </cell>
          <cell r="J1124" t="e">
            <v>#N/A</v>
          </cell>
          <cell r="K1124">
            <v>75</v>
          </cell>
          <cell r="L1124">
            <v>40</v>
          </cell>
          <cell r="M1124" t="e">
            <v>#N/A</v>
          </cell>
          <cell r="N1124">
            <v>68</v>
          </cell>
          <cell r="O1124" t="e">
            <v>#N/A</v>
          </cell>
          <cell r="P1124" t="str">
            <v/>
          </cell>
          <cell r="Q1124" t="str">
            <v/>
          </cell>
          <cell r="R1124">
            <v>68</v>
          </cell>
        </row>
        <row r="1125">
          <cell r="A1125" t="str">
            <v/>
          </cell>
          <cell r="B1125" t="str">
            <v/>
          </cell>
          <cell r="C1125" t="str">
            <v>Future</v>
          </cell>
          <cell r="D1125" t="e">
            <v>#N/A</v>
          </cell>
          <cell r="E1125">
            <v>-79.239708474308259</v>
          </cell>
          <cell r="F1125">
            <v>88.546852790515075</v>
          </cell>
          <cell r="G1125">
            <v>10.246457533597669</v>
          </cell>
          <cell r="H1125">
            <v>10.246457533597669</v>
          </cell>
          <cell r="I1125" t="e">
            <v>#N/A</v>
          </cell>
          <cell r="J1125" t="e">
            <v>#N/A</v>
          </cell>
          <cell r="K1125">
            <v>75</v>
          </cell>
          <cell r="L1125">
            <v>40</v>
          </cell>
          <cell r="M1125" t="e">
            <v>#N/A</v>
          </cell>
          <cell r="N1125">
            <v>68</v>
          </cell>
          <cell r="O1125" t="e">
            <v>#N/A</v>
          </cell>
          <cell r="P1125" t="str">
            <v/>
          </cell>
          <cell r="Q1125" t="str">
            <v/>
          </cell>
          <cell r="R1125">
            <v>68</v>
          </cell>
        </row>
        <row r="1126">
          <cell r="A1126" t="str">
            <v/>
          </cell>
          <cell r="B1126" t="str">
            <v/>
          </cell>
          <cell r="C1126" t="str">
            <v>Future</v>
          </cell>
          <cell r="D1126" t="e">
            <v>#N/A</v>
          </cell>
          <cell r="E1126">
            <v>-79.492870482213391</v>
          </cell>
          <cell r="F1126">
            <v>88.590133470356974</v>
          </cell>
          <cell r="G1126">
            <v>10.151398292490949</v>
          </cell>
          <cell r="H1126">
            <v>10.151398292490949</v>
          </cell>
          <cell r="I1126" t="e">
            <v>#N/A</v>
          </cell>
          <cell r="J1126" t="e">
            <v>#N/A</v>
          </cell>
          <cell r="K1126">
            <v>75</v>
          </cell>
          <cell r="L1126">
            <v>40</v>
          </cell>
          <cell r="M1126" t="e">
            <v>#N/A</v>
          </cell>
          <cell r="N1126">
            <v>68</v>
          </cell>
          <cell r="O1126" t="e">
            <v>#N/A</v>
          </cell>
          <cell r="P1126" t="str">
            <v/>
          </cell>
          <cell r="Q1126" t="str">
            <v/>
          </cell>
          <cell r="R1126">
            <v>68</v>
          </cell>
        </row>
        <row r="1127">
          <cell r="A1127" t="str">
            <v/>
          </cell>
          <cell r="B1127" t="str">
            <v/>
          </cell>
          <cell r="C1127" t="str">
            <v>Future</v>
          </cell>
          <cell r="D1127" t="e">
            <v>#N/A</v>
          </cell>
          <cell r="E1127">
            <v>-79.746032490118523</v>
          </cell>
          <cell r="F1127">
            <v>88.633414150198874</v>
          </cell>
          <cell r="G1127">
            <v>10.05633905138423</v>
          </cell>
          <cell r="H1127">
            <v>10.05633905138423</v>
          </cell>
          <cell r="I1127" t="e">
            <v>#N/A</v>
          </cell>
          <cell r="J1127" t="e">
            <v>#N/A</v>
          </cell>
          <cell r="K1127">
            <v>75</v>
          </cell>
          <cell r="L1127">
            <v>40</v>
          </cell>
          <cell r="M1127" t="e">
            <v>#N/A</v>
          </cell>
          <cell r="N1127">
            <v>68</v>
          </cell>
          <cell r="O1127" t="e">
            <v>#N/A</v>
          </cell>
          <cell r="P1127" t="str">
            <v/>
          </cell>
          <cell r="Q1127" t="str">
            <v/>
          </cell>
          <cell r="R1127">
            <v>68</v>
          </cell>
        </row>
        <row r="1128">
          <cell r="A1128" t="str">
            <v/>
          </cell>
          <cell r="B1128" t="str">
            <v/>
          </cell>
          <cell r="C1128" t="str">
            <v>Future</v>
          </cell>
          <cell r="D1128" t="e">
            <v>#N/A</v>
          </cell>
          <cell r="E1128">
            <v>-79.999194498023655</v>
          </cell>
          <cell r="F1128">
            <v>88.676694830040773</v>
          </cell>
          <cell r="G1128">
            <v>9.9612798102775102</v>
          </cell>
          <cell r="H1128">
            <v>9.9612798102775102</v>
          </cell>
          <cell r="I1128" t="e">
            <v>#N/A</v>
          </cell>
          <cell r="J1128" t="e">
            <v>#N/A</v>
          </cell>
          <cell r="K1128">
            <v>75</v>
          </cell>
          <cell r="L1128">
            <v>40</v>
          </cell>
          <cell r="M1128" t="e">
            <v>#N/A</v>
          </cell>
          <cell r="N1128">
            <v>68</v>
          </cell>
          <cell r="O1128" t="e">
            <v>#N/A</v>
          </cell>
          <cell r="P1128" t="str">
            <v/>
          </cell>
          <cell r="Q1128" t="str">
            <v/>
          </cell>
          <cell r="R1128">
            <v>68</v>
          </cell>
        </row>
        <row r="1129">
          <cell r="A1129" t="str">
            <v/>
          </cell>
          <cell r="B1129" t="str">
            <v/>
          </cell>
          <cell r="C1129" t="str">
            <v>Future</v>
          </cell>
          <cell r="D1129" t="e">
            <v>#N/A</v>
          </cell>
          <cell r="E1129">
            <v>-80.252356505928788</v>
          </cell>
          <cell r="F1129">
            <v>88.719975509882673</v>
          </cell>
          <cell r="G1129">
            <v>9.8662205691707907</v>
          </cell>
          <cell r="H1129">
            <v>9.8662205691707907</v>
          </cell>
          <cell r="I1129" t="e">
            <v>#N/A</v>
          </cell>
          <cell r="J1129" t="e">
            <v>#N/A</v>
          </cell>
          <cell r="K1129">
            <v>75</v>
          </cell>
          <cell r="L1129">
            <v>40</v>
          </cell>
          <cell r="M1129" t="e">
            <v>#N/A</v>
          </cell>
          <cell r="N1129">
            <v>68</v>
          </cell>
          <cell r="O1129" t="e">
            <v>#N/A</v>
          </cell>
          <cell r="P1129" t="str">
            <v/>
          </cell>
          <cell r="Q1129" t="str">
            <v/>
          </cell>
          <cell r="R1129">
            <v>68</v>
          </cell>
        </row>
        <row r="1130">
          <cell r="A1130" t="str">
            <v/>
          </cell>
          <cell r="B1130" t="str">
            <v/>
          </cell>
          <cell r="C1130" t="str">
            <v>Future</v>
          </cell>
          <cell r="D1130" t="e">
            <v>#N/A</v>
          </cell>
          <cell r="E1130">
            <v>-80.50551851383392</v>
          </cell>
          <cell r="F1130">
            <v>88.763256189724572</v>
          </cell>
          <cell r="G1130">
            <v>9.7711613280640712</v>
          </cell>
          <cell r="H1130">
            <v>9.7711613280640712</v>
          </cell>
          <cell r="I1130" t="e">
            <v>#N/A</v>
          </cell>
          <cell r="J1130" t="e">
            <v>#N/A</v>
          </cell>
          <cell r="K1130">
            <v>75</v>
          </cell>
          <cell r="L1130">
            <v>40</v>
          </cell>
          <cell r="M1130" t="e">
            <v>#N/A</v>
          </cell>
          <cell r="N1130">
            <v>68</v>
          </cell>
          <cell r="O1130" t="e">
            <v>#N/A</v>
          </cell>
          <cell r="P1130" t="str">
            <v/>
          </cell>
          <cell r="Q1130" t="str">
            <v/>
          </cell>
          <cell r="R1130">
            <v>68</v>
          </cell>
        </row>
        <row r="1131">
          <cell r="A1131" t="str">
            <v/>
          </cell>
          <cell r="B1131" t="str">
            <v/>
          </cell>
          <cell r="C1131" t="str">
            <v>Future</v>
          </cell>
          <cell r="D1131" t="e">
            <v>#N/A</v>
          </cell>
          <cell r="E1131">
            <v>-80.758680521739052</v>
          </cell>
          <cell r="F1131">
            <v>88.806536869566472</v>
          </cell>
          <cell r="G1131">
            <v>9.6761020869573517</v>
          </cell>
          <cell r="H1131">
            <v>9.6761020869573517</v>
          </cell>
          <cell r="I1131" t="e">
            <v>#N/A</v>
          </cell>
          <cell r="J1131" t="e">
            <v>#N/A</v>
          </cell>
          <cell r="K1131">
            <v>75</v>
          </cell>
          <cell r="L1131">
            <v>40</v>
          </cell>
          <cell r="M1131" t="e">
            <v>#N/A</v>
          </cell>
          <cell r="N1131">
            <v>68</v>
          </cell>
          <cell r="O1131" t="e">
            <v>#N/A</v>
          </cell>
          <cell r="P1131" t="str">
            <v/>
          </cell>
          <cell r="Q1131" t="str">
            <v/>
          </cell>
          <cell r="R1131">
            <v>68</v>
          </cell>
        </row>
        <row r="1132">
          <cell r="A1132" t="str">
            <v/>
          </cell>
          <cell r="B1132" t="str">
            <v/>
          </cell>
          <cell r="C1132" t="str">
            <v>Future</v>
          </cell>
          <cell r="D1132" t="e">
            <v>#N/A</v>
          </cell>
          <cell r="E1132">
            <v>-81.011842529644184</v>
          </cell>
          <cell r="F1132">
            <v>88.849817549408371</v>
          </cell>
          <cell r="G1132">
            <v>9.5810428458506323</v>
          </cell>
          <cell r="H1132">
            <v>9.5810428458506323</v>
          </cell>
          <cell r="I1132" t="e">
            <v>#N/A</v>
          </cell>
          <cell r="J1132" t="e">
            <v>#N/A</v>
          </cell>
          <cell r="K1132">
            <v>75</v>
          </cell>
          <cell r="L1132">
            <v>40</v>
          </cell>
          <cell r="M1132" t="e">
            <v>#N/A</v>
          </cell>
          <cell r="N1132">
            <v>68</v>
          </cell>
          <cell r="O1132" t="e">
            <v>#N/A</v>
          </cell>
          <cell r="P1132" t="str">
            <v/>
          </cell>
          <cell r="Q1132" t="str">
            <v/>
          </cell>
          <cell r="R1132">
            <v>68</v>
          </cell>
        </row>
        <row r="1133">
          <cell r="A1133" t="str">
            <v/>
          </cell>
          <cell r="B1133" t="str">
            <v/>
          </cell>
          <cell r="C1133" t="str">
            <v>Future</v>
          </cell>
          <cell r="D1133" t="e">
            <v>#N/A</v>
          </cell>
          <cell r="E1133">
            <v>-81.265004537549316</v>
          </cell>
          <cell r="F1133">
            <v>88.89309822925027</v>
          </cell>
          <cell r="G1133">
            <v>9.4859836047439128</v>
          </cell>
          <cell r="H1133">
            <v>9.4859836047439128</v>
          </cell>
          <cell r="I1133" t="e">
            <v>#N/A</v>
          </cell>
          <cell r="J1133" t="e">
            <v>#N/A</v>
          </cell>
          <cell r="K1133">
            <v>75</v>
          </cell>
          <cell r="L1133">
            <v>40</v>
          </cell>
          <cell r="M1133" t="e">
            <v>#N/A</v>
          </cell>
          <cell r="N1133">
            <v>68</v>
          </cell>
          <cell r="O1133" t="e">
            <v>#N/A</v>
          </cell>
          <cell r="P1133" t="str">
            <v/>
          </cell>
          <cell r="Q1133" t="str">
            <v/>
          </cell>
          <cell r="R1133">
            <v>68</v>
          </cell>
        </row>
        <row r="1134">
          <cell r="A1134" t="str">
            <v/>
          </cell>
          <cell r="B1134" t="str">
            <v/>
          </cell>
          <cell r="C1134" t="str">
            <v>Future</v>
          </cell>
          <cell r="D1134" t="e">
            <v>#N/A</v>
          </cell>
          <cell r="E1134">
            <v>-81.518166545454449</v>
          </cell>
          <cell r="F1134">
            <v>88.93637890909217</v>
          </cell>
          <cell r="G1134">
            <v>9.3909243636371933</v>
          </cell>
          <cell r="H1134">
            <v>9.3909243636371933</v>
          </cell>
          <cell r="I1134" t="e">
            <v>#N/A</v>
          </cell>
          <cell r="J1134" t="e">
            <v>#N/A</v>
          </cell>
          <cell r="K1134">
            <v>75</v>
          </cell>
          <cell r="L1134">
            <v>40</v>
          </cell>
          <cell r="M1134" t="e">
            <v>#N/A</v>
          </cell>
          <cell r="N1134">
            <v>68</v>
          </cell>
          <cell r="O1134" t="e">
            <v>#N/A</v>
          </cell>
          <cell r="P1134" t="str">
            <v/>
          </cell>
          <cell r="Q1134" t="str">
            <v/>
          </cell>
          <cell r="R1134">
            <v>68</v>
          </cell>
        </row>
        <row r="1135">
          <cell r="A1135" t="str">
            <v/>
          </cell>
          <cell r="B1135" t="str">
            <v/>
          </cell>
          <cell r="C1135" t="str">
            <v>Future</v>
          </cell>
          <cell r="D1135" t="e">
            <v>#N/A</v>
          </cell>
          <cell r="E1135">
            <v>-81.771328553359581</v>
          </cell>
          <cell r="F1135">
            <v>88.979659588934069</v>
          </cell>
          <cell r="G1135">
            <v>9.2958651225304738</v>
          </cell>
          <cell r="H1135">
            <v>9.2958651225304738</v>
          </cell>
          <cell r="I1135" t="e">
            <v>#N/A</v>
          </cell>
          <cell r="J1135" t="e">
            <v>#N/A</v>
          </cell>
          <cell r="K1135">
            <v>75</v>
          </cell>
          <cell r="L1135">
            <v>40</v>
          </cell>
          <cell r="M1135" t="e">
            <v>#N/A</v>
          </cell>
          <cell r="N1135">
            <v>68</v>
          </cell>
          <cell r="O1135" t="e">
            <v>#N/A</v>
          </cell>
          <cell r="P1135" t="str">
            <v/>
          </cell>
          <cell r="Q1135" t="str">
            <v/>
          </cell>
          <cell r="R1135">
            <v>68</v>
          </cell>
        </row>
        <row r="1136">
          <cell r="A1136" t="str">
            <v/>
          </cell>
          <cell r="B1136" t="str">
            <v/>
          </cell>
          <cell r="C1136" t="str">
            <v>Future</v>
          </cell>
          <cell r="D1136" t="e">
            <v>#N/A</v>
          </cell>
          <cell r="E1136">
            <v>-82.024490561264713</v>
          </cell>
          <cell r="F1136">
            <v>89.022940268775969</v>
          </cell>
          <cell r="G1136">
            <v>9.2008058814237543</v>
          </cell>
          <cell r="H1136">
            <v>9.2008058814237543</v>
          </cell>
          <cell r="I1136" t="e">
            <v>#N/A</v>
          </cell>
          <cell r="J1136" t="e">
            <v>#N/A</v>
          </cell>
          <cell r="K1136">
            <v>75</v>
          </cell>
          <cell r="L1136">
            <v>40</v>
          </cell>
          <cell r="M1136" t="e">
            <v>#N/A</v>
          </cell>
          <cell r="N1136">
            <v>68</v>
          </cell>
          <cell r="O1136" t="e">
            <v>#N/A</v>
          </cell>
          <cell r="P1136" t="str">
            <v/>
          </cell>
          <cell r="Q1136" t="str">
            <v/>
          </cell>
          <cell r="R1136">
            <v>68</v>
          </cell>
        </row>
        <row r="1137">
          <cell r="A1137" t="str">
            <v/>
          </cell>
          <cell r="B1137" t="str">
            <v/>
          </cell>
          <cell r="C1137" t="str">
            <v>Future</v>
          </cell>
          <cell r="D1137" t="e">
            <v>#N/A</v>
          </cell>
          <cell r="E1137">
            <v>-82.277652569169845</v>
          </cell>
          <cell r="F1137">
            <v>89.066220948617868</v>
          </cell>
          <cell r="G1137">
            <v>9.1057466403170348</v>
          </cell>
          <cell r="H1137">
            <v>9.1057466403170348</v>
          </cell>
          <cell r="I1137" t="e">
            <v>#N/A</v>
          </cell>
          <cell r="J1137" t="e">
            <v>#N/A</v>
          </cell>
          <cell r="K1137">
            <v>75</v>
          </cell>
          <cell r="L1137">
            <v>40</v>
          </cell>
          <cell r="M1137" t="e">
            <v>#N/A</v>
          </cell>
          <cell r="N1137">
            <v>68</v>
          </cell>
          <cell r="O1137" t="e">
            <v>#N/A</v>
          </cell>
          <cell r="P1137" t="str">
            <v/>
          </cell>
          <cell r="Q1137" t="str">
            <v/>
          </cell>
          <cell r="R1137">
            <v>68</v>
          </cell>
        </row>
        <row r="1138">
          <cell r="A1138" t="str">
            <v/>
          </cell>
          <cell r="B1138" t="str">
            <v/>
          </cell>
          <cell r="C1138" t="str">
            <v>Future</v>
          </cell>
          <cell r="D1138" t="e">
            <v>#N/A</v>
          </cell>
          <cell r="E1138">
            <v>-82.530814577074977</v>
          </cell>
          <cell r="F1138">
            <v>89.109501628459768</v>
          </cell>
          <cell r="G1138">
            <v>9.0106873992103154</v>
          </cell>
          <cell r="H1138">
            <v>9.0106873992103154</v>
          </cell>
          <cell r="I1138" t="e">
            <v>#N/A</v>
          </cell>
          <cell r="J1138" t="e">
            <v>#N/A</v>
          </cell>
          <cell r="K1138">
            <v>75</v>
          </cell>
          <cell r="L1138">
            <v>40</v>
          </cell>
          <cell r="M1138" t="e">
            <v>#N/A</v>
          </cell>
          <cell r="N1138">
            <v>68</v>
          </cell>
          <cell r="O1138" t="e">
            <v>#N/A</v>
          </cell>
          <cell r="P1138" t="str">
            <v/>
          </cell>
          <cell r="Q1138" t="str">
            <v/>
          </cell>
          <cell r="R1138">
            <v>68</v>
          </cell>
        </row>
        <row r="1139">
          <cell r="A1139" t="str">
            <v/>
          </cell>
          <cell r="B1139" t="str">
            <v/>
          </cell>
          <cell r="C1139" t="str">
            <v>Future</v>
          </cell>
          <cell r="D1139" t="e">
            <v>#N/A</v>
          </cell>
          <cell r="E1139">
            <v>-82.78397658498011</v>
          </cell>
          <cell r="F1139">
            <v>89.152782308301667</v>
          </cell>
          <cell r="G1139">
            <v>8.9156281581035959</v>
          </cell>
          <cell r="H1139">
            <v>8.9156281581035959</v>
          </cell>
          <cell r="I1139" t="e">
            <v>#N/A</v>
          </cell>
          <cell r="J1139" t="e">
            <v>#N/A</v>
          </cell>
          <cell r="K1139">
            <v>75</v>
          </cell>
          <cell r="L1139">
            <v>40</v>
          </cell>
          <cell r="M1139" t="e">
            <v>#N/A</v>
          </cell>
          <cell r="N1139">
            <v>68</v>
          </cell>
          <cell r="O1139" t="e">
            <v>#N/A</v>
          </cell>
          <cell r="P1139" t="str">
            <v/>
          </cell>
          <cell r="Q1139" t="str">
            <v/>
          </cell>
          <cell r="R1139">
            <v>68</v>
          </cell>
        </row>
        <row r="1140">
          <cell r="A1140" t="str">
            <v/>
          </cell>
          <cell r="B1140" t="str">
            <v/>
          </cell>
          <cell r="C1140" t="str">
            <v>Future</v>
          </cell>
          <cell r="D1140" t="e">
            <v>#N/A</v>
          </cell>
          <cell r="E1140">
            <v>-83.037138592885242</v>
          </cell>
          <cell r="F1140">
            <v>89.196062988143566</v>
          </cell>
          <cell r="G1140">
            <v>8.8205689169968764</v>
          </cell>
          <cell r="H1140">
            <v>8.8205689169968764</v>
          </cell>
          <cell r="I1140" t="e">
            <v>#N/A</v>
          </cell>
          <cell r="J1140" t="e">
            <v>#N/A</v>
          </cell>
          <cell r="K1140">
            <v>75</v>
          </cell>
          <cell r="L1140">
            <v>40</v>
          </cell>
          <cell r="M1140" t="e">
            <v>#N/A</v>
          </cell>
          <cell r="N1140">
            <v>68</v>
          </cell>
          <cell r="O1140" t="e">
            <v>#N/A</v>
          </cell>
          <cell r="P1140" t="str">
            <v/>
          </cell>
          <cell r="Q1140" t="str">
            <v/>
          </cell>
          <cell r="R1140">
            <v>68</v>
          </cell>
        </row>
        <row r="1141">
          <cell r="A1141" t="str">
            <v/>
          </cell>
          <cell r="B1141" t="str">
            <v/>
          </cell>
          <cell r="C1141" t="str">
            <v>Future</v>
          </cell>
          <cell r="D1141" t="e">
            <v>#N/A</v>
          </cell>
          <cell r="E1141">
            <v>-83.290300600790374</v>
          </cell>
          <cell r="F1141">
            <v>89.239343667985466</v>
          </cell>
          <cell r="G1141">
            <v>8.7255096758901569</v>
          </cell>
          <cell r="H1141">
            <v>8.7255096758901569</v>
          </cell>
          <cell r="I1141" t="e">
            <v>#N/A</v>
          </cell>
          <cell r="J1141" t="e">
            <v>#N/A</v>
          </cell>
          <cell r="K1141">
            <v>75</v>
          </cell>
          <cell r="L1141">
            <v>40</v>
          </cell>
          <cell r="M1141" t="e">
            <v>#N/A</v>
          </cell>
          <cell r="N1141">
            <v>68</v>
          </cell>
          <cell r="O1141" t="e">
            <v>#N/A</v>
          </cell>
          <cell r="P1141" t="str">
            <v/>
          </cell>
          <cell r="Q1141" t="str">
            <v/>
          </cell>
          <cell r="R1141">
            <v>68</v>
          </cell>
        </row>
        <row r="1142">
          <cell r="A1142" t="str">
            <v/>
          </cell>
          <cell r="B1142" t="str">
            <v/>
          </cell>
          <cell r="C1142" t="str">
            <v>Future</v>
          </cell>
          <cell r="D1142" t="e">
            <v>#N/A</v>
          </cell>
          <cell r="E1142">
            <v>-83.543462608695506</v>
          </cell>
          <cell r="F1142">
            <v>89.282624347827365</v>
          </cell>
          <cell r="G1142">
            <v>8.6304504347834374</v>
          </cell>
          <cell r="H1142">
            <v>8.6304504347834374</v>
          </cell>
          <cell r="I1142" t="e">
            <v>#N/A</v>
          </cell>
          <cell r="J1142" t="e">
            <v>#N/A</v>
          </cell>
          <cell r="K1142">
            <v>75</v>
          </cell>
          <cell r="L1142">
            <v>40</v>
          </cell>
          <cell r="M1142" t="e">
            <v>#N/A</v>
          </cell>
          <cell r="N1142">
            <v>68</v>
          </cell>
          <cell r="O1142" t="e">
            <v>#N/A</v>
          </cell>
          <cell r="P1142" t="str">
            <v/>
          </cell>
          <cell r="Q1142" t="str">
            <v/>
          </cell>
          <cell r="R1142">
            <v>68</v>
          </cell>
        </row>
        <row r="1143">
          <cell r="A1143" t="str">
            <v/>
          </cell>
          <cell r="B1143" t="str">
            <v/>
          </cell>
          <cell r="C1143" t="str">
            <v>Future</v>
          </cell>
          <cell r="D1143" t="e">
            <v>#N/A</v>
          </cell>
          <cell r="E1143">
            <v>-83.796624616600639</v>
          </cell>
          <cell r="F1143">
            <v>89.325905027669265</v>
          </cell>
          <cell r="G1143">
            <v>8.5353911936767179</v>
          </cell>
          <cell r="H1143">
            <v>8.5353911936767179</v>
          </cell>
          <cell r="I1143" t="e">
            <v>#N/A</v>
          </cell>
          <cell r="J1143" t="e">
            <v>#N/A</v>
          </cell>
          <cell r="K1143">
            <v>75</v>
          </cell>
          <cell r="L1143">
            <v>40</v>
          </cell>
          <cell r="M1143" t="e">
            <v>#N/A</v>
          </cell>
          <cell r="N1143">
            <v>68</v>
          </cell>
          <cell r="O1143" t="e">
            <v>#N/A</v>
          </cell>
          <cell r="P1143" t="str">
            <v/>
          </cell>
          <cell r="Q1143" t="str">
            <v/>
          </cell>
          <cell r="R1143">
            <v>68</v>
          </cell>
        </row>
        <row r="1144">
          <cell r="A1144" t="str">
            <v/>
          </cell>
          <cell r="B1144" t="str">
            <v/>
          </cell>
          <cell r="C1144" t="str">
            <v>Future</v>
          </cell>
          <cell r="D1144" t="e">
            <v>#N/A</v>
          </cell>
          <cell r="E1144">
            <v>-84.049786624505771</v>
          </cell>
          <cell r="F1144">
            <v>89.369185707511164</v>
          </cell>
          <cell r="G1144">
            <v>8.4403319525699985</v>
          </cell>
          <cell r="H1144">
            <v>8.4403319525699985</v>
          </cell>
          <cell r="I1144" t="e">
            <v>#N/A</v>
          </cell>
          <cell r="J1144" t="e">
            <v>#N/A</v>
          </cell>
          <cell r="K1144">
            <v>75</v>
          </cell>
          <cell r="L1144">
            <v>40</v>
          </cell>
          <cell r="M1144" t="e">
            <v>#N/A</v>
          </cell>
          <cell r="N1144">
            <v>68</v>
          </cell>
          <cell r="O1144" t="e">
            <v>#N/A</v>
          </cell>
          <cell r="P1144" t="str">
            <v/>
          </cell>
          <cell r="Q1144" t="str">
            <v/>
          </cell>
          <cell r="R1144">
            <v>68</v>
          </cell>
        </row>
        <row r="1145">
          <cell r="A1145" t="str">
            <v/>
          </cell>
          <cell r="B1145" t="str">
            <v/>
          </cell>
          <cell r="C1145" t="str">
            <v>Future</v>
          </cell>
          <cell r="D1145" t="e">
            <v>#N/A</v>
          </cell>
          <cell r="E1145">
            <v>-84.302948632410903</v>
          </cell>
          <cell r="F1145">
            <v>89.412466387353064</v>
          </cell>
          <cell r="G1145">
            <v>8.345272711463279</v>
          </cell>
          <cell r="H1145">
            <v>8.345272711463279</v>
          </cell>
          <cell r="I1145" t="e">
            <v>#N/A</v>
          </cell>
          <cell r="J1145" t="e">
            <v>#N/A</v>
          </cell>
          <cell r="K1145">
            <v>75</v>
          </cell>
          <cell r="L1145">
            <v>40</v>
          </cell>
          <cell r="M1145" t="e">
            <v>#N/A</v>
          </cell>
          <cell r="N1145">
            <v>68</v>
          </cell>
          <cell r="O1145" t="e">
            <v>#N/A</v>
          </cell>
          <cell r="P1145" t="str">
            <v/>
          </cell>
          <cell r="Q1145" t="str">
            <v/>
          </cell>
          <cell r="R1145">
            <v>68</v>
          </cell>
        </row>
        <row r="1146">
          <cell r="A1146" t="str">
            <v/>
          </cell>
          <cell r="B1146" t="str">
            <v/>
          </cell>
          <cell r="C1146" t="str">
            <v>Future</v>
          </cell>
          <cell r="D1146" t="e">
            <v>#N/A</v>
          </cell>
          <cell r="E1146">
            <v>-84.556110640316035</v>
          </cell>
          <cell r="F1146">
            <v>89.455747067194963</v>
          </cell>
          <cell r="G1146">
            <v>8.2502134703565595</v>
          </cell>
          <cell r="H1146">
            <v>8.2502134703565595</v>
          </cell>
          <cell r="I1146" t="e">
            <v>#N/A</v>
          </cell>
          <cell r="J1146" t="e">
            <v>#N/A</v>
          </cell>
          <cell r="K1146">
            <v>75</v>
          </cell>
          <cell r="L1146">
            <v>40</v>
          </cell>
          <cell r="M1146" t="e">
            <v>#N/A</v>
          </cell>
          <cell r="N1146">
            <v>68</v>
          </cell>
          <cell r="O1146" t="e">
            <v>#N/A</v>
          </cell>
          <cell r="P1146" t="str">
            <v/>
          </cell>
          <cell r="Q1146" t="str">
            <v/>
          </cell>
          <cell r="R1146">
            <v>68</v>
          </cell>
        </row>
        <row r="1147">
          <cell r="A1147" t="str">
            <v/>
          </cell>
          <cell r="B1147" t="str">
            <v/>
          </cell>
          <cell r="C1147" t="str">
            <v>Future</v>
          </cell>
          <cell r="D1147" t="e">
            <v>#N/A</v>
          </cell>
          <cell r="E1147">
            <v>-84.809272648221167</v>
          </cell>
          <cell r="F1147">
            <v>89.499027747036862</v>
          </cell>
          <cell r="G1147">
            <v>8.15515422924984</v>
          </cell>
          <cell r="H1147">
            <v>8.15515422924984</v>
          </cell>
          <cell r="I1147" t="e">
            <v>#N/A</v>
          </cell>
          <cell r="J1147" t="e">
            <v>#N/A</v>
          </cell>
          <cell r="K1147">
            <v>75</v>
          </cell>
          <cell r="L1147">
            <v>40</v>
          </cell>
          <cell r="M1147" t="e">
            <v>#N/A</v>
          </cell>
          <cell r="N1147">
            <v>68</v>
          </cell>
          <cell r="O1147" t="e">
            <v>#N/A</v>
          </cell>
          <cell r="P1147" t="str">
            <v/>
          </cell>
          <cell r="Q1147" t="str">
            <v/>
          </cell>
          <cell r="R1147">
            <v>68</v>
          </cell>
        </row>
        <row r="1148">
          <cell r="A1148" t="str">
            <v/>
          </cell>
          <cell r="B1148" t="str">
            <v/>
          </cell>
          <cell r="C1148" t="str">
            <v>Future</v>
          </cell>
          <cell r="D1148" t="e">
            <v>#N/A</v>
          </cell>
          <cell r="E1148">
            <v>-85.0624346561263</v>
          </cell>
          <cell r="F1148">
            <v>89.542308426878762</v>
          </cell>
          <cell r="G1148">
            <v>8.0600949881431205</v>
          </cell>
          <cell r="H1148">
            <v>8.0600949881431205</v>
          </cell>
          <cell r="I1148" t="e">
            <v>#N/A</v>
          </cell>
          <cell r="J1148" t="e">
            <v>#N/A</v>
          </cell>
          <cell r="K1148">
            <v>75</v>
          </cell>
          <cell r="L1148">
            <v>40</v>
          </cell>
          <cell r="M1148" t="e">
            <v>#N/A</v>
          </cell>
          <cell r="N1148">
            <v>68</v>
          </cell>
          <cell r="O1148" t="e">
            <v>#N/A</v>
          </cell>
          <cell r="P1148" t="str">
            <v/>
          </cell>
          <cell r="Q1148" t="str">
            <v/>
          </cell>
          <cell r="R1148">
            <v>68</v>
          </cell>
        </row>
        <row r="1149">
          <cell r="A1149" t="str">
            <v/>
          </cell>
          <cell r="B1149" t="str">
            <v/>
          </cell>
          <cell r="C1149" t="str">
            <v>Future</v>
          </cell>
          <cell r="D1149" t="e">
            <v>#N/A</v>
          </cell>
          <cell r="E1149">
            <v>-85.315596664031432</v>
          </cell>
          <cell r="F1149">
            <v>89.585589106720661</v>
          </cell>
          <cell r="G1149">
            <v>7.965035747036401</v>
          </cell>
          <cell r="H1149">
            <v>7.965035747036401</v>
          </cell>
          <cell r="I1149" t="e">
            <v>#N/A</v>
          </cell>
          <cell r="J1149" t="e">
            <v>#N/A</v>
          </cell>
          <cell r="K1149">
            <v>75</v>
          </cell>
          <cell r="L1149">
            <v>40</v>
          </cell>
          <cell r="M1149" t="e">
            <v>#N/A</v>
          </cell>
          <cell r="N1149">
            <v>68</v>
          </cell>
          <cell r="O1149" t="e">
            <v>#N/A</v>
          </cell>
          <cell r="P1149" t="str">
            <v/>
          </cell>
          <cell r="Q1149" t="str">
            <v/>
          </cell>
          <cell r="R1149">
            <v>68</v>
          </cell>
        </row>
        <row r="1150">
          <cell r="A1150" t="str">
            <v/>
          </cell>
          <cell r="B1150" t="str">
            <v/>
          </cell>
          <cell r="C1150" t="str">
            <v>Future</v>
          </cell>
          <cell r="D1150" t="e">
            <v>#N/A</v>
          </cell>
          <cell r="E1150">
            <v>-85.568758671936564</v>
          </cell>
          <cell r="F1150">
            <v>89.628869786562561</v>
          </cell>
          <cell r="G1150">
            <v>7.8699765059296816</v>
          </cell>
          <cell r="H1150">
            <v>7.8699765059296816</v>
          </cell>
          <cell r="I1150" t="e">
            <v>#N/A</v>
          </cell>
          <cell r="J1150" t="e">
            <v>#N/A</v>
          </cell>
          <cell r="K1150">
            <v>75</v>
          </cell>
          <cell r="L1150">
            <v>40</v>
          </cell>
          <cell r="M1150" t="e">
            <v>#N/A</v>
          </cell>
          <cell r="N1150">
            <v>68</v>
          </cell>
          <cell r="O1150" t="e">
            <v>#N/A</v>
          </cell>
          <cell r="P1150" t="str">
            <v/>
          </cell>
          <cell r="Q1150" t="str">
            <v/>
          </cell>
          <cell r="R1150">
            <v>68</v>
          </cell>
        </row>
        <row r="1151">
          <cell r="A1151" t="str">
            <v/>
          </cell>
          <cell r="B1151" t="str">
            <v/>
          </cell>
          <cell r="C1151" t="str">
            <v>Future</v>
          </cell>
          <cell r="D1151" t="e">
            <v>#N/A</v>
          </cell>
          <cell r="E1151">
            <v>-85.821920679841696</v>
          </cell>
          <cell r="F1151">
            <v>89.67215046640446</v>
          </cell>
          <cell r="G1151">
            <v>7.7749172648229621</v>
          </cell>
          <cell r="H1151">
            <v>7.7749172648229621</v>
          </cell>
          <cell r="I1151" t="e">
            <v>#N/A</v>
          </cell>
          <cell r="J1151" t="e">
            <v>#N/A</v>
          </cell>
          <cell r="K1151">
            <v>75</v>
          </cell>
          <cell r="L1151">
            <v>40</v>
          </cell>
          <cell r="M1151" t="e">
            <v>#N/A</v>
          </cell>
          <cell r="N1151">
            <v>68</v>
          </cell>
          <cell r="O1151" t="e">
            <v>#N/A</v>
          </cell>
          <cell r="P1151" t="str">
            <v/>
          </cell>
          <cell r="Q1151" t="str">
            <v/>
          </cell>
          <cell r="R1151">
            <v>68</v>
          </cell>
        </row>
        <row r="1152">
          <cell r="A1152" t="str">
            <v/>
          </cell>
          <cell r="B1152" t="str">
            <v/>
          </cell>
          <cell r="C1152" t="str">
            <v>Future</v>
          </cell>
          <cell r="D1152" t="e">
            <v>#N/A</v>
          </cell>
          <cell r="E1152">
            <v>-86.075082687746828</v>
          </cell>
          <cell r="F1152">
            <v>89.71543114624636</v>
          </cell>
          <cell r="G1152">
            <v>7.6798580237162426</v>
          </cell>
          <cell r="H1152">
            <v>7.6798580237162426</v>
          </cell>
          <cell r="I1152" t="e">
            <v>#N/A</v>
          </cell>
          <cell r="J1152" t="e">
            <v>#N/A</v>
          </cell>
          <cell r="K1152">
            <v>75</v>
          </cell>
          <cell r="L1152">
            <v>40</v>
          </cell>
          <cell r="M1152" t="e">
            <v>#N/A</v>
          </cell>
          <cell r="N1152">
            <v>68</v>
          </cell>
          <cell r="O1152" t="e">
            <v>#N/A</v>
          </cell>
          <cell r="P1152" t="str">
            <v/>
          </cell>
          <cell r="Q1152" t="str">
            <v/>
          </cell>
          <cell r="R1152">
            <v>68</v>
          </cell>
        </row>
        <row r="1153">
          <cell r="A1153" t="str">
            <v/>
          </cell>
          <cell r="B1153" t="str">
            <v/>
          </cell>
          <cell r="C1153" t="str">
            <v>Future</v>
          </cell>
          <cell r="D1153" t="e">
            <v>#N/A</v>
          </cell>
          <cell r="E1153">
            <v>-86.328244695651961</v>
          </cell>
          <cell r="F1153">
            <v>89.758711826088259</v>
          </cell>
          <cell r="G1153">
            <v>7.5847987826095231</v>
          </cell>
          <cell r="H1153">
            <v>7.5847987826095231</v>
          </cell>
          <cell r="I1153" t="e">
            <v>#N/A</v>
          </cell>
          <cell r="J1153" t="e">
            <v>#N/A</v>
          </cell>
          <cell r="K1153">
            <v>75</v>
          </cell>
          <cell r="L1153">
            <v>40</v>
          </cell>
          <cell r="M1153" t="e">
            <v>#N/A</v>
          </cell>
          <cell r="N1153">
            <v>68</v>
          </cell>
          <cell r="O1153" t="e">
            <v>#N/A</v>
          </cell>
          <cell r="P1153" t="str">
            <v/>
          </cell>
          <cell r="Q1153" t="str">
            <v/>
          </cell>
          <cell r="R1153">
            <v>68</v>
          </cell>
        </row>
        <row r="1154">
          <cell r="A1154" t="str">
            <v/>
          </cell>
          <cell r="B1154" t="str">
            <v/>
          </cell>
          <cell r="C1154" t="str">
            <v>Future</v>
          </cell>
          <cell r="D1154" t="e">
            <v>#N/A</v>
          </cell>
          <cell r="E1154">
            <v>-86.581406703557093</v>
          </cell>
          <cell r="F1154">
            <v>89.801992505930158</v>
          </cell>
          <cell r="G1154">
            <v>7.4897395415028036</v>
          </cell>
          <cell r="H1154">
            <v>7.4897395415028036</v>
          </cell>
          <cell r="I1154" t="e">
            <v>#N/A</v>
          </cell>
          <cell r="J1154" t="e">
            <v>#N/A</v>
          </cell>
          <cell r="K1154">
            <v>75</v>
          </cell>
          <cell r="L1154">
            <v>40</v>
          </cell>
          <cell r="M1154" t="e">
            <v>#N/A</v>
          </cell>
          <cell r="N1154">
            <v>68</v>
          </cell>
          <cell r="O1154" t="e">
            <v>#N/A</v>
          </cell>
          <cell r="P1154" t="str">
            <v/>
          </cell>
          <cell r="Q1154" t="str">
            <v/>
          </cell>
          <cell r="R1154">
            <v>68</v>
          </cell>
        </row>
        <row r="1155">
          <cell r="A1155" t="str">
            <v/>
          </cell>
          <cell r="B1155" t="str">
            <v/>
          </cell>
          <cell r="C1155" t="str">
            <v>Future</v>
          </cell>
          <cell r="D1155" t="e">
            <v>#N/A</v>
          </cell>
          <cell r="E1155">
            <v>-86.834568711462225</v>
          </cell>
          <cell r="F1155">
            <v>89.845273185772058</v>
          </cell>
          <cell r="G1155">
            <v>7.3946803003960841</v>
          </cell>
          <cell r="H1155">
            <v>7.3946803003960841</v>
          </cell>
          <cell r="I1155" t="e">
            <v>#N/A</v>
          </cell>
          <cell r="J1155" t="e">
            <v>#N/A</v>
          </cell>
          <cell r="K1155">
            <v>75</v>
          </cell>
          <cell r="L1155">
            <v>40</v>
          </cell>
          <cell r="M1155" t="e">
            <v>#N/A</v>
          </cell>
          <cell r="N1155">
            <v>68</v>
          </cell>
          <cell r="O1155" t="e">
            <v>#N/A</v>
          </cell>
          <cell r="P1155" t="str">
            <v/>
          </cell>
          <cell r="Q1155" t="str">
            <v/>
          </cell>
          <cell r="R1155">
            <v>68</v>
          </cell>
        </row>
        <row r="1156">
          <cell r="A1156" t="str">
            <v/>
          </cell>
          <cell r="B1156" t="str">
            <v/>
          </cell>
          <cell r="C1156" t="str">
            <v>Future</v>
          </cell>
          <cell r="D1156" t="e">
            <v>#N/A</v>
          </cell>
          <cell r="E1156">
            <v>-87.087730719367357</v>
          </cell>
          <cell r="F1156">
            <v>89.888553865613957</v>
          </cell>
          <cell r="G1156">
            <v>7.2996210592893647</v>
          </cell>
          <cell r="H1156">
            <v>7.2996210592893647</v>
          </cell>
          <cell r="I1156" t="e">
            <v>#N/A</v>
          </cell>
          <cell r="J1156" t="e">
            <v>#N/A</v>
          </cell>
          <cell r="K1156">
            <v>75</v>
          </cell>
          <cell r="L1156">
            <v>40</v>
          </cell>
          <cell r="M1156" t="e">
            <v>#N/A</v>
          </cell>
          <cell r="N1156">
            <v>68</v>
          </cell>
          <cell r="O1156" t="e">
            <v>#N/A</v>
          </cell>
          <cell r="P1156" t="str">
            <v/>
          </cell>
          <cell r="Q1156" t="str">
            <v/>
          </cell>
          <cell r="R1156">
            <v>68</v>
          </cell>
        </row>
        <row r="1157">
          <cell r="A1157" t="str">
            <v/>
          </cell>
          <cell r="B1157" t="str">
            <v/>
          </cell>
          <cell r="C1157" t="str">
            <v>Future</v>
          </cell>
          <cell r="D1157" t="e">
            <v>#N/A</v>
          </cell>
          <cell r="E1157">
            <v>-87.34089272727249</v>
          </cell>
          <cell r="F1157">
            <v>89.931834545455857</v>
          </cell>
          <cell r="G1157">
            <v>7.2045618181826452</v>
          </cell>
          <cell r="H1157">
            <v>7.2045618181826452</v>
          </cell>
          <cell r="I1157" t="e">
            <v>#N/A</v>
          </cell>
          <cell r="J1157" t="e">
            <v>#N/A</v>
          </cell>
          <cell r="K1157">
            <v>75</v>
          </cell>
          <cell r="L1157">
            <v>40</v>
          </cell>
          <cell r="M1157" t="e">
            <v>#N/A</v>
          </cell>
          <cell r="N1157">
            <v>68</v>
          </cell>
          <cell r="O1157" t="e">
            <v>#N/A</v>
          </cell>
          <cell r="P1157" t="str">
            <v/>
          </cell>
          <cell r="Q1157" t="str">
            <v/>
          </cell>
          <cell r="R1157">
            <v>68</v>
          </cell>
        </row>
        <row r="1158">
          <cell r="A1158" t="str">
            <v/>
          </cell>
          <cell r="B1158" t="str">
            <v/>
          </cell>
          <cell r="C1158" t="str">
            <v>Future</v>
          </cell>
          <cell r="D1158" t="e">
            <v>#N/A</v>
          </cell>
          <cell r="E1158">
            <v>-87.594054735177622</v>
          </cell>
          <cell r="F1158">
            <v>89.975115225297756</v>
          </cell>
          <cell r="G1158">
            <v>7.1095025770759257</v>
          </cell>
          <cell r="H1158">
            <v>7.1095025770759257</v>
          </cell>
          <cell r="I1158" t="e">
            <v>#N/A</v>
          </cell>
          <cell r="J1158" t="e">
            <v>#N/A</v>
          </cell>
          <cell r="K1158">
            <v>75</v>
          </cell>
          <cell r="L1158">
            <v>40</v>
          </cell>
          <cell r="M1158" t="e">
            <v>#N/A</v>
          </cell>
          <cell r="N1158">
            <v>68</v>
          </cell>
          <cell r="O1158" t="e">
            <v>#N/A</v>
          </cell>
          <cell r="P1158" t="str">
            <v/>
          </cell>
          <cell r="Q1158" t="str">
            <v/>
          </cell>
          <cell r="R1158">
            <v>68</v>
          </cell>
        </row>
        <row r="1159">
          <cell r="A1159" t="str">
            <v/>
          </cell>
          <cell r="B1159" t="str">
            <v/>
          </cell>
          <cell r="C1159" t="str">
            <v>Future</v>
          </cell>
          <cell r="D1159" t="e">
            <v>#N/A</v>
          </cell>
          <cell r="E1159">
            <v>-87.847216743082754</v>
          </cell>
          <cell r="F1159">
            <v>90.018395905139656</v>
          </cell>
          <cell r="G1159">
            <v>7.0144433359692062</v>
          </cell>
          <cell r="H1159">
            <v>7.0144433359692062</v>
          </cell>
          <cell r="I1159" t="e">
            <v>#N/A</v>
          </cell>
          <cell r="J1159" t="e">
            <v>#N/A</v>
          </cell>
          <cell r="K1159">
            <v>75</v>
          </cell>
          <cell r="L1159">
            <v>40</v>
          </cell>
          <cell r="M1159" t="e">
            <v>#N/A</v>
          </cell>
          <cell r="N1159">
            <v>68</v>
          </cell>
          <cell r="O1159" t="e">
            <v>#N/A</v>
          </cell>
          <cell r="P1159" t="str">
            <v/>
          </cell>
          <cell r="Q1159" t="str">
            <v/>
          </cell>
          <cell r="R1159">
            <v>68</v>
          </cell>
        </row>
        <row r="1160">
          <cell r="A1160" t="str">
            <v/>
          </cell>
          <cell r="B1160" t="str">
            <v/>
          </cell>
          <cell r="C1160" t="str">
            <v>Future</v>
          </cell>
          <cell r="D1160" t="e">
            <v>#N/A</v>
          </cell>
          <cell r="E1160">
            <v>-88.100378750987886</v>
          </cell>
          <cell r="F1160">
            <v>90.061676584981555</v>
          </cell>
          <cell r="G1160">
            <v>6.9193840948624867</v>
          </cell>
          <cell r="H1160">
            <v>6.9193840948624867</v>
          </cell>
          <cell r="I1160" t="e">
            <v>#N/A</v>
          </cell>
          <cell r="J1160" t="e">
            <v>#N/A</v>
          </cell>
          <cell r="K1160">
            <v>75</v>
          </cell>
          <cell r="L1160">
            <v>40</v>
          </cell>
          <cell r="M1160" t="e">
            <v>#N/A</v>
          </cell>
          <cell r="N1160">
            <v>68</v>
          </cell>
          <cell r="O1160" t="e">
            <v>#N/A</v>
          </cell>
          <cell r="P1160" t="str">
            <v/>
          </cell>
          <cell r="Q1160" t="str">
            <v/>
          </cell>
          <cell r="R1160">
            <v>68</v>
          </cell>
        </row>
        <row r="1161">
          <cell r="A1161" t="str">
            <v/>
          </cell>
          <cell r="B1161" t="str">
            <v/>
          </cell>
          <cell r="C1161" t="str">
            <v>Future</v>
          </cell>
          <cell r="D1161" t="e">
            <v>#N/A</v>
          </cell>
          <cell r="E1161">
            <v>-88.353540758893018</v>
          </cell>
          <cell r="F1161">
            <v>90.104957264823454</v>
          </cell>
          <cell r="G1161">
            <v>6.8243248537557673</v>
          </cell>
          <cell r="H1161">
            <v>6.8243248537557673</v>
          </cell>
          <cell r="I1161" t="e">
            <v>#N/A</v>
          </cell>
          <cell r="J1161" t="e">
            <v>#N/A</v>
          </cell>
          <cell r="K1161">
            <v>75</v>
          </cell>
          <cell r="L1161">
            <v>40</v>
          </cell>
          <cell r="M1161" t="e">
            <v>#N/A</v>
          </cell>
          <cell r="N1161">
            <v>68</v>
          </cell>
          <cell r="O1161" t="e">
            <v>#N/A</v>
          </cell>
          <cell r="P1161" t="str">
            <v/>
          </cell>
          <cell r="Q1161" t="str">
            <v/>
          </cell>
          <cell r="R1161">
            <v>68</v>
          </cell>
        </row>
        <row r="1162">
          <cell r="A1162" t="str">
            <v/>
          </cell>
          <cell r="B1162" t="str">
            <v/>
          </cell>
          <cell r="C1162" t="str">
            <v>Future</v>
          </cell>
          <cell r="D1162" t="e">
            <v>#N/A</v>
          </cell>
          <cell r="E1162">
            <v>-88.606702766798151</v>
          </cell>
          <cell r="F1162">
            <v>90.148237944665354</v>
          </cell>
          <cell r="G1162">
            <v>6.7292656126490478</v>
          </cell>
          <cell r="H1162">
            <v>6.7292656126490478</v>
          </cell>
          <cell r="I1162" t="e">
            <v>#N/A</v>
          </cell>
          <cell r="J1162" t="e">
            <v>#N/A</v>
          </cell>
          <cell r="K1162">
            <v>75</v>
          </cell>
          <cell r="L1162">
            <v>40</v>
          </cell>
          <cell r="M1162" t="e">
            <v>#N/A</v>
          </cell>
          <cell r="N1162">
            <v>68</v>
          </cell>
          <cell r="O1162" t="e">
            <v>#N/A</v>
          </cell>
          <cell r="P1162" t="str">
            <v/>
          </cell>
          <cell r="Q1162" t="str">
            <v/>
          </cell>
          <cell r="R1162">
            <v>68</v>
          </cell>
        </row>
        <row r="1163">
          <cell r="A1163" t="str">
            <v/>
          </cell>
          <cell r="B1163" t="str">
            <v/>
          </cell>
          <cell r="C1163" t="str">
            <v>Future</v>
          </cell>
          <cell r="D1163" t="e">
            <v>#N/A</v>
          </cell>
          <cell r="E1163">
            <v>-88.859864774703283</v>
          </cell>
          <cell r="F1163">
            <v>90.191518624507253</v>
          </cell>
          <cell r="G1163">
            <v>6.6342063715423283</v>
          </cell>
          <cell r="H1163">
            <v>6.6342063715423283</v>
          </cell>
          <cell r="I1163" t="e">
            <v>#N/A</v>
          </cell>
          <cell r="J1163" t="e">
            <v>#N/A</v>
          </cell>
          <cell r="K1163">
            <v>75</v>
          </cell>
          <cell r="L1163">
            <v>40</v>
          </cell>
          <cell r="M1163" t="e">
            <v>#N/A</v>
          </cell>
          <cell r="N1163">
            <v>68</v>
          </cell>
          <cell r="O1163" t="e">
            <v>#N/A</v>
          </cell>
          <cell r="P1163" t="str">
            <v/>
          </cell>
          <cell r="Q1163" t="str">
            <v/>
          </cell>
          <cell r="R1163">
            <v>68</v>
          </cell>
        </row>
        <row r="1164">
          <cell r="A1164" t="str">
            <v/>
          </cell>
          <cell r="B1164" t="str">
            <v/>
          </cell>
          <cell r="C1164" t="str">
            <v>Future</v>
          </cell>
          <cell r="D1164" t="e">
            <v>#N/A</v>
          </cell>
          <cell r="E1164">
            <v>-89.113026782608415</v>
          </cell>
          <cell r="F1164">
            <v>90.234799304349153</v>
          </cell>
          <cell r="G1164">
            <v>6.5391471304356088</v>
          </cell>
          <cell r="H1164">
            <v>6.5391471304356088</v>
          </cell>
          <cell r="I1164" t="e">
            <v>#N/A</v>
          </cell>
          <cell r="J1164" t="e">
            <v>#N/A</v>
          </cell>
          <cell r="K1164">
            <v>75</v>
          </cell>
          <cell r="L1164">
            <v>40</v>
          </cell>
          <cell r="M1164" t="e">
            <v>#N/A</v>
          </cell>
          <cell r="N1164">
            <v>68</v>
          </cell>
          <cell r="O1164" t="e">
            <v>#N/A</v>
          </cell>
          <cell r="P1164" t="str">
            <v/>
          </cell>
          <cell r="Q1164" t="str">
            <v/>
          </cell>
          <cell r="R1164">
            <v>68</v>
          </cell>
        </row>
        <row r="1165">
          <cell r="A1165" t="str">
            <v/>
          </cell>
          <cell r="B1165" t="str">
            <v/>
          </cell>
          <cell r="C1165" t="str">
            <v>Future</v>
          </cell>
          <cell r="D1165" t="e">
            <v>#N/A</v>
          </cell>
          <cell r="E1165">
            <v>-89.366188790513547</v>
          </cell>
          <cell r="F1165">
            <v>90.278079984191052</v>
          </cell>
          <cell r="G1165">
            <v>6.4440878893288893</v>
          </cell>
          <cell r="H1165">
            <v>6.4440878893288893</v>
          </cell>
          <cell r="I1165" t="e">
            <v>#N/A</v>
          </cell>
          <cell r="J1165" t="e">
            <v>#N/A</v>
          </cell>
          <cell r="K1165">
            <v>75</v>
          </cell>
          <cell r="L1165">
            <v>40</v>
          </cell>
          <cell r="M1165" t="e">
            <v>#N/A</v>
          </cell>
          <cell r="N1165">
            <v>68</v>
          </cell>
          <cell r="O1165" t="e">
            <v>#N/A</v>
          </cell>
          <cell r="P1165" t="str">
            <v/>
          </cell>
          <cell r="Q1165" t="str">
            <v/>
          </cell>
          <cell r="R1165">
            <v>68</v>
          </cell>
        </row>
        <row r="1166">
          <cell r="A1166" t="str">
            <v/>
          </cell>
          <cell r="B1166" t="str">
            <v/>
          </cell>
          <cell r="C1166" t="str">
            <v>Future</v>
          </cell>
          <cell r="D1166" t="e">
            <v>#N/A</v>
          </cell>
          <cell r="E1166">
            <v>-89.619350798418679</v>
          </cell>
          <cell r="F1166">
            <v>90.321360664032952</v>
          </cell>
          <cell r="G1166">
            <v>6.3490286482221698</v>
          </cell>
          <cell r="H1166">
            <v>6.3490286482221698</v>
          </cell>
          <cell r="I1166" t="e">
            <v>#N/A</v>
          </cell>
          <cell r="J1166" t="e">
            <v>#N/A</v>
          </cell>
          <cell r="K1166">
            <v>75</v>
          </cell>
          <cell r="L1166">
            <v>40</v>
          </cell>
          <cell r="M1166" t="e">
            <v>#N/A</v>
          </cell>
          <cell r="N1166">
            <v>68</v>
          </cell>
          <cell r="O1166" t="e">
            <v>#N/A</v>
          </cell>
          <cell r="P1166" t="str">
            <v/>
          </cell>
          <cell r="Q1166" t="str">
            <v/>
          </cell>
          <cell r="R1166">
            <v>68</v>
          </cell>
        </row>
        <row r="1167">
          <cell r="A1167" t="str">
            <v/>
          </cell>
          <cell r="B1167" t="str">
            <v/>
          </cell>
          <cell r="C1167" t="str">
            <v>Future</v>
          </cell>
          <cell r="D1167" t="e">
            <v>#N/A</v>
          </cell>
          <cell r="E1167">
            <v>-89.872512806323812</v>
          </cell>
          <cell r="F1167">
            <v>90.364641343874851</v>
          </cell>
          <cell r="G1167">
            <v>6.2539694071154504</v>
          </cell>
          <cell r="H1167">
            <v>6.2539694071154504</v>
          </cell>
          <cell r="I1167" t="e">
            <v>#N/A</v>
          </cell>
          <cell r="J1167" t="e">
            <v>#N/A</v>
          </cell>
          <cell r="K1167">
            <v>75</v>
          </cell>
          <cell r="L1167">
            <v>40</v>
          </cell>
          <cell r="M1167" t="e">
            <v>#N/A</v>
          </cell>
          <cell r="N1167">
            <v>68</v>
          </cell>
          <cell r="O1167" t="e">
            <v>#N/A</v>
          </cell>
          <cell r="P1167" t="str">
            <v/>
          </cell>
          <cell r="Q1167" t="str">
            <v/>
          </cell>
          <cell r="R1167">
            <v>68</v>
          </cell>
        </row>
        <row r="1168">
          <cell r="A1168" t="str">
            <v/>
          </cell>
          <cell r="B1168" t="str">
            <v/>
          </cell>
          <cell r="C1168" t="str">
            <v>Future</v>
          </cell>
          <cell r="D1168" t="e">
            <v>#N/A</v>
          </cell>
          <cell r="E1168">
            <v>-90.125674814228944</v>
          </cell>
          <cell r="F1168">
            <v>90.40792202371675</v>
          </cell>
          <cell r="G1168">
            <v>6.1589101660087309</v>
          </cell>
          <cell r="H1168">
            <v>6.1589101660087309</v>
          </cell>
          <cell r="I1168" t="e">
            <v>#N/A</v>
          </cell>
          <cell r="J1168" t="e">
            <v>#N/A</v>
          </cell>
          <cell r="K1168">
            <v>75</v>
          </cell>
          <cell r="L1168">
            <v>40</v>
          </cell>
          <cell r="M1168" t="e">
            <v>#N/A</v>
          </cell>
          <cell r="N1168">
            <v>68</v>
          </cell>
          <cell r="O1168" t="e">
            <v>#N/A</v>
          </cell>
          <cell r="P1168" t="str">
            <v/>
          </cell>
          <cell r="Q1168" t="str">
            <v/>
          </cell>
          <cell r="R1168">
            <v>68</v>
          </cell>
        </row>
        <row r="1169">
          <cell r="A1169" t="str">
            <v/>
          </cell>
          <cell r="B1169" t="str">
            <v/>
          </cell>
          <cell r="C1169" t="str">
            <v>Future</v>
          </cell>
          <cell r="D1169" t="e">
            <v>#N/A</v>
          </cell>
          <cell r="E1169">
            <v>-90.378836822134076</v>
          </cell>
          <cell r="F1169">
            <v>90.45120270355865</v>
          </cell>
          <cell r="G1169">
            <v>6.0638509249020114</v>
          </cell>
          <cell r="H1169">
            <v>6.0638509249020114</v>
          </cell>
          <cell r="I1169" t="e">
            <v>#N/A</v>
          </cell>
          <cell r="J1169" t="e">
            <v>#N/A</v>
          </cell>
          <cell r="K1169">
            <v>75</v>
          </cell>
          <cell r="L1169">
            <v>40</v>
          </cell>
          <cell r="M1169" t="e">
            <v>#N/A</v>
          </cell>
          <cell r="N1169">
            <v>68</v>
          </cell>
          <cell r="O1169" t="e">
            <v>#N/A</v>
          </cell>
          <cell r="P1169" t="str">
            <v/>
          </cell>
          <cell r="Q1169" t="str">
            <v/>
          </cell>
          <cell r="R1169">
            <v>68</v>
          </cell>
        </row>
        <row r="1170">
          <cell r="A1170" t="str">
            <v/>
          </cell>
          <cell r="B1170" t="str">
            <v/>
          </cell>
          <cell r="C1170" t="str">
            <v>Future</v>
          </cell>
          <cell r="D1170" t="e">
            <v>#N/A</v>
          </cell>
          <cell r="E1170">
            <v>-90.631998830039208</v>
          </cell>
          <cell r="F1170">
            <v>90.494483383400549</v>
          </cell>
          <cell r="G1170">
            <v>5.9687916837952919</v>
          </cell>
          <cell r="H1170">
            <v>5.9687916837952919</v>
          </cell>
          <cell r="I1170" t="e">
            <v>#N/A</v>
          </cell>
          <cell r="J1170" t="e">
            <v>#N/A</v>
          </cell>
          <cell r="K1170">
            <v>75</v>
          </cell>
          <cell r="L1170">
            <v>40</v>
          </cell>
          <cell r="M1170" t="e">
            <v>#N/A</v>
          </cell>
          <cell r="N1170">
            <v>68</v>
          </cell>
          <cell r="O1170" t="e">
            <v>#N/A</v>
          </cell>
          <cell r="P1170" t="str">
            <v/>
          </cell>
          <cell r="Q1170" t="str">
            <v/>
          </cell>
          <cell r="R1170">
            <v>68</v>
          </cell>
        </row>
        <row r="1171">
          <cell r="A1171" t="str">
            <v/>
          </cell>
          <cell r="B1171" t="str">
            <v/>
          </cell>
          <cell r="C1171" t="str">
            <v>Future</v>
          </cell>
          <cell r="D1171" t="e">
            <v>#N/A</v>
          </cell>
          <cell r="E1171">
            <v>-90.885160837944341</v>
          </cell>
          <cell r="F1171">
            <v>90.537764063242449</v>
          </cell>
          <cell r="G1171">
            <v>5.8737324426885724</v>
          </cell>
          <cell r="H1171">
            <v>5.8737324426885724</v>
          </cell>
          <cell r="I1171" t="e">
            <v>#N/A</v>
          </cell>
          <cell r="J1171" t="e">
            <v>#N/A</v>
          </cell>
          <cell r="K1171">
            <v>75</v>
          </cell>
          <cell r="L1171">
            <v>40</v>
          </cell>
          <cell r="M1171" t="e">
            <v>#N/A</v>
          </cell>
          <cell r="N1171">
            <v>68</v>
          </cell>
          <cell r="O1171" t="e">
            <v>#N/A</v>
          </cell>
          <cell r="P1171" t="str">
            <v/>
          </cell>
          <cell r="Q1171" t="str">
            <v/>
          </cell>
          <cell r="R1171">
            <v>68</v>
          </cell>
        </row>
        <row r="1172">
          <cell r="A1172" t="str">
            <v/>
          </cell>
          <cell r="B1172" t="str">
            <v/>
          </cell>
          <cell r="C1172" t="str">
            <v>Future</v>
          </cell>
          <cell r="D1172" t="e">
            <v>#N/A</v>
          </cell>
          <cell r="E1172">
            <v>-91.138322845849473</v>
          </cell>
          <cell r="F1172">
            <v>90.581044743084348</v>
          </cell>
          <cell r="G1172">
            <v>5.7786732015818529</v>
          </cell>
          <cell r="H1172">
            <v>5.7786732015818529</v>
          </cell>
          <cell r="I1172" t="e">
            <v>#N/A</v>
          </cell>
          <cell r="J1172" t="e">
            <v>#N/A</v>
          </cell>
          <cell r="K1172">
            <v>75</v>
          </cell>
          <cell r="L1172">
            <v>40</v>
          </cell>
          <cell r="M1172" t="e">
            <v>#N/A</v>
          </cell>
          <cell r="N1172">
            <v>68</v>
          </cell>
          <cell r="O1172" t="e">
            <v>#N/A</v>
          </cell>
          <cell r="P1172" t="str">
            <v/>
          </cell>
          <cell r="Q1172" t="str">
            <v/>
          </cell>
          <cell r="R1172">
            <v>68</v>
          </cell>
        </row>
        <row r="1173">
          <cell r="A1173" t="str">
            <v/>
          </cell>
          <cell r="B1173" t="str">
            <v/>
          </cell>
          <cell r="C1173" t="str">
            <v>Future</v>
          </cell>
          <cell r="D1173" t="e">
            <v>#N/A</v>
          </cell>
          <cell r="E1173">
            <v>-91.391484853754605</v>
          </cell>
          <cell r="F1173">
            <v>90.624325422926248</v>
          </cell>
          <cell r="G1173">
            <v>5.6836139604751335</v>
          </cell>
          <cell r="H1173">
            <v>5.6836139604751335</v>
          </cell>
          <cell r="I1173" t="e">
            <v>#N/A</v>
          </cell>
          <cell r="J1173" t="e">
            <v>#N/A</v>
          </cell>
          <cell r="K1173">
            <v>75</v>
          </cell>
          <cell r="L1173">
            <v>40</v>
          </cell>
          <cell r="M1173" t="e">
            <v>#N/A</v>
          </cell>
          <cell r="N1173">
            <v>68</v>
          </cell>
          <cell r="O1173" t="e">
            <v>#N/A</v>
          </cell>
          <cell r="P1173" t="str">
            <v/>
          </cell>
          <cell r="Q1173" t="str">
            <v/>
          </cell>
          <cell r="R1173">
            <v>68</v>
          </cell>
        </row>
        <row r="1174">
          <cell r="A1174" t="str">
            <v/>
          </cell>
          <cell r="B1174" t="str">
            <v/>
          </cell>
          <cell r="C1174" t="str">
            <v>Future</v>
          </cell>
          <cell r="D1174" t="e">
            <v>#N/A</v>
          </cell>
          <cell r="E1174">
            <v>-91.644646861659737</v>
          </cell>
          <cell r="F1174">
            <v>90.667606102768147</v>
          </cell>
          <cell r="G1174">
            <v>5.588554719368414</v>
          </cell>
          <cell r="H1174">
            <v>5.588554719368414</v>
          </cell>
          <cell r="I1174" t="e">
            <v>#N/A</v>
          </cell>
          <cell r="J1174" t="e">
            <v>#N/A</v>
          </cell>
          <cell r="K1174">
            <v>75</v>
          </cell>
          <cell r="L1174">
            <v>40</v>
          </cell>
          <cell r="M1174" t="e">
            <v>#N/A</v>
          </cell>
          <cell r="N1174">
            <v>68</v>
          </cell>
          <cell r="O1174" t="e">
            <v>#N/A</v>
          </cell>
          <cell r="P1174" t="str">
            <v/>
          </cell>
          <cell r="Q1174" t="str">
            <v/>
          </cell>
          <cell r="R1174">
            <v>68</v>
          </cell>
        </row>
        <row r="1175">
          <cell r="A1175" t="str">
            <v/>
          </cell>
          <cell r="B1175" t="str">
            <v/>
          </cell>
          <cell r="C1175" t="str">
            <v>Future</v>
          </cell>
          <cell r="D1175" t="e">
            <v>#N/A</v>
          </cell>
          <cell r="E1175">
            <v>-91.897808869564869</v>
          </cell>
          <cell r="F1175">
            <v>90.710886782610046</v>
          </cell>
          <cell r="G1175">
            <v>5.4934954782616945</v>
          </cell>
          <cell r="H1175">
            <v>5.4934954782616945</v>
          </cell>
          <cell r="I1175" t="e">
            <v>#N/A</v>
          </cell>
          <cell r="J1175" t="e">
            <v>#N/A</v>
          </cell>
          <cell r="K1175">
            <v>75</v>
          </cell>
          <cell r="L1175">
            <v>40</v>
          </cell>
          <cell r="M1175" t="e">
            <v>#N/A</v>
          </cell>
          <cell r="N1175">
            <v>68</v>
          </cell>
          <cell r="O1175" t="e">
            <v>#N/A</v>
          </cell>
          <cell r="P1175" t="str">
            <v/>
          </cell>
          <cell r="Q1175" t="str">
            <v/>
          </cell>
          <cell r="R1175">
            <v>68</v>
          </cell>
        </row>
        <row r="1176">
          <cell r="A1176" t="str">
            <v/>
          </cell>
          <cell r="B1176" t="str">
            <v/>
          </cell>
          <cell r="C1176" t="str">
            <v>Future</v>
          </cell>
          <cell r="D1176" t="e">
            <v>#N/A</v>
          </cell>
          <cell r="E1176">
            <v>-92.150970877470002</v>
          </cell>
          <cell r="F1176">
            <v>90.754167462451946</v>
          </cell>
          <cell r="G1176">
            <v>5.398436237154975</v>
          </cell>
          <cell r="H1176">
            <v>5.398436237154975</v>
          </cell>
          <cell r="I1176" t="e">
            <v>#N/A</v>
          </cell>
          <cell r="J1176" t="e">
            <v>#N/A</v>
          </cell>
          <cell r="K1176">
            <v>75</v>
          </cell>
          <cell r="L1176">
            <v>40</v>
          </cell>
          <cell r="M1176" t="e">
            <v>#N/A</v>
          </cell>
          <cell r="N1176">
            <v>68</v>
          </cell>
          <cell r="O1176" t="e">
            <v>#N/A</v>
          </cell>
          <cell r="P1176" t="str">
            <v/>
          </cell>
          <cell r="Q1176" t="str">
            <v/>
          </cell>
          <cell r="R1176">
            <v>68</v>
          </cell>
        </row>
        <row r="1177">
          <cell r="A1177" t="str">
            <v/>
          </cell>
          <cell r="B1177" t="str">
            <v/>
          </cell>
          <cell r="C1177" t="str">
            <v>Future</v>
          </cell>
          <cell r="D1177" t="e">
            <v>#N/A</v>
          </cell>
          <cell r="E1177">
            <v>-92.404132885375134</v>
          </cell>
          <cell r="F1177">
            <v>90.797448142293845</v>
          </cell>
          <cell r="G1177">
            <v>5.3033769960482555</v>
          </cell>
          <cell r="H1177">
            <v>5.3033769960482555</v>
          </cell>
          <cell r="I1177" t="e">
            <v>#N/A</v>
          </cell>
          <cell r="J1177" t="e">
            <v>#N/A</v>
          </cell>
          <cell r="K1177">
            <v>75</v>
          </cell>
          <cell r="L1177">
            <v>40</v>
          </cell>
          <cell r="M1177" t="e">
            <v>#N/A</v>
          </cell>
          <cell r="N1177">
            <v>68</v>
          </cell>
          <cell r="O1177" t="e">
            <v>#N/A</v>
          </cell>
          <cell r="P1177" t="str">
            <v/>
          </cell>
          <cell r="Q1177" t="str">
            <v/>
          </cell>
          <cell r="R1177">
            <v>68</v>
          </cell>
        </row>
        <row r="1178">
          <cell r="A1178" t="str">
            <v/>
          </cell>
          <cell r="B1178" t="str">
            <v/>
          </cell>
          <cell r="C1178" t="str">
            <v>Future</v>
          </cell>
          <cell r="D1178" t="e">
            <v>#N/A</v>
          </cell>
          <cell r="E1178">
            <v>-92.657294893280266</v>
          </cell>
          <cell r="F1178">
            <v>90.840728822135745</v>
          </cell>
          <cell r="G1178">
            <v>5.208317754941536</v>
          </cell>
          <cell r="H1178">
            <v>5.208317754941536</v>
          </cell>
          <cell r="I1178" t="e">
            <v>#N/A</v>
          </cell>
          <cell r="J1178" t="e">
            <v>#N/A</v>
          </cell>
          <cell r="K1178">
            <v>75</v>
          </cell>
          <cell r="L1178">
            <v>40</v>
          </cell>
          <cell r="M1178" t="e">
            <v>#N/A</v>
          </cell>
          <cell r="N1178">
            <v>68</v>
          </cell>
          <cell r="O1178" t="e">
            <v>#N/A</v>
          </cell>
          <cell r="P1178" t="str">
            <v/>
          </cell>
          <cell r="Q1178" t="str">
            <v/>
          </cell>
          <cell r="R1178">
            <v>68</v>
          </cell>
        </row>
        <row r="1179">
          <cell r="A1179" t="str">
            <v/>
          </cell>
          <cell r="B1179" t="str">
            <v/>
          </cell>
          <cell r="C1179" t="str">
            <v>Future</v>
          </cell>
          <cell r="D1179" t="e">
            <v>#N/A</v>
          </cell>
          <cell r="E1179">
            <v>-92.910456901185398</v>
          </cell>
          <cell r="F1179">
            <v>90.884009501977644</v>
          </cell>
          <cell r="G1179">
            <v>5.1132585138348166</v>
          </cell>
          <cell r="H1179">
            <v>5.1132585138348166</v>
          </cell>
          <cell r="I1179" t="e">
            <v>#N/A</v>
          </cell>
          <cell r="J1179" t="e">
            <v>#N/A</v>
          </cell>
          <cell r="K1179">
            <v>75</v>
          </cell>
          <cell r="L1179">
            <v>40</v>
          </cell>
          <cell r="M1179" t="e">
            <v>#N/A</v>
          </cell>
          <cell r="N1179">
            <v>68</v>
          </cell>
          <cell r="O1179" t="e">
            <v>#N/A</v>
          </cell>
          <cell r="P1179" t="str">
            <v/>
          </cell>
          <cell r="Q1179" t="str">
            <v/>
          </cell>
          <cell r="R1179">
            <v>68</v>
          </cell>
        </row>
        <row r="1180">
          <cell r="A1180" t="str">
            <v/>
          </cell>
          <cell r="B1180" t="str">
            <v/>
          </cell>
          <cell r="C1180" t="str">
            <v>Future</v>
          </cell>
          <cell r="D1180" t="e">
            <v>#N/A</v>
          </cell>
          <cell r="E1180">
            <v>-93.16361890909053</v>
          </cell>
          <cell r="F1180">
            <v>90.927290181819544</v>
          </cell>
          <cell r="G1180">
            <v>5.0181992727280971</v>
          </cell>
          <cell r="H1180">
            <v>5.0181992727280971</v>
          </cell>
          <cell r="I1180" t="e">
            <v>#N/A</v>
          </cell>
          <cell r="J1180" t="e">
            <v>#N/A</v>
          </cell>
          <cell r="K1180">
            <v>75</v>
          </cell>
          <cell r="L1180">
            <v>40</v>
          </cell>
          <cell r="M1180" t="e">
            <v>#N/A</v>
          </cell>
          <cell r="N1180">
            <v>68</v>
          </cell>
          <cell r="O1180" t="e">
            <v>#N/A</v>
          </cell>
          <cell r="P1180" t="str">
            <v/>
          </cell>
          <cell r="Q1180" t="str">
            <v/>
          </cell>
          <cell r="R1180">
            <v>68</v>
          </cell>
        </row>
        <row r="1181">
          <cell r="A1181" t="str">
            <v/>
          </cell>
          <cell r="B1181" t="str">
            <v/>
          </cell>
          <cell r="C1181" t="str">
            <v>Future</v>
          </cell>
          <cell r="D1181" t="e">
            <v>#N/A</v>
          </cell>
          <cell r="E1181">
            <v>-93.416780916995663</v>
          </cell>
          <cell r="F1181">
            <v>90.970570861661443</v>
          </cell>
          <cell r="G1181">
            <v>4.9231400316213776</v>
          </cell>
          <cell r="H1181">
            <v>4.9231400316213776</v>
          </cell>
          <cell r="I1181" t="e">
            <v>#N/A</v>
          </cell>
          <cell r="J1181" t="e">
            <v>#N/A</v>
          </cell>
          <cell r="K1181">
            <v>75</v>
          </cell>
          <cell r="L1181">
            <v>40</v>
          </cell>
          <cell r="M1181" t="e">
            <v>#N/A</v>
          </cell>
          <cell r="N1181">
            <v>68</v>
          </cell>
          <cell r="O1181" t="e">
            <v>#N/A</v>
          </cell>
          <cell r="P1181" t="str">
            <v/>
          </cell>
          <cell r="Q1181" t="str">
            <v/>
          </cell>
          <cell r="R1181">
            <v>68</v>
          </cell>
        </row>
        <row r="1182">
          <cell r="A1182" t="str">
            <v/>
          </cell>
          <cell r="B1182" t="str">
            <v/>
          </cell>
          <cell r="C1182" t="str">
            <v>Future</v>
          </cell>
          <cell r="D1182" t="e">
            <v>#N/A</v>
          </cell>
          <cell r="E1182">
            <v>-93.669942924900795</v>
          </cell>
          <cell r="F1182">
            <v>91.013851541503342</v>
          </cell>
          <cell r="G1182">
            <v>4.8280807905146581</v>
          </cell>
          <cell r="H1182">
            <v>4.8280807905146581</v>
          </cell>
          <cell r="I1182" t="e">
            <v>#N/A</v>
          </cell>
          <cell r="J1182" t="e">
            <v>#N/A</v>
          </cell>
          <cell r="K1182">
            <v>75</v>
          </cell>
          <cell r="L1182">
            <v>40</v>
          </cell>
          <cell r="M1182" t="e">
            <v>#N/A</v>
          </cell>
          <cell r="N1182">
            <v>68</v>
          </cell>
          <cell r="O1182" t="e">
            <v>#N/A</v>
          </cell>
          <cell r="P1182" t="str">
            <v/>
          </cell>
          <cell r="Q1182" t="str">
            <v/>
          </cell>
          <cell r="R1182">
            <v>68</v>
          </cell>
        </row>
        <row r="1183">
          <cell r="A1183" t="str">
            <v/>
          </cell>
          <cell r="B1183" t="str">
            <v/>
          </cell>
          <cell r="C1183" t="str">
            <v>Future</v>
          </cell>
          <cell r="D1183" t="e">
            <v>#N/A</v>
          </cell>
          <cell r="E1183">
            <v>-93.923104932805927</v>
          </cell>
          <cell r="F1183">
            <v>91.057132221345242</v>
          </cell>
          <cell r="G1183">
            <v>4.7330215494079386</v>
          </cell>
          <cell r="H1183">
            <v>4.7330215494079386</v>
          </cell>
          <cell r="I1183" t="e">
            <v>#N/A</v>
          </cell>
          <cell r="J1183" t="e">
            <v>#N/A</v>
          </cell>
          <cell r="K1183">
            <v>75</v>
          </cell>
          <cell r="L1183">
            <v>40</v>
          </cell>
          <cell r="M1183" t="e">
            <v>#N/A</v>
          </cell>
          <cell r="N1183">
            <v>68</v>
          </cell>
          <cell r="O1183" t="e">
            <v>#N/A</v>
          </cell>
          <cell r="P1183" t="str">
            <v/>
          </cell>
          <cell r="Q1183" t="str">
            <v/>
          </cell>
          <cell r="R1183">
            <v>68</v>
          </cell>
        </row>
        <row r="1184">
          <cell r="A1184" t="str">
            <v/>
          </cell>
          <cell r="B1184" t="str">
            <v/>
          </cell>
          <cell r="C1184" t="str">
            <v>Future</v>
          </cell>
          <cell r="D1184" t="e">
            <v>#N/A</v>
          </cell>
          <cell r="E1184">
            <v>-94.176266940711059</v>
          </cell>
          <cell r="F1184">
            <v>91.100412901187141</v>
          </cell>
          <cell r="G1184">
            <v>4.6379623083012191</v>
          </cell>
          <cell r="H1184">
            <v>4.6379623083012191</v>
          </cell>
          <cell r="I1184" t="e">
            <v>#N/A</v>
          </cell>
          <cell r="J1184" t="e">
            <v>#N/A</v>
          </cell>
          <cell r="K1184">
            <v>75</v>
          </cell>
          <cell r="L1184">
            <v>40</v>
          </cell>
          <cell r="M1184" t="e">
            <v>#N/A</v>
          </cell>
          <cell r="N1184">
            <v>68</v>
          </cell>
          <cell r="O1184" t="e">
            <v>#N/A</v>
          </cell>
          <cell r="P1184" t="str">
            <v/>
          </cell>
          <cell r="Q1184" t="str">
            <v/>
          </cell>
          <cell r="R1184">
            <v>68</v>
          </cell>
        </row>
        <row r="1185">
          <cell r="A1185" t="str">
            <v/>
          </cell>
          <cell r="B1185" t="str">
            <v/>
          </cell>
          <cell r="C1185" t="str">
            <v>Future</v>
          </cell>
          <cell r="D1185" t="e">
            <v>#N/A</v>
          </cell>
          <cell r="E1185">
            <v>-94.429428948616192</v>
          </cell>
          <cell r="F1185">
            <v>91.143693581029041</v>
          </cell>
          <cell r="G1185">
            <v>4.5429030671944997</v>
          </cell>
          <cell r="H1185">
            <v>4.5429030671944997</v>
          </cell>
          <cell r="I1185" t="e">
            <v>#N/A</v>
          </cell>
          <cell r="J1185" t="e">
            <v>#N/A</v>
          </cell>
          <cell r="K1185">
            <v>75</v>
          </cell>
          <cell r="L1185">
            <v>40</v>
          </cell>
          <cell r="M1185" t="e">
            <v>#N/A</v>
          </cell>
          <cell r="N1185">
            <v>68</v>
          </cell>
          <cell r="O1185" t="e">
            <v>#N/A</v>
          </cell>
          <cell r="P1185" t="str">
            <v/>
          </cell>
          <cell r="Q1185" t="str">
            <v/>
          </cell>
          <cell r="R1185">
            <v>68</v>
          </cell>
        </row>
        <row r="1186">
          <cell r="A1186" t="str">
            <v/>
          </cell>
          <cell r="B1186" t="str">
            <v/>
          </cell>
          <cell r="C1186" t="str">
            <v>Future</v>
          </cell>
          <cell r="D1186" t="e">
            <v>#N/A</v>
          </cell>
          <cell r="E1186">
            <v>-94.682590956521324</v>
          </cell>
          <cell r="F1186">
            <v>91.18697426087094</v>
          </cell>
          <cell r="G1186">
            <v>4.4478438260877802</v>
          </cell>
          <cell r="H1186">
            <v>4.4478438260877802</v>
          </cell>
          <cell r="I1186" t="e">
            <v>#N/A</v>
          </cell>
          <cell r="J1186" t="e">
            <v>#N/A</v>
          </cell>
          <cell r="K1186">
            <v>75</v>
          </cell>
          <cell r="L1186">
            <v>40</v>
          </cell>
          <cell r="M1186" t="e">
            <v>#N/A</v>
          </cell>
          <cell r="N1186">
            <v>68</v>
          </cell>
          <cell r="O1186" t="e">
            <v>#N/A</v>
          </cell>
          <cell r="P1186" t="str">
            <v/>
          </cell>
          <cell r="Q1186" t="str">
            <v/>
          </cell>
          <cell r="R1186">
            <v>68</v>
          </cell>
        </row>
        <row r="1187">
          <cell r="A1187" t="str">
            <v/>
          </cell>
          <cell r="B1187" t="str">
            <v/>
          </cell>
          <cell r="C1187" t="str">
            <v>Future</v>
          </cell>
          <cell r="D1187" t="e">
            <v>#N/A</v>
          </cell>
          <cell r="E1187">
            <v>-94.935752964426456</v>
          </cell>
          <cell r="F1187">
            <v>91.23025494071284</v>
          </cell>
          <cell r="G1187">
            <v>4.3527845849810607</v>
          </cell>
          <cell r="H1187">
            <v>4.3527845849810607</v>
          </cell>
          <cell r="I1187" t="e">
            <v>#N/A</v>
          </cell>
          <cell r="J1187" t="e">
            <v>#N/A</v>
          </cell>
          <cell r="K1187">
            <v>75</v>
          </cell>
          <cell r="L1187">
            <v>40</v>
          </cell>
          <cell r="M1187" t="e">
            <v>#N/A</v>
          </cell>
          <cell r="N1187">
            <v>68</v>
          </cell>
          <cell r="O1187" t="e">
            <v>#N/A</v>
          </cell>
          <cell r="P1187" t="str">
            <v/>
          </cell>
          <cell r="Q1187" t="str">
            <v/>
          </cell>
          <cell r="R1187">
            <v>68</v>
          </cell>
        </row>
        <row r="1188">
          <cell r="A1188" t="str">
            <v/>
          </cell>
          <cell r="B1188" t="str">
            <v/>
          </cell>
          <cell r="C1188" t="str">
            <v>Future</v>
          </cell>
          <cell r="D1188" t="e">
            <v>#N/A</v>
          </cell>
          <cell r="E1188">
            <v>-95.188914972331588</v>
          </cell>
          <cell r="F1188">
            <v>91.273535620554739</v>
          </cell>
          <cell r="G1188">
            <v>4.2577253438743412</v>
          </cell>
          <cell r="H1188">
            <v>4.2577253438743412</v>
          </cell>
          <cell r="I1188" t="e">
            <v>#N/A</v>
          </cell>
          <cell r="J1188" t="e">
            <v>#N/A</v>
          </cell>
          <cell r="K1188">
            <v>75</v>
          </cell>
          <cell r="L1188">
            <v>40</v>
          </cell>
          <cell r="M1188" t="e">
            <v>#N/A</v>
          </cell>
          <cell r="N1188">
            <v>68</v>
          </cell>
          <cell r="O1188" t="e">
            <v>#N/A</v>
          </cell>
          <cell r="P1188" t="str">
            <v/>
          </cell>
          <cell r="Q1188" t="str">
            <v/>
          </cell>
          <cell r="R1188">
            <v>68</v>
          </cell>
        </row>
        <row r="1189">
          <cell r="A1189" t="str">
            <v/>
          </cell>
          <cell r="B1189" t="str">
            <v/>
          </cell>
          <cell r="C1189" t="str">
            <v>Future</v>
          </cell>
          <cell r="D1189" t="e">
            <v>#N/A</v>
          </cell>
          <cell r="E1189">
            <v>-95.44207698023672</v>
          </cell>
          <cell r="F1189">
            <v>91.316816300396638</v>
          </cell>
          <cell r="G1189">
            <v>4.1626661027676217</v>
          </cell>
          <cell r="H1189">
            <v>4.1626661027676217</v>
          </cell>
          <cell r="I1189" t="e">
            <v>#N/A</v>
          </cell>
          <cell r="J1189" t="e">
            <v>#N/A</v>
          </cell>
          <cell r="K1189">
            <v>75</v>
          </cell>
          <cell r="L1189">
            <v>40</v>
          </cell>
          <cell r="M1189" t="e">
            <v>#N/A</v>
          </cell>
          <cell r="N1189">
            <v>68</v>
          </cell>
          <cell r="O1189" t="e">
            <v>#N/A</v>
          </cell>
          <cell r="P1189" t="str">
            <v/>
          </cell>
          <cell r="Q1189" t="str">
            <v/>
          </cell>
          <cell r="R1189">
            <v>68</v>
          </cell>
        </row>
        <row r="1190">
          <cell r="A1190" t="str">
            <v/>
          </cell>
          <cell r="B1190" t="str">
            <v/>
          </cell>
          <cell r="C1190" t="str">
            <v>Future</v>
          </cell>
          <cell r="D1190" t="e">
            <v>#N/A</v>
          </cell>
          <cell r="E1190">
            <v>-95.695238988141853</v>
          </cell>
          <cell r="F1190">
            <v>91.360096980238538</v>
          </cell>
          <cell r="G1190">
            <v>4.0676068616609022</v>
          </cell>
          <cell r="H1190">
            <v>4.0676068616609022</v>
          </cell>
          <cell r="I1190" t="e">
            <v>#N/A</v>
          </cell>
          <cell r="J1190" t="e">
            <v>#N/A</v>
          </cell>
          <cell r="K1190">
            <v>75</v>
          </cell>
          <cell r="L1190">
            <v>40</v>
          </cell>
          <cell r="M1190" t="e">
            <v>#N/A</v>
          </cell>
          <cell r="N1190">
            <v>68</v>
          </cell>
          <cell r="O1190" t="e">
            <v>#N/A</v>
          </cell>
          <cell r="P1190" t="str">
            <v/>
          </cell>
          <cell r="Q1190" t="str">
            <v/>
          </cell>
          <cell r="R1190">
            <v>68</v>
          </cell>
        </row>
        <row r="1191">
          <cell r="A1191" t="str">
            <v/>
          </cell>
          <cell r="B1191" t="str">
            <v/>
          </cell>
          <cell r="C1191" t="str">
            <v>Future</v>
          </cell>
          <cell r="D1191" t="e">
            <v>#N/A</v>
          </cell>
          <cell r="E1191">
            <v>-95.948400996046985</v>
          </cell>
          <cell r="F1191">
            <v>91.403377660080437</v>
          </cell>
          <cell r="G1191">
            <v>3.9725476205541828</v>
          </cell>
          <cell r="H1191">
            <v>3.9725476205541828</v>
          </cell>
          <cell r="I1191" t="e">
            <v>#N/A</v>
          </cell>
          <cell r="J1191" t="e">
            <v>#N/A</v>
          </cell>
          <cell r="K1191">
            <v>75</v>
          </cell>
          <cell r="L1191">
            <v>40</v>
          </cell>
          <cell r="M1191" t="e">
            <v>#N/A</v>
          </cell>
          <cell r="N1191">
            <v>68</v>
          </cell>
          <cell r="O1191" t="e">
            <v>#N/A</v>
          </cell>
          <cell r="P1191" t="str">
            <v/>
          </cell>
          <cell r="Q1191" t="str">
            <v/>
          </cell>
          <cell r="R1191">
            <v>68</v>
          </cell>
        </row>
        <row r="1192">
          <cell r="A1192" t="str">
            <v/>
          </cell>
          <cell r="B1192" t="str">
            <v/>
          </cell>
          <cell r="C1192" t="str">
            <v>Future</v>
          </cell>
          <cell r="D1192" t="e">
            <v>#N/A</v>
          </cell>
          <cell r="E1192">
            <v>-96.201563003952117</v>
          </cell>
          <cell r="F1192">
            <v>91.446658339922337</v>
          </cell>
          <cell r="G1192">
            <v>3.8774883794474633</v>
          </cell>
          <cell r="H1192">
            <v>3.8774883794474633</v>
          </cell>
          <cell r="I1192" t="e">
            <v>#N/A</v>
          </cell>
          <cell r="J1192" t="e">
            <v>#N/A</v>
          </cell>
          <cell r="K1192">
            <v>75</v>
          </cell>
          <cell r="L1192">
            <v>40</v>
          </cell>
          <cell r="M1192" t="e">
            <v>#N/A</v>
          </cell>
          <cell r="N1192">
            <v>68</v>
          </cell>
          <cell r="O1192" t="e">
            <v>#N/A</v>
          </cell>
          <cell r="P1192" t="str">
            <v/>
          </cell>
          <cell r="Q1192" t="str">
            <v/>
          </cell>
          <cell r="R1192">
            <v>68</v>
          </cell>
        </row>
        <row r="1193">
          <cell r="A1193" t="str">
            <v/>
          </cell>
          <cell r="B1193" t="str">
            <v/>
          </cell>
          <cell r="C1193" t="str">
            <v>Future</v>
          </cell>
          <cell r="D1193" t="e">
            <v>#N/A</v>
          </cell>
          <cell r="E1193">
            <v>-96.454725011857249</v>
          </cell>
          <cell r="F1193">
            <v>91.489939019764236</v>
          </cell>
          <cell r="G1193">
            <v>3.7824291383407438</v>
          </cell>
          <cell r="H1193">
            <v>3.7824291383407438</v>
          </cell>
          <cell r="I1193" t="e">
            <v>#N/A</v>
          </cell>
          <cell r="J1193" t="e">
            <v>#N/A</v>
          </cell>
          <cell r="K1193">
            <v>75</v>
          </cell>
          <cell r="L1193">
            <v>40</v>
          </cell>
          <cell r="M1193" t="e">
            <v>#N/A</v>
          </cell>
          <cell r="N1193">
            <v>68</v>
          </cell>
          <cell r="O1193" t="e">
            <v>#N/A</v>
          </cell>
          <cell r="P1193" t="str">
            <v/>
          </cell>
          <cell r="Q1193" t="str">
            <v/>
          </cell>
          <cell r="R1193">
            <v>68</v>
          </cell>
        </row>
        <row r="1194">
          <cell r="A1194" t="str">
            <v/>
          </cell>
          <cell r="B1194" t="str">
            <v/>
          </cell>
          <cell r="C1194" t="str">
            <v>Future</v>
          </cell>
          <cell r="D1194" t="e">
            <v>#N/A</v>
          </cell>
          <cell r="E1194">
            <v>-96.707887019762381</v>
          </cell>
          <cell r="F1194">
            <v>91.533219699606136</v>
          </cell>
          <cell r="G1194">
            <v>3.6873698972340243</v>
          </cell>
          <cell r="H1194">
            <v>3.6873698972340243</v>
          </cell>
          <cell r="I1194" t="e">
            <v>#N/A</v>
          </cell>
          <cell r="J1194" t="e">
            <v>#N/A</v>
          </cell>
          <cell r="K1194">
            <v>75</v>
          </cell>
          <cell r="L1194">
            <v>40</v>
          </cell>
          <cell r="M1194" t="e">
            <v>#N/A</v>
          </cell>
          <cell r="N1194">
            <v>68</v>
          </cell>
          <cell r="O1194" t="e">
            <v>#N/A</v>
          </cell>
          <cell r="P1194" t="str">
            <v/>
          </cell>
          <cell r="Q1194" t="str">
            <v/>
          </cell>
          <cell r="R1194">
            <v>68</v>
          </cell>
        </row>
        <row r="1195">
          <cell r="A1195" t="str">
            <v/>
          </cell>
          <cell r="B1195" t="str">
            <v/>
          </cell>
          <cell r="C1195" t="str">
            <v>Future</v>
          </cell>
          <cell r="D1195" t="e">
            <v>#N/A</v>
          </cell>
          <cell r="E1195">
            <v>-96.961049027667514</v>
          </cell>
          <cell r="F1195">
            <v>91.576500379448035</v>
          </cell>
          <cell r="G1195">
            <v>3.5923106561273048</v>
          </cell>
          <cell r="H1195">
            <v>3.5923106561273048</v>
          </cell>
          <cell r="I1195" t="e">
            <v>#N/A</v>
          </cell>
          <cell r="J1195" t="e">
            <v>#N/A</v>
          </cell>
          <cell r="K1195">
            <v>75</v>
          </cell>
          <cell r="L1195">
            <v>40</v>
          </cell>
          <cell r="M1195" t="e">
            <v>#N/A</v>
          </cell>
          <cell r="N1195">
            <v>68</v>
          </cell>
          <cell r="O1195" t="e">
            <v>#N/A</v>
          </cell>
          <cell r="P1195" t="str">
            <v/>
          </cell>
          <cell r="Q1195" t="str">
            <v/>
          </cell>
          <cell r="R1195">
            <v>68</v>
          </cell>
        </row>
        <row r="1196">
          <cell r="A1196" t="str">
            <v/>
          </cell>
          <cell r="B1196" t="str">
            <v/>
          </cell>
          <cell r="C1196" t="str">
            <v>Future</v>
          </cell>
          <cell r="D1196" t="e">
            <v>#N/A</v>
          </cell>
          <cell r="E1196">
            <v>-97.214211035572646</v>
          </cell>
          <cell r="F1196">
            <v>91.619781059289934</v>
          </cell>
          <cell r="G1196">
            <v>3.4972514150205853</v>
          </cell>
          <cell r="H1196">
            <v>3.4972514150205853</v>
          </cell>
          <cell r="I1196" t="e">
            <v>#N/A</v>
          </cell>
          <cell r="J1196" t="e">
            <v>#N/A</v>
          </cell>
          <cell r="K1196">
            <v>75</v>
          </cell>
          <cell r="L1196">
            <v>40</v>
          </cell>
          <cell r="M1196" t="e">
            <v>#N/A</v>
          </cell>
          <cell r="N1196">
            <v>68</v>
          </cell>
          <cell r="O1196" t="e">
            <v>#N/A</v>
          </cell>
          <cell r="P1196" t="str">
            <v/>
          </cell>
          <cell r="Q1196" t="str">
            <v/>
          </cell>
          <cell r="R1196">
            <v>68</v>
          </cell>
        </row>
        <row r="1197">
          <cell r="A1197" t="str">
            <v/>
          </cell>
          <cell r="B1197" t="str">
            <v/>
          </cell>
          <cell r="C1197" t="str">
            <v>Future</v>
          </cell>
          <cell r="D1197" t="e">
            <v>#N/A</v>
          </cell>
          <cell r="E1197">
            <v>-97.467373043477778</v>
          </cell>
          <cell r="F1197">
            <v>91.663061739131834</v>
          </cell>
          <cell r="G1197">
            <v>3.4021921739138659</v>
          </cell>
          <cell r="H1197">
            <v>3.4021921739138659</v>
          </cell>
          <cell r="I1197" t="e">
            <v>#N/A</v>
          </cell>
          <cell r="J1197" t="e">
            <v>#N/A</v>
          </cell>
          <cell r="K1197">
            <v>75</v>
          </cell>
          <cell r="L1197">
            <v>40</v>
          </cell>
          <cell r="M1197" t="e">
            <v>#N/A</v>
          </cell>
          <cell r="N1197">
            <v>68</v>
          </cell>
          <cell r="O1197" t="e">
            <v>#N/A</v>
          </cell>
          <cell r="P1197" t="str">
            <v/>
          </cell>
          <cell r="Q1197" t="str">
            <v/>
          </cell>
          <cell r="R1197">
            <v>68</v>
          </cell>
        </row>
        <row r="1198">
          <cell r="A1198" t="str">
            <v/>
          </cell>
          <cell r="B1198" t="str">
            <v/>
          </cell>
          <cell r="C1198" t="str">
            <v>Future</v>
          </cell>
          <cell r="D1198" t="e">
            <v>#N/A</v>
          </cell>
          <cell r="E1198">
            <v>-97.72053505138291</v>
          </cell>
          <cell r="F1198">
            <v>91.706342418973733</v>
          </cell>
          <cell r="G1198">
            <v>3.3071329328071464</v>
          </cell>
          <cell r="H1198">
            <v>3.3071329328071464</v>
          </cell>
          <cell r="I1198" t="e">
            <v>#N/A</v>
          </cell>
          <cell r="J1198" t="e">
            <v>#N/A</v>
          </cell>
          <cell r="K1198">
            <v>75</v>
          </cell>
          <cell r="L1198">
            <v>40</v>
          </cell>
          <cell r="M1198" t="e">
            <v>#N/A</v>
          </cell>
          <cell r="N1198">
            <v>68</v>
          </cell>
          <cell r="O1198" t="e">
            <v>#N/A</v>
          </cell>
          <cell r="P1198" t="str">
            <v/>
          </cell>
          <cell r="Q1198" t="str">
            <v/>
          </cell>
          <cell r="R1198">
            <v>68</v>
          </cell>
        </row>
        <row r="1199">
          <cell r="A1199" t="str">
            <v/>
          </cell>
          <cell r="B1199" t="str">
            <v/>
          </cell>
          <cell r="C1199" t="str">
            <v>Future</v>
          </cell>
          <cell r="D1199" t="e">
            <v>#N/A</v>
          </cell>
          <cell r="E1199">
            <v>-97.973697059288043</v>
          </cell>
          <cell r="F1199">
            <v>91.749623098815633</v>
          </cell>
          <cell r="G1199">
            <v>3.2120736917004269</v>
          </cell>
          <cell r="H1199">
            <v>3.2120736917004269</v>
          </cell>
          <cell r="I1199" t="e">
            <v>#N/A</v>
          </cell>
          <cell r="J1199" t="e">
            <v>#N/A</v>
          </cell>
          <cell r="K1199">
            <v>75</v>
          </cell>
          <cell r="L1199">
            <v>40</v>
          </cell>
          <cell r="M1199" t="e">
            <v>#N/A</v>
          </cell>
          <cell r="N1199">
            <v>68</v>
          </cell>
          <cell r="O1199" t="e">
            <v>#N/A</v>
          </cell>
          <cell r="P1199" t="str">
            <v/>
          </cell>
          <cell r="Q1199" t="str">
            <v/>
          </cell>
          <cell r="R1199">
            <v>68</v>
          </cell>
        </row>
        <row r="1200">
          <cell r="A1200" t="str">
            <v/>
          </cell>
          <cell r="B1200" t="str">
            <v/>
          </cell>
          <cell r="C1200" t="str">
            <v>Future</v>
          </cell>
          <cell r="D1200" t="e">
            <v>#N/A</v>
          </cell>
          <cell r="E1200">
            <v>-98.226859067193175</v>
          </cell>
          <cell r="F1200">
            <v>91.792903778657532</v>
          </cell>
          <cell r="G1200">
            <v>3.1170144505937074</v>
          </cell>
          <cell r="H1200">
            <v>3.1170144505937074</v>
          </cell>
          <cell r="I1200" t="e">
            <v>#N/A</v>
          </cell>
          <cell r="J1200" t="e">
            <v>#N/A</v>
          </cell>
          <cell r="K1200">
            <v>75</v>
          </cell>
          <cell r="L1200">
            <v>40</v>
          </cell>
          <cell r="M1200" t="e">
            <v>#N/A</v>
          </cell>
          <cell r="N1200">
            <v>68</v>
          </cell>
          <cell r="O1200" t="e">
            <v>#N/A</v>
          </cell>
          <cell r="P1200" t="str">
            <v/>
          </cell>
          <cell r="Q1200" t="str">
            <v/>
          </cell>
          <cell r="R1200">
            <v>68</v>
          </cell>
        </row>
        <row r="1201">
          <cell r="A1201" t="str">
            <v/>
          </cell>
          <cell r="B1201" t="str">
            <v/>
          </cell>
          <cell r="C1201" t="str">
            <v>Future</v>
          </cell>
          <cell r="D1201" t="e">
            <v>#N/A</v>
          </cell>
          <cell r="E1201">
            <v>-98.480021075098307</v>
          </cell>
          <cell r="F1201">
            <v>91.836184458499432</v>
          </cell>
          <cell r="G1201">
            <v>3.0219552094869879</v>
          </cell>
          <cell r="H1201">
            <v>3.0219552094869879</v>
          </cell>
          <cell r="I1201" t="e">
            <v>#N/A</v>
          </cell>
          <cell r="J1201" t="e">
            <v>#N/A</v>
          </cell>
          <cell r="K1201">
            <v>75</v>
          </cell>
          <cell r="L1201">
            <v>40</v>
          </cell>
          <cell r="M1201" t="e">
            <v>#N/A</v>
          </cell>
          <cell r="N1201">
            <v>68</v>
          </cell>
          <cell r="O1201" t="e">
            <v>#N/A</v>
          </cell>
          <cell r="P1201" t="str">
            <v/>
          </cell>
          <cell r="Q1201" t="str">
            <v/>
          </cell>
          <cell r="R1201">
            <v>68</v>
          </cell>
        </row>
        <row r="1202">
          <cell r="A1202" t="str">
            <v/>
          </cell>
          <cell r="B1202" t="str">
            <v/>
          </cell>
          <cell r="C1202" t="str">
            <v>Future</v>
          </cell>
          <cell r="D1202" t="e">
            <v>#N/A</v>
          </cell>
          <cell r="E1202">
            <v>-98.733183083003439</v>
          </cell>
          <cell r="F1202">
            <v>91.879465138341331</v>
          </cell>
          <cell r="G1202">
            <v>2.9268959683802684</v>
          </cell>
          <cell r="H1202">
            <v>2.9268959683802684</v>
          </cell>
          <cell r="I1202" t="e">
            <v>#N/A</v>
          </cell>
          <cell r="J1202" t="e">
            <v>#N/A</v>
          </cell>
          <cell r="K1202">
            <v>75</v>
          </cell>
          <cell r="L1202">
            <v>40</v>
          </cell>
          <cell r="M1202" t="e">
            <v>#N/A</v>
          </cell>
          <cell r="N1202">
            <v>68</v>
          </cell>
          <cell r="O1202" t="e">
            <v>#N/A</v>
          </cell>
          <cell r="P1202" t="str">
            <v/>
          </cell>
          <cell r="Q1202" t="str">
            <v/>
          </cell>
          <cell r="R1202">
            <v>68</v>
          </cell>
        </row>
        <row r="1203">
          <cell r="A1203" t="str">
            <v/>
          </cell>
          <cell r="B1203" t="str">
            <v/>
          </cell>
          <cell r="C1203" t="str">
            <v>Future</v>
          </cell>
          <cell r="D1203" t="e">
            <v>#N/A</v>
          </cell>
          <cell r="E1203">
            <v>-98.986345090908571</v>
          </cell>
          <cell r="F1203">
            <v>91.92274581818323</v>
          </cell>
          <cell r="G1203">
            <v>2.831836727273549</v>
          </cell>
          <cell r="H1203">
            <v>2.831836727273549</v>
          </cell>
          <cell r="I1203" t="e">
            <v>#N/A</v>
          </cell>
          <cell r="J1203" t="e">
            <v>#N/A</v>
          </cell>
          <cell r="K1203">
            <v>75</v>
          </cell>
          <cell r="L1203">
            <v>40</v>
          </cell>
          <cell r="M1203" t="e">
            <v>#N/A</v>
          </cell>
          <cell r="N1203">
            <v>68</v>
          </cell>
          <cell r="O1203" t="e">
            <v>#N/A</v>
          </cell>
          <cell r="P1203" t="str">
            <v/>
          </cell>
          <cell r="Q1203" t="str">
            <v/>
          </cell>
          <cell r="R1203">
            <v>68</v>
          </cell>
        </row>
        <row r="1204">
          <cell r="A1204" t="str">
            <v/>
          </cell>
          <cell r="B1204" t="str">
            <v/>
          </cell>
          <cell r="C1204" t="str">
            <v>Future</v>
          </cell>
          <cell r="D1204" t="e">
            <v>#N/A</v>
          </cell>
          <cell r="E1204">
            <v>-99.239507098813704</v>
          </cell>
          <cell r="F1204">
            <v>91.96602649802513</v>
          </cell>
          <cell r="G1204">
            <v>2.7367774861668295</v>
          </cell>
          <cell r="H1204">
            <v>2.7367774861668295</v>
          </cell>
          <cell r="I1204" t="e">
            <v>#N/A</v>
          </cell>
          <cell r="J1204" t="e">
            <v>#N/A</v>
          </cell>
          <cell r="K1204">
            <v>75</v>
          </cell>
          <cell r="L1204">
            <v>40</v>
          </cell>
          <cell r="M1204" t="e">
            <v>#N/A</v>
          </cell>
          <cell r="N1204">
            <v>68</v>
          </cell>
          <cell r="O1204" t="e">
            <v>#N/A</v>
          </cell>
          <cell r="P1204" t="str">
            <v/>
          </cell>
          <cell r="Q1204" t="str">
            <v/>
          </cell>
          <cell r="R1204">
            <v>68</v>
          </cell>
        </row>
        <row r="1205">
          <cell r="A1205" t="str">
            <v/>
          </cell>
          <cell r="B1205" t="str">
            <v/>
          </cell>
          <cell r="C1205" t="str">
            <v>Future</v>
          </cell>
          <cell r="D1205" t="e">
            <v>#N/A</v>
          </cell>
          <cell r="E1205">
            <v>-99.492669106718836</v>
          </cell>
          <cell r="F1205">
            <v>92.009307177867029</v>
          </cell>
          <cell r="G1205">
            <v>2.64171824506011</v>
          </cell>
          <cell r="H1205">
            <v>2.64171824506011</v>
          </cell>
          <cell r="I1205" t="e">
            <v>#N/A</v>
          </cell>
          <cell r="J1205" t="e">
            <v>#N/A</v>
          </cell>
          <cell r="K1205">
            <v>75</v>
          </cell>
          <cell r="L1205">
            <v>40</v>
          </cell>
          <cell r="M1205" t="e">
            <v>#N/A</v>
          </cell>
          <cell r="N1205">
            <v>68</v>
          </cell>
          <cell r="O1205" t="e">
            <v>#N/A</v>
          </cell>
          <cell r="P1205" t="str">
            <v/>
          </cell>
          <cell r="Q1205" t="str">
            <v/>
          </cell>
          <cell r="R1205">
            <v>68</v>
          </cell>
        </row>
        <row r="1206">
          <cell r="A1206" t="str">
            <v/>
          </cell>
          <cell r="B1206" t="str">
            <v/>
          </cell>
          <cell r="C1206" t="str">
            <v>Future</v>
          </cell>
          <cell r="D1206" t="e">
            <v>#N/A</v>
          </cell>
          <cell r="E1206">
            <v>-99.745831114623968</v>
          </cell>
          <cell r="F1206">
            <v>92.052587857708929</v>
          </cell>
          <cell r="G1206">
            <v>2.5466590039533905</v>
          </cell>
          <cell r="H1206">
            <v>2.5466590039533905</v>
          </cell>
          <cell r="I1206" t="e">
            <v>#N/A</v>
          </cell>
          <cell r="J1206" t="e">
            <v>#N/A</v>
          </cell>
          <cell r="K1206">
            <v>75</v>
          </cell>
          <cell r="L1206">
            <v>40</v>
          </cell>
          <cell r="M1206" t="e">
            <v>#N/A</v>
          </cell>
          <cell r="N1206">
            <v>68</v>
          </cell>
          <cell r="O1206" t="e">
            <v>#N/A</v>
          </cell>
          <cell r="P1206" t="str">
            <v/>
          </cell>
          <cell r="Q1206" t="str">
            <v/>
          </cell>
          <cell r="R1206">
            <v>68</v>
          </cell>
        </row>
        <row r="1207">
          <cell r="A1207" t="str">
            <v/>
          </cell>
          <cell r="B1207" t="str">
            <v/>
          </cell>
          <cell r="C1207" t="str">
            <v>Future</v>
          </cell>
          <cell r="D1207" t="e">
            <v>#N/A</v>
          </cell>
          <cell r="E1207">
            <v>-99.9989931225291</v>
          </cell>
          <cell r="F1207">
            <v>92.095868537550828</v>
          </cell>
          <cell r="G1207">
            <v>2.451599762846671</v>
          </cell>
          <cell r="H1207">
            <v>2.451599762846671</v>
          </cell>
          <cell r="I1207" t="e">
            <v>#N/A</v>
          </cell>
          <cell r="J1207" t="e">
            <v>#N/A</v>
          </cell>
          <cell r="K1207">
            <v>75</v>
          </cell>
          <cell r="L1207">
            <v>40</v>
          </cell>
          <cell r="M1207" t="e">
            <v>#N/A</v>
          </cell>
          <cell r="N1207">
            <v>68</v>
          </cell>
          <cell r="O1207" t="e">
            <v>#N/A</v>
          </cell>
          <cell r="P1207" t="str">
            <v/>
          </cell>
          <cell r="Q1207" t="str">
            <v/>
          </cell>
          <cell r="R1207">
            <v>68</v>
          </cell>
        </row>
        <row r="1208">
          <cell r="A1208" t="str">
            <v/>
          </cell>
          <cell r="B1208" t="str">
            <v/>
          </cell>
          <cell r="C1208" t="str">
            <v>Future</v>
          </cell>
          <cell r="D1208" t="e">
            <v>#N/A</v>
          </cell>
          <cell r="E1208">
            <v>-100.25215513043423</v>
          </cell>
          <cell r="F1208">
            <v>92.139149217392728</v>
          </cell>
          <cell r="G1208">
            <v>2.3565405217399515</v>
          </cell>
          <cell r="H1208">
            <v>2.3565405217399515</v>
          </cell>
          <cell r="I1208" t="e">
            <v>#N/A</v>
          </cell>
          <cell r="J1208" t="e">
            <v>#N/A</v>
          </cell>
          <cell r="K1208">
            <v>75</v>
          </cell>
          <cell r="L1208">
            <v>40</v>
          </cell>
          <cell r="M1208" t="e">
            <v>#N/A</v>
          </cell>
          <cell r="N1208">
            <v>68</v>
          </cell>
          <cell r="O1208" t="e">
            <v>#N/A</v>
          </cell>
          <cell r="P1208" t="str">
            <v/>
          </cell>
          <cell r="Q1208" t="str">
            <v/>
          </cell>
          <cell r="R1208">
            <v>68</v>
          </cell>
        </row>
        <row r="1209">
          <cell r="A1209" t="str">
            <v/>
          </cell>
          <cell r="B1209" t="str">
            <v/>
          </cell>
          <cell r="C1209" t="str">
            <v>Future</v>
          </cell>
          <cell r="D1209" t="e">
            <v>#N/A</v>
          </cell>
          <cell r="E1209">
            <v>-100.50531713833936</v>
          </cell>
          <cell r="F1209">
            <v>92.182429897234627</v>
          </cell>
          <cell r="G1209">
            <v>2.2614812806332321</v>
          </cell>
          <cell r="H1209">
            <v>2.2614812806332321</v>
          </cell>
          <cell r="I1209" t="e">
            <v>#N/A</v>
          </cell>
          <cell r="J1209" t="e">
            <v>#N/A</v>
          </cell>
          <cell r="K1209">
            <v>75</v>
          </cell>
          <cell r="L1209">
            <v>40</v>
          </cell>
          <cell r="M1209" t="e">
            <v>#N/A</v>
          </cell>
          <cell r="N1209">
            <v>68</v>
          </cell>
          <cell r="O1209" t="e">
            <v>#N/A</v>
          </cell>
          <cell r="P1209" t="str">
            <v/>
          </cell>
          <cell r="Q1209" t="str">
            <v/>
          </cell>
          <cell r="R1209">
            <v>68</v>
          </cell>
        </row>
        <row r="1210">
          <cell r="A1210" t="str">
            <v/>
          </cell>
          <cell r="B1210" t="str">
            <v/>
          </cell>
          <cell r="C1210" t="str">
            <v>Future</v>
          </cell>
          <cell r="D1210" t="e">
            <v>#N/A</v>
          </cell>
          <cell r="E1210">
            <v>-100.7584791462445</v>
          </cell>
          <cell r="F1210">
            <v>92.225710577076526</v>
          </cell>
          <cell r="G1210">
            <v>2.1664220395265126</v>
          </cell>
          <cell r="H1210">
            <v>2.1664220395265126</v>
          </cell>
          <cell r="I1210" t="e">
            <v>#N/A</v>
          </cell>
          <cell r="J1210" t="e">
            <v>#N/A</v>
          </cell>
          <cell r="K1210">
            <v>75</v>
          </cell>
          <cell r="L1210">
            <v>40</v>
          </cell>
          <cell r="M1210" t="e">
            <v>#N/A</v>
          </cell>
          <cell r="N1210">
            <v>68</v>
          </cell>
          <cell r="O1210" t="e">
            <v>#N/A</v>
          </cell>
          <cell r="P1210" t="str">
            <v/>
          </cell>
          <cell r="Q1210" t="str">
            <v/>
          </cell>
          <cell r="R1210">
            <v>68</v>
          </cell>
        </row>
        <row r="1211">
          <cell r="A1211" t="str">
            <v/>
          </cell>
          <cell r="B1211" t="str">
            <v/>
          </cell>
          <cell r="C1211" t="str">
            <v>Future</v>
          </cell>
          <cell r="D1211" t="e">
            <v>#N/A</v>
          </cell>
          <cell r="E1211">
            <v>-101.01164115414963</v>
          </cell>
          <cell r="F1211">
            <v>92.268991256918426</v>
          </cell>
          <cell r="G1211">
            <v>2.0713627984197931</v>
          </cell>
          <cell r="H1211">
            <v>2.0713627984197931</v>
          </cell>
          <cell r="I1211" t="e">
            <v>#N/A</v>
          </cell>
          <cell r="J1211" t="e">
            <v>#N/A</v>
          </cell>
          <cell r="K1211">
            <v>75</v>
          </cell>
          <cell r="L1211">
            <v>40</v>
          </cell>
          <cell r="M1211" t="e">
            <v>#N/A</v>
          </cell>
          <cell r="N1211">
            <v>68</v>
          </cell>
          <cell r="O1211" t="e">
            <v>#N/A</v>
          </cell>
          <cell r="P1211" t="str">
            <v/>
          </cell>
          <cell r="Q1211" t="str">
            <v/>
          </cell>
          <cell r="R1211">
            <v>68</v>
          </cell>
        </row>
        <row r="1212">
          <cell r="A1212" t="str">
            <v/>
          </cell>
          <cell r="B1212" t="str">
            <v/>
          </cell>
          <cell r="C1212" t="str">
            <v>Future</v>
          </cell>
          <cell r="D1212" t="e">
            <v>#N/A</v>
          </cell>
          <cell r="E1212">
            <v>-101.26480316205476</v>
          </cell>
          <cell r="F1212">
            <v>92.312271936760325</v>
          </cell>
          <cell r="G1212">
            <v>1.9763035573130738</v>
          </cell>
          <cell r="H1212">
            <v>1.9763035573130738</v>
          </cell>
          <cell r="I1212" t="e">
            <v>#N/A</v>
          </cell>
          <cell r="J1212" t="e">
            <v>#N/A</v>
          </cell>
          <cell r="K1212">
            <v>75</v>
          </cell>
          <cell r="L1212">
            <v>40</v>
          </cell>
          <cell r="M1212" t="e">
            <v>#N/A</v>
          </cell>
          <cell r="N1212">
            <v>68</v>
          </cell>
          <cell r="O1212" t="e">
            <v>#N/A</v>
          </cell>
          <cell r="P1212" t="str">
            <v/>
          </cell>
          <cell r="Q1212" t="str">
            <v/>
          </cell>
          <cell r="R1212">
            <v>68</v>
          </cell>
        </row>
        <row r="1213">
          <cell r="A1213" t="str">
            <v/>
          </cell>
          <cell r="B1213" t="str">
            <v/>
          </cell>
          <cell r="C1213" t="str">
            <v>Future</v>
          </cell>
          <cell r="D1213" t="e">
            <v>#N/A</v>
          </cell>
          <cell r="E1213">
            <v>-101.51796516995989</v>
          </cell>
          <cell r="F1213">
            <v>92.355552616602225</v>
          </cell>
          <cell r="G1213">
            <v>1.8812443162063546</v>
          </cell>
          <cell r="H1213">
            <v>1.8812443162063546</v>
          </cell>
          <cell r="I1213" t="e">
            <v>#N/A</v>
          </cell>
          <cell r="J1213" t="e">
            <v>#N/A</v>
          </cell>
          <cell r="K1213">
            <v>75</v>
          </cell>
          <cell r="L1213">
            <v>40</v>
          </cell>
          <cell r="M1213" t="e">
            <v>#N/A</v>
          </cell>
          <cell r="N1213">
            <v>68</v>
          </cell>
          <cell r="O1213" t="e">
            <v>#N/A</v>
          </cell>
          <cell r="P1213" t="str">
            <v/>
          </cell>
          <cell r="Q1213" t="str">
            <v/>
          </cell>
          <cell r="R1213">
            <v>68</v>
          </cell>
        </row>
        <row r="1214">
          <cell r="A1214" t="str">
            <v/>
          </cell>
          <cell r="B1214" t="str">
            <v/>
          </cell>
          <cell r="C1214" t="str">
            <v>Future</v>
          </cell>
          <cell r="D1214" t="e">
            <v>#N/A</v>
          </cell>
          <cell r="E1214">
            <v>-101.77112717786503</v>
          </cell>
          <cell r="F1214">
            <v>92.398833296444124</v>
          </cell>
          <cell r="G1214">
            <v>1.7861850750996353</v>
          </cell>
          <cell r="H1214">
            <v>1.7861850750996353</v>
          </cell>
          <cell r="I1214" t="e">
            <v>#N/A</v>
          </cell>
          <cell r="J1214" t="e">
            <v>#N/A</v>
          </cell>
          <cell r="K1214">
            <v>75</v>
          </cell>
          <cell r="L1214">
            <v>40</v>
          </cell>
          <cell r="M1214" t="e">
            <v>#N/A</v>
          </cell>
          <cell r="N1214">
            <v>68</v>
          </cell>
          <cell r="O1214" t="e">
            <v>#N/A</v>
          </cell>
          <cell r="P1214" t="str">
            <v/>
          </cell>
          <cell r="Q1214" t="str">
            <v/>
          </cell>
          <cell r="R1214">
            <v>68</v>
          </cell>
        </row>
        <row r="1215">
          <cell r="A1215" t="str">
            <v/>
          </cell>
          <cell r="B1215" t="str">
            <v/>
          </cell>
          <cell r="C1215" t="str">
            <v>Future</v>
          </cell>
          <cell r="D1215" t="e">
            <v>#N/A</v>
          </cell>
          <cell r="E1215">
            <v>-102.02428918577016</v>
          </cell>
          <cell r="F1215">
            <v>92.442113976286024</v>
          </cell>
          <cell r="G1215">
            <v>1.691125833992916</v>
          </cell>
          <cell r="H1215">
            <v>1.691125833992916</v>
          </cell>
          <cell r="I1215" t="e">
            <v>#N/A</v>
          </cell>
          <cell r="J1215" t="e">
            <v>#N/A</v>
          </cell>
          <cell r="K1215">
            <v>75</v>
          </cell>
          <cell r="L1215">
            <v>40</v>
          </cell>
          <cell r="M1215" t="e">
            <v>#N/A</v>
          </cell>
          <cell r="N1215">
            <v>68</v>
          </cell>
          <cell r="O1215" t="e">
            <v>#N/A</v>
          </cell>
          <cell r="P1215" t="str">
            <v/>
          </cell>
          <cell r="Q1215" t="str">
            <v/>
          </cell>
          <cell r="R1215">
            <v>68</v>
          </cell>
        </row>
        <row r="1216">
          <cell r="A1216" t="str">
            <v/>
          </cell>
          <cell r="B1216" t="str">
            <v/>
          </cell>
          <cell r="C1216" t="str">
            <v>Future</v>
          </cell>
          <cell r="D1216" t="e">
            <v>#N/A</v>
          </cell>
          <cell r="E1216">
            <v>-102.27745119367529</v>
          </cell>
          <cell r="F1216">
            <v>92.485394656127923</v>
          </cell>
          <cell r="G1216">
            <v>1.5960665928861968</v>
          </cell>
          <cell r="H1216">
            <v>1.5960665928861968</v>
          </cell>
          <cell r="I1216" t="e">
            <v>#N/A</v>
          </cell>
          <cell r="J1216" t="e">
            <v>#N/A</v>
          </cell>
          <cell r="K1216">
            <v>75</v>
          </cell>
          <cell r="L1216">
            <v>40</v>
          </cell>
          <cell r="M1216" t="e">
            <v>#N/A</v>
          </cell>
          <cell r="N1216">
            <v>68</v>
          </cell>
          <cell r="O1216" t="e">
            <v>#N/A</v>
          </cell>
          <cell r="P1216" t="str">
            <v/>
          </cell>
          <cell r="Q1216" t="str">
            <v/>
          </cell>
          <cell r="R1216">
            <v>68</v>
          </cell>
        </row>
        <row r="1217">
          <cell r="A1217" t="str">
            <v/>
          </cell>
          <cell r="B1217" t="str">
            <v/>
          </cell>
          <cell r="C1217" t="str">
            <v>Future</v>
          </cell>
          <cell r="D1217" t="e">
            <v>#N/A</v>
          </cell>
          <cell r="E1217">
            <v>-102.53061320158042</v>
          </cell>
          <cell r="F1217">
            <v>92.528675335969822</v>
          </cell>
          <cell r="G1217">
            <v>1.5010073517794775</v>
          </cell>
          <cell r="H1217">
            <v>1.5010073517794775</v>
          </cell>
          <cell r="I1217" t="e">
            <v>#N/A</v>
          </cell>
          <cell r="J1217" t="e">
            <v>#N/A</v>
          </cell>
          <cell r="K1217">
            <v>75</v>
          </cell>
          <cell r="L1217">
            <v>40</v>
          </cell>
          <cell r="M1217" t="e">
            <v>#N/A</v>
          </cell>
          <cell r="N1217">
            <v>68</v>
          </cell>
          <cell r="O1217" t="e">
            <v>#N/A</v>
          </cell>
          <cell r="P1217" t="str">
            <v/>
          </cell>
          <cell r="Q1217" t="str">
            <v/>
          </cell>
          <cell r="R1217">
            <v>68</v>
          </cell>
        </row>
        <row r="1218">
          <cell r="A1218" t="str">
            <v/>
          </cell>
          <cell r="B1218" t="str">
            <v/>
          </cell>
          <cell r="C1218" t="str">
            <v>Future</v>
          </cell>
          <cell r="D1218" t="e">
            <v>#N/A</v>
          </cell>
          <cell r="E1218">
            <v>-102.78377520948555</v>
          </cell>
          <cell r="F1218">
            <v>92.571956015811722</v>
          </cell>
          <cell r="G1218">
            <v>1.4059481106727583</v>
          </cell>
          <cell r="H1218">
            <v>1.4059481106727583</v>
          </cell>
          <cell r="I1218" t="e">
            <v>#N/A</v>
          </cell>
          <cell r="J1218" t="e">
            <v>#N/A</v>
          </cell>
          <cell r="K1218">
            <v>75</v>
          </cell>
          <cell r="L1218">
            <v>40</v>
          </cell>
          <cell r="M1218" t="e">
            <v>#N/A</v>
          </cell>
          <cell r="N1218">
            <v>68</v>
          </cell>
          <cell r="O1218" t="e">
            <v>#N/A</v>
          </cell>
          <cell r="P1218" t="str">
            <v/>
          </cell>
          <cell r="Q1218" t="str">
            <v/>
          </cell>
          <cell r="R1218">
            <v>68</v>
          </cell>
        </row>
        <row r="1219">
          <cell r="A1219" t="str">
            <v/>
          </cell>
          <cell r="B1219" t="str">
            <v/>
          </cell>
          <cell r="C1219" t="str">
            <v>Future</v>
          </cell>
          <cell r="D1219" t="e">
            <v>#N/A</v>
          </cell>
          <cell r="E1219">
            <v>-103.03693721739069</v>
          </cell>
          <cell r="F1219">
            <v>92.615236695653621</v>
          </cell>
          <cell r="G1219">
            <v>1.310888869566039</v>
          </cell>
          <cell r="H1219">
            <v>1.310888869566039</v>
          </cell>
          <cell r="I1219" t="e">
            <v>#N/A</v>
          </cell>
          <cell r="J1219" t="e">
            <v>#N/A</v>
          </cell>
          <cell r="K1219">
            <v>75</v>
          </cell>
          <cell r="L1219">
            <v>40</v>
          </cell>
          <cell r="M1219" t="e">
            <v>#N/A</v>
          </cell>
          <cell r="N1219">
            <v>68</v>
          </cell>
          <cell r="O1219" t="e">
            <v>#N/A</v>
          </cell>
          <cell r="P1219" t="str">
            <v/>
          </cell>
          <cell r="Q1219" t="str">
            <v/>
          </cell>
          <cell r="R1219">
            <v>68</v>
          </cell>
        </row>
        <row r="1220">
          <cell r="A1220" t="str">
            <v/>
          </cell>
          <cell r="B1220" t="str">
            <v/>
          </cell>
          <cell r="C1220" t="str">
            <v>Future</v>
          </cell>
          <cell r="D1220" t="e">
            <v>#N/A</v>
          </cell>
          <cell r="E1220">
            <v>-103.29009922529582</v>
          </cell>
          <cell r="F1220">
            <v>92.658517375495521</v>
          </cell>
          <cell r="G1220">
            <v>1.2158296284593197</v>
          </cell>
          <cell r="H1220">
            <v>1.2158296284593197</v>
          </cell>
          <cell r="I1220" t="e">
            <v>#N/A</v>
          </cell>
          <cell r="J1220" t="e">
            <v>#N/A</v>
          </cell>
          <cell r="K1220">
            <v>75</v>
          </cell>
          <cell r="L1220">
            <v>40</v>
          </cell>
          <cell r="M1220" t="e">
            <v>#N/A</v>
          </cell>
          <cell r="N1220">
            <v>68</v>
          </cell>
          <cell r="O1220" t="e">
            <v>#N/A</v>
          </cell>
          <cell r="P1220" t="str">
            <v/>
          </cell>
          <cell r="Q1220" t="str">
            <v/>
          </cell>
          <cell r="R1220">
            <v>68</v>
          </cell>
        </row>
        <row r="1221">
          <cell r="A1221" t="str">
            <v/>
          </cell>
          <cell r="B1221" t="str">
            <v/>
          </cell>
          <cell r="C1221" t="str">
            <v>Future</v>
          </cell>
          <cell r="D1221" t="e">
            <v>#N/A</v>
          </cell>
          <cell r="E1221">
            <v>-103.54326123320095</v>
          </cell>
          <cell r="F1221">
            <v>92.70179805533742</v>
          </cell>
          <cell r="G1221">
            <v>1.1207703873526005</v>
          </cell>
          <cell r="H1221">
            <v>1.1207703873526005</v>
          </cell>
          <cell r="I1221" t="e">
            <v>#N/A</v>
          </cell>
          <cell r="J1221" t="e">
            <v>#N/A</v>
          </cell>
          <cell r="K1221">
            <v>75</v>
          </cell>
          <cell r="L1221">
            <v>40</v>
          </cell>
          <cell r="M1221" t="e">
            <v>#N/A</v>
          </cell>
          <cell r="N1221">
            <v>68</v>
          </cell>
          <cell r="O1221" t="e">
            <v>#N/A</v>
          </cell>
          <cell r="P1221" t="str">
            <v/>
          </cell>
          <cell r="Q1221" t="str">
            <v/>
          </cell>
          <cell r="R1221">
            <v>68</v>
          </cell>
        </row>
        <row r="1222">
          <cell r="A1222" t="str">
            <v/>
          </cell>
          <cell r="B1222" t="str">
            <v/>
          </cell>
          <cell r="C1222" t="str">
            <v>Future</v>
          </cell>
          <cell r="D1222" t="e">
            <v>#N/A</v>
          </cell>
          <cell r="E1222">
            <v>-103.79642324110608</v>
          </cell>
          <cell r="F1222">
            <v>92.74507873517932</v>
          </cell>
          <cell r="G1222">
            <v>1.0257111462458812</v>
          </cell>
          <cell r="H1222">
            <v>1.0257111462458812</v>
          </cell>
          <cell r="I1222" t="e">
            <v>#N/A</v>
          </cell>
          <cell r="J1222" t="e">
            <v>#N/A</v>
          </cell>
          <cell r="K1222">
            <v>75</v>
          </cell>
          <cell r="L1222">
            <v>40</v>
          </cell>
          <cell r="M1222" t="e">
            <v>#N/A</v>
          </cell>
          <cell r="N1222">
            <v>68</v>
          </cell>
          <cell r="O1222" t="e">
            <v>#N/A</v>
          </cell>
          <cell r="P1222" t="str">
            <v/>
          </cell>
          <cell r="Q1222" t="str">
            <v/>
          </cell>
          <cell r="R1222">
            <v>68</v>
          </cell>
        </row>
        <row r="1223">
          <cell r="A1223" t="str">
            <v/>
          </cell>
          <cell r="B1223" t="str">
            <v/>
          </cell>
          <cell r="C1223" t="str">
            <v>Future</v>
          </cell>
          <cell r="D1223" t="e">
            <v>#N/A</v>
          </cell>
          <cell r="E1223">
            <v>-104.04958524901122</v>
          </cell>
          <cell r="F1223">
            <v>92.788359415021219</v>
          </cell>
          <cell r="G1223">
            <v>0.93065190513916185</v>
          </cell>
          <cell r="H1223">
            <v>0.93065190513916185</v>
          </cell>
          <cell r="I1223" t="e">
            <v>#N/A</v>
          </cell>
          <cell r="J1223" t="e">
            <v>#N/A</v>
          </cell>
          <cell r="K1223">
            <v>75</v>
          </cell>
          <cell r="L1223">
            <v>40</v>
          </cell>
          <cell r="M1223" t="e">
            <v>#N/A</v>
          </cell>
          <cell r="N1223">
            <v>68</v>
          </cell>
          <cell r="O1223" t="e">
            <v>#N/A</v>
          </cell>
          <cell r="P1223" t="str">
            <v/>
          </cell>
          <cell r="Q1223" t="str">
            <v/>
          </cell>
          <cell r="R1223">
            <v>68</v>
          </cell>
        </row>
        <row r="1224">
          <cell r="A1224" t="str">
            <v/>
          </cell>
          <cell r="B1224" t="str">
            <v/>
          </cell>
          <cell r="C1224" t="str">
            <v>Future</v>
          </cell>
          <cell r="D1224" t="e">
            <v>#N/A</v>
          </cell>
          <cell r="E1224">
            <v>-104.30274725691635</v>
          </cell>
          <cell r="F1224">
            <v>92.831640094863118</v>
          </cell>
          <cell r="G1224">
            <v>0.83559266403244248</v>
          </cell>
          <cell r="H1224">
            <v>0.83559266403244248</v>
          </cell>
          <cell r="I1224" t="e">
            <v>#N/A</v>
          </cell>
          <cell r="J1224" t="e">
            <v>#N/A</v>
          </cell>
          <cell r="K1224">
            <v>75</v>
          </cell>
          <cell r="L1224">
            <v>40</v>
          </cell>
          <cell r="M1224" t="e">
            <v>#N/A</v>
          </cell>
          <cell r="N1224">
            <v>68</v>
          </cell>
          <cell r="O1224" t="e">
            <v>#N/A</v>
          </cell>
          <cell r="P1224" t="str">
            <v/>
          </cell>
          <cell r="Q1224" t="str">
            <v/>
          </cell>
          <cell r="R1224">
            <v>68</v>
          </cell>
        </row>
        <row r="1225">
          <cell r="A1225" t="str">
            <v/>
          </cell>
          <cell r="B1225" t="str">
            <v/>
          </cell>
          <cell r="C1225" t="str">
            <v>Future</v>
          </cell>
          <cell r="D1225" t="e">
            <v>#N/A</v>
          </cell>
          <cell r="E1225">
            <v>-104.55590926482148</v>
          </cell>
          <cell r="F1225">
            <v>92.874920774705018</v>
          </cell>
          <cell r="G1225">
            <v>0.74053342292572311</v>
          </cell>
          <cell r="H1225">
            <v>0.74053342292572311</v>
          </cell>
          <cell r="I1225" t="e">
            <v>#N/A</v>
          </cell>
          <cell r="J1225" t="e">
            <v>#N/A</v>
          </cell>
          <cell r="K1225">
            <v>75</v>
          </cell>
          <cell r="L1225">
            <v>40</v>
          </cell>
          <cell r="M1225" t="e">
            <v>#N/A</v>
          </cell>
          <cell r="N1225">
            <v>68</v>
          </cell>
          <cell r="O1225" t="e">
            <v>#N/A</v>
          </cell>
          <cell r="P1225" t="str">
            <v/>
          </cell>
          <cell r="Q1225" t="str">
            <v/>
          </cell>
          <cell r="R1225">
            <v>68</v>
          </cell>
        </row>
        <row r="1226">
          <cell r="A1226" t="str">
            <v/>
          </cell>
          <cell r="B1226" t="str">
            <v/>
          </cell>
          <cell r="C1226" t="str">
            <v>Future</v>
          </cell>
          <cell r="D1226" t="e">
            <v>#N/A</v>
          </cell>
          <cell r="E1226">
            <v>-104.80907127272661</v>
          </cell>
          <cell r="F1226">
            <v>92.918201454546917</v>
          </cell>
          <cell r="G1226">
            <v>0.64547418181900373</v>
          </cell>
          <cell r="H1226">
            <v>0.64547418181900373</v>
          </cell>
          <cell r="I1226" t="e">
            <v>#N/A</v>
          </cell>
          <cell r="J1226" t="e">
            <v>#N/A</v>
          </cell>
          <cell r="K1226">
            <v>75</v>
          </cell>
          <cell r="L1226">
            <v>40</v>
          </cell>
          <cell r="M1226" t="e">
            <v>#N/A</v>
          </cell>
          <cell r="N1226">
            <v>68</v>
          </cell>
          <cell r="O1226" t="e">
            <v>#N/A</v>
          </cell>
          <cell r="P1226" t="str">
            <v/>
          </cell>
          <cell r="Q1226" t="str">
            <v/>
          </cell>
          <cell r="R1226">
            <v>68</v>
          </cell>
        </row>
        <row r="1227">
          <cell r="A1227" t="str">
            <v/>
          </cell>
          <cell r="B1227" t="str">
            <v/>
          </cell>
          <cell r="C1227" t="str">
            <v>Future</v>
          </cell>
          <cell r="D1227" t="e">
            <v>#N/A</v>
          </cell>
          <cell r="E1227">
            <v>-105.06223328063174</v>
          </cell>
          <cell r="F1227">
            <v>92.961482134388817</v>
          </cell>
          <cell r="G1227">
            <v>0.55041494071228436</v>
          </cell>
          <cell r="H1227">
            <v>0.55041494071228436</v>
          </cell>
          <cell r="I1227" t="e">
            <v>#N/A</v>
          </cell>
          <cell r="J1227" t="e">
            <v>#N/A</v>
          </cell>
          <cell r="K1227">
            <v>75</v>
          </cell>
          <cell r="L1227">
            <v>40</v>
          </cell>
          <cell r="M1227" t="e">
            <v>#N/A</v>
          </cell>
          <cell r="N1227">
            <v>68</v>
          </cell>
          <cell r="O1227" t="e">
            <v>#N/A</v>
          </cell>
          <cell r="P1227" t="str">
            <v/>
          </cell>
          <cell r="Q1227" t="str">
            <v/>
          </cell>
          <cell r="R1227">
            <v>68</v>
          </cell>
        </row>
        <row r="1228">
          <cell r="A1228" t="str">
            <v/>
          </cell>
          <cell r="B1228" t="str">
            <v/>
          </cell>
          <cell r="C1228" t="str">
            <v>Future</v>
          </cell>
          <cell r="D1228" t="e">
            <v>#N/A</v>
          </cell>
          <cell r="E1228">
            <v>-105.31539528853688</v>
          </cell>
          <cell r="F1228">
            <v>93.004762814230716</v>
          </cell>
          <cell r="G1228">
            <v>0.45535569960556499</v>
          </cell>
          <cell r="H1228">
            <v>0.45535569960556499</v>
          </cell>
          <cell r="I1228" t="e">
            <v>#N/A</v>
          </cell>
          <cell r="J1228" t="e">
            <v>#N/A</v>
          </cell>
          <cell r="K1228">
            <v>75</v>
          </cell>
          <cell r="L1228">
            <v>40</v>
          </cell>
          <cell r="M1228" t="e">
            <v>#N/A</v>
          </cell>
          <cell r="N1228">
            <v>68</v>
          </cell>
          <cell r="O1228" t="e">
            <v>#N/A</v>
          </cell>
          <cell r="P1228" t="str">
            <v/>
          </cell>
          <cell r="Q1228" t="str">
            <v/>
          </cell>
          <cell r="R1228">
            <v>68</v>
          </cell>
        </row>
        <row r="1229">
          <cell r="A1229" t="str">
            <v/>
          </cell>
          <cell r="B1229" t="str">
            <v/>
          </cell>
          <cell r="C1229" t="str">
            <v>Future</v>
          </cell>
          <cell r="D1229" t="e">
            <v>#N/A</v>
          </cell>
          <cell r="E1229">
            <v>-105.56855729644201</v>
          </cell>
          <cell r="F1229">
            <v>93.048043494072616</v>
          </cell>
          <cell r="G1229">
            <v>0.36029645849884562</v>
          </cell>
          <cell r="H1229">
            <v>0.36029645849884562</v>
          </cell>
          <cell r="I1229" t="e">
            <v>#N/A</v>
          </cell>
          <cell r="J1229" t="e">
            <v>#N/A</v>
          </cell>
          <cell r="K1229">
            <v>75</v>
          </cell>
          <cell r="L1229">
            <v>40</v>
          </cell>
          <cell r="M1229" t="e">
            <v>#N/A</v>
          </cell>
          <cell r="N1229">
            <v>68</v>
          </cell>
          <cell r="O1229" t="e">
            <v>#N/A</v>
          </cell>
          <cell r="P1229" t="str">
            <v/>
          </cell>
          <cell r="Q1229" t="str">
            <v/>
          </cell>
          <cell r="R1229">
            <v>68</v>
          </cell>
        </row>
        <row r="1230">
          <cell r="A1230" t="str">
            <v/>
          </cell>
          <cell r="B1230" t="str">
            <v/>
          </cell>
          <cell r="C1230" t="str">
            <v>Future</v>
          </cell>
          <cell r="D1230" t="e">
            <v>#N/A</v>
          </cell>
          <cell r="E1230">
            <v>-105.82171930434714</v>
          </cell>
          <cell r="F1230">
            <v>93.091324173914515</v>
          </cell>
          <cell r="G1230">
            <v>0.26523721739212625</v>
          </cell>
          <cell r="H1230">
            <v>0.26523721739212625</v>
          </cell>
          <cell r="I1230" t="e">
            <v>#N/A</v>
          </cell>
          <cell r="J1230" t="e">
            <v>#N/A</v>
          </cell>
          <cell r="K1230">
            <v>75</v>
          </cell>
          <cell r="L1230">
            <v>40</v>
          </cell>
          <cell r="M1230" t="e">
            <v>#N/A</v>
          </cell>
          <cell r="N1230">
            <v>68</v>
          </cell>
          <cell r="O1230" t="e">
            <v>#N/A</v>
          </cell>
          <cell r="P1230" t="str">
            <v/>
          </cell>
          <cell r="Q1230" t="str">
            <v/>
          </cell>
          <cell r="R1230">
            <v>68</v>
          </cell>
        </row>
        <row r="1231">
          <cell r="A1231" t="str">
            <v/>
          </cell>
          <cell r="B1231" t="str">
            <v/>
          </cell>
          <cell r="C1231" t="str">
            <v>Future</v>
          </cell>
          <cell r="D1231" t="e">
            <v>#N/A</v>
          </cell>
          <cell r="E1231">
            <v>-106.07488131225227</v>
          </cell>
          <cell r="F1231">
            <v>93.134604853756414</v>
          </cell>
          <cell r="G1231">
            <v>0.17017797628540687</v>
          </cell>
          <cell r="H1231">
            <v>0.17017797628540687</v>
          </cell>
          <cell r="I1231" t="e">
            <v>#N/A</v>
          </cell>
          <cell r="J1231" t="e">
            <v>#N/A</v>
          </cell>
          <cell r="K1231">
            <v>75</v>
          </cell>
          <cell r="L1231">
            <v>40</v>
          </cell>
          <cell r="M1231" t="e">
            <v>#N/A</v>
          </cell>
          <cell r="N1231">
            <v>68</v>
          </cell>
          <cell r="O1231" t="e">
            <v>#N/A</v>
          </cell>
          <cell r="P1231" t="str">
            <v/>
          </cell>
          <cell r="Q1231" t="str">
            <v/>
          </cell>
          <cell r="R1231">
            <v>68</v>
          </cell>
        </row>
        <row r="1232">
          <cell r="A1232" t="str">
            <v/>
          </cell>
          <cell r="B1232" t="str">
            <v/>
          </cell>
          <cell r="C1232" t="str">
            <v>Future</v>
          </cell>
          <cell r="D1232" t="e">
            <v>#N/A</v>
          </cell>
          <cell r="E1232">
            <v>-106.32804332015741</v>
          </cell>
          <cell r="F1232">
            <v>93.177885533598314</v>
          </cell>
          <cell r="G1232">
            <v>7.5118735178687515E-2</v>
          </cell>
          <cell r="H1232">
            <v>7.5118735178687515E-2</v>
          </cell>
          <cell r="I1232" t="e">
            <v>#N/A</v>
          </cell>
          <cell r="J1232" t="e">
            <v>#N/A</v>
          </cell>
          <cell r="K1232">
            <v>75</v>
          </cell>
          <cell r="L1232">
            <v>40</v>
          </cell>
          <cell r="M1232" t="e">
            <v>#N/A</v>
          </cell>
          <cell r="N1232">
            <v>68</v>
          </cell>
          <cell r="O1232" t="e">
            <v>#N/A</v>
          </cell>
          <cell r="P1232" t="str">
            <v/>
          </cell>
          <cell r="Q1232" t="str">
            <v/>
          </cell>
          <cell r="R1232">
            <v>68</v>
          </cell>
        </row>
        <row r="1233">
          <cell r="A1233" t="str">
            <v/>
          </cell>
          <cell r="B1233" t="str">
            <v/>
          </cell>
          <cell r="C1233" t="str">
            <v>Future</v>
          </cell>
          <cell r="D1233" t="e">
            <v>#N/A</v>
          </cell>
          <cell r="E1233">
            <v>-106.58120532806254</v>
          </cell>
          <cell r="F1233">
            <v>93.221166213440213</v>
          </cell>
          <cell r="G1233">
            <v>-1.9940505928031843E-2</v>
          </cell>
          <cell r="H1233">
            <v>-1.9940505928031843E-2</v>
          </cell>
          <cell r="I1233" t="e">
            <v>#N/A</v>
          </cell>
          <cell r="J1233" t="e">
            <v>#N/A</v>
          </cell>
          <cell r="K1233">
            <v>75</v>
          </cell>
          <cell r="L1233">
            <v>40</v>
          </cell>
          <cell r="M1233" t="e">
            <v>#N/A</v>
          </cell>
          <cell r="N1233">
            <v>68</v>
          </cell>
          <cell r="O1233" t="e">
            <v>#N/A</v>
          </cell>
          <cell r="P1233" t="str">
            <v/>
          </cell>
          <cell r="Q1233" t="str">
            <v/>
          </cell>
          <cell r="R1233">
            <v>68</v>
          </cell>
        </row>
        <row r="1234">
          <cell r="A1234" t="str">
            <v/>
          </cell>
          <cell r="B1234" t="str">
            <v/>
          </cell>
          <cell r="C1234" t="str">
            <v>Future</v>
          </cell>
          <cell r="D1234" t="e">
            <v>#N/A</v>
          </cell>
          <cell r="E1234">
            <v>-106.83436733596767</v>
          </cell>
          <cell r="F1234">
            <v>93.264446893282113</v>
          </cell>
          <cell r="G1234">
            <v>-0.1149997470347512</v>
          </cell>
          <cell r="H1234">
            <v>-0.1149997470347512</v>
          </cell>
          <cell r="I1234" t="e">
            <v>#N/A</v>
          </cell>
          <cell r="J1234" t="e">
            <v>#N/A</v>
          </cell>
          <cell r="K1234">
            <v>75</v>
          </cell>
          <cell r="L1234">
            <v>40</v>
          </cell>
          <cell r="M1234" t="e">
            <v>#N/A</v>
          </cell>
          <cell r="N1234">
            <v>68</v>
          </cell>
          <cell r="O1234" t="e">
            <v>#N/A</v>
          </cell>
          <cell r="P1234" t="str">
            <v/>
          </cell>
          <cell r="Q1234" t="str">
            <v/>
          </cell>
          <cell r="R1234">
            <v>68</v>
          </cell>
        </row>
        <row r="1235">
          <cell r="A1235" t="str">
            <v/>
          </cell>
          <cell r="B1235" t="str">
            <v/>
          </cell>
          <cell r="C1235" t="str">
            <v>Future</v>
          </cell>
          <cell r="D1235" t="e">
            <v>#N/A</v>
          </cell>
          <cell r="E1235">
            <v>-107.0875293438728</v>
          </cell>
          <cell r="F1235">
            <v>93.307727573124012</v>
          </cell>
          <cell r="G1235">
            <v>-0.21005898814147056</v>
          </cell>
          <cell r="H1235">
            <v>-0.21005898814147056</v>
          </cell>
          <cell r="I1235" t="e">
            <v>#N/A</v>
          </cell>
          <cell r="J1235" t="e">
            <v>#N/A</v>
          </cell>
          <cell r="K1235">
            <v>75</v>
          </cell>
          <cell r="L1235">
            <v>40</v>
          </cell>
          <cell r="M1235" t="e">
            <v>#N/A</v>
          </cell>
          <cell r="N1235">
            <v>68</v>
          </cell>
          <cell r="O1235" t="e">
            <v>#N/A</v>
          </cell>
          <cell r="P1235" t="str">
            <v/>
          </cell>
          <cell r="Q1235" t="str">
            <v/>
          </cell>
          <cell r="R1235">
            <v>68</v>
          </cell>
        </row>
        <row r="1236">
          <cell r="A1236" t="str">
            <v/>
          </cell>
          <cell r="B1236" t="str">
            <v/>
          </cell>
          <cell r="C1236" t="str">
            <v>Future</v>
          </cell>
          <cell r="D1236" t="e">
            <v>#N/A</v>
          </cell>
          <cell r="E1236">
            <v>-107.34069135177793</v>
          </cell>
          <cell r="F1236">
            <v>93.351008252965912</v>
          </cell>
          <cell r="G1236">
            <v>-0.30511822924818993</v>
          </cell>
          <cell r="H1236">
            <v>-0.30511822924818993</v>
          </cell>
          <cell r="I1236" t="e">
            <v>#N/A</v>
          </cell>
          <cell r="J1236" t="e">
            <v>#N/A</v>
          </cell>
          <cell r="K1236">
            <v>75</v>
          </cell>
          <cell r="L1236">
            <v>40</v>
          </cell>
          <cell r="M1236" t="e">
            <v>#N/A</v>
          </cell>
          <cell r="N1236">
            <v>68</v>
          </cell>
          <cell r="O1236" t="e">
            <v>#N/A</v>
          </cell>
          <cell r="P1236" t="str">
            <v/>
          </cell>
          <cell r="Q1236" t="str">
            <v/>
          </cell>
          <cell r="R1236">
            <v>68</v>
          </cell>
        </row>
        <row r="1237">
          <cell r="A1237" t="str">
            <v/>
          </cell>
          <cell r="B1237" t="str">
            <v/>
          </cell>
          <cell r="C1237" t="str">
            <v>Future</v>
          </cell>
          <cell r="D1237" t="e">
            <v>#N/A</v>
          </cell>
          <cell r="E1237">
            <v>-107.59385335968307</v>
          </cell>
          <cell r="F1237">
            <v>93.394288932807811</v>
          </cell>
          <cell r="G1237">
            <v>-0.4001774703549093</v>
          </cell>
          <cell r="H1237">
            <v>-0.4001774703549093</v>
          </cell>
          <cell r="I1237" t="e">
            <v>#N/A</v>
          </cell>
          <cell r="J1237" t="e">
            <v>#N/A</v>
          </cell>
          <cell r="K1237">
            <v>75</v>
          </cell>
          <cell r="L1237">
            <v>40</v>
          </cell>
          <cell r="M1237" t="e">
            <v>#N/A</v>
          </cell>
          <cell r="N1237">
            <v>68</v>
          </cell>
          <cell r="O1237" t="e">
            <v>#N/A</v>
          </cell>
          <cell r="P1237" t="str">
            <v/>
          </cell>
          <cell r="Q1237" t="str">
            <v/>
          </cell>
          <cell r="R1237">
            <v>68</v>
          </cell>
        </row>
        <row r="1238">
          <cell r="A1238" t="str">
            <v/>
          </cell>
          <cell r="B1238" t="str">
            <v/>
          </cell>
          <cell r="C1238" t="str">
            <v>Future</v>
          </cell>
          <cell r="D1238" t="e">
            <v>#N/A</v>
          </cell>
          <cell r="E1238">
            <v>-107.8470153675882</v>
          </cell>
          <cell r="F1238">
            <v>93.43756961264971</v>
          </cell>
          <cell r="G1238">
            <v>-0.49523671146162868</v>
          </cell>
          <cell r="H1238">
            <v>-0.49523671146162868</v>
          </cell>
          <cell r="I1238" t="e">
            <v>#N/A</v>
          </cell>
          <cell r="J1238" t="e">
            <v>#N/A</v>
          </cell>
          <cell r="K1238">
            <v>75</v>
          </cell>
          <cell r="L1238">
            <v>40</v>
          </cell>
          <cell r="M1238" t="e">
            <v>#N/A</v>
          </cell>
          <cell r="N1238">
            <v>68</v>
          </cell>
          <cell r="O1238" t="e">
            <v>#N/A</v>
          </cell>
          <cell r="P1238" t="str">
            <v/>
          </cell>
          <cell r="Q1238" t="str">
            <v/>
          </cell>
          <cell r="R1238">
            <v>68</v>
          </cell>
        </row>
        <row r="1239">
          <cell r="A1239" t="str">
            <v/>
          </cell>
          <cell r="B1239" t="str">
            <v/>
          </cell>
          <cell r="C1239" t="str">
            <v>Future</v>
          </cell>
          <cell r="D1239" t="e">
            <v>#N/A</v>
          </cell>
          <cell r="E1239">
            <v>-108.10017737549333</v>
          </cell>
          <cell r="F1239">
            <v>93.48085029249161</v>
          </cell>
          <cell r="G1239">
            <v>-0.59029595256834799</v>
          </cell>
          <cell r="H1239">
            <v>-0.59029595256834799</v>
          </cell>
          <cell r="I1239" t="e">
            <v>#N/A</v>
          </cell>
          <cell r="J1239" t="e">
            <v>#N/A</v>
          </cell>
          <cell r="K1239">
            <v>75</v>
          </cell>
          <cell r="L1239">
            <v>40</v>
          </cell>
          <cell r="M1239" t="e">
            <v>#N/A</v>
          </cell>
          <cell r="N1239">
            <v>68</v>
          </cell>
          <cell r="O1239" t="e">
            <v>#N/A</v>
          </cell>
          <cell r="P1239" t="str">
            <v/>
          </cell>
          <cell r="Q1239" t="str">
            <v/>
          </cell>
          <cell r="R1239">
            <v>68</v>
          </cell>
        </row>
        <row r="1240">
          <cell r="A1240" t="str">
            <v/>
          </cell>
          <cell r="B1240" t="str">
            <v/>
          </cell>
          <cell r="C1240" t="str">
            <v>Future</v>
          </cell>
          <cell r="D1240" t="e">
            <v>#N/A</v>
          </cell>
          <cell r="E1240">
            <v>-108.35333938339846</v>
          </cell>
          <cell r="F1240">
            <v>93.524130972333509</v>
          </cell>
          <cell r="G1240">
            <v>-0.68535519367506736</v>
          </cell>
          <cell r="H1240">
            <v>-0.68535519367506736</v>
          </cell>
          <cell r="I1240" t="e">
            <v>#N/A</v>
          </cell>
          <cell r="J1240" t="e">
            <v>#N/A</v>
          </cell>
          <cell r="K1240">
            <v>75</v>
          </cell>
          <cell r="L1240">
            <v>40</v>
          </cell>
          <cell r="M1240" t="e">
            <v>#N/A</v>
          </cell>
          <cell r="N1240">
            <v>68</v>
          </cell>
          <cell r="O1240" t="e">
            <v>#N/A</v>
          </cell>
          <cell r="P1240" t="str">
            <v/>
          </cell>
          <cell r="Q1240" t="str">
            <v/>
          </cell>
          <cell r="R1240">
            <v>68</v>
          </cell>
        </row>
        <row r="1241">
          <cell r="A1241" t="str">
            <v/>
          </cell>
          <cell r="B1241" t="str">
            <v/>
          </cell>
          <cell r="C1241" t="str">
            <v>Future</v>
          </cell>
          <cell r="D1241" t="e">
            <v>#N/A</v>
          </cell>
          <cell r="E1241">
            <v>-108.6065013913036</v>
          </cell>
          <cell r="F1241">
            <v>93.567411652175409</v>
          </cell>
          <cell r="G1241">
            <v>-0.78041443478178674</v>
          </cell>
          <cell r="H1241">
            <v>-0.78041443478178674</v>
          </cell>
          <cell r="I1241" t="e">
            <v>#N/A</v>
          </cell>
          <cell r="J1241" t="e">
            <v>#N/A</v>
          </cell>
          <cell r="K1241">
            <v>75</v>
          </cell>
          <cell r="L1241">
            <v>40</v>
          </cell>
          <cell r="M1241" t="e">
            <v>#N/A</v>
          </cell>
          <cell r="N1241">
            <v>68</v>
          </cell>
          <cell r="O1241" t="e">
            <v>#N/A</v>
          </cell>
          <cell r="P1241" t="str">
            <v/>
          </cell>
          <cell r="Q1241" t="str">
            <v/>
          </cell>
          <cell r="R1241">
            <v>68</v>
          </cell>
        </row>
        <row r="1242">
          <cell r="A1242" t="str">
            <v/>
          </cell>
          <cell r="B1242" t="str">
            <v/>
          </cell>
          <cell r="C1242" t="str">
            <v>Future</v>
          </cell>
          <cell r="D1242" t="e">
            <v>#N/A</v>
          </cell>
          <cell r="E1242">
            <v>-108.85966339920873</v>
          </cell>
          <cell r="F1242">
            <v>93.610692332017308</v>
          </cell>
          <cell r="G1242">
            <v>-0.87547367588850611</v>
          </cell>
          <cell r="H1242">
            <v>-0.87547367588850611</v>
          </cell>
          <cell r="I1242" t="e">
            <v>#N/A</v>
          </cell>
          <cell r="J1242" t="e">
            <v>#N/A</v>
          </cell>
          <cell r="K1242">
            <v>75</v>
          </cell>
          <cell r="L1242">
            <v>40</v>
          </cell>
          <cell r="M1242" t="e">
            <v>#N/A</v>
          </cell>
          <cell r="N1242">
            <v>68</v>
          </cell>
          <cell r="O1242" t="e">
            <v>#N/A</v>
          </cell>
          <cell r="P1242" t="str">
            <v/>
          </cell>
          <cell r="Q1242" t="str">
            <v/>
          </cell>
          <cell r="R1242">
            <v>68</v>
          </cell>
        </row>
        <row r="1243">
          <cell r="A1243" t="str">
            <v/>
          </cell>
          <cell r="B1243" t="str">
            <v/>
          </cell>
          <cell r="C1243" t="str">
            <v>Future</v>
          </cell>
          <cell r="D1243" t="e">
            <v>#N/A</v>
          </cell>
          <cell r="E1243">
            <v>-109.11282540711386</v>
          </cell>
          <cell r="F1243">
            <v>93.653973011859208</v>
          </cell>
          <cell r="G1243">
            <v>-0.97053291699522548</v>
          </cell>
          <cell r="H1243">
            <v>-0.97053291699522548</v>
          </cell>
          <cell r="I1243" t="e">
            <v>#N/A</v>
          </cell>
          <cell r="J1243" t="e">
            <v>#N/A</v>
          </cell>
          <cell r="K1243">
            <v>75</v>
          </cell>
          <cell r="L1243">
            <v>40</v>
          </cell>
          <cell r="M1243" t="e">
            <v>#N/A</v>
          </cell>
          <cell r="N1243">
            <v>68</v>
          </cell>
          <cell r="O1243" t="e">
            <v>#N/A</v>
          </cell>
          <cell r="P1243" t="str">
            <v/>
          </cell>
          <cell r="Q1243" t="str">
            <v/>
          </cell>
          <cell r="R1243">
            <v>68</v>
          </cell>
        </row>
        <row r="1244">
          <cell r="A1244" t="str">
            <v/>
          </cell>
          <cell r="B1244" t="str">
            <v/>
          </cell>
          <cell r="C1244" t="str">
            <v>Future</v>
          </cell>
          <cell r="D1244" t="e">
            <v>#N/A</v>
          </cell>
          <cell r="E1244">
            <v>-109.36598741501899</v>
          </cell>
          <cell r="F1244">
            <v>93.697253691701107</v>
          </cell>
          <cell r="G1244">
            <v>-1.0655921581019447</v>
          </cell>
          <cell r="H1244">
            <v>-1.0655921581019447</v>
          </cell>
          <cell r="I1244" t="e">
            <v>#N/A</v>
          </cell>
          <cell r="J1244" t="e">
            <v>#N/A</v>
          </cell>
          <cell r="K1244">
            <v>75</v>
          </cell>
          <cell r="L1244">
            <v>40</v>
          </cell>
          <cell r="M1244" t="e">
            <v>#N/A</v>
          </cell>
          <cell r="N1244">
            <v>68</v>
          </cell>
          <cell r="O1244" t="e">
            <v>#N/A</v>
          </cell>
          <cell r="P1244" t="str">
            <v/>
          </cell>
          <cell r="Q1244" t="str">
            <v/>
          </cell>
          <cell r="R1244">
            <v>68</v>
          </cell>
        </row>
        <row r="1245">
          <cell r="A1245" t="str">
            <v/>
          </cell>
          <cell r="B1245" t="str">
            <v/>
          </cell>
          <cell r="C1245" t="str">
            <v>Future</v>
          </cell>
          <cell r="D1245" t="e">
            <v>#N/A</v>
          </cell>
          <cell r="E1245">
            <v>-109.61914942292412</v>
          </cell>
          <cell r="F1245">
            <v>93.740534371543006</v>
          </cell>
          <cell r="G1245">
            <v>-1.160651399208664</v>
          </cell>
          <cell r="H1245">
            <v>-1.160651399208664</v>
          </cell>
          <cell r="I1245" t="e">
            <v>#N/A</v>
          </cell>
          <cell r="J1245" t="e">
            <v>#N/A</v>
          </cell>
          <cell r="K1245">
            <v>75</v>
          </cell>
          <cell r="L1245">
            <v>40</v>
          </cell>
          <cell r="M1245" t="e">
            <v>#N/A</v>
          </cell>
          <cell r="N1245">
            <v>68</v>
          </cell>
          <cell r="O1245" t="e">
            <v>#N/A</v>
          </cell>
          <cell r="P1245" t="str">
            <v/>
          </cell>
          <cell r="Q1245" t="str">
            <v/>
          </cell>
          <cell r="R1245">
            <v>68</v>
          </cell>
        </row>
        <row r="1246">
          <cell r="A1246" t="str">
            <v/>
          </cell>
          <cell r="B1246" t="str">
            <v/>
          </cell>
          <cell r="C1246" t="str">
            <v>Future</v>
          </cell>
          <cell r="D1246" t="e">
            <v>#N/A</v>
          </cell>
          <cell r="E1246">
            <v>-109.87231143082926</v>
          </cell>
          <cell r="F1246">
            <v>93.783815051384906</v>
          </cell>
          <cell r="G1246">
            <v>-1.2557106403153833</v>
          </cell>
          <cell r="H1246">
            <v>-1.2557106403153833</v>
          </cell>
          <cell r="I1246" t="e">
            <v>#N/A</v>
          </cell>
          <cell r="J1246" t="e">
            <v>#N/A</v>
          </cell>
          <cell r="K1246">
            <v>75</v>
          </cell>
          <cell r="L1246">
            <v>40</v>
          </cell>
          <cell r="M1246" t="e">
            <v>#N/A</v>
          </cell>
          <cell r="N1246">
            <v>68</v>
          </cell>
          <cell r="O1246" t="e">
            <v>#N/A</v>
          </cell>
          <cell r="P1246" t="str">
            <v/>
          </cell>
          <cell r="Q1246" t="str">
            <v/>
          </cell>
          <cell r="R1246">
            <v>68</v>
          </cell>
        </row>
        <row r="1247">
          <cell r="A1247" t="str">
            <v/>
          </cell>
          <cell r="B1247" t="str">
            <v/>
          </cell>
          <cell r="C1247" t="str">
            <v>Future</v>
          </cell>
          <cell r="D1247" t="e">
            <v>#N/A</v>
          </cell>
          <cell r="E1247">
            <v>-110.12547343873439</v>
          </cell>
          <cell r="F1247">
            <v>93.827095731226805</v>
          </cell>
          <cell r="G1247">
            <v>-1.3507698814221025</v>
          </cell>
          <cell r="H1247">
            <v>-1.3507698814221025</v>
          </cell>
          <cell r="I1247" t="e">
            <v>#N/A</v>
          </cell>
          <cell r="J1247" t="e">
            <v>#N/A</v>
          </cell>
          <cell r="K1247">
            <v>75</v>
          </cell>
          <cell r="L1247">
            <v>40</v>
          </cell>
          <cell r="M1247" t="e">
            <v>#N/A</v>
          </cell>
          <cell r="N1247">
            <v>68</v>
          </cell>
          <cell r="O1247" t="e">
            <v>#N/A</v>
          </cell>
          <cell r="P1247" t="str">
            <v/>
          </cell>
          <cell r="Q1247" t="str">
            <v/>
          </cell>
          <cell r="R1247">
            <v>68</v>
          </cell>
        </row>
        <row r="1248">
          <cell r="A1248" t="str">
            <v/>
          </cell>
          <cell r="B1248" t="str">
            <v/>
          </cell>
          <cell r="C1248" t="str">
            <v>Future</v>
          </cell>
          <cell r="D1248" t="e">
            <v>#N/A</v>
          </cell>
          <cell r="E1248">
            <v>-110.37863544663952</v>
          </cell>
          <cell r="F1248">
            <v>93.870376411068705</v>
          </cell>
          <cell r="G1248">
            <v>-1.4458291225288218</v>
          </cell>
          <cell r="H1248">
            <v>-1.4458291225288218</v>
          </cell>
          <cell r="I1248" t="e">
            <v>#N/A</v>
          </cell>
          <cell r="J1248" t="e">
            <v>#N/A</v>
          </cell>
          <cell r="K1248">
            <v>75</v>
          </cell>
          <cell r="L1248">
            <v>40</v>
          </cell>
          <cell r="M1248" t="e">
            <v>#N/A</v>
          </cell>
          <cell r="N1248">
            <v>68</v>
          </cell>
          <cell r="O1248" t="e">
            <v>#N/A</v>
          </cell>
          <cell r="P1248" t="str">
            <v/>
          </cell>
          <cell r="Q1248" t="str">
            <v/>
          </cell>
          <cell r="R1248">
            <v>68</v>
          </cell>
        </row>
        <row r="1249">
          <cell r="A1249" t="str">
            <v/>
          </cell>
          <cell r="B1249" t="str">
            <v/>
          </cell>
          <cell r="C1249" t="str">
            <v>Future</v>
          </cell>
          <cell r="D1249" t="e">
            <v>#N/A</v>
          </cell>
          <cell r="E1249">
            <v>-110.63179745454465</v>
          </cell>
          <cell r="F1249">
            <v>93.913657090910604</v>
          </cell>
          <cell r="G1249">
            <v>-1.540888363635541</v>
          </cell>
          <cell r="H1249">
            <v>-1.540888363635541</v>
          </cell>
          <cell r="I1249" t="e">
            <v>#N/A</v>
          </cell>
          <cell r="J1249" t="e">
            <v>#N/A</v>
          </cell>
          <cell r="K1249">
            <v>75</v>
          </cell>
          <cell r="L1249">
            <v>40</v>
          </cell>
          <cell r="M1249" t="e">
            <v>#N/A</v>
          </cell>
          <cell r="N1249">
            <v>68</v>
          </cell>
          <cell r="O1249" t="e">
            <v>#N/A</v>
          </cell>
          <cell r="P1249" t="str">
            <v/>
          </cell>
          <cell r="Q1249" t="str">
            <v/>
          </cell>
          <cell r="R1249">
            <v>68</v>
          </cell>
        </row>
        <row r="1250">
          <cell r="A1250" t="str">
            <v/>
          </cell>
          <cell r="B1250" t="str">
            <v/>
          </cell>
          <cell r="C1250" t="str">
            <v>Future</v>
          </cell>
          <cell r="D1250" t="e">
            <v>#N/A</v>
          </cell>
          <cell r="E1250">
            <v>-110.88495946244979</v>
          </cell>
          <cell r="F1250">
            <v>93.956937770752504</v>
          </cell>
          <cell r="G1250">
            <v>-1.6359476047422603</v>
          </cell>
          <cell r="H1250">
            <v>-1.6359476047422603</v>
          </cell>
          <cell r="I1250" t="e">
            <v>#N/A</v>
          </cell>
          <cell r="J1250" t="e">
            <v>#N/A</v>
          </cell>
          <cell r="K1250">
            <v>75</v>
          </cell>
          <cell r="L1250">
            <v>40</v>
          </cell>
          <cell r="M1250" t="e">
            <v>#N/A</v>
          </cell>
          <cell r="N1250">
            <v>68</v>
          </cell>
          <cell r="O1250" t="e">
            <v>#N/A</v>
          </cell>
          <cell r="P1250" t="str">
            <v/>
          </cell>
          <cell r="Q1250" t="str">
            <v/>
          </cell>
          <cell r="R1250">
            <v>68</v>
          </cell>
        </row>
        <row r="1251">
          <cell r="A1251" t="str">
            <v/>
          </cell>
          <cell r="B1251" t="str">
            <v/>
          </cell>
          <cell r="C1251" t="str">
            <v>Future</v>
          </cell>
          <cell r="D1251" t="e">
            <v>#N/A</v>
          </cell>
          <cell r="E1251">
            <v>-111.13812147035492</v>
          </cell>
          <cell r="F1251">
            <v>94.000218450594403</v>
          </cell>
          <cell r="G1251">
            <v>-1.7310068458489796</v>
          </cell>
          <cell r="H1251">
            <v>-1.7310068458489796</v>
          </cell>
          <cell r="I1251" t="e">
            <v>#N/A</v>
          </cell>
          <cell r="J1251" t="e">
            <v>#N/A</v>
          </cell>
          <cell r="K1251">
            <v>75</v>
          </cell>
          <cell r="L1251">
            <v>40</v>
          </cell>
          <cell r="M1251" t="e">
            <v>#N/A</v>
          </cell>
          <cell r="N1251">
            <v>68</v>
          </cell>
          <cell r="O1251" t="e">
            <v>#N/A</v>
          </cell>
          <cell r="P1251" t="str">
            <v/>
          </cell>
          <cell r="Q1251" t="str">
            <v/>
          </cell>
          <cell r="R1251">
            <v>68</v>
          </cell>
        </row>
        <row r="1252">
          <cell r="A1252" t="str">
            <v/>
          </cell>
          <cell r="B1252" t="str">
            <v/>
          </cell>
          <cell r="C1252" t="str">
            <v>Future</v>
          </cell>
          <cell r="D1252" t="e">
            <v>#N/A</v>
          </cell>
          <cell r="E1252">
            <v>-111.39128347826005</v>
          </cell>
          <cell r="F1252">
            <v>94.043499130436302</v>
          </cell>
          <cell r="G1252">
            <v>-1.8260660869556988</v>
          </cell>
          <cell r="H1252">
            <v>-1.8260660869556988</v>
          </cell>
          <cell r="I1252" t="e">
            <v>#N/A</v>
          </cell>
          <cell r="J1252" t="e">
            <v>#N/A</v>
          </cell>
          <cell r="K1252">
            <v>75</v>
          </cell>
          <cell r="L1252">
            <v>40</v>
          </cell>
          <cell r="M1252" t="e">
            <v>#N/A</v>
          </cell>
          <cell r="N1252">
            <v>68</v>
          </cell>
          <cell r="O1252" t="e">
            <v>#N/A</v>
          </cell>
          <cell r="P1252" t="str">
            <v/>
          </cell>
          <cell r="Q1252" t="str">
            <v/>
          </cell>
          <cell r="R1252">
            <v>68</v>
          </cell>
        </row>
        <row r="1253">
          <cell r="A1253" t="str">
            <v/>
          </cell>
          <cell r="P1253" t="str">
            <v/>
          </cell>
          <cell r="Q1253" t="str">
            <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Model"/>
      <sheetName val="Revenue"/>
      <sheetName val="Aetna"/>
      <sheetName val="Assumptions"/>
      <sheetName val="Shares"/>
      <sheetName val="Options Expensing"/>
      <sheetName val="Debt"/>
      <sheetName val="Disclaimer"/>
      <sheetName val="__FDSCACHE__"/>
      <sheetName val="DCF"/>
      <sheetName val="WACC"/>
      <sheetName val="WC"/>
      <sheetName val="Valuation"/>
      <sheetName val="New Products"/>
      <sheetName val="Valuation Matrix"/>
      <sheetName val="Products"/>
      <sheetName val="Charts"/>
      <sheetName val="CUS Image(OLD)"/>
      <sheetName val="CUS Image"/>
      <sheetName val="Module1"/>
      <sheetName val="Module2"/>
    </sheetNames>
    <sheetDataSet>
      <sheetData sheetId="0" refreshError="1"/>
      <sheetData sheetId="1" refreshError="1">
        <row r="5">
          <cell r="D5">
            <v>36586</v>
          </cell>
          <cell r="E5">
            <v>36678</v>
          </cell>
          <cell r="F5">
            <v>36770</v>
          </cell>
          <cell r="G5">
            <v>36861</v>
          </cell>
          <cell r="I5">
            <v>36951</v>
          </cell>
          <cell r="J5">
            <v>37043</v>
          </cell>
          <cell r="K5">
            <v>37135</v>
          </cell>
          <cell r="L5">
            <v>37226</v>
          </cell>
          <cell r="N5">
            <v>37316</v>
          </cell>
          <cell r="O5">
            <v>37408</v>
          </cell>
          <cell r="P5">
            <v>37500</v>
          </cell>
          <cell r="Q5">
            <v>37591</v>
          </cell>
          <cell r="S5">
            <v>37681</v>
          </cell>
          <cell r="T5">
            <v>37773</v>
          </cell>
          <cell r="U5">
            <v>37865</v>
          </cell>
          <cell r="V5">
            <v>37956</v>
          </cell>
          <cell r="X5">
            <v>38047</v>
          </cell>
          <cell r="Y5">
            <v>38139</v>
          </cell>
          <cell r="Z5">
            <v>38231</v>
          </cell>
          <cell r="AA5">
            <v>38322</v>
          </cell>
          <cell r="AC5">
            <v>38412</v>
          </cell>
          <cell r="AD5">
            <v>38504</v>
          </cell>
          <cell r="AE5">
            <v>38596</v>
          </cell>
          <cell r="AF5">
            <v>38687</v>
          </cell>
        </row>
        <row r="6">
          <cell r="D6" t="str">
            <v>Fiscal Year End, December 2000</v>
          </cell>
          <cell r="I6" t="str">
            <v>Fiscal Year End, December 2001</v>
          </cell>
          <cell r="N6" t="str">
            <v>Fiscal Year End, December 2002</v>
          </cell>
          <cell r="S6" t="str">
            <v>Fiscal Year End, December 2003</v>
          </cell>
          <cell r="X6" t="str">
            <v>Fiscal Year End, December 2004</v>
          </cell>
          <cell r="AC6" t="str">
            <v>Fiscal Year End, December 2005</v>
          </cell>
        </row>
        <row r="7">
          <cell r="D7" t="str">
            <v>1QA</v>
          </cell>
          <cell r="E7" t="str">
            <v>2QA</v>
          </cell>
          <cell r="F7" t="str">
            <v>3QA</v>
          </cell>
          <cell r="G7" t="str">
            <v>4QA</v>
          </cell>
          <cell r="H7" t="str">
            <v>FY00</v>
          </cell>
          <cell r="I7" t="str">
            <v>1QA</v>
          </cell>
          <cell r="J7" t="str">
            <v>2QA</v>
          </cell>
          <cell r="K7" t="str">
            <v>3QA</v>
          </cell>
          <cell r="L7" t="str">
            <v>4QA</v>
          </cell>
          <cell r="M7" t="str">
            <v>FY01</v>
          </cell>
          <cell r="N7" t="str">
            <v>1QA</v>
          </cell>
          <cell r="O7" t="str">
            <v>2QA</v>
          </cell>
          <cell r="P7" t="str">
            <v>3QA</v>
          </cell>
          <cell r="Q7" t="str">
            <v>4QA</v>
          </cell>
          <cell r="R7" t="str">
            <v>FY02</v>
          </cell>
          <cell r="S7" t="str">
            <v>1QA</v>
          </cell>
          <cell r="T7" t="str">
            <v>2QA</v>
          </cell>
          <cell r="U7" t="str">
            <v>3QA</v>
          </cell>
          <cell r="V7" t="str">
            <v>4QA</v>
          </cell>
          <cell r="W7" t="str">
            <v>FY03</v>
          </cell>
          <cell r="X7" t="str">
            <v>1QA</v>
          </cell>
          <cell r="Y7" t="str">
            <v>2QA</v>
          </cell>
          <cell r="Z7" t="str">
            <v>3QA</v>
          </cell>
          <cell r="AA7" t="str">
            <v>4QA</v>
          </cell>
          <cell r="AB7" t="str">
            <v>FY04</v>
          </cell>
          <cell r="AC7" t="str">
            <v>1QA</v>
          </cell>
          <cell r="AD7" t="str">
            <v>2QE</v>
          </cell>
          <cell r="AE7" t="str">
            <v>3QE</v>
          </cell>
          <cell r="AF7" t="str">
            <v>4QE</v>
          </cell>
          <cell r="AG7" t="str">
            <v>FY 05E</v>
          </cell>
        </row>
        <row r="8">
          <cell r="D8">
            <v>136.553</v>
          </cell>
          <cell r="E8">
            <v>146.18600000000001</v>
          </cell>
          <cell r="F8">
            <v>147.72499999999999</v>
          </cell>
          <cell r="G8">
            <v>154.19299999999998</v>
          </cell>
          <cell r="H8">
            <v>584.65700000000004</v>
          </cell>
          <cell r="I8">
            <v>168.346</v>
          </cell>
          <cell r="J8">
            <v>200.578</v>
          </cell>
          <cell r="K8">
            <v>209.72399999999999</v>
          </cell>
          <cell r="L8">
            <v>226.47200000000009</v>
          </cell>
          <cell r="M8">
            <v>805.12</v>
          </cell>
          <cell r="N8">
            <v>266.45699999999999</v>
          </cell>
          <cell r="O8">
            <v>290.99900000000002</v>
          </cell>
          <cell r="P8">
            <v>306.00900000000001</v>
          </cell>
          <cell r="Q8">
            <v>336.92600000000004</v>
          </cell>
          <cell r="R8">
            <v>1200.3910000000001</v>
          </cell>
          <cell r="S8">
            <v>351.529</v>
          </cell>
          <cell r="T8">
            <v>350.50700000000001</v>
          </cell>
          <cell r="U8">
            <v>362.85500000000002</v>
          </cell>
          <cell r="V8">
            <v>396.91999999999985</v>
          </cell>
          <cell r="W8">
            <v>1461.8109999999999</v>
          </cell>
          <cell r="X8">
            <v>401.24299999999999</v>
          </cell>
          <cell r="Y8">
            <v>438.452</v>
          </cell>
          <cell r="Z8">
            <v>440.15899999999999</v>
          </cell>
          <cell r="AA8">
            <v>459.76400000000001</v>
          </cell>
          <cell r="AB8">
            <v>1739.6179999999999</v>
          </cell>
          <cell r="AC8">
            <v>486.74099999999999</v>
          </cell>
          <cell r="AD8">
            <v>562.25379679909997</v>
          </cell>
          <cell r="AE8">
            <v>593.29297947792497</v>
          </cell>
          <cell r="AF8">
            <v>642.55720016895998</v>
          </cell>
          <cell r="AG8">
            <v>2284.8449764459847</v>
          </cell>
        </row>
        <row r="9">
          <cell r="D9">
            <v>119.661</v>
          </cell>
          <cell r="E9">
            <v>129.005</v>
          </cell>
          <cell r="F9">
            <v>130.328</v>
          </cell>
          <cell r="G9">
            <v>135.36599999999999</v>
          </cell>
          <cell r="H9">
            <v>514.36</v>
          </cell>
          <cell r="I9">
            <v>146.73599999999999</v>
          </cell>
          <cell r="J9">
            <v>178.61199999999999</v>
          </cell>
          <cell r="K9">
            <v>186.542</v>
          </cell>
          <cell r="L9">
            <v>201.08100000000002</v>
          </cell>
          <cell r="M9">
            <v>712.971</v>
          </cell>
          <cell r="N9">
            <v>236.62700000000001</v>
          </cell>
          <cell r="O9">
            <v>258.10300000000001</v>
          </cell>
          <cell r="P9">
            <v>270.67099999999999</v>
          </cell>
          <cell r="Q9">
            <v>297.77999999999992</v>
          </cell>
          <cell r="R9">
            <v>1063.181</v>
          </cell>
          <cell r="S9">
            <v>311.24400000000003</v>
          </cell>
          <cell r="T9">
            <v>312.72300000000001</v>
          </cell>
          <cell r="U9">
            <v>323.483</v>
          </cell>
          <cell r="V9">
            <v>352.49800000000016</v>
          </cell>
          <cell r="W9">
            <v>1299.9480000000001</v>
          </cell>
          <cell r="X9">
            <v>358.23</v>
          </cell>
          <cell r="Y9">
            <v>392.58499999999998</v>
          </cell>
          <cell r="Z9">
            <v>388.33199999999999</v>
          </cell>
          <cell r="AA9">
            <v>407.58</v>
          </cell>
          <cell r="AB9">
            <v>1546.7269999999999</v>
          </cell>
          <cell r="AC9">
            <v>433.39400000000001</v>
          </cell>
          <cell r="AD9">
            <v>502.52960330365795</v>
          </cell>
          <cell r="AE9">
            <v>528.09035196200693</v>
          </cell>
          <cell r="AF9">
            <v>571.30107404447801</v>
          </cell>
          <cell r="AG9">
            <v>2035.315029310143</v>
          </cell>
        </row>
        <row r="10">
          <cell r="D10">
            <v>16.891999999999996</v>
          </cell>
          <cell r="E10">
            <v>17.181000000000012</v>
          </cell>
          <cell r="F10">
            <v>17.396999999999991</v>
          </cell>
          <cell r="G10">
            <v>18.826999999999998</v>
          </cell>
          <cell r="H10">
            <v>70.297000000000025</v>
          </cell>
          <cell r="I10">
            <v>21.610000000000014</v>
          </cell>
          <cell r="J10">
            <v>21.966000000000008</v>
          </cell>
          <cell r="K10">
            <v>23.181999999999988</v>
          </cell>
          <cell r="L10">
            <v>25.391000000000076</v>
          </cell>
          <cell r="M10">
            <v>92.149000000000001</v>
          </cell>
          <cell r="N10">
            <v>29.829999999999984</v>
          </cell>
          <cell r="O10">
            <v>32.896000000000015</v>
          </cell>
          <cell r="P10">
            <v>35.338000000000022</v>
          </cell>
          <cell r="Q10">
            <v>39.146000000000129</v>
          </cell>
          <cell r="R10">
            <v>137.21000000000004</v>
          </cell>
          <cell r="S10">
            <v>40.284999999999968</v>
          </cell>
          <cell r="T10">
            <v>37.783999999999992</v>
          </cell>
          <cell r="U10">
            <v>39.372000000000014</v>
          </cell>
          <cell r="V10">
            <v>44.421999999999684</v>
          </cell>
          <cell r="W10">
            <v>161.86299999999983</v>
          </cell>
          <cell r="X10">
            <v>43.012999999999977</v>
          </cell>
          <cell r="Y10">
            <v>45.867000000000019</v>
          </cell>
          <cell r="Z10">
            <v>51.826999999999998</v>
          </cell>
          <cell r="AA10">
            <v>52.184000000000026</v>
          </cell>
          <cell r="AB10">
            <v>192.89100000000008</v>
          </cell>
          <cell r="AC10">
            <v>53.34699999999998</v>
          </cell>
          <cell r="AD10">
            <v>59.724193495442002</v>
          </cell>
          <cell r="AE10">
            <v>65.202627515917996</v>
          </cell>
          <cell r="AF10">
            <v>71.256126124481995</v>
          </cell>
          <cell r="AG10">
            <v>249.52994713584198</v>
          </cell>
        </row>
        <row r="13">
          <cell r="D13">
            <v>6.7930000000000001</v>
          </cell>
          <cell r="E13">
            <v>6.8730000000000002</v>
          </cell>
          <cell r="F13">
            <v>6.6680000000000001</v>
          </cell>
          <cell r="G13">
            <v>10.978999999999999</v>
          </cell>
          <cell r="H13">
            <v>31.312999999999999</v>
          </cell>
          <cell r="I13">
            <v>8.9809999999999999</v>
          </cell>
          <cell r="J13">
            <v>15.653</v>
          </cell>
          <cell r="K13">
            <v>11.292999999999999</v>
          </cell>
          <cell r="L13">
            <v>12.421999999999997</v>
          </cell>
          <cell r="M13">
            <v>48.348999999999997</v>
          </cell>
          <cell r="N13">
            <v>14.661</v>
          </cell>
          <cell r="O13">
            <v>15.773</v>
          </cell>
          <cell r="P13">
            <v>16.457999999999998</v>
          </cell>
          <cell r="Q13">
            <v>18.067000000000007</v>
          </cell>
          <cell r="R13">
            <v>64.959000000000003</v>
          </cell>
          <cell r="S13">
            <v>18.725000000000001</v>
          </cell>
          <cell r="T13">
            <v>18.8</v>
          </cell>
          <cell r="U13">
            <v>18.981000000000002</v>
          </cell>
          <cell r="V13">
            <v>21.425999999999995</v>
          </cell>
          <cell r="W13">
            <v>77.932000000000002</v>
          </cell>
          <cell r="X13">
            <v>22.158000000000001</v>
          </cell>
          <cell r="Y13">
            <v>23.414000000000001</v>
          </cell>
          <cell r="Z13">
            <v>29.268999999999998</v>
          </cell>
          <cell r="AA13">
            <v>33.356000000000002</v>
          </cell>
          <cell r="AB13">
            <v>108.197</v>
          </cell>
          <cell r="AC13">
            <v>36.195999999999998</v>
          </cell>
          <cell r="AD13">
            <v>38.627697023629985</v>
          </cell>
          <cell r="AE13">
            <v>39.181736722785651</v>
          </cell>
          <cell r="AF13">
            <v>39.583525662887077</v>
          </cell>
          <cell r="AG13">
            <v>153.58613622055771</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row>
        <row r="15">
          <cell r="D15">
            <v>0</v>
          </cell>
          <cell r="E15">
            <v>0</v>
          </cell>
          <cell r="F15">
            <v>0</v>
          </cell>
          <cell r="G15">
            <v>0</v>
          </cell>
          <cell r="H15">
            <v>0</v>
          </cell>
          <cell r="I15">
            <v>0</v>
          </cell>
          <cell r="J15">
            <v>2.0190000000000001</v>
          </cell>
          <cell r="K15">
            <v>0</v>
          </cell>
          <cell r="L15">
            <v>0</v>
          </cell>
          <cell r="M15">
            <v>2.0190000000000001</v>
          </cell>
          <cell r="N15">
            <v>0</v>
          </cell>
          <cell r="O15">
            <v>0</v>
          </cell>
          <cell r="P15">
            <v>0</v>
          </cell>
          <cell r="Q15">
            <v>2.3860000000000001</v>
          </cell>
          <cell r="R15">
            <v>2.3860000000000001</v>
          </cell>
          <cell r="S15">
            <v>0</v>
          </cell>
          <cell r="T15">
            <v>0</v>
          </cell>
          <cell r="U15">
            <v>0</v>
          </cell>
          <cell r="V15">
            <v>0</v>
          </cell>
          <cell r="W15">
            <v>0</v>
          </cell>
          <cell r="X15">
            <v>0</v>
          </cell>
          <cell r="Y15">
            <v>1.3169999999999999</v>
          </cell>
          <cell r="Z15">
            <v>0</v>
          </cell>
          <cell r="AA15">
            <v>0</v>
          </cell>
          <cell r="AB15">
            <v>1.3169999999999999</v>
          </cell>
          <cell r="AC15">
            <v>0</v>
          </cell>
          <cell r="AD15">
            <v>0</v>
          </cell>
          <cell r="AE15">
            <v>0</v>
          </cell>
          <cell r="AF15">
            <v>0</v>
          </cell>
          <cell r="AG15">
            <v>0</v>
          </cell>
        </row>
        <row r="16">
          <cell r="D16">
            <v>0.34499999999999997</v>
          </cell>
          <cell r="E16">
            <v>0.34499999999999997</v>
          </cell>
          <cell r="F16">
            <v>0.34499999999999997</v>
          </cell>
          <cell r="G16">
            <v>0.30000000000000004</v>
          </cell>
          <cell r="H16">
            <v>1.335</v>
          </cell>
          <cell r="I16">
            <v>0.52900000000000003</v>
          </cell>
          <cell r="J16">
            <v>0.92600000000000005</v>
          </cell>
          <cell r="K16">
            <v>0.95299999999999996</v>
          </cell>
          <cell r="L16">
            <v>0.99199999999999999</v>
          </cell>
          <cell r="M16">
            <v>3.4</v>
          </cell>
          <cell r="N16">
            <v>0.64600000000000002</v>
          </cell>
          <cell r="O16">
            <v>0.65700000000000003</v>
          </cell>
          <cell r="P16">
            <v>0.67700000000000005</v>
          </cell>
          <cell r="Q16">
            <v>0.77999999999999969</v>
          </cell>
          <cell r="R16">
            <v>2.76</v>
          </cell>
          <cell r="S16">
            <v>0.92700000000000005</v>
          </cell>
          <cell r="T16">
            <v>1.083</v>
          </cell>
          <cell r="U16">
            <v>1.127</v>
          </cell>
          <cell r="V16">
            <v>1.1359999999999997</v>
          </cell>
          <cell r="W16">
            <v>4.2729999999999997</v>
          </cell>
          <cell r="X16">
            <v>1.369</v>
          </cell>
          <cell r="Y16">
            <v>1.43</v>
          </cell>
          <cell r="Z16">
            <v>1.778</v>
          </cell>
          <cell r="AA16">
            <v>2.0139999999999998</v>
          </cell>
          <cell r="AB16">
            <v>6.5909999999999993</v>
          </cell>
          <cell r="AC16">
            <v>2.6150000000000002</v>
          </cell>
          <cell r="AD16">
            <v>2.9217499999999998</v>
          </cell>
          <cell r="AE16">
            <v>3.3342499999999999</v>
          </cell>
          <cell r="AF16">
            <v>3.3342499999999999</v>
          </cell>
          <cell r="AG16">
            <v>12.205249999999999</v>
          </cell>
        </row>
        <row r="17">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row>
        <row r="18">
          <cell r="D18">
            <v>7.1379999999999999</v>
          </cell>
          <cell r="E18">
            <v>7.218</v>
          </cell>
          <cell r="F18">
            <v>7.0129999999999999</v>
          </cell>
          <cell r="G18">
            <v>11.279</v>
          </cell>
          <cell r="H18">
            <v>32.647999999999996</v>
          </cell>
          <cell r="I18">
            <v>9.51</v>
          </cell>
          <cell r="J18">
            <v>18.597999999999999</v>
          </cell>
          <cell r="K18">
            <v>12.245999999999999</v>
          </cell>
          <cell r="L18">
            <v>13.413999999999998</v>
          </cell>
          <cell r="M18">
            <v>53.767999999999994</v>
          </cell>
          <cell r="N18">
            <v>15.307</v>
          </cell>
          <cell r="O18">
            <v>16.43</v>
          </cell>
          <cell r="P18">
            <v>17.134999999999998</v>
          </cell>
          <cell r="Q18">
            <v>21.233000000000008</v>
          </cell>
          <cell r="R18">
            <v>70.105000000000004</v>
          </cell>
          <cell r="S18">
            <v>19.652000000000001</v>
          </cell>
          <cell r="T18">
            <v>19.882999999999999</v>
          </cell>
          <cell r="U18">
            <v>20.108000000000001</v>
          </cell>
          <cell r="V18">
            <v>22.561999999999994</v>
          </cell>
          <cell r="W18">
            <v>82.204999999999998</v>
          </cell>
          <cell r="X18">
            <v>23.527000000000001</v>
          </cell>
          <cell r="Y18">
            <v>26.161000000000001</v>
          </cell>
          <cell r="Z18">
            <v>31.046999999999997</v>
          </cell>
          <cell r="AA18">
            <v>35.370000000000005</v>
          </cell>
          <cell r="AB18">
            <v>116.10499999999999</v>
          </cell>
          <cell r="AC18">
            <v>38.811</v>
          </cell>
          <cell r="AD18">
            <v>41.549447023629988</v>
          </cell>
          <cell r="AE18">
            <v>42.515986722785648</v>
          </cell>
          <cell r="AF18">
            <v>42.917775662887074</v>
          </cell>
          <cell r="AG18">
            <v>165.79138622055771</v>
          </cell>
        </row>
        <row r="19">
          <cell r="D19">
            <v>9.753999999999996</v>
          </cell>
          <cell r="E19">
            <v>9.9630000000000116</v>
          </cell>
          <cell r="F19">
            <v>10.383999999999991</v>
          </cell>
          <cell r="G19">
            <v>7.5479999999999983</v>
          </cell>
          <cell r="H19">
            <v>37.649000000000029</v>
          </cell>
          <cell r="I19">
            <v>12.100000000000014</v>
          </cell>
          <cell r="J19">
            <v>3.3680000000000092</v>
          </cell>
          <cell r="K19">
            <v>10.935999999999989</v>
          </cell>
          <cell r="L19">
            <v>11.977000000000078</v>
          </cell>
          <cell r="M19">
            <v>38.381000000000007</v>
          </cell>
          <cell r="N19">
            <v>14.522999999999984</v>
          </cell>
          <cell r="O19">
            <v>16.466000000000015</v>
          </cell>
          <cell r="P19">
            <v>18.203000000000024</v>
          </cell>
          <cell r="Q19">
            <v>17.913000000000121</v>
          </cell>
          <cell r="R19">
            <v>67.105000000000032</v>
          </cell>
          <cell r="S19">
            <v>20.632999999999967</v>
          </cell>
          <cell r="T19">
            <v>17.900999999999993</v>
          </cell>
          <cell r="U19">
            <v>19.264000000000014</v>
          </cell>
          <cell r="V19">
            <v>21.85999999999969</v>
          </cell>
          <cell r="W19">
            <v>79.657999999999831</v>
          </cell>
          <cell r="X19">
            <v>19.485999999999976</v>
          </cell>
          <cell r="Y19">
            <v>19.706000000000017</v>
          </cell>
          <cell r="Z19">
            <v>20.78</v>
          </cell>
          <cell r="AA19">
            <v>16.814000000000021</v>
          </cell>
          <cell r="AB19">
            <v>76.786000000000087</v>
          </cell>
          <cell r="AC19">
            <v>14.53599999999998</v>
          </cell>
          <cell r="AD19">
            <v>18.174746471812014</v>
          </cell>
          <cell r="AE19">
            <v>22.686640793132348</v>
          </cell>
          <cell r="AF19">
            <v>28.338350461594921</v>
          </cell>
          <cell r="AG19">
            <v>83.738560915284268</v>
          </cell>
        </row>
        <row r="20">
          <cell r="D20">
            <v>1.204</v>
          </cell>
          <cell r="E20">
            <v>1.5389999999999999</v>
          </cell>
          <cell r="F20">
            <v>2.0209999999999999</v>
          </cell>
          <cell r="G20">
            <v>2.1560000000000006</v>
          </cell>
          <cell r="H20">
            <v>6.92</v>
          </cell>
          <cell r="I20">
            <v>1.873</v>
          </cell>
          <cell r="J20">
            <v>1.5389999999999999</v>
          </cell>
          <cell r="K20">
            <v>1.391</v>
          </cell>
          <cell r="L20">
            <v>1.1690000000000005</v>
          </cell>
          <cell r="M20">
            <v>5.9720000000000004</v>
          </cell>
          <cell r="N20">
            <v>0.86699999999999999</v>
          </cell>
          <cell r="O20">
            <v>0.67100000000000004</v>
          </cell>
          <cell r="P20">
            <v>0.50800000000000001</v>
          </cell>
          <cell r="Q20">
            <v>0.58600000000000008</v>
          </cell>
          <cell r="R20">
            <v>2.6320000000000001</v>
          </cell>
          <cell r="S20">
            <v>0.46100000000000002</v>
          </cell>
          <cell r="T20">
            <v>0.35099999999999998</v>
          </cell>
          <cell r="U20">
            <v>0.246</v>
          </cell>
          <cell r="V20">
            <v>0.24400000000000005</v>
          </cell>
          <cell r="W20">
            <v>1.302</v>
          </cell>
          <cell r="X20">
            <v>0.17399999999999999</v>
          </cell>
          <cell r="Y20">
            <v>-1.0000000000000009E-3</v>
          </cell>
          <cell r="Z20">
            <v>-0.3</v>
          </cell>
          <cell r="AA20">
            <v>-0.42499999999999999</v>
          </cell>
          <cell r="AB20">
            <v>-0.55200000000000005</v>
          </cell>
          <cell r="AC20">
            <v>-0.51500000000000001</v>
          </cell>
          <cell r="AD20">
            <v>5.2702125000000044E-2</v>
          </cell>
          <cell r="AE20">
            <v>8.7651375000000031E-2</v>
          </cell>
          <cell r="AF20">
            <v>0.11897287500000009</v>
          </cell>
          <cell r="AG20">
            <v>-0.25567362499999985</v>
          </cell>
        </row>
        <row r="21">
          <cell r="D21">
            <v>0</v>
          </cell>
          <cell r="E21">
            <v>0</v>
          </cell>
          <cell r="F21">
            <v>0</v>
          </cell>
          <cell r="G21">
            <v>0</v>
          </cell>
          <cell r="H21">
            <v>0</v>
          </cell>
          <cell r="I21">
            <v>0</v>
          </cell>
          <cell r="J21">
            <v>0</v>
          </cell>
          <cell r="K21">
            <v>0</v>
          </cell>
          <cell r="L21">
            <v>0</v>
          </cell>
          <cell r="M21">
            <v>0</v>
          </cell>
          <cell r="N21">
            <v>0</v>
          </cell>
          <cell r="O21">
            <v>0</v>
          </cell>
          <cell r="P21">
            <v>0</v>
          </cell>
          <cell r="Q21">
            <v>0</v>
          </cell>
          <cell r="R21">
            <v>0</v>
          </cell>
          <cell r="S21">
            <v>0</v>
          </cell>
          <cell r="T21">
            <v>0</v>
          </cell>
          <cell r="U21">
            <v>0</v>
          </cell>
          <cell r="V21">
            <v>0</v>
          </cell>
          <cell r="W21">
            <v>0</v>
          </cell>
          <cell r="X21">
            <v>0</v>
          </cell>
          <cell r="Y21">
            <v>0</v>
          </cell>
          <cell r="Z21">
            <v>0</v>
          </cell>
          <cell r="AA21">
            <v>0.19900000000000001</v>
          </cell>
          <cell r="AB21">
            <v>0.19900000000000001</v>
          </cell>
          <cell r="AC21">
            <v>0</v>
          </cell>
          <cell r="AD21">
            <v>0</v>
          </cell>
          <cell r="AE21">
            <v>0</v>
          </cell>
          <cell r="AF21">
            <v>0</v>
          </cell>
          <cell r="AG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-7.8E-2</v>
          </cell>
          <cell r="Y22">
            <v>-8.5000000000000006E-2</v>
          </cell>
          <cell r="Z22">
            <v>-9.1999999999999998E-2</v>
          </cell>
          <cell r="AA22">
            <v>4.2999999999999997E-2</v>
          </cell>
          <cell r="AB22">
            <v>-0.21200000000000002</v>
          </cell>
          <cell r="AC22">
            <v>1.5</v>
          </cell>
          <cell r="AD22">
            <v>0.86357001000000055</v>
          </cell>
          <cell r="AE22">
            <v>0.20375000000000015</v>
          </cell>
          <cell r="AF22">
            <v>-0.33125000000000004</v>
          </cell>
          <cell r="AG22">
            <v>2.2360700100000006</v>
          </cell>
        </row>
        <row r="23">
          <cell r="D23">
            <v>10.957999999999997</v>
          </cell>
          <cell r="E23">
            <v>11.502000000000011</v>
          </cell>
          <cell r="F23">
            <v>12.40499999999999</v>
          </cell>
          <cell r="G23">
            <v>9.7039999999999988</v>
          </cell>
          <cell r="H23">
            <v>44.569000000000031</v>
          </cell>
          <cell r="I23">
            <v>13.973000000000013</v>
          </cell>
          <cell r="J23">
            <v>4.9070000000000089</v>
          </cell>
          <cell r="K23">
            <v>12.326999999999989</v>
          </cell>
          <cell r="L23">
            <v>13.146000000000079</v>
          </cell>
          <cell r="M23">
            <v>44.353000000000009</v>
          </cell>
          <cell r="N23">
            <v>15.389999999999983</v>
          </cell>
          <cell r="O23">
            <v>17.137000000000015</v>
          </cell>
          <cell r="P23">
            <v>18.711000000000023</v>
          </cell>
          <cell r="Q23">
            <v>18.49900000000012</v>
          </cell>
          <cell r="R23">
            <v>69.737000000000037</v>
          </cell>
          <cell r="S23">
            <v>21.093999999999966</v>
          </cell>
          <cell r="T23">
            <v>18.251999999999992</v>
          </cell>
          <cell r="U23">
            <v>19.510000000000012</v>
          </cell>
          <cell r="V23">
            <v>22.10399999999969</v>
          </cell>
          <cell r="W23">
            <v>80.959999999999837</v>
          </cell>
          <cell r="X23">
            <v>19.581999999999976</v>
          </cell>
          <cell r="Y23">
            <v>19.620000000000015</v>
          </cell>
          <cell r="Z23">
            <v>20.388000000000002</v>
          </cell>
          <cell r="AA23">
            <v>16.631000000000022</v>
          </cell>
          <cell r="AB23">
            <v>76.221000000000075</v>
          </cell>
          <cell r="AC23">
            <v>15.520999999999979</v>
          </cell>
          <cell r="AD23">
            <v>19.091018606812014</v>
          </cell>
          <cell r="AE23">
            <v>22.978042168132347</v>
          </cell>
          <cell r="AF23">
            <v>28.126073336594921</v>
          </cell>
          <cell r="AG23">
            <v>85.718957300284274</v>
          </cell>
        </row>
        <row r="24">
          <cell r="D24">
            <v>4.1970000000000001</v>
          </cell>
          <cell r="E24">
            <v>4.4050000000000002</v>
          </cell>
          <cell r="F24">
            <v>4.7510000000000003</v>
          </cell>
          <cell r="G24">
            <v>3.1369999999999969</v>
          </cell>
          <cell r="H24">
            <v>16.489999999999998</v>
          </cell>
          <cell r="I24">
            <v>5.24</v>
          </cell>
          <cell r="J24">
            <v>1.84</v>
          </cell>
          <cell r="K24">
            <v>4.6230000000000002</v>
          </cell>
          <cell r="L24">
            <v>4.93</v>
          </cell>
          <cell r="M24">
            <v>16.632999999999999</v>
          </cell>
          <cell r="N24">
            <v>5.7709999999999999</v>
          </cell>
          <cell r="O24">
            <v>6.4269999999999996</v>
          </cell>
          <cell r="P24">
            <v>7.016</v>
          </cell>
          <cell r="Q24">
            <v>6.9369999999999985</v>
          </cell>
          <cell r="R24">
            <v>26.151</v>
          </cell>
          <cell r="S24">
            <v>7.91</v>
          </cell>
          <cell r="T24">
            <v>6.8449999999999998</v>
          </cell>
          <cell r="U24">
            <v>7.3159999999999998</v>
          </cell>
          <cell r="V24">
            <v>8.2890000000000015</v>
          </cell>
          <cell r="W24">
            <v>30.36</v>
          </cell>
          <cell r="X24">
            <v>7.343</v>
          </cell>
          <cell r="Y24">
            <v>7.4560000000000004</v>
          </cell>
          <cell r="Z24">
            <v>7.7469999999999999</v>
          </cell>
          <cell r="AA24">
            <v>4.6479999999999997</v>
          </cell>
          <cell r="AB24">
            <v>27.193999999999999</v>
          </cell>
          <cell r="AC24">
            <v>5.8979999999999997</v>
          </cell>
          <cell r="AD24">
            <v>7.2545870705885651</v>
          </cell>
          <cell r="AE24">
            <v>8.7316560238902916</v>
          </cell>
          <cell r="AF24">
            <v>10.68790786790607</v>
          </cell>
          <cell r="AG24">
            <v>32.572150962384924</v>
          </cell>
        </row>
        <row r="25">
          <cell r="D25">
            <v>6.7609999999999966</v>
          </cell>
          <cell r="E25">
            <v>7.0970000000000111</v>
          </cell>
          <cell r="F25">
            <v>7.6539999999999901</v>
          </cell>
          <cell r="G25">
            <v>6.5670000000000019</v>
          </cell>
          <cell r="H25">
            <v>28.079000000000033</v>
          </cell>
          <cell r="I25">
            <v>8.733000000000013</v>
          </cell>
          <cell r="J25">
            <v>3.0670000000000091</v>
          </cell>
          <cell r="K25">
            <v>7.7039999999999891</v>
          </cell>
          <cell r="L25">
            <v>8.2160000000000792</v>
          </cell>
          <cell r="M25">
            <v>27.72000000000001</v>
          </cell>
          <cell r="N25">
            <v>9.618999999999982</v>
          </cell>
          <cell r="O25">
            <v>10.710000000000015</v>
          </cell>
          <cell r="P25">
            <v>11.695000000000023</v>
          </cell>
          <cell r="Q25">
            <v>11.562000000000122</v>
          </cell>
          <cell r="R25">
            <v>43.586000000000041</v>
          </cell>
          <cell r="S25">
            <v>13.183999999999966</v>
          </cell>
          <cell r="T25">
            <v>11.406999999999993</v>
          </cell>
          <cell r="U25">
            <v>12.194000000000013</v>
          </cell>
          <cell r="V25">
            <v>13.814999999999689</v>
          </cell>
          <cell r="W25">
            <v>50.599999999999838</v>
          </cell>
          <cell r="X25">
            <v>12.238999999999976</v>
          </cell>
          <cell r="Y25">
            <v>12.164000000000016</v>
          </cell>
          <cell r="Z25">
            <v>12.641000000000002</v>
          </cell>
          <cell r="AA25">
            <v>11.983000000000022</v>
          </cell>
          <cell r="AB25">
            <v>49.027000000000015</v>
          </cell>
          <cell r="AC25">
            <v>9.6229999999999798</v>
          </cell>
          <cell r="AD25">
            <v>11.836431536223449</v>
          </cell>
          <cell r="AE25">
            <v>14.246386144242056</v>
          </cell>
          <cell r="AF25">
            <v>17.438165468688851</v>
          </cell>
          <cell r="AG25">
            <v>53.143983149154337</v>
          </cell>
        </row>
        <row r="26">
          <cell r="D26">
            <v>0</v>
          </cell>
          <cell r="E26">
            <v>0</v>
          </cell>
          <cell r="F26">
            <v>0</v>
          </cell>
          <cell r="G26">
            <v>0</v>
          </cell>
          <cell r="H26">
            <v>0</v>
          </cell>
          <cell r="I26">
            <v>0</v>
          </cell>
          <cell r="J26">
            <v>0</v>
          </cell>
          <cell r="K26">
            <v>0</v>
          </cell>
          <cell r="L26">
            <v>0</v>
          </cell>
          <cell r="M26">
            <v>0</v>
          </cell>
          <cell r="N26">
            <v>0</v>
          </cell>
          <cell r="O26">
            <v>0</v>
          </cell>
          <cell r="P26">
            <v>0</v>
          </cell>
          <cell r="Q26">
            <v>0</v>
          </cell>
          <cell r="R26">
            <v>0</v>
          </cell>
          <cell r="S26">
            <v>0</v>
          </cell>
          <cell r="T26">
            <v>0</v>
          </cell>
          <cell r="U26">
            <v>0</v>
          </cell>
          <cell r="V26">
            <v>0</v>
          </cell>
          <cell r="W26">
            <v>0</v>
          </cell>
          <cell r="X26">
            <v>0</v>
          </cell>
          <cell r="Y26">
            <v>0</v>
          </cell>
          <cell r="Z26">
            <v>0</v>
          </cell>
          <cell r="AA26">
            <v>-4.4009999999999998</v>
          </cell>
          <cell r="AB26">
            <v>-4.4009999999999998</v>
          </cell>
          <cell r="AC26">
            <v>0</v>
          </cell>
          <cell r="AD26">
            <v>0</v>
          </cell>
          <cell r="AE26">
            <v>0</v>
          </cell>
          <cell r="AF26">
            <v>0</v>
          </cell>
          <cell r="AG26">
            <v>0</v>
          </cell>
        </row>
        <row r="27">
          <cell r="D27">
            <v>6.7609999999999966</v>
          </cell>
          <cell r="E27">
            <v>7.0970000000000111</v>
          </cell>
          <cell r="F27">
            <v>7.6539999999999901</v>
          </cell>
          <cell r="G27">
            <v>6.5670000000000019</v>
          </cell>
          <cell r="H27">
            <v>28.079000000000033</v>
          </cell>
          <cell r="I27">
            <v>8.733000000000013</v>
          </cell>
          <cell r="J27">
            <v>3.0670000000000091</v>
          </cell>
          <cell r="K27">
            <v>7.7039999999999891</v>
          </cell>
          <cell r="L27">
            <v>8.2160000000000792</v>
          </cell>
          <cell r="M27">
            <v>27.72000000000001</v>
          </cell>
          <cell r="N27">
            <v>9.618999999999982</v>
          </cell>
          <cell r="O27">
            <v>10.710000000000015</v>
          </cell>
          <cell r="P27">
            <v>11.695000000000023</v>
          </cell>
          <cell r="Q27">
            <v>11.562000000000122</v>
          </cell>
          <cell r="R27">
            <v>43.586000000000041</v>
          </cell>
          <cell r="S27">
            <v>13.183999999999966</v>
          </cell>
          <cell r="T27">
            <v>11.406999999999993</v>
          </cell>
          <cell r="U27">
            <v>12.194000000000013</v>
          </cell>
          <cell r="V27">
            <v>13.814999999999689</v>
          </cell>
          <cell r="W27">
            <v>50.599999999999838</v>
          </cell>
          <cell r="X27">
            <v>12.238999999999976</v>
          </cell>
          <cell r="Y27">
            <v>12.164000000000016</v>
          </cell>
          <cell r="Z27">
            <v>12.641000000000002</v>
          </cell>
          <cell r="AA27">
            <v>7.5820000000000221</v>
          </cell>
          <cell r="AB27">
            <v>44.626000000000019</v>
          </cell>
          <cell r="AC27">
            <v>9.6229999999999798</v>
          </cell>
          <cell r="AD27">
            <v>11.836431536223449</v>
          </cell>
          <cell r="AE27">
            <v>14.246386144242056</v>
          </cell>
          <cell r="AF27">
            <v>17.438165468688851</v>
          </cell>
          <cell r="AG27">
            <v>53.143983149154337</v>
          </cell>
        </row>
        <row r="28">
          <cell r="D28">
            <v>0</v>
          </cell>
          <cell r="E28">
            <v>0</v>
          </cell>
          <cell r="F28">
            <v>0</v>
          </cell>
          <cell r="G28">
            <v>0</v>
          </cell>
          <cell r="H28">
            <v>0</v>
          </cell>
          <cell r="I28">
            <v>0</v>
          </cell>
          <cell r="J28">
            <v>0</v>
          </cell>
          <cell r="K28">
            <v>0</v>
          </cell>
          <cell r="L28">
            <v>0</v>
          </cell>
          <cell r="M28">
            <v>0</v>
          </cell>
          <cell r="N28">
            <v>0</v>
          </cell>
          <cell r="O28">
            <v>0</v>
          </cell>
          <cell r="P28">
            <v>0</v>
          </cell>
          <cell r="Q28">
            <v>0</v>
          </cell>
          <cell r="R28">
            <v>0</v>
          </cell>
          <cell r="S28">
            <v>0</v>
          </cell>
          <cell r="T28">
            <v>0</v>
          </cell>
          <cell r="U28">
            <v>0</v>
          </cell>
          <cell r="V28">
            <v>0</v>
          </cell>
          <cell r="W28">
            <v>0</v>
          </cell>
          <cell r="X28">
            <v>0</v>
          </cell>
          <cell r="Y28">
            <v>0.81651314984709511</v>
          </cell>
          <cell r="Z28">
            <v>0</v>
          </cell>
          <cell r="AA28">
            <v>4.5750000000000002</v>
          </cell>
          <cell r="AB28">
            <v>5.3915131498470954</v>
          </cell>
          <cell r="AC28">
            <v>0</v>
          </cell>
          <cell r="AD28">
            <v>0</v>
          </cell>
          <cell r="AE28">
            <v>0</v>
          </cell>
          <cell r="AF28">
            <v>0</v>
          </cell>
          <cell r="AG28">
            <v>0</v>
          </cell>
        </row>
        <row r="29">
          <cell r="D29">
            <v>6.7609999999999966</v>
          </cell>
          <cell r="E29">
            <v>7.0970000000000111</v>
          </cell>
          <cell r="F29">
            <v>7.6539999999999901</v>
          </cell>
          <cell r="G29">
            <v>6.5670000000000019</v>
          </cell>
          <cell r="H29">
            <v>28.079000000000033</v>
          </cell>
          <cell r="I29">
            <v>8.733000000000013</v>
          </cell>
          <cell r="J29">
            <v>3.0670000000000091</v>
          </cell>
          <cell r="K29">
            <v>7.7039999999999891</v>
          </cell>
          <cell r="L29">
            <v>8.2160000000000792</v>
          </cell>
          <cell r="M29">
            <v>27.72000000000001</v>
          </cell>
          <cell r="N29">
            <v>9.618999999999982</v>
          </cell>
          <cell r="O29">
            <v>10.710000000000015</v>
          </cell>
          <cell r="P29">
            <v>11.695000000000023</v>
          </cell>
          <cell r="Q29">
            <v>11.562000000000122</v>
          </cell>
          <cell r="R29">
            <v>43.586000000000041</v>
          </cell>
          <cell r="S29">
            <v>13.183999999999966</v>
          </cell>
          <cell r="T29">
            <v>11.406999999999993</v>
          </cell>
          <cell r="U29">
            <v>12.194000000000013</v>
          </cell>
          <cell r="V29">
            <v>13.814999999999863</v>
          </cell>
          <cell r="W29">
            <v>50.599999999999838</v>
          </cell>
          <cell r="X29">
            <v>12.238999999999976</v>
          </cell>
          <cell r="Y29">
            <v>12.980513149847111</v>
          </cell>
          <cell r="Z29">
            <v>12.641000000000002</v>
          </cell>
          <cell r="AA29">
            <v>12.157000000000021</v>
          </cell>
          <cell r="AB29">
            <v>50.017513149847112</v>
          </cell>
          <cell r="AC29">
            <v>9.6229999999999798</v>
          </cell>
          <cell r="AD29">
            <v>11.836431536223449</v>
          </cell>
          <cell r="AE29">
            <v>14.246386144242056</v>
          </cell>
          <cell r="AF29">
            <v>17.438165468688851</v>
          </cell>
          <cell r="AG29">
            <v>53.143983149154337</v>
          </cell>
        </row>
        <row r="32">
          <cell r="S32">
            <v>-2.8260000000000001</v>
          </cell>
          <cell r="T32">
            <v>-2.8340000000000001</v>
          </cell>
          <cell r="U32">
            <v>-2.8340000000000001</v>
          </cell>
          <cell r="V32">
            <v>-2.875</v>
          </cell>
          <cell r="W32">
            <v>-11.369</v>
          </cell>
          <cell r="X32">
            <v>-1.72</v>
          </cell>
          <cell r="Y32">
            <v>-1.8029999999999999</v>
          </cell>
          <cell r="Z32">
            <v>-1.8029999999999999</v>
          </cell>
          <cell r="AA32">
            <v>-2.7080000000000011</v>
          </cell>
          <cell r="AB32">
            <v>-8.0340000000000007</v>
          </cell>
          <cell r="AC32">
            <v>-1.1930000000000001</v>
          </cell>
          <cell r="AD32">
            <v>-1.1930000000000001</v>
          </cell>
          <cell r="AE32">
            <v>-1.1930000000000001</v>
          </cell>
          <cell r="AF32">
            <v>-1.1930000000000001</v>
          </cell>
          <cell r="AG32">
            <v>-4.7720000000000002</v>
          </cell>
        </row>
        <row r="33">
          <cell r="S33">
            <v>10.357999999999965</v>
          </cell>
          <cell r="T33">
            <v>8.5729999999999933</v>
          </cell>
          <cell r="U33">
            <v>9.3600000000000136</v>
          </cell>
          <cell r="V33">
            <v>10.939999999999863</v>
          </cell>
          <cell r="W33">
            <v>39.230999999999838</v>
          </cell>
          <cell r="X33">
            <v>10.518999999999975</v>
          </cell>
          <cell r="Y33">
            <v>11.177513149847112</v>
          </cell>
          <cell r="Z33">
            <v>10.838000000000001</v>
          </cell>
          <cell r="AA33">
            <v>9.4490000000000194</v>
          </cell>
          <cell r="AB33">
            <v>41.983513149847113</v>
          </cell>
          <cell r="AC33">
            <v>8.4299999999999802</v>
          </cell>
          <cell r="AD33">
            <v>10.643431536223449</v>
          </cell>
          <cell r="AE33">
            <v>13.053386144242056</v>
          </cell>
          <cell r="AF33">
            <v>16.24516546868885</v>
          </cell>
          <cell r="AG33">
            <v>48.371983149154339</v>
          </cell>
        </row>
        <row r="34">
          <cell r="S34">
            <v>10.357999999999965</v>
          </cell>
          <cell r="T34">
            <v>8.5729999999999933</v>
          </cell>
          <cell r="U34">
            <v>9.3600000000000136</v>
          </cell>
          <cell r="V34">
            <v>10.939999999999689</v>
          </cell>
          <cell r="W34">
            <v>39.230999999999838</v>
          </cell>
          <cell r="X34">
            <v>10.518999999999975</v>
          </cell>
          <cell r="Y34">
            <v>10.361000000000015</v>
          </cell>
          <cell r="Z34">
            <v>10.838000000000001</v>
          </cell>
          <cell r="AA34">
            <v>4.874000000000021</v>
          </cell>
          <cell r="AB34">
            <v>36.59200000000002</v>
          </cell>
          <cell r="AC34">
            <v>8.4299999999999802</v>
          </cell>
          <cell r="AD34">
            <v>10.643431536223449</v>
          </cell>
          <cell r="AE34">
            <v>13.053386144242056</v>
          </cell>
          <cell r="AF34">
            <v>16.24516546868885</v>
          </cell>
          <cell r="AG34">
            <v>48.371983149154339</v>
          </cell>
        </row>
        <row r="37">
          <cell r="D37">
            <v>0.15972019648537131</v>
          </cell>
          <cell r="E37">
            <v>0.16530735125075291</v>
          </cell>
          <cell r="F37">
            <v>0.17524094943687282</v>
          </cell>
          <cell r="G37">
            <v>0.15237735119853946</v>
          </cell>
          <cell r="H37">
            <v>0.65153093411052121</v>
          </cell>
          <cell r="I37">
            <v>0.19581390544208646</v>
          </cell>
          <cell r="J37">
            <v>6.8079598391190724E-2</v>
          </cell>
          <cell r="K37">
            <v>0.17387627660203753</v>
          </cell>
          <cell r="L37">
            <v>0.20078385371322632</v>
          </cell>
          <cell r="M37">
            <v>0.62214421329796921</v>
          </cell>
          <cell r="N37">
            <v>0.21561950471758129</v>
          </cell>
          <cell r="O37">
            <v>0.23960091749030354</v>
          </cell>
          <cell r="P37">
            <v>0.2656000272526754</v>
          </cell>
          <cell r="Q37">
            <v>0.26049537604936573</v>
          </cell>
          <cell r="R37">
            <v>0.98200583467285474</v>
          </cell>
          <cell r="S37">
            <v>0.29956485614354295</v>
          </cell>
          <cell r="T37">
            <v>0.25755587355977716</v>
          </cell>
          <cell r="U37">
            <v>0.27856891695402353</v>
          </cell>
          <cell r="V37">
            <v>0.31447727730375691</v>
          </cell>
          <cell r="W37">
            <v>1.1518313595056393</v>
          </cell>
          <cell r="X37">
            <v>0.27780366006719304</v>
          </cell>
          <cell r="Y37">
            <v>0.2963743784169236</v>
          </cell>
          <cell r="Z37">
            <v>0.28624925256133188</v>
          </cell>
          <cell r="AA37">
            <v>0.27585335565725316</v>
          </cell>
          <cell r="AB37">
            <v>1.1362806467027016</v>
          </cell>
          <cell r="AC37">
            <v>0.21652287084981098</v>
          </cell>
          <cell r="AD37">
            <v>0.26632631578929072</v>
          </cell>
          <cell r="AE37">
            <v>0.32055163952886478</v>
          </cell>
          <cell r="AF37">
            <v>0.39236845574504386</v>
          </cell>
          <cell r="AG37">
            <v>1.1957692819130104</v>
          </cell>
        </row>
        <row r="38">
          <cell r="D38">
            <v>0.15972019648537131</v>
          </cell>
          <cell r="E38">
            <v>0.16530735125075291</v>
          </cell>
          <cell r="F38">
            <v>0.17524094943687282</v>
          </cell>
          <cell r="G38">
            <v>0.15237735119853946</v>
          </cell>
          <cell r="H38">
            <v>0.65153093411052121</v>
          </cell>
          <cell r="I38">
            <v>0.19581390544208646</v>
          </cell>
          <cell r="J38">
            <v>6.8079598391190724E-2</v>
          </cell>
          <cell r="K38">
            <v>0.17387627660203753</v>
          </cell>
          <cell r="L38">
            <v>0.20078385371322632</v>
          </cell>
          <cell r="M38">
            <v>0.62214421329796921</v>
          </cell>
          <cell r="N38">
            <v>0.21561950471758129</v>
          </cell>
          <cell r="O38">
            <v>0.23960091749030354</v>
          </cell>
          <cell r="P38">
            <v>0.2656000272526754</v>
          </cell>
          <cell r="Q38">
            <v>0.26049537604936573</v>
          </cell>
          <cell r="R38">
            <v>0.98200583467285474</v>
          </cell>
          <cell r="S38">
            <v>0.29956485614354295</v>
          </cell>
          <cell r="T38">
            <v>0.25755587355977716</v>
          </cell>
          <cell r="U38">
            <v>0.27856891695402353</v>
          </cell>
          <cell r="V38">
            <v>0.31447727730375691</v>
          </cell>
          <cell r="W38">
            <v>1.1518313595056393</v>
          </cell>
          <cell r="X38">
            <v>0.27780366006719304</v>
          </cell>
          <cell r="Y38">
            <v>0.27773154246262793</v>
          </cell>
          <cell r="Z38">
            <v>0.28624925256133188</v>
          </cell>
          <cell r="AA38">
            <v>0.17204245641139226</v>
          </cell>
          <cell r="AB38">
            <v>1.0138269115025451</v>
          </cell>
          <cell r="AC38">
            <v>0.21652287084981098</v>
          </cell>
          <cell r="AD38">
            <v>0.26632631578929072</v>
          </cell>
          <cell r="AE38">
            <v>0.32055163952886478</v>
          </cell>
          <cell r="AF38">
            <v>0.39236845574504386</v>
          </cell>
          <cell r="AG38">
            <v>1.1957692819130104</v>
          </cell>
        </row>
        <row r="39">
          <cell r="S39">
            <v>0.23535291109942472</v>
          </cell>
          <cell r="T39">
            <v>0.19356767809485134</v>
          </cell>
          <cell r="U39">
            <v>0.21382688721417592</v>
          </cell>
          <cell r="V39">
            <v>0.2490323136954857</v>
          </cell>
          <cell r="W39">
            <v>0.89303351906651574</v>
          </cell>
          <cell r="X39">
            <v>0.23876270122124377</v>
          </cell>
          <cell r="Y39">
            <v>0.25520782374246476</v>
          </cell>
          <cell r="Z39">
            <v>0.24542120079580057</v>
          </cell>
          <cell r="AA39">
            <v>0.21440637966647905</v>
          </cell>
          <cell r="AB39">
            <v>0.95365619086862952</v>
          </cell>
          <cell r="AC39">
            <v>0.18967970500508219</v>
          </cell>
          <cell r="AD39">
            <v>0.23948314994456199</v>
          </cell>
          <cell r="AE39">
            <v>0.293708473684136</v>
          </cell>
          <cell r="AF39">
            <v>0.36552528990031508</v>
          </cell>
          <cell r="AG39">
            <v>1.0883966185340954</v>
          </cell>
        </row>
        <row r="40">
          <cell r="S40">
            <v>0.23535291109942472</v>
          </cell>
          <cell r="T40">
            <v>0.19356767809485134</v>
          </cell>
          <cell r="U40">
            <v>0.21382688721417592</v>
          </cell>
          <cell r="V40">
            <v>0.24903231369548176</v>
          </cell>
          <cell r="W40">
            <v>0.89303351906651574</v>
          </cell>
          <cell r="X40">
            <v>0.23876270122124377</v>
          </cell>
          <cell r="Y40">
            <v>0.23656498778816906</v>
          </cell>
          <cell r="Z40">
            <v>0.24542120079580057</v>
          </cell>
          <cell r="AA40">
            <v>0.11059548042061818</v>
          </cell>
          <cell r="AB40">
            <v>0.83118788110260822</v>
          </cell>
          <cell r="AC40">
            <v>0.18967970500508219</v>
          </cell>
          <cell r="AD40">
            <v>0.23948314994456199</v>
          </cell>
          <cell r="AE40">
            <v>0.293708473684136</v>
          </cell>
          <cell r="AF40">
            <v>0.36552528990031508</v>
          </cell>
          <cell r="AG40">
            <v>1.0883966185340954</v>
          </cell>
        </row>
        <row r="42">
          <cell r="D42">
            <v>42.330275999999998</v>
          </cell>
          <cell r="E42">
            <v>42.93215</v>
          </cell>
          <cell r="F42">
            <v>43.677005999999999</v>
          </cell>
          <cell r="G42">
            <v>43.096955999999999</v>
          </cell>
          <cell r="H42">
            <v>43.096955999999999</v>
          </cell>
          <cell r="I42">
            <v>44.598466999999999</v>
          </cell>
          <cell r="J42">
            <v>45.050207</v>
          </cell>
          <cell r="K42">
            <v>44.307366999999999</v>
          </cell>
          <cell r="L42">
            <v>40.919625000000003</v>
          </cell>
          <cell r="M42">
            <v>44.555585999999998</v>
          </cell>
          <cell r="N42">
            <v>44.610992000000003</v>
          </cell>
          <cell r="O42">
            <v>44.699328000000001</v>
          </cell>
          <cell r="P42">
            <v>44.032375000000002</v>
          </cell>
          <cell r="Q42">
            <v>44.384664999999998</v>
          </cell>
          <cell r="R42">
            <v>44.384664999999998</v>
          </cell>
          <cell r="S42">
            <v>44.010503</v>
          </cell>
          <cell r="T42">
            <v>44.289419000000002</v>
          </cell>
          <cell r="U42">
            <v>43.773727999999998</v>
          </cell>
          <cell r="V42">
            <v>43.930042</v>
          </cell>
          <cell r="W42">
            <v>43.930042</v>
          </cell>
          <cell r="X42">
            <v>44.056294999999999</v>
          </cell>
          <cell r="Y42">
            <v>43.797690000000003</v>
          </cell>
          <cell r="Z42">
            <v>44.160814000000002</v>
          </cell>
          <cell r="AA42">
            <v>44.070517000000002</v>
          </cell>
          <cell r="AB42">
            <v>44.023741000000001</v>
          </cell>
          <cell r="AC42">
            <v>44.443342000000001</v>
          </cell>
          <cell r="AD42">
            <v>44.443342000000001</v>
          </cell>
          <cell r="AE42">
            <v>44.443342000000001</v>
          </cell>
          <cell r="AF42">
            <v>44.443342000000001</v>
          </cell>
          <cell r="AG42">
            <v>44.443342000000001</v>
          </cell>
        </row>
        <row r="44">
          <cell r="AC44">
            <v>0.22</v>
          </cell>
          <cell r="AD44" t="str">
            <v>$0.27 - $0.28</v>
          </cell>
          <cell r="AG44" t="str">
            <v>$1.18 - $1.28</v>
          </cell>
        </row>
        <row r="45">
          <cell r="D45">
            <v>0.16</v>
          </cell>
          <cell r="E45">
            <v>0.17</v>
          </cell>
          <cell r="F45">
            <v>0.18</v>
          </cell>
          <cell r="G45">
            <v>0.2</v>
          </cell>
          <cell r="H45">
            <v>0.7</v>
          </cell>
          <cell r="I45">
            <v>0.2</v>
          </cell>
          <cell r="J45">
            <v>0.16</v>
          </cell>
          <cell r="K45">
            <v>0.17</v>
          </cell>
          <cell r="L45">
            <v>0.19</v>
          </cell>
          <cell r="M45">
            <v>0.72</v>
          </cell>
          <cell r="N45">
            <v>0.22</v>
          </cell>
          <cell r="O45">
            <v>0.24</v>
          </cell>
          <cell r="P45">
            <v>0.27</v>
          </cell>
          <cell r="Q45">
            <v>0.3</v>
          </cell>
          <cell r="R45">
            <v>1.03</v>
          </cell>
          <cell r="S45">
            <v>0.3</v>
          </cell>
          <cell r="T45">
            <v>0.26</v>
          </cell>
          <cell r="U45">
            <v>0.28000000000000003</v>
          </cell>
          <cell r="V45">
            <v>0.32</v>
          </cell>
          <cell r="W45">
            <v>1.1499999999999999</v>
          </cell>
          <cell r="X45">
            <v>0.28000000000000003</v>
          </cell>
          <cell r="Y45">
            <v>0.3</v>
          </cell>
          <cell r="Z45">
            <v>0.28999999999999998</v>
          </cell>
          <cell r="AA45">
            <v>0.28000000000000003</v>
          </cell>
          <cell r="AB45">
            <v>1.1399999999999999</v>
          </cell>
          <cell r="AC45">
            <v>0.22</v>
          </cell>
          <cell r="AD45">
            <v>0.28000000000000003</v>
          </cell>
          <cell r="AE45">
            <v>0.34</v>
          </cell>
          <cell r="AF45">
            <v>0.37</v>
          </cell>
          <cell r="AG45">
            <v>1.2</v>
          </cell>
        </row>
        <row r="47">
          <cell r="D47">
            <v>9.753999999999996</v>
          </cell>
          <cell r="E47">
            <v>9.9630000000000116</v>
          </cell>
          <cell r="F47">
            <v>10.383999999999991</v>
          </cell>
          <cell r="G47">
            <v>7.5479999999999983</v>
          </cell>
          <cell r="H47">
            <v>37.649000000000029</v>
          </cell>
          <cell r="I47">
            <v>12.100000000000014</v>
          </cell>
          <cell r="J47">
            <v>3.3680000000000092</v>
          </cell>
          <cell r="K47">
            <v>10.935999999999989</v>
          </cell>
          <cell r="L47">
            <v>11.977000000000078</v>
          </cell>
          <cell r="M47">
            <v>38.381000000000007</v>
          </cell>
          <cell r="N47">
            <v>14.522999999999984</v>
          </cell>
          <cell r="O47">
            <v>16.466000000000015</v>
          </cell>
          <cell r="P47">
            <v>18.203000000000024</v>
          </cell>
          <cell r="Q47">
            <v>17.913000000000121</v>
          </cell>
          <cell r="R47">
            <v>67.105000000000032</v>
          </cell>
          <cell r="S47">
            <v>20.632999999999967</v>
          </cell>
          <cell r="T47">
            <v>17.900999999999993</v>
          </cell>
          <cell r="U47">
            <v>19.264000000000014</v>
          </cell>
          <cell r="V47">
            <v>21.85999999999969</v>
          </cell>
          <cell r="W47">
            <v>79.657999999999831</v>
          </cell>
          <cell r="X47">
            <v>19.485999999999976</v>
          </cell>
          <cell r="Y47">
            <v>19.706000000000017</v>
          </cell>
          <cell r="Z47">
            <v>20.78</v>
          </cell>
          <cell r="AA47">
            <v>16.814000000000021</v>
          </cell>
          <cell r="AB47">
            <v>76.786000000000087</v>
          </cell>
          <cell r="AC47">
            <v>14.53599999999998</v>
          </cell>
          <cell r="AD47">
            <v>18.174746471812014</v>
          </cell>
          <cell r="AE47">
            <v>22.686640793132348</v>
          </cell>
          <cell r="AF47">
            <v>28.338350461594921</v>
          </cell>
          <cell r="AG47">
            <v>83.738560915284268</v>
          </cell>
        </row>
        <row r="48">
          <cell r="D48">
            <v>0.34499999999999997</v>
          </cell>
          <cell r="E48">
            <v>0.34499999999999997</v>
          </cell>
          <cell r="F48">
            <v>0.34499999999999997</v>
          </cell>
          <cell r="G48">
            <v>0.30000000000000004</v>
          </cell>
          <cell r="H48">
            <v>1.335</v>
          </cell>
          <cell r="I48">
            <v>0.52900000000000003</v>
          </cell>
          <cell r="J48">
            <v>0.92600000000000005</v>
          </cell>
          <cell r="K48">
            <v>0.95299999999999996</v>
          </cell>
          <cell r="L48">
            <v>0.99199999999999999</v>
          </cell>
          <cell r="M48">
            <v>3.4</v>
          </cell>
          <cell r="N48">
            <v>0.64600000000000002</v>
          </cell>
          <cell r="O48">
            <v>0.65700000000000003</v>
          </cell>
          <cell r="P48">
            <v>0.67700000000000005</v>
          </cell>
          <cell r="Q48">
            <v>0.77999999999999969</v>
          </cell>
          <cell r="R48">
            <v>2.76</v>
          </cell>
          <cell r="S48">
            <v>0.92700000000000005</v>
          </cell>
          <cell r="T48">
            <v>1.083</v>
          </cell>
          <cell r="U48">
            <v>1.127</v>
          </cell>
          <cell r="V48">
            <v>1.1359999999999997</v>
          </cell>
          <cell r="W48">
            <v>4.2729999999999997</v>
          </cell>
          <cell r="X48">
            <v>1.369</v>
          </cell>
          <cell r="Y48">
            <v>1.43</v>
          </cell>
          <cell r="Z48">
            <v>1.778</v>
          </cell>
          <cell r="AA48">
            <v>2.0139999999999998</v>
          </cell>
          <cell r="AB48">
            <v>6.5909999999999993</v>
          </cell>
          <cell r="AC48">
            <v>2.6150000000000002</v>
          </cell>
          <cell r="AD48">
            <v>2.9217499999999998</v>
          </cell>
          <cell r="AE48">
            <v>3.3342499999999999</v>
          </cell>
          <cell r="AF48">
            <v>3.3342499999999999</v>
          </cell>
          <cell r="AG48">
            <v>12.205249999999999</v>
          </cell>
        </row>
        <row r="49">
          <cell r="D49">
            <v>10.098999999999997</v>
          </cell>
          <cell r="E49">
            <v>10.308000000000012</v>
          </cell>
          <cell r="F49">
            <v>10.728999999999992</v>
          </cell>
          <cell r="G49">
            <v>7.8479999999999981</v>
          </cell>
          <cell r="H49">
            <v>38.98400000000003</v>
          </cell>
          <cell r="I49">
            <v>12.629000000000014</v>
          </cell>
          <cell r="J49">
            <v>4.2940000000000094</v>
          </cell>
          <cell r="K49">
            <v>11.888999999999989</v>
          </cell>
          <cell r="L49">
            <v>12.969000000000079</v>
          </cell>
          <cell r="M49">
            <v>41.781000000000006</v>
          </cell>
          <cell r="N49">
            <v>15.168999999999984</v>
          </cell>
          <cell r="O49">
            <v>17.123000000000015</v>
          </cell>
          <cell r="P49">
            <v>18.880000000000024</v>
          </cell>
          <cell r="Q49">
            <v>18.693000000000122</v>
          </cell>
          <cell r="R49">
            <v>69.865000000000038</v>
          </cell>
          <cell r="S49">
            <v>21.559999999999967</v>
          </cell>
          <cell r="T49">
            <v>18.983999999999991</v>
          </cell>
          <cell r="U49">
            <v>20.391000000000012</v>
          </cell>
          <cell r="V49">
            <v>22.99599999999969</v>
          </cell>
          <cell r="W49">
            <v>83.930999999999827</v>
          </cell>
          <cell r="X49">
            <v>20.854999999999976</v>
          </cell>
          <cell r="Y49">
            <v>21.136000000000017</v>
          </cell>
          <cell r="Z49">
            <v>22.558</v>
          </cell>
          <cell r="AA49">
            <v>18.828000000000021</v>
          </cell>
          <cell r="AB49">
            <v>83.377000000000081</v>
          </cell>
          <cell r="AC49">
            <v>17.150999999999982</v>
          </cell>
          <cell r="AD49">
            <v>21.096496471812014</v>
          </cell>
          <cell r="AE49">
            <v>26.020890793132349</v>
          </cell>
          <cell r="AF49">
            <v>31.672600461594921</v>
          </cell>
          <cell r="AG49">
            <v>95.943810915284274</v>
          </cell>
        </row>
        <row r="53">
          <cell r="D53">
            <v>0.12370288459426007</v>
          </cell>
          <cell r="E53">
            <v>0.11752835428837242</v>
          </cell>
          <cell r="F53">
            <v>0.11776611947876116</v>
          </cell>
          <cell r="G53">
            <v>0.12210022504264137</v>
          </cell>
          <cell r="H53">
            <v>0.12023630949428472</v>
          </cell>
          <cell r="I53">
            <v>0.12836657835648019</v>
          </cell>
          <cell r="J53">
            <v>0.10951350596775324</v>
          </cell>
          <cell r="K53">
            <v>0.11053575174991889</v>
          </cell>
          <cell r="L53">
            <v>0.11211540499487825</v>
          </cell>
          <cell r="M53">
            <v>0.1144537460254372</v>
          </cell>
          <cell r="N53">
            <v>0.11195052109721262</v>
          </cell>
          <cell r="O53">
            <v>0.11304506201052242</v>
          </cell>
          <cell r="P53">
            <v>0.11548026365237631</v>
          </cell>
          <cell r="Q53">
            <v>0.11618574998664431</v>
          </cell>
          <cell r="R53">
            <v>0.1143044224756767</v>
          </cell>
          <cell r="S53">
            <v>0.11459936449055404</v>
          </cell>
          <cell r="T53">
            <v>0.10779813241960928</v>
          </cell>
          <cell r="U53">
            <v>0.10850615259538937</v>
          </cell>
          <cell r="V53">
            <v>0.111916759044643</v>
          </cell>
          <cell r="W53">
            <v>0.1107277206150452</v>
          </cell>
          <cell r="X53">
            <v>0.10719937793307292</v>
          </cell>
          <cell r="Y53">
            <v>0.10461122312134515</v>
          </cell>
          <cell r="Z53">
            <v>0.11774608720939478</v>
          </cell>
          <cell r="AA53">
            <v>0.11350170957273738</v>
          </cell>
          <cell r="AB53">
            <v>0.11088123944452177</v>
          </cell>
          <cell r="AC53">
            <v>0.10960038295520612</v>
          </cell>
          <cell r="AD53">
            <v>0.10622283715192442</v>
          </cell>
          <cell r="AE53">
            <v>0.10989954334752756</v>
          </cell>
          <cell r="AF53">
            <v>0.11089460378896267</v>
          </cell>
          <cell r="AG53">
            <v>0.10921088726289831</v>
          </cell>
        </row>
        <row r="54">
          <cell r="D54">
            <v>7.3956632223385763E-2</v>
          </cell>
          <cell r="E54">
            <v>7.051290821282484E-2</v>
          </cell>
          <cell r="F54">
            <v>7.2628194279911948E-2</v>
          </cell>
          <cell r="G54">
            <v>5.0897252145039006E-2</v>
          </cell>
          <cell r="H54">
            <v>0</v>
          </cell>
          <cell r="I54">
            <v>7.5018117448588106E-2</v>
          </cell>
          <cell r="J54">
            <v>2.1408130502846821E-2</v>
          </cell>
          <cell r="K54">
            <v>5.6688790982434005E-2</v>
          </cell>
          <cell r="L54">
            <v>5.726535730686387E-2</v>
          </cell>
          <cell r="M54">
            <v>5.1894127583465822E-2</v>
          </cell>
          <cell r="N54">
            <v>5.6928510041019696E-2</v>
          </cell>
          <cell r="O54">
            <v>5.8842126605246112E-2</v>
          </cell>
          <cell r="P54">
            <v>6.169753177194142E-2</v>
          </cell>
          <cell r="Q54">
            <v>5.5481025507084995E-2</v>
          </cell>
          <cell r="R54">
            <v>5.8201869224277787E-2</v>
          </cell>
          <cell r="S54">
            <v>6.1332066486690907E-2</v>
          </cell>
          <cell r="T54">
            <v>5.4161543136085698E-2</v>
          </cell>
          <cell r="U54">
            <v>5.6196001157487185E-2</v>
          </cell>
          <cell r="V54">
            <v>5.7936108031844451E-2</v>
          </cell>
          <cell r="W54">
            <v>5.7415767154577323E-2</v>
          </cell>
          <cell r="X54">
            <v>5.1975984627769145E-2</v>
          </cell>
          <cell r="Y54">
            <v>4.8205960971782584E-2</v>
          </cell>
          <cell r="Z54">
            <v>5.1249662053939597E-2</v>
          </cell>
          <cell r="AA54">
            <v>4.0951444654213943E-2</v>
          </cell>
          <cell r="AB54">
            <v>4.7928338290360348E-2</v>
          </cell>
          <cell r="AC54">
            <v>3.5236398824015198E-2</v>
          </cell>
          <cell r="AD54">
            <v>3.7521305488578224E-2</v>
          </cell>
          <cell r="AE54">
            <v>4.3858416824735957E-2</v>
          </cell>
          <cell r="AF54">
            <v>4.9291487906861262E-2</v>
          </cell>
          <cell r="AG54">
            <v>4.1991387557733705E-2</v>
          </cell>
        </row>
        <row r="55">
          <cell r="D55">
            <v>7.1430140677978482E-2</v>
          </cell>
          <cell r="E55">
            <v>6.8152901098600491E-2</v>
          </cell>
          <cell r="F55">
            <v>7.0292773734980482E-2</v>
          </cell>
          <cell r="G55">
            <v>4.8951638530932005E-2</v>
          </cell>
          <cell r="H55">
            <v>2.2833900902580486E-3</v>
          </cell>
          <cell r="I55">
            <v>7.1875779644304069E-2</v>
          </cell>
          <cell r="J55">
            <v>1.6791472644058718E-2</v>
          </cell>
          <cell r="K55">
            <v>5.2144723541416291E-2</v>
          </cell>
          <cell r="L55">
            <v>5.2885124871949178E-2</v>
          </cell>
          <cell r="M55">
            <v>4.7671154610492858E-2</v>
          </cell>
          <cell r="N55">
            <v>5.4504103851653302E-2</v>
          </cell>
          <cell r="O55">
            <v>5.6584386887927496E-2</v>
          </cell>
          <cell r="P55">
            <v>5.9485178540500519E-2</v>
          </cell>
          <cell r="Q55">
            <v>5.3165977098829177E-2</v>
          </cell>
          <cell r="R55">
            <v>5.5902618396839056E-2</v>
          </cell>
          <cell r="S55">
            <v>5.8695015205004329E-2</v>
          </cell>
          <cell r="T55">
            <v>5.1071733232146553E-2</v>
          </cell>
          <cell r="U55">
            <v>5.309007730360616E-2</v>
          </cell>
          <cell r="V55">
            <v>5.5074070341629797E-2</v>
          </cell>
          <cell r="W55">
            <v>5.4492680654338925E-2</v>
          </cell>
          <cell r="X55">
            <v>4.8564087099338744E-2</v>
          </cell>
          <cell r="Y55">
            <v>4.4944486511636433E-2</v>
          </cell>
          <cell r="Z55">
            <v>4.7210212673147664E-2</v>
          </cell>
          <cell r="AA55">
            <v>3.657093639345408E-2</v>
          </cell>
          <cell r="AB55">
            <v>4.4139575470017033E-2</v>
          </cell>
          <cell r="AC55">
            <v>2.9863931741932529E-2</v>
          </cell>
          <cell r="AD55">
            <v>3.2324808787918366E-2</v>
          </cell>
          <cell r="AE55">
            <v>3.823851213121672E-2</v>
          </cell>
          <cell r="AF55">
            <v>4.4102455710002736E-2</v>
          </cell>
          <cell r="AG55">
            <v>3.664955906353759E-2</v>
          </cell>
        </row>
        <row r="56">
          <cell r="D56">
            <v>8.02472300132549E-2</v>
          </cell>
          <cell r="E56">
            <v>7.8680585008140388E-2</v>
          </cell>
          <cell r="F56">
            <v>8.3973599593839848E-2</v>
          </cell>
          <cell r="G56">
            <v>6.293411503764762E-2</v>
          </cell>
          <cell r="H56">
            <v>7.623102092337905E-2</v>
          </cell>
          <cell r="I56">
            <v>8.300167512147609E-2</v>
          </cell>
          <cell r="J56">
            <v>2.446429817826486E-2</v>
          </cell>
          <cell r="K56">
            <v>5.8777250100131552E-2</v>
          </cell>
          <cell r="L56">
            <v>5.8046910876400057E-2</v>
          </cell>
          <cell r="M56">
            <v>5.5088682432432444E-2</v>
          </cell>
          <cell r="N56">
            <v>5.7757912158434503E-2</v>
          </cell>
          <cell r="O56">
            <v>5.8890236736208759E-2</v>
          </cell>
          <cell r="P56">
            <v>6.1145260433516736E-2</v>
          </cell>
          <cell r="Q56">
            <v>5.4905231415800851E-2</v>
          </cell>
          <cell r="R56">
            <v>5.8095237301845841E-2</v>
          </cell>
          <cell r="S56">
            <v>6.000642905706205E-2</v>
          </cell>
          <cell r="T56">
            <v>5.2073139766110207E-2</v>
          </cell>
          <cell r="U56">
            <v>5.3768034063193318E-2</v>
          </cell>
          <cell r="V56">
            <v>5.56888037891759E-2</v>
          </cell>
          <cell r="W56">
            <v>5.5383356671963639E-2</v>
          </cell>
          <cell r="X56">
            <v>4.8803343609732694E-2</v>
          </cell>
          <cell r="Y56">
            <v>4.4748341893753513E-2</v>
          </cell>
          <cell r="Z56">
            <v>4.6319625408091175E-2</v>
          </cell>
          <cell r="AA56">
            <v>3.6172906099651174E-2</v>
          </cell>
          <cell r="AB56">
            <v>4.381479152319652E-2</v>
          </cell>
          <cell r="AC56">
            <v>3.1887595250862329E-2</v>
          </cell>
          <cell r="AD56">
            <v>3.3954450313180305E-2</v>
          </cell>
          <cell r="AE56">
            <v>3.872967144892249E-2</v>
          </cell>
          <cell r="AF56">
            <v>4.3772092708943562E-2</v>
          </cell>
          <cell r="AG56">
            <v>3.7516312127931682E-2</v>
          </cell>
        </row>
        <row r="57">
          <cell r="D57">
            <v>4.9511911126082886E-2</v>
          </cell>
          <cell r="E57">
            <v>4.8547740549710713E-2</v>
          </cell>
          <cell r="F57">
            <v>5.1812489422914131E-2</v>
          </cell>
          <cell r="G57">
            <v>4.2589482012802153E-2</v>
          </cell>
          <cell r="H57">
            <v>4.8026449696146681E-2</v>
          </cell>
          <cell r="I57">
            <v>5.1875304432537829E-2</v>
          </cell>
          <cell r="J57">
            <v>1.5290809560370574E-2</v>
          </cell>
          <cell r="K57">
            <v>3.6733993248269106E-2</v>
          </cell>
          <cell r="L57">
            <v>3.6278215408527659E-2</v>
          </cell>
          <cell r="M57">
            <v>3.4429650238473782E-2</v>
          </cell>
          <cell r="N57">
            <v>3.6099633336710922E-2</v>
          </cell>
          <cell r="O57">
            <v>3.6804250186426808E-2</v>
          </cell>
          <cell r="P57">
            <v>3.8217830194536839E-2</v>
          </cell>
          <cell r="Q57">
            <v>3.4316140636223146E-2</v>
          </cell>
          <cell r="R57">
            <v>3.6309835711863914E-2</v>
          </cell>
          <cell r="S57">
            <v>3.7504729339542305E-2</v>
          </cell>
          <cell r="T57">
            <v>3.2544285848784743E-2</v>
          </cell>
          <cell r="U57">
            <v>3.3605710269942572E-2</v>
          </cell>
          <cell r="V57">
            <v>3.4805502368234639E-2</v>
          </cell>
          <cell r="W57">
            <v>3.4614597919977237E-2</v>
          </cell>
          <cell r="X57">
            <v>3.0502712819912063E-2</v>
          </cell>
          <cell r="Y57">
            <v>2.7743059673578898E-2</v>
          </cell>
          <cell r="Z57">
            <v>2.8719167391783429E-2</v>
          </cell>
          <cell r="AA57">
            <v>2.6063371642842895E-2</v>
          </cell>
          <cell r="AB57">
            <v>2.8182624001361227E-2</v>
          </cell>
          <cell r="AC57">
            <v>1.9770267965920234E-2</v>
          </cell>
          <cell r="AD57">
            <v>2.1051759194171786E-2</v>
          </cell>
          <cell r="AE57">
            <v>2.4012396298331944E-2</v>
          </cell>
          <cell r="AF57">
            <v>2.7138697479545008E-2</v>
          </cell>
          <cell r="AG57">
            <v>2.3259338684683276E-2</v>
          </cell>
        </row>
        <row r="59">
          <cell r="D59">
            <v>0.87629711540573996</v>
          </cell>
          <cell r="E59">
            <v>0.88247164571162762</v>
          </cell>
          <cell r="F59">
            <v>0.88223388052123886</v>
          </cell>
          <cell r="G59">
            <v>0.8778997749573586</v>
          </cell>
          <cell r="H59">
            <v>0.87976369050571523</v>
          </cell>
          <cell r="I59">
            <v>0.87163342164351987</v>
          </cell>
          <cell r="J59">
            <v>0.89048649403224678</v>
          </cell>
          <cell r="K59">
            <v>0.88946424825008108</v>
          </cell>
          <cell r="L59">
            <v>0.88788459500512174</v>
          </cell>
          <cell r="M59">
            <v>0.88554625397456277</v>
          </cell>
          <cell r="N59">
            <v>0.8880494789027874</v>
          </cell>
          <cell r="O59">
            <v>0.88695493798947755</v>
          </cell>
          <cell r="P59">
            <v>0.88451973634762371</v>
          </cell>
          <cell r="Q59">
            <v>0.88381425001335567</v>
          </cell>
          <cell r="R59">
            <v>0.88569557752432326</v>
          </cell>
          <cell r="S59">
            <v>0.88540063550944592</v>
          </cell>
          <cell r="T59">
            <v>0.89220186758039066</v>
          </cell>
          <cell r="U59">
            <v>0.89149384740461057</v>
          </cell>
          <cell r="V59">
            <v>0.88808324095535696</v>
          </cell>
          <cell r="W59">
            <v>0.88927227938495479</v>
          </cell>
          <cell r="X59">
            <v>0.89280062206692712</v>
          </cell>
          <cell r="Y59">
            <v>0.89538877687865481</v>
          </cell>
          <cell r="Z59">
            <v>0.88225391279060517</v>
          </cell>
          <cell r="AA59">
            <v>0.88649829042726258</v>
          </cell>
          <cell r="AB59">
            <v>0.88911876055547823</v>
          </cell>
          <cell r="AC59">
            <v>0.89039961704479387</v>
          </cell>
          <cell r="AD59">
            <v>0.89377716284807551</v>
          </cell>
          <cell r="AE59">
            <v>0.89010045665247239</v>
          </cell>
          <cell r="AF59">
            <v>0.88910539621103735</v>
          </cell>
          <cell r="AG59">
            <v>0.89078911273710182</v>
          </cell>
        </row>
        <row r="60">
          <cell r="H60">
            <v>5.3557898049625671E-2</v>
          </cell>
          <cell r="I60">
            <v>5.3348460907892074E-2</v>
          </cell>
          <cell r="J60">
            <v>7.8039465943423508E-2</v>
          </cell>
          <cell r="K60">
            <v>5.3846960767484887E-2</v>
          </cell>
          <cell r="L60">
            <v>5.4850047688014374E-2</v>
          </cell>
          <cell r="M60">
            <v>6.0051917726550073E-2</v>
          </cell>
          <cell r="N60">
            <v>5.5022011056192935E-2</v>
          </cell>
          <cell r="O60">
            <v>5.4202935405276299E-2</v>
          </cell>
          <cell r="P60">
            <v>5.3782731880434878E-2</v>
          </cell>
          <cell r="Q60">
            <v>5.3623050758920369E-2</v>
          </cell>
          <cell r="R60">
            <v>5.4114867572316018E-2</v>
          </cell>
          <cell r="S60">
            <v>5.326729800386313E-2</v>
          </cell>
          <cell r="T60">
            <v>5.3636589283523585E-2</v>
          </cell>
          <cell r="U60">
            <v>5.2310151437902193E-2</v>
          </cell>
          <cell r="V60">
            <v>5.3980651012798558E-2</v>
          </cell>
          <cell r="W60">
            <v>5.3311953460467874E-2</v>
          </cell>
          <cell r="X60">
            <v>5.5223393305303771E-2</v>
          </cell>
          <cell r="Y60">
            <v>5.3401512594309072E-2</v>
          </cell>
          <cell r="Z60">
            <v>6.6496425155455188E-2</v>
          </cell>
          <cell r="AA60">
            <v>7.2550264918523413E-2</v>
          </cell>
          <cell r="AB60">
            <v>6.2195838396705484E-2</v>
          </cell>
          <cell r="AC60">
            <v>7.4363984131190913E-2</v>
          </cell>
          <cell r="AD60">
            <v>6.8701531663346194E-2</v>
          </cell>
          <cell r="AE60">
            <v>6.6041126522791607E-2</v>
          </cell>
          <cell r="AF60">
            <v>6.1603115882101413E-2</v>
          </cell>
          <cell r="AG60">
            <v>6.7219499705164609E-2</v>
          </cell>
        </row>
        <row r="61">
          <cell r="D61">
            <v>5.2272743916281589E-2</v>
          </cell>
          <cell r="E61">
            <v>4.9375453189771934E-2</v>
          </cell>
          <cell r="F61">
            <v>4.7473345743780676E-2</v>
          </cell>
          <cell r="G61">
            <v>7.3148586511709357E-2</v>
          </cell>
          <cell r="H61">
            <v>5.5841288139883719E-2</v>
          </cell>
          <cell r="I61">
            <v>5.6490798712176112E-2</v>
          </cell>
          <cell r="J61">
            <v>9.2722033323694511E-2</v>
          </cell>
          <cell r="K61">
            <v>5.8391028208502602E-2</v>
          </cell>
          <cell r="L61">
            <v>5.9230280122929073E-2</v>
          </cell>
          <cell r="M61">
            <v>6.6782591414944345E-2</v>
          </cell>
          <cell r="N61">
            <v>5.7446417245559322E-2</v>
          </cell>
          <cell r="O61">
            <v>5.6460675122594915E-2</v>
          </cell>
          <cell r="P61">
            <v>5.5995085111875786E-2</v>
          </cell>
          <cell r="Q61">
            <v>6.3019772887815143E-2</v>
          </cell>
          <cell r="R61">
            <v>5.8401804078837646E-2</v>
          </cell>
          <cell r="S61">
            <v>5.5904349285549701E-2</v>
          </cell>
          <cell r="T61">
            <v>5.672639918746273E-2</v>
          </cell>
          <cell r="U61">
            <v>5.5416075291783218E-2</v>
          </cell>
          <cell r="V61">
            <v>5.6842688703013206E-2</v>
          </cell>
          <cell r="W61">
            <v>5.6235039960706279E-2</v>
          </cell>
          <cell r="X61">
            <v>5.8635290833734172E-2</v>
          </cell>
          <cell r="Y61">
            <v>5.9666736609708705E-2</v>
          </cell>
          <cell r="Z61">
            <v>7.0535874536247128E-2</v>
          </cell>
          <cell r="AA61">
            <v>7.6930773179283291E-2</v>
          </cell>
          <cell r="AB61">
            <v>6.6741663974504747E-2</v>
          </cell>
          <cell r="AC61">
            <v>7.9736451213273593E-2</v>
          </cell>
          <cell r="AD61">
            <v>7.3898028364006052E-2</v>
          </cell>
          <cell r="AE61">
            <v>7.1661031216310844E-2</v>
          </cell>
          <cell r="AF61">
            <v>6.6792148078959931E-2</v>
          </cell>
          <cell r="AG61">
            <v>7.2561328199360717E-2</v>
          </cell>
        </row>
        <row r="62">
          <cell r="D62">
            <v>0.3830078481474723</v>
          </cell>
          <cell r="E62">
            <v>0.39</v>
          </cell>
          <cell r="F62">
            <v>0.39</v>
          </cell>
          <cell r="G62">
            <v>0.39</v>
          </cell>
          <cell r="H62">
            <v>0.36998810832641493</v>
          </cell>
          <cell r="I62">
            <v>0.36599999999999999</v>
          </cell>
          <cell r="J62">
            <v>0.37497452618707899</v>
          </cell>
          <cell r="K62">
            <v>0.35</v>
          </cell>
          <cell r="L62">
            <v>0.36</v>
          </cell>
          <cell r="M62">
            <v>0.37501409149324727</v>
          </cell>
          <cell r="N62">
            <v>0.37498375568551051</v>
          </cell>
          <cell r="O62">
            <v>0.37503647079418767</v>
          </cell>
          <cell r="P62">
            <v>0.37496659718881892</v>
          </cell>
          <cell r="Q62">
            <v>0.37499324287799091</v>
          </cell>
          <cell r="R62">
            <v>0.37499462265368433</v>
          </cell>
          <cell r="S62">
            <v>0.37498814828861349</v>
          </cell>
          <cell r="T62">
            <v>0.37502739425816367</v>
          </cell>
          <cell r="U62">
            <v>0.37498718605843134</v>
          </cell>
          <cell r="V62">
            <v>0.37500000000000533</v>
          </cell>
          <cell r="W62">
            <v>0.37500000000000072</v>
          </cell>
          <cell r="X62">
            <v>0.37498723317332289</v>
          </cell>
          <cell r="Y62">
            <v>0.38002038735983662</v>
          </cell>
          <cell r="Z62">
            <v>0.37997841867765347</v>
          </cell>
          <cell r="AA62">
            <v>0.27947808309782896</v>
          </cell>
          <cell r="AB62">
            <v>0.35677831568727741</v>
          </cell>
          <cell r="AC62">
            <v>0.38000128857676746</v>
          </cell>
          <cell r="AD62">
            <v>0.38</v>
          </cell>
          <cell r="AE62">
            <v>0.38</v>
          </cell>
          <cell r="AF62">
            <v>0.38</v>
          </cell>
          <cell r="AG62">
            <v>0.37998771786596269</v>
          </cell>
        </row>
        <row r="63">
          <cell r="AD63">
            <v>0.90322580645161299</v>
          </cell>
        </row>
        <row r="64">
          <cell r="I64">
            <v>0.23282534986415526</v>
          </cell>
          <cell r="J64">
            <v>0.37207393320837823</v>
          </cell>
          <cell r="K64">
            <v>0.4196919952614655</v>
          </cell>
          <cell r="L64">
            <v>0.46875668804679926</v>
          </cell>
          <cell r="M64">
            <v>0.37708092095023238</v>
          </cell>
          <cell r="N64">
            <v>0.58279376997374444</v>
          </cell>
          <cell r="O64">
            <v>0.45080218169490194</v>
          </cell>
          <cell r="P64">
            <v>0.45910339303084058</v>
          </cell>
          <cell r="Q64">
            <v>0.48771592073192238</v>
          </cell>
          <cell r="R64">
            <v>0.49094669117647061</v>
          </cell>
          <cell r="S64">
            <v>0.31927102684485686</v>
          </cell>
          <cell r="T64">
            <v>0.20449554809466686</v>
          </cell>
          <cell r="U64">
            <v>0.18576577813070849</v>
          </cell>
          <cell r="V64">
            <v>0.17806283872422957</v>
          </cell>
          <cell r="W64">
            <v>0.21777904032935913</v>
          </cell>
          <cell r="X64">
            <v>0.14142218707418164</v>
          </cell>
          <cell r="Y64">
            <v>0.25090797045422764</v>
          </cell>
          <cell r="Z64">
            <v>0.21304377781758554</v>
          </cell>
          <cell r="AA64">
            <v>0.15832913433437512</v>
          </cell>
          <cell r="AB64">
            <v>0.19004303565919267</v>
          </cell>
          <cell r="AC64">
            <v>0.21308284505897923</v>
          </cell>
          <cell r="AD64">
            <v>0.28236111774857897</v>
          </cell>
          <cell r="AE64">
            <v>0.34790605094505622</v>
          </cell>
          <cell r="AF64">
            <v>0.39758049818811392</v>
          </cell>
          <cell r="AG64">
            <v>0.31341764481971612</v>
          </cell>
        </row>
        <row r="65">
          <cell r="I65">
            <v>0.27930381245560132</v>
          </cell>
          <cell r="J65">
            <v>0.27850532565042752</v>
          </cell>
          <cell r="K65">
            <v>0.33252859688452019</v>
          </cell>
          <cell r="L65">
            <v>0.34864821798481316</v>
          </cell>
          <cell r="M65">
            <v>0.31085252571233424</v>
          </cell>
          <cell r="N65">
            <v>0.38037945395649997</v>
          </cell>
          <cell r="O65">
            <v>0.49758718018756265</v>
          </cell>
          <cell r="P65">
            <v>0.52437235786386172</v>
          </cell>
          <cell r="Q65">
            <v>0.54172738371864093</v>
          </cell>
          <cell r="R65">
            <v>0.48900150842657042</v>
          </cell>
          <cell r="S65">
            <v>0.35048608783104229</v>
          </cell>
          <cell r="T65">
            <v>0.14858949416342337</v>
          </cell>
          <cell r="U65">
            <v>0.1141547342803777</v>
          </cell>
          <cell r="V65">
            <v>0.13477749961680741</v>
          </cell>
          <cell r="W65">
            <v>0.17967349318562631</v>
          </cell>
          <cell r="X65">
            <v>6.7717512721856998E-2</v>
          </cell>
          <cell r="Y65">
            <v>0.21392652974804216</v>
          </cell>
          <cell r="Z65">
            <v>0.31634156253174783</v>
          </cell>
          <cell r="AA65">
            <v>0.17473324028635351</v>
          </cell>
          <cell r="AB65">
            <v>0.19169297492323922</v>
          </cell>
          <cell r="AC65">
            <v>0.24025294678353082</v>
          </cell>
          <cell r="AD65">
            <v>0.30211684861538757</v>
          </cell>
          <cell r="AE65">
            <v>0.25808222578806417</v>
          </cell>
          <cell r="AF65">
            <v>0.36547842489042548</v>
          </cell>
          <cell r="AG65">
            <v>0.29363188088527648</v>
          </cell>
        </row>
        <row r="66">
          <cell r="I66">
            <v>0.2505198534508386</v>
          </cell>
          <cell r="J66">
            <v>-0.58343034536282457</v>
          </cell>
          <cell r="K66">
            <v>0.10811818436014509</v>
          </cell>
          <cell r="L66">
            <v>0.65252293577982701</v>
          </cell>
          <cell r="M66">
            <v>7.1747383541965304E-2</v>
          </cell>
          <cell r="N66">
            <v>0.20112439623089462</v>
          </cell>
          <cell r="O66">
            <v>2.9876571960875591</v>
          </cell>
          <cell r="P66">
            <v>0.58802254184540681</v>
          </cell>
          <cell r="Q66">
            <v>0.44136016655100674</v>
          </cell>
          <cell r="R66">
            <v>0.67217156123596911</v>
          </cell>
          <cell r="S66">
            <v>0.42131979695431387</v>
          </cell>
          <cell r="T66">
            <v>0.1086842258949936</v>
          </cell>
          <cell r="U66">
            <v>8.0031779661016156E-2</v>
          </cell>
          <cell r="V66">
            <v>0.23019312041938367</v>
          </cell>
          <cell r="W66">
            <v>0.20133113862448693</v>
          </cell>
          <cell r="X66">
            <v>-3.2699443413728768E-2</v>
          </cell>
          <cell r="Y66">
            <v>0.11335861778339806</v>
          </cell>
          <cell r="Z66">
            <v>0.10627237506743104</v>
          </cell>
          <cell r="AA66">
            <v>-0.18124891285439748</v>
          </cell>
          <cell r="AB66">
            <v>-6.6006600660035719E-3</v>
          </cell>
          <cell r="AC66">
            <v>-0.17760728842004303</v>
          </cell>
          <cell r="AD66">
            <v>-1.869016284443803E-3</v>
          </cell>
          <cell r="AE66">
            <v>0.15351054141024689</v>
          </cell>
          <cell r="AF66">
            <v>0.68220737527060149</v>
          </cell>
          <cell r="AG66">
            <v>0.15072275226122533</v>
          </cell>
        </row>
        <row r="67">
          <cell r="I67">
            <v>0.24051671109288697</v>
          </cell>
          <cell r="J67">
            <v>-0.66194921208471291</v>
          </cell>
          <cell r="K67">
            <v>5.3158705701078501E-2</v>
          </cell>
          <cell r="L67">
            <v>0.58677795442502401</v>
          </cell>
          <cell r="M67">
            <v>1.9442747483332301E-2</v>
          </cell>
          <cell r="N67">
            <v>0.20024793388429485</v>
          </cell>
          <cell r="O67">
            <v>3.8889548693586606</v>
          </cell>
          <cell r="P67">
            <v>0.66450256035113764</v>
          </cell>
          <cell r="Q67">
            <v>0.49561659848042106</v>
          </cell>
          <cell r="R67">
            <v>0.74839113102837396</v>
          </cell>
          <cell r="S67">
            <v>0.42071197411003181</v>
          </cell>
          <cell r="T67">
            <v>8.714927729867461E-2</v>
          </cell>
          <cell r="U67">
            <v>5.8287095533702482E-2</v>
          </cell>
          <cell r="V67">
            <v>0.2203427678222265</v>
          </cell>
          <cell r="W67">
            <v>0.18706504731390794</v>
          </cell>
          <cell r="X67">
            <v>-5.5590558813550794E-2</v>
          </cell>
          <cell r="Y67">
            <v>0.10083235573431804</v>
          </cell>
          <cell r="Z67">
            <v>7.8696013289035749E-2</v>
          </cell>
          <cell r="AA67">
            <v>-0.23083257090575204</v>
          </cell>
          <cell r="AB67">
            <v>-3.6054131411782264E-2</v>
          </cell>
          <cell r="AC67">
            <v>-0.25402853330596331</v>
          </cell>
          <cell r="AD67">
            <v>-7.7704939012889551E-2</v>
          </cell>
          <cell r="AE67">
            <v>9.1753647407716299E-2</v>
          </cell>
          <cell r="AF67">
            <v>0.68540207336712777</v>
          </cell>
          <cell r="AG67">
            <v>9.0544642451542812E-2</v>
          </cell>
        </row>
        <row r="68">
          <cell r="I68">
            <v>0.27514144916955807</v>
          </cell>
          <cell r="J68">
            <v>-0.57337854286211054</v>
          </cell>
          <cell r="K68">
            <v>-6.2877871825877119E-3</v>
          </cell>
          <cell r="L68">
            <v>0.35469909315746917</v>
          </cell>
          <cell r="M68">
            <v>-4.8464179137970298E-3</v>
          </cell>
          <cell r="N68">
            <v>0.10140986187647383</v>
          </cell>
          <cell r="O68">
            <v>2.4923578561239013</v>
          </cell>
          <cell r="P68">
            <v>0.51788756388416002</v>
          </cell>
          <cell r="Q68">
            <v>0.40719610527917305</v>
          </cell>
          <cell r="R68">
            <v>0.57231754334543372</v>
          </cell>
          <cell r="S68">
            <v>0.3706302794022085</v>
          </cell>
          <cell r="T68">
            <v>6.5063896831416113E-2</v>
          </cell>
          <cell r="U68">
            <v>4.2702153813264365E-2</v>
          </cell>
          <cell r="V68">
            <v>0.19487539867017389</v>
          </cell>
          <cell r="W68">
            <v>0.1609332205285543</v>
          </cell>
          <cell r="X68">
            <v>-7.167915046932738E-2</v>
          </cell>
          <cell r="Y68">
            <v>7.4950690335306991E-2</v>
          </cell>
          <cell r="Z68">
            <v>4.500256278831305E-2</v>
          </cell>
          <cell r="AA68">
            <v>-0.24760224393773733</v>
          </cell>
          <cell r="AB68">
            <v>-5.8535079051380556E-2</v>
          </cell>
          <cell r="AC68">
            <v>-0.20738433255030142</v>
          </cell>
          <cell r="AD68">
            <v>-2.6961335024872635E-2</v>
          </cell>
          <cell r="AE68">
            <v>0.12703757936689941</v>
          </cell>
          <cell r="AF68">
            <v>0.69118353295621926</v>
          </cell>
          <cell r="AG68">
            <v>0.12461076737754939</v>
          </cell>
        </row>
        <row r="69">
          <cell r="I69">
            <v>0.29167282946309969</v>
          </cell>
          <cell r="J69">
            <v>-0.56784556855009094</v>
          </cell>
          <cell r="K69">
            <v>6.532532009406733E-3</v>
          </cell>
          <cell r="L69">
            <v>0.25110400487286078</v>
          </cell>
          <cell r="M69">
            <v>-1.2785355603832871E-2</v>
          </cell>
          <cell r="N69">
            <v>0.10145425397915586</v>
          </cell>
          <cell r="O69">
            <v>2.4920117378545754</v>
          </cell>
          <cell r="P69">
            <v>0.51804257528557107</v>
          </cell>
          <cell r="Q69">
            <v>0.40725413826679779</v>
          </cell>
          <cell r="R69">
            <v>0.5723665223665233</v>
          </cell>
          <cell r="S69">
            <v>0.37062064663686356</v>
          </cell>
          <cell r="T69">
            <v>6.507936507936285E-2</v>
          </cell>
          <cell r="U69">
            <v>4.2667806755022575E-2</v>
          </cell>
          <cell r="V69">
            <v>0.19486248053965949</v>
          </cell>
          <cell r="W69">
            <v>0.16092323223052785</v>
          </cell>
          <cell r="X69">
            <v>-7.167779126213536E-2</v>
          </cell>
          <cell r="Y69">
            <v>6.6362759708952668E-2</v>
          </cell>
          <cell r="Z69">
            <v>3.6657372478267058E-2</v>
          </cell>
          <cell r="AA69">
            <v>-0.13260948244659487</v>
          </cell>
          <cell r="AB69">
            <v>-3.1086956521735765E-2</v>
          </cell>
          <cell r="AC69">
            <v>-0.21374295285562561</v>
          </cell>
          <cell r="AD69">
            <v>-2.6929337699487577E-2</v>
          </cell>
          <cell r="AE69">
            <v>0.12699835014967586</v>
          </cell>
          <cell r="AF69">
            <v>0.45524204862628892</v>
          </cell>
          <cell r="AG69">
            <v>8.3973792994764596E-2</v>
          </cell>
        </row>
        <row r="70">
          <cell r="I70">
            <v>0.22598086998985734</v>
          </cell>
          <cell r="J70">
            <v>-0.58816351556004598</v>
          </cell>
          <cell r="K70">
            <v>-7.7874083610057765E-3</v>
          </cell>
          <cell r="L70">
            <v>0.31767518029379449</v>
          </cell>
          <cell r="M70">
            <v>-4.5104106764586982E-2</v>
          </cell>
          <cell r="N70">
            <v>0.10114500924119763</v>
          </cell>
          <cell r="O70">
            <v>2.5194231921513084</v>
          </cell>
          <cell r="P70">
            <v>0.52752308965398576</v>
          </cell>
          <cell r="Q70">
            <v>0.29739205235807264</v>
          </cell>
          <cell r="R70">
            <v>0.57842155192165023</v>
          </cell>
          <cell r="S70">
            <v>0.3893216967357076</v>
          </cell>
          <cell r="T70">
            <v>7.4936925357141915E-2</v>
          </cell>
          <cell r="U70">
            <v>4.8828645973783447E-2</v>
          </cell>
          <cell r="V70">
            <v>0.20722786743117161</v>
          </cell>
          <cell r="W70">
            <v>0.17293738879806164</v>
          </cell>
          <cell r="X70">
            <v>-7.264268698435894E-2</v>
          </cell>
          <cell r="Y70">
            <v>0.15071877150624124</v>
          </cell>
          <cell r="Z70">
            <v>2.7570684092425024E-2</v>
          </cell>
          <cell r="AA70">
            <v>-0.12281943540612794</v>
          </cell>
          <cell r="AB70">
            <v>-1.3500859022984035E-2</v>
          </cell>
          <cell r="AC70">
            <v>-0.22059028740859621</v>
          </cell>
          <cell r="AD70">
            <v>-0.10138549353737614</v>
          </cell>
          <cell r="AE70">
            <v>0.11983397916535443</v>
          </cell>
          <cell r="AF70">
            <v>0.42238057902242931</v>
          </cell>
          <cell r="AG70">
            <v>5.2353822431927322E-2</v>
          </cell>
        </row>
        <row r="76">
          <cell r="B76" t="str">
            <v>(In millions, except per share data)</v>
          </cell>
        </row>
        <row r="78">
          <cell r="B78" t="str">
            <v>BALANCE SHEET</v>
          </cell>
          <cell r="D78" t="str">
            <v>Fiscal Year End, December 2000</v>
          </cell>
          <cell r="I78" t="str">
            <v>Fiscal Year End, December 2001</v>
          </cell>
          <cell r="N78" t="str">
            <v>Fiscal Year End, December 2002</v>
          </cell>
          <cell r="S78" t="str">
            <v>Fiscal Year End, December 2003</v>
          </cell>
          <cell r="X78" t="str">
            <v>Fiscal Year End, December 2004</v>
          </cell>
          <cell r="AC78" t="str">
            <v>Fiscal Year End, December 2005</v>
          </cell>
        </row>
        <row r="79">
          <cell r="D79" t="str">
            <v>1QA</v>
          </cell>
          <cell r="E79" t="str">
            <v>2QA</v>
          </cell>
          <cell r="F79" t="str">
            <v>3QA</v>
          </cell>
          <cell r="G79" t="str">
            <v>4QA</v>
          </cell>
          <cell r="H79" t="str">
            <v>FY00</v>
          </cell>
          <cell r="I79" t="str">
            <v>1QA</v>
          </cell>
          <cell r="J79" t="str">
            <v>2QA</v>
          </cell>
          <cell r="K79" t="str">
            <v>3QA</v>
          </cell>
          <cell r="L79" t="str">
            <v>4QA</v>
          </cell>
          <cell r="M79" t="str">
            <v>FY01</v>
          </cell>
          <cell r="N79" t="str">
            <v>1QA</v>
          </cell>
          <cell r="O79" t="str">
            <v>2QA</v>
          </cell>
          <cell r="P79" t="str">
            <v>3QA</v>
          </cell>
          <cell r="Q79" t="str">
            <v>4QA</v>
          </cell>
          <cell r="R79" t="str">
            <v>FY02</v>
          </cell>
          <cell r="S79" t="str">
            <v>1QA</v>
          </cell>
          <cell r="T79" t="str">
            <v>2QA</v>
          </cell>
          <cell r="U79" t="str">
            <v>3QA</v>
          </cell>
          <cell r="V79" t="str">
            <v>4QA</v>
          </cell>
          <cell r="W79" t="str">
            <v>FY03</v>
          </cell>
          <cell r="X79" t="str">
            <v>1QA</v>
          </cell>
          <cell r="Y79" t="str">
            <v>2QA</v>
          </cell>
          <cell r="Z79" t="str">
            <v>3QA</v>
          </cell>
          <cell r="AA79" t="str">
            <v>4QA</v>
          </cell>
          <cell r="AB79" t="str">
            <v>FY04</v>
          </cell>
          <cell r="AC79" t="str">
            <v>1QA</v>
          </cell>
          <cell r="AD79" t="str">
            <v>2QE</v>
          </cell>
          <cell r="AE79" t="str">
            <v>3QE</v>
          </cell>
          <cell r="AF79" t="str">
            <v>4QE</v>
          </cell>
          <cell r="AG79" t="str">
            <v>FY 05E</v>
          </cell>
        </row>
        <row r="80">
          <cell r="B80" t="str">
            <v>Assets</v>
          </cell>
        </row>
        <row r="81">
          <cell r="B81" t="str">
            <v>Cash and equivalents / securities</v>
          </cell>
          <cell r="D81">
            <v>99.269000000000005</v>
          </cell>
          <cell r="E81">
            <v>121.38499999999999</v>
          </cell>
          <cell r="F81">
            <v>129.011</v>
          </cell>
          <cell r="G81">
            <v>128.62700000000001</v>
          </cell>
          <cell r="H81">
            <v>128.62700000000001</v>
          </cell>
          <cell r="I81">
            <v>139.63</v>
          </cell>
          <cell r="J81">
            <v>124</v>
          </cell>
          <cell r="K81">
            <v>136.517</v>
          </cell>
          <cell r="L81">
            <v>126.92400000000001</v>
          </cell>
          <cell r="M81">
            <v>126.92400000000001</v>
          </cell>
          <cell r="N81">
            <v>91.347999999999999</v>
          </cell>
          <cell r="O81">
            <v>96.538000000000011</v>
          </cell>
          <cell r="P81">
            <v>76.596999999999994</v>
          </cell>
          <cell r="Q81">
            <v>83.367999999999995</v>
          </cell>
          <cell r="R81">
            <v>83.367999999999995</v>
          </cell>
          <cell r="S81">
            <v>85.671999999999997</v>
          </cell>
          <cell r="T81">
            <v>81.769000000000005</v>
          </cell>
          <cell r="U81">
            <v>75.763000000000005</v>
          </cell>
          <cell r="V81">
            <v>63.036000000000001</v>
          </cell>
          <cell r="W81">
            <v>63.036000000000001</v>
          </cell>
          <cell r="X81">
            <v>65.950999999999993</v>
          </cell>
          <cell r="Y81">
            <v>50.822000000000003</v>
          </cell>
          <cell r="Z81">
            <v>79.265000000000001</v>
          </cell>
          <cell r="AA81">
            <v>62.754000000000005</v>
          </cell>
          <cell r="AB81">
            <v>62.754000000000005</v>
          </cell>
          <cell r="AC81">
            <v>45.331000000000003</v>
          </cell>
          <cell r="AD81">
            <v>22.391821531909585</v>
          </cell>
          <cell r="AE81">
            <v>27.140417600114382</v>
          </cell>
          <cell r="AF81">
            <v>40.898317378188835</v>
          </cell>
          <cell r="AG81">
            <v>40.898317378188835</v>
          </cell>
        </row>
        <row r="82">
          <cell r="B82" t="str">
            <v>Accounts receivable</v>
          </cell>
        </row>
        <row r="83">
          <cell r="B83" t="str">
            <v>Patient accounts</v>
          </cell>
          <cell r="D83">
            <v>91.308999999999997</v>
          </cell>
          <cell r="E83">
            <v>98.385000000000005</v>
          </cell>
          <cell r="F83">
            <v>96.998999999999995</v>
          </cell>
          <cell r="G83">
            <v>99.305000000000007</v>
          </cell>
          <cell r="H83">
            <v>99.305000000000007</v>
          </cell>
          <cell r="I83">
            <v>104.86</v>
          </cell>
          <cell r="J83">
            <v>111.26</v>
          </cell>
          <cell r="K83">
            <v>112.14400000000001</v>
          </cell>
          <cell r="L83">
            <v>118.342</v>
          </cell>
          <cell r="M83">
            <v>118.342</v>
          </cell>
          <cell r="N83">
            <v>138.79300000000001</v>
          </cell>
          <cell r="O83">
            <v>147.262</v>
          </cell>
          <cell r="P83">
            <v>156.27199999999999</v>
          </cell>
          <cell r="Q83">
            <v>163.68799999999999</v>
          </cell>
          <cell r="R83">
            <v>163.68799999999999</v>
          </cell>
          <cell r="S83">
            <v>169.62899999999999</v>
          </cell>
          <cell r="T83">
            <v>171.73699999999999</v>
          </cell>
          <cell r="U83">
            <v>181.97900000000001</v>
          </cell>
          <cell r="V83">
            <v>172.20599999999999</v>
          </cell>
          <cell r="W83">
            <v>172.20599999999999</v>
          </cell>
          <cell r="X83">
            <v>192.17699999999999</v>
          </cell>
          <cell r="Y83">
            <v>213.78899999999999</v>
          </cell>
          <cell r="Z83">
            <v>236.79499999999999</v>
          </cell>
          <cell r="AA83">
            <v>244.73</v>
          </cell>
          <cell r="AB83">
            <v>244.73</v>
          </cell>
          <cell r="AC83">
            <v>287.85500000000002</v>
          </cell>
          <cell r="AD83">
            <v>314.24595766305862</v>
          </cell>
          <cell r="AE83">
            <v>325.09204354954795</v>
          </cell>
          <cell r="AF83">
            <v>338.0026915957269</v>
          </cell>
          <cell r="AG83">
            <v>338.0026915957269</v>
          </cell>
        </row>
        <row r="84">
          <cell r="B84" t="str">
            <v>Allowance for doubtful accounts</v>
          </cell>
          <cell r="D84">
            <v>-1.879</v>
          </cell>
          <cell r="E84">
            <v>-1.909</v>
          </cell>
          <cell r="F84">
            <v>-2.319</v>
          </cell>
          <cell r="G84">
            <v>-2.9540000000000002</v>
          </cell>
          <cell r="H84">
            <v>-2.9540000000000002</v>
          </cell>
          <cell r="I84">
            <v>-2.9870000000000001</v>
          </cell>
          <cell r="J84">
            <v>-3.02</v>
          </cell>
          <cell r="K84">
            <v>-3.153</v>
          </cell>
          <cell r="L84">
            <v>-3.2389999999999999</v>
          </cell>
          <cell r="M84">
            <v>-3.2389999999999999</v>
          </cell>
          <cell r="N84">
            <v>-3.6960000000000002</v>
          </cell>
          <cell r="O84">
            <v>-4.1950000000000003</v>
          </cell>
          <cell r="P84">
            <v>-4.8150000000000004</v>
          </cell>
          <cell r="Q84">
            <v>-5.4370000000000003</v>
          </cell>
          <cell r="R84">
            <v>-5.4370000000000003</v>
          </cell>
          <cell r="S84">
            <v>-5.7489999999999997</v>
          </cell>
          <cell r="T84">
            <v>-5.8840000000000003</v>
          </cell>
          <cell r="U84">
            <v>-6.0730000000000004</v>
          </cell>
          <cell r="V84">
            <v>-5.48</v>
          </cell>
          <cell r="W84">
            <v>-5.48</v>
          </cell>
          <cell r="X84">
            <v>-5.9779999999999998</v>
          </cell>
          <cell r="Y84">
            <v>-6.3150000000000004</v>
          </cell>
          <cell r="Z84">
            <v>-6.8129999999999997</v>
          </cell>
          <cell r="AA84">
            <v>-6.9029999999999996</v>
          </cell>
          <cell r="AB84">
            <v>-6.9029999999999996</v>
          </cell>
          <cell r="AC84">
            <v>-7.6539999999999999</v>
          </cell>
          <cell r="AD84">
            <v>-7.8836200000000005</v>
          </cell>
          <cell r="AE84">
            <v>-8.120128600000001</v>
          </cell>
          <cell r="AF84">
            <v>-8.3637324580000012</v>
          </cell>
          <cell r="AG84">
            <v>-8.3637324580000012</v>
          </cell>
        </row>
        <row r="85">
          <cell r="B85" t="str">
            <v>Due from affiliates</v>
          </cell>
          <cell r="D85">
            <v>0</v>
          </cell>
          <cell r="E85">
            <v>0</v>
          </cell>
          <cell r="F85">
            <v>0</v>
          </cell>
          <cell r="G85">
            <v>0</v>
          </cell>
          <cell r="H85">
            <v>0</v>
          </cell>
          <cell r="I85">
            <v>0</v>
          </cell>
          <cell r="J85">
            <v>0</v>
          </cell>
          <cell r="K85">
            <v>0</v>
          </cell>
          <cell r="L85">
            <v>0</v>
          </cell>
          <cell r="M85">
            <v>0</v>
          </cell>
          <cell r="N85">
            <v>0</v>
          </cell>
          <cell r="O85">
            <v>0</v>
          </cell>
          <cell r="P85">
            <v>0</v>
          </cell>
          <cell r="Q85">
            <v>0</v>
          </cell>
          <cell r="R85">
            <v>0</v>
          </cell>
          <cell r="S85">
            <v>0</v>
          </cell>
          <cell r="T85">
            <v>0</v>
          </cell>
          <cell r="U85">
            <v>0</v>
          </cell>
          <cell r="V85">
            <v>0</v>
          </cell>
          <cell r="W85">
            <v>0</v>
          </cell>
          <cell r="X85">
            <v>0</v>
          </cell>
          <cell r="Y85">
            <v>0</v>
          </cell>
          <cell r="Z85">
            <v>0</v>
          </cell>
          <cell r="AA85">
            <v>0</v>
          </cell>
          <cell r="AB85">
            <v>0</v>
          </cell>
          <cell r="AC85">
            <v>0</v>
          </cell>
          <cell r="AD85">
            <v>0</v>
          </cell>
          <cell r="AE85">
            <v>0</v>
          </cell>
          <cell r="AF85">
            <v>0</v>
          </cell>
          <cell r="AG85">
            <v>0</v>
          </cell>
        </row>
        <row r="86">
          <cell r="B86" t="str">
            <v>Other</v>
          </cell>
          <cell r="D86">
            <v>0</v>
          </cell>
          <cell r="E86">
            <v>0</v>
          </cell>
          <cell r="F86">
            <v>0</v>
          </cell>
          <cell r="G86">
            <v>0</v>
          </cell>
          <cell r="H86">
            <v>0</v>
          </cell>
          <cell r="I86">
            <v>0</v>
          </cell>
          <cell r="J86">
            <v>0</v>
          </cell>
          <cell r="K86">
            <v>0</v>
          </cell>
          <cell r="L86">
            <v>0</v>
          </cell>
          <cell r="M86">
            <v>0</v>
          </cell>
          <cell r="N86">
            <v>0</v>
          </cell>
          <cell r="O86">
            <v>0</v>
          </cell>
          <cell r="P86">
            <v>0</v>
          </cell>
          <cell r="Q86">
            <v>0</v>
          </cell>
          <cell r="R86">
            <v>0</v>
          </cell>
          <cell r="S86">
            <v>0</v>
          </cell>
          <cell r="T86">
            <v>0</v>
          </cell>
          <cell r="U86">
            <v>0</v>
          </cell>
          <cell r="V86">
            <v>0</v>
          </cell>
          <cell r="W86">
            <v>0</v>
          </cell>
          <cell r="X86">
            <v>0</v>
          </cell>
          <cell r="Y86">
            <v>0</v>
          </cell>
          <cell r="Z86">
            <v>0</v>
          </cell>
          <cell r="AA86">
            <v>0</v>
          </cell>
          <cell r="AB86">
            <v>0</v>
          </cell>
          <cell r="AC86">
            <v>0</v>
          </cell>
          <cell r="AD86">
            <v>0</v>
          </cell>
          <cell r="AE86">
            <v>0</v>
          </cell>
          <cell r="AF86">
            <v>0</v>
          </cell>
          <cell r="AG86">
            <v>0</v>
          </cell>
        </row>
        <row r="87">
          <cell r="B87" t="str">
            <v>Accounts receivable - Total</v>
          </cell>
          <cell r="D87">
            <v>91.308999999999997</v>
          </cell>
          <cell r="E87">
            <v>98.385000000000005</v>
          </cell>
          <cell r="F87">
            <v>96.998999999999995</v>
          </cell>
          <cell r="G87">
            <v>99.305000000000007</v>
          </cell>
          <cell r="H87">
            <v>99.305000000000007</v>
          </cell>
          <cell r="I87">
            <v>104.86</v>
          </cell>
          <cell r="J87">
            <v>111.26</v>
          </cell>
          <cell r="K87">
            <v>112.14400000000001</v>
          </cell>
          <cell r="L87">
            <v>118.342</v>
          </cell>
          <cell r="M87">
            <v>118.342</v>
          </cell>
          <cell r="N87">
            <v>138.79300000000001</v>
          </cell>
          <cell r="O87">
            <v>147.262</v>
          </cell>
          <cell r="P87">
            <v>156.27199999999999</v>
          </cell>
          <cell r="Q87">
            <v>163.68799999999999</v>
          </cell>
          <cell r="R87">
            <v>163.68799999999999</v>
          </cell>
          <cell r="S87">
            <v>169.62899999999999</v>
          </cell>
          <cell r="T87">
            <v>171.73699999999999</v>
          </cell>
          <cell r="U87">
            <v>181.97900000000001</v>
          </cell>
          <cell r="V87">
            <v>172.20599999999999</v>
          </cell>
          <cell r="W87">
            <v>172.20599999999999</v>
          </cell>
          <cell r="X87">
            <v>192.17699999999999</v>
          </cell>
          <cell r="Y87">
            <v>213.78899999999999</v>
          </cell>
          <cell r="Z87">
            <v>236.79499999999999</v>
          </cell>
          <cell r="AA87">
            <v>244.73</v>
          </cell>
          <cell r="AB87">
            <v>244.73</v>
          </cell>
          <cell r="AC87">
            <v>287.85500000000002</v>
          </cell>
          <cell r="AD87">
            <v>314.24595766305862</v>
          </cell>
          <cell r="AE87">
            <v>325.09204354954795</v>
          </cell>
          <cell r="AF87">
            <v>338.0026915957269</v>
          </cell>
          <cell r="AG87">
            <v>338.0026915957269</v>
          </cell>
        </row>
        <row r="88">
          <cell r="B88" t="str">
            <v>Inventory, net</v>
          </cell>
          <cell r="D88">
            <v>31.335999999999999</v>
          </cell>
          <cell r="E88">
            <v>24.806999999999999</v>
          </cell>
          <cell r="F88">
            <v>26.937999999999999</v>
          </cell>
          <cell r="G88">
            <v>48.838999999999999</v>
          </cell>
          <cell r="H88">
            <v>48.838999999999999</v>
          </cell>
          <cell r="I88">
            <v>41.7</v>
          </cell>
          <cell r="J88">
            <v>49.566000000000003</v>
          </cell>
          <cell r="K88">
            <v>50.142000000000003</v>
          </cell>
          <cell r="L88">
            <v>74.058000000000007</v>
          </cell>
          <cell r="M88">
            <v>74.058000000000007</v>
          </cell>
          <cell r="N88">
            <v>71.028000000000006</v>
          </cell>
          <cell r="O88">
            <v>90.835999999999999</v>
          </cell>
          <cell r="P88">
            <v>79.632000000000005</v>
          </cell>
          <cell r="Q88">
            <v>108.604</v>
          </cell>
          <cell r="R88">
            <v>108.604</v>
          </cell>
          <cell r="S88">
            <v>103.998</v>
          </cell>
          <cell r="T88">
            <v>107.188</v>
          </cell>
          <cell r="U88">
            <v>99.552999999999997</v>
          </cell>
          <cell r="V88">
            <v>117.218</v>
          </cell>
          <cell r="W88">
            <v>117.218</v>
          </cell>
          <cell r="X88">
            <v>103.55800000000001</v>
          </cell>
          <cell r="Y88">
            <v>104.759</v>
          </cell>
          <cell r="Z88">
            <v>107.898</v>
          </cell>
          <cell r="AA88">
            <v>112.616</v>
          </cell>
          <cell r="AB88">
            <v>112.616</v>
          </cell>
          <cell r="AC88">
            <v>117.44</v>
          </cell>
          <cell r="AD88">
            <v>134.00789421430878</v>
          </cell>
          <cell r="AE88">
            <v>140.82409385653517</v>
          </cell>
          <cell r="AF88">
            <v>152.34695307852746</v>
          </cell>
          <cell r="AG88">
            <v>152.34695307852746</v>
          </cell>
        </row>
        <row r="89">
          <cell r="B89" t="str">
            <v>Other</v>
          </cell>
          <cell r="D89">
            <v>2.9630000000000001</v>
          </cell>
          <cell r="E89">
            <v>7.423</v>
          </cell>
          <cell r="F89">
            <v>2.742</v>
          </cell>
          <cell r="G89">
            <v>1.7829999999999999</v>
          </cell>
          <cell r="H89">
            <v>1.7829999999999999</v>
          </cell>
          <cell r="I89">
            <v>6.444</v>
          </cell>
          <cell r="J89">
            <v>5.7160000000000002</v>
          </cell>
          <cell r="K89">
            <v>3.1739999999999999</v>
          </cell>
          <cell r="L89">
            <v>8.1449999999999996</v>
          </cell>
          <cell r="M89">
            <v>8.1449999999999996</v>
          </cell>
          <cell r="N89">
            <v>10.393000000000001</v>
          </cell>
          <cell r="O89">
            <v>18.611999999999998</v>
          </cell>
          <cell r="P89">
            <v>13.856999999999999</v>
          </cell>
          <cell r="Q89">
            <v>14.667</v>
          </cell>
          <cell r="R89">
            <v>14.667</v>
          </cell>
          <cell r="S89">
            <v>16.437000000000001</v>
          </cell>
          <cell r="T89">
            <v>16.364000000000001</v>
          </cell>
          <cell r="U89">
            <v>17.878</v>
          </cell>
          <cell r="V89">
            <v>18.317</v>
          </cell>
          <cell r="W89">
            <v>18.317</v>
          </cell>
          <cell r="X89">
            <v>19.305</v>
          </cell>
          <cell r="Y89">
            <v>33.360999999999997</v>
          </cell>
          <cell r="Z89">
            <v>34.226999999999997</v>
          </cell>
          <cell r="AA89">
            <v>33.381999999999998</v>
          </cell>
          <cell r="AB89">
            <v>33.381999999999998</v>
          </cell>
          <cell r="AC89">
            <v>34.323999999999998</v>
          </cell>
          <cell r="AD89">
            <v>34.323999999999998</v>
          </cell>
          <cell r="AE89">
            <v>34.323999999999998</v>
          </cell>
          <cell r="AF89">
            <v>34.323999999999998</v>
          </cell>
          <cell r="AG89">
            <v>34.323999999999998</v>
          </cell>
        </row>
        <row r="90">
          <cell r="B90" t="str">
            <v>Income taxes receivable</v>
          </cell>
          <cell r="D90">
            <v>0</v>
          </cell>
          <cell r="E90">
            <v>0</v>
          </cell>
          <cell r="F90">
            <v>0</v>
          </cell>
          <cell r="G90">
            <v>0</v>
          </cell>
          <cell r="H90">
            <v>0</v>
          </cell>
          <cell r="I90">
            <v>0</v>
          </cell>
          <cell r="J90">
            <v>0</v>
          </cell>
          <cell r="K90">
            <v>0</v>
          </cell>
          <cell r="L90">
            <v>0</v>
          </cell>
          <cell r="M90">
            <v>0</v>
          </cell>
          <cell r="N90">
            <v>0</v>
          </cell>
          <cell r="O90">
            <v>0</v>
          </cell>
          <cell r="P90">
            <v>0</v>
          </cell>
          <cell r="Q90">
            <v>0</v>
          </cell>
          <cell r="R90">
            <v>0</v>
          </cell>
          <cell r="S90">
            <v>0</v>
          </cell>
          <cell r="T90">
            <v>0</v>
          </cell>
          <cell r="U90">
            <v>0</v>
          </cell>
          <cell r="V90">
            <v>0</v>
          </cell>
          <cell r="W90">
            <v>0</v>
          </cell>
          <cell r="X90">
            <v>0</v>
          </cell>
          <cell r="Y90">
            <v>0</v>
          </cell>
          <cell r="Z90">
            <v>0</v>
          </cell>
          <cell r="AA90">
            <v>0</v>
          </cell>
          <cell r="AB90">
            <v>0</v>
          </cell>
          <cell r="AC90">
            <v>0</v>
          </cell>
          <cell r="AD90">
            <v>0</v>
          </cell>
          <cell r="AE90">
            <v>0</v>
          </cell>
          <cell r="AF90">
            <v>0</v>
          </cell>
          <cell r="AG90">
            <v>0</v>
          </cell>
        </row>
        <row r="91">
          <cell r="B91" t="str">
            <v>Deferred income taxes</v>
          </cell>
          <cell r="D91">
            <v>1.6850000000000001</v>
          </cell>
          <cell r="E91">
            <v>1.917</v>
          </cell>
          <cell r="F91">
            <v>1.9930000000000001</v>
          </cell>
          <cell r="G91">
            <v>2.6680000000000001</v>
          </cell>
          <cell r="H91">
            <v>2.6680000000000001</v>
          </cell>
          <cell r="I91">
            <v>2.6680000000000001</v>
          </cell>
          <cell r="J91">
            <v>2.6680000000000001</v>
          </cell>
          <cell r="K91">
            <v>1.661</v>
          </cell>
          <cell r="L91">
            <v>2.165</v>
          </cell>
          <cell r="M91">
            <v>2.165</v>
          </cell>
          <cell r="N91">
            <v>2.165</v>
          </cell>
          <cell r="O91">
            <v>2.165</v>
          </cell>
          <cell r="P91">
            <v>2.165</v>
          </cell>
          <cell r="Q91">
            <v>3.2210000000000001</v>
          </cell>
          <cell r="R91">
            <v>3.2210000000000001</v>
          </cell>
          <cell r="S91">
            <v>3.2210000000000001</v>
          </cell>
          <cell r="T91">
            <v>3.2210000000000001</v>
          </cell>
          <cell r="U91">
            <v>3.2210000000000001</v>
          </cell>
          <cell r="V91">
            <v>2.3250000000000002</v>
          </cell>
          <cell r="W91">
            <v>2.3250000000000002</v>
          </cell>
          <cell r="X91">
            <v>2.3250000000000002</v>
          </cell>
          <cell r="Y91">
            <v>2.3250000000000002</v>
          </cell>
          <cell r="Z91">
            <v>2.3250000000000002</v>
          </cell>
          <cell r="AA91">
            <v>3.0750000000000002</v>
          </cell>
          <cell r="AB91">
            <v>3.0750000000000002</v>
          </cell>
          <cell r="AC91">
            <v>3.0750000000000002</v>
          </cell>
          <cell r="AD91">
            <v>3.0903749999999999</v>
          </cell>
          <cell r="AE91">
            <v>3.1058268749999995</v>
          </cell>
          <cell r="AF91">
            <v>3.121356009374999</v>
          </cell>
          <cell r="AG91">
            <v>3.121356009374999</v>
          </cell>
        </row>
        <row r="92">
          <cell r="B92" t="str">
            <v>Total current assets</v>
          </cell>
          <cell r="D92">
            <v>226.56199999999998</v>
          </cell>
          <cell r="E92">
            <v>253.91699999999997</v>
          </cell>
          <cell r="F92">
            <v>257.68299999999999</v>
          </cell>
          <cell r="G92">
            <v>281.22200000000004</v>
          </cell>
          <cell r="H92">
            <v>281.22200000000004</v>
          </cell>
          <cell r="I92">
            <v>295.30200000000002</v>
          </cell>
          <cell r="J92">
            <v>293.21000000000004</v>
          </cell>
          <cell r="K92">
            <v>303.63799999999998</v>
          </cell>
          <cell r="L92">
            <v>329.63400000000001</v>
          </cell>
          <cell r="M92">
            <v>329.63400000000001</v>
          </cell>
          <cell r="N92">
            <v>313.72700000000003</v>
          </cell>
          <cell r="O92">
            <v>355.41300000000007</v>
          </cell>
          <cell r="P92">
            <v>328.52299999999997</v>
          </cell>
          <cell r="Q92">
            <v>373.54799999999994</v>
          </cell>
          <cell r="R92">
            <v>373.54799999999994</v>
          </cell>
          <cell r="S92">
            <v>378.95699999999999</v>
          </cell>
          <cell r="T92">
            <v>380.279</v>
          </cell>
          <cell r="U92">
            <v>378.39400000000001</v>
          </cell>
          <cell r="V92">
            <v>373.10199999999998</v>
          </cell>
          <cell r="W92">
            <v>373.10199999999998</v>
          </cell>
          <cell r="X92">
            <v>383.31599999999997</v>
          </cell>
          <cell r="Y92">
            <v>405.05599999999998</v>
          </cell>
          <cell r="Z92">
            <v>460.50999999999993</v>
          </cell>
          <cell r="AA92">
            <v>456.55699999999996</v>
          </cell>
          <cell r="AB92">
            <v>456.55699999999996</v>
          </cell>
          <cell r="AC92">
            <v>488.02500000000003</v>
          </cell>
          <cell r="AD92">
            <v>508.06004840927693</v>
          </cell>
          <cell r="AE92">
            <v>530.48638188119753</v>
          </cell>
          <cell r="AF92">
            <v>568.6933180618181</v>
          </cell>
          <cell r="AG92">
            <v>568.6933180618181</v>
          </cell>
        </row>
        <row r="93">
          <cell r="AB93">
            <v>0</v>
          </cell>
        </row>
        <row r="94">
          <cell r="B94" t="str">
            <v>Fixed assets, net</v>
          </cell>
          <cell r="D94">
            <v>2.7480000000000002</v>
          </cell>
          <cell r="E94">
            <v>3.6549999999999998</v>
          </cell>
          <cell r="F94">
            <v>3.762</v>
          </cell>
          <cell r="G94">
            <v>3.952</v>
          </cell>
          <cell r="H94">
            <v>3.952</v>
          </cell>
          <cell r="I94">
            <v>4.008</v>
          </cell>
          <cell r="J94">
            <v>4.1769999999999996</v>
          </cell>
          <cell r="K94">
            <v>6.6269999999999998</v>
          </cell>
          <cell r="L94">
            <v>9.8279999999999994</v>
          </cell>
          <cell r="M94">
            <v>9.8279999999999994</v>
          </cell>
          <cell r="N94">
            <v>11.090999999999999</v>
          </cell>
          <cell r="O94">
            <v>12.369</v>
          </cell>
          <cell r="P94">
            <v>13.866</v>
          </cell>
          <cell r="Q94">
            <v>13.748999999999999</v>
          </cell>
          <cell r="R94">
            <v>13.748999999999999</v>
          </cell>
          <cell r="S94">
            <v>15.301</v>
          </cell>
          <cell r="T94">
            <v>20.277999999999999</v>
          </cell>
          <cell r="U94">
            <v>23.962</v>
          </cell>
          <cell r="V94">
            <v>29.78</v>
          </cell>
          <cell r="W94">
            <v>29.78</v>
          </cell>
          <cell r="X94">
            <v>31.89</v>
          </cell>
          <cell r="Y94">
            <v>33.417999999999999</v>
          </cell>
          <cell r="Z94">
            <v>37.691000000000003</v>
          </cell>
          <cell r="AA94">
            <v>48.208999999999996</v>
          </cell>
          <cell r="AB94">
            <v>48.208999999999996</v>
          </cell>
          <cell r="AC94">
            <v>60.65</v>
          </cell>
          <cell r="AD94">
            <v>61.309249999999999</v>
          </cell>
          <cell r="AE94">
            <v>61.968499999999999</v>
          </cell>
          <cell r="AF94">
            <v>62.627750000000006</v>
          </cell>
          <cell r="AG94">
            <v>62.627750000000006</v>
          </cell>
        </row>
        <row r="95">
          <cell r="B95" t="str">
            <v>Goodwill, net</v>
          </cell>
          <cell r="D95">
            <v>9.6470000000000002</v>
          </cell>
          <cell r="E95">
            <v>9.5269999999999992</v>
          </cell>
          <cell r="F95">
            <v>9.76</v>
          </cell>
          <cell r="G95">
            <v>9.6349999999999998</v>
          </cell>
          <cell r="H95">
            <v>9.6349999999999998</v>
          </cell>
          <cell r="I95">
            <v>26.300999999999998</v>
          </cell>
          <cell r="J95">
            <v>41.387999999999998</v>
          </cell>
          <cell r="K95">
            <v>40.838999999999999</v>
          </cell>
          <cell r="L95">
            <v>56.554000000000002</v>
          </cell>
          <cell r="M95">
            <v>56.554000000000002</v>
          </cell>
          <cell r="N95">
            <v>83.563000000000002</v>
          </cell>
          <cell r="O95">
            <v>83.64</v>
          </cell>
          <cell r="P95">
            <v>88.417000000000002</v>
          </cell>
          <cell r="Q95">
            <v>92.784999999999997</v>
          </cell>
          <cell r="R95">
            <v>92.784999999999997</v>
          </cell>
          <cell r="S95">
            <v>92.76</v>
          </cell>
          <cell r="T95">
            <v>92.787999999999997</v>
          </cell>
          <cell r="U95">
            <v>105.402</v>
          </cell>
          <cell r="V95">
            <v>107.127</v>
          </cell>
          <cell r="W95">
            <v>107.127</v>
          </cell>
          <cell r="X95">
            <v>112.871</v>
          </cell>
          <cell r="Y95">
            <v>120.56399999999999</v>
          </cell>
          <cell r="Z95">
            <v>157.32499999999999</v>
          </cell>
          <cell r="AA95">
            <v>158.74100000000001</v>
          </cell>
          <cell r="AB95">
            <v>158.74100000000001</v>
          </cell>
          <cell r="AC95">
            <v>159.25899999999999</v>
          </cell>
          <cell r="AD95">
            <v>179.584</v>
          </cell>
          <cell r="AE95">
            <v>182.97149999999999</v>
          </cell>
          <cell r="AF95">
            <v>181.35899999999998</v>
          </cell>
          <cell r="AG95">
            <v>181.35899999999998</v>
          </cell>
        </row>
        <row r="96">
          <cell r="B96" t="str">
            <v>Other</v>
          </cell>
          <cell r="D96">
            <v>3.7999999999999999E-2</v>
          </cell>
          <cell r="E96">
            <v>2.0569999999999999</v>
          </cell>
          <cell r="F96">
            <v>2.0569999999999999</v>
          </cell>
          <cell r="G96">
            <v>2.2920000000000003</v>
          </cell>
          <cell r="H96">
            <v>2.2920000000000003</v>
          </cell>
          <cell r="I96">
            <v>2.2920000000000003</v>
          </cell>
          <cell r="J96">
            <v>0.38600000000000001</v>
          </cell>
          <cell r="K96">
            <v>0.122</v>
          </cell>
          <cell r="L96">
            <v>0</v>
          </cell>
          <cell r="M96">
            <v>0</v>
          </cell>
          <cell r="N96">
            <v>0</v>
          </cell>
          <cell r="O96">
            <v>0.81599999999999995</v>
          </cell>
          <cell r="P96">
            <v>0</v>
          </cell>
          <cell r="Q96">
            <v>4.78</v>
          </cell>
          <cell r="R96">
            <v>4.78</v>
          </cell>
          <cell r="S96">
            <v>1.976</v>
          </cell>
          <cell r="T96">
            <v>0</v>
          </cell>
          <cell r="U96">
            <v>6</v>
          </cell>
          <cell r="V96">
            <v>4</v>
          </cell>
          <cell r="W96">
            <v>4</v>
          </cell>
          <cell r="X96">
            <v>4.5819999999999999</v>
          </cell>
          <cell r="Y96">
            <v>4.5819999999999999</v>
          </cell>
          <cell r="Z96">
            <v>5.1050000000000004</v>
          </cell>
          <cell r="AA96">
            <v>5.8860000000000001</v>
          </cell>
          <cell r="AB96">
            <v>5.8860000000000001</v>
          </cell>
          <cell r="AC96">
            <v>6.0039999999999996</v>
          </cell>
          <cell r="AD96">
            <v>6.0039999999999996</v>
          </cell>
          <cell r="AE96">
            <v>6.0039999999999996</v>
          </cell>
          <cell r="AF96">
            <v>6.0039999999999996</v>
          </cell>
          <cell r="AG96">
            <v>6.0039999999999996</v>
          </cell>
        </row>
        <row r="97">
          <cell r="B97" t="str">
            <v>Total assets</v>
          </cell>
          <cell r="D97">
            <v>238.99499999999998</v>
          </cell>
          <cell r="E97">
            <v>269.15599999999995</v>
          </cell>
          <cell r="F97">
            <v>273.262</v>
          </cell>
          <cell r="G97">
            <v>297.10100000000006</v>
          </cell>
          <cell r="H97">
            <v>297.10100000000006</v>
          </cell>
          <cell r="I97">
            <v>327.90300000000002</v>
          </cell>
          <cell r="J97">
            <v>339.16100000000006</v>
          </cell>
          <cell r="K97">
            <v>351.226</v>
          </cell>
          <cell r="L97">
            <v>396.01600000000002</v>
          </cell>
          <cell r="M97">
            <v>396.01600000000002</v>
          </cell>
          <cell r="N97">
            <v>408.38100000000003</v>
          </cell>
          <cell r="O97">
            <v>452.23800000000006</v>
          </cell>
          <cell r="P97">
            <v>430.80599999999998</v>
          </cell>
          <cell r="Q97">
            <v>484.86199999999997</v>
          </cell>
          <cell r="R97">
            <v>484.86199999999997</v>
          </cell>
          <cell r="S97">
            <v>488.99400000000003</v>
          </cell>
          <cell r="T97">
            <v>493.34500000000003</v>
          </cell>
          <cell r="U97">
            <v>513.75800000000004</v>
          </cell>
          <cell r="V97">
            <v>514.00900000000001</v>
          </cell>
          <cell r="W97">
            <v>514.00900000000001</v>
          </cell>
          <cell r="X97">
            <v>532.65899999999999</v>
          </cell>
          <cell r="Y97">
            <v>563.62</v>
          </cell>
          <cell r="Z97">
            <v>660.63099999999986</v>
          </cell>
          <cell r="AA97">
            <v>669.39300000000003</v>
          </cell>
          <cell r="AB97">
            <v>669.39300000000003</v>
          </cell>
          <cell r="AC97">
            <v>713.93799999999999</v>
          </cell>
          <cell r="AD97">
            <v>754.95729840927697</v>
          </cell>
          <cell r="AE97">
            <v>781.43038188119749</v>
          </cell>
          <cell r="AF97">
            <v>818.68406806181804</v>
          </cell>
          <cell r="AG97">
            <v>818.68406806181804</v>
          </cell>
        </row>
        <row r="99">
          <cell r="B99" t="str">
            <v>Liabilities</v>
          </cell>
        </row>
        <row r="100">
          <cell r="B100" t="str">
            <v>Accounts payable</v>
          </cell>
          <cell r="D100">
            <v>59.317999999999998</v>
          </cell>
          <cell r="E100">
            <v>64.114000000000004</v>
          </cell>
          <cell r="F100">
            <v>65.820999999999998</v>
          </cell>
          <cell r="G100">
            <v>77.257000000000005</v>
          </cell>
          <cell r="H100">
            <v>77.257000000000005</v>
          </cell>
          <cell r="I100">
            <v>81.765000000000001</v>
          </cell>
          <cell r="J100">
            <v>88.866</v>
          </cell>
          <cell r="K100">
            <v>91.637</v>
          </cell>
          <cell r="L100">
            <v>116.148</v>
          </cell>
          <cell r="M100">
            <v>116.148</v>
          </cell>
          <cell r="N100">
            <v>108.21299999999999</v>
          </cell>
          <cell r="O100">
            <v>140.435</v>
          </cell>
          <cell r="P100">
            <v>118.53700000000001</v>
          </cell>
          <cell r="Q100">
            <v>142.666</v>
          </cell>
          <cell r="R100">
            <v>142.666</v>
          </cell>
          <cell r="S100">
            <v>151.37700000000001</v>
          </cell>
          <cell r="T100">
            <v>154.31800000000001</v>
          </cell>
          <cell r="U100">
            <v>157.768</v>
          </cell>
          <cell r="V100">
            <v>151.53899999999999</v>
          </cell>
          <cell r="W100">
            <v>151.53899999999999</v>
          </cell>
          <cell r="X100">
            <v>152.52000000000001</v>
          </cell>
          <cell r="Y100">
            <v>164.19499999999999</v>
          </cell>
          <cell r="Z100">
            <v>163.17599999999999</v>
          </cell>
          <cell r="AA100">
            <v>173.96899999999999</v>
          </cell>
          <cell r="AB100">
            <v>173.96899999999999</v>
          </cell>
          <cell r="AC100">
            <v>199.68600000000001</v>
          </cell>
          <cell r="AD100">
            <v>231.30129686305352</v>
          </cell>
          <cell r="AE100">
            <v>243.06624419073199</v>
          </cell>
          <cell r="AF100">
            <v>262.95501490266383</v>
          </cell>
          <cell r="AG100">
            <v>262.95501490266383</v>
          </cell>
        </row>
        <row r="101">
          <cell r="B101" t="str">
            <v>Accrued expenses</v>
          </cell>
          <cell r="D101">
            <v>0</v>
          </cell>
          <cell r="E101">
            <v>0</v>
          </cell>
          <cell r="F101">
            <v>0</v>
          </cell>
          <cell r="G101">
            <v>0</v>
          </cell>
          <cell r="H101">
            <v>0</v>
          </cell>
          <cell r="I101">
            <v>0</v>
          </cell>
          <cell r="J101">
            <v>0</v>
          </cell>
          <cell r="K101">
            <v>15.83</v>
          </cell>
          <cell r="L101">
            <v>0</v>
          </cell>
          <cell r="M101">
            <v>0</v>
          </cell>
          <cell r="N101">
            <v>0</v>
          </cell>
          <cell r="O101">
            <v>0</v>
          </cell>
          <cell r="P101">
            <v>0</v>
          </cell>
          <cell r="Q101">
            <v>0</v>
          </cell>
          <cell r="R101">
            <v>0</v>
          </cell>
          <cell r="S101">
            <v>0</v>
          </cell>
          <cell r="T101">
            <v>0</v>
          </cell>
          <cell r="U101">
            <v>0</v>
          </cell>
          <cell r="V101">
            <v>0</v>
          </cell>
          <cell r="W101">
            <v>0</v>
          </cell>
          <cell r="X101">
            <v>0</v>
          </cell>
          <cell r="Y101">
            <v>0</v>
          </cell>
          <cell r="Z101">
            <v>0</v>
          </cell>
          <cell r="AA101">
            <v>0</v>
          </cell>
          <cell r="AB101">
            <v>0</v>
          </cell>
          <cell r="AC101">
            <v>0</v>
          </cell>
          <cell r="AD101">
            <v>0</v>
          </cell>
          <cell r="AE101">
            <v>0</v>
          </cell>
          <cell r="AF101">
            <v>0</v>
          </cell>
          <cell r="AG101">
            <v>0</v>
          </cell>
        </row>
        <row r="102">
          <cell r="B102" t="str">
            <v>Income taxes payable</v>
          </cell>
          <cell r="D102">
            <v>0</v>
          </cell>
          <cell r="E102">
            <v>0</v>
          </cell>
          <cell r="F102">
            <v>0</v>
          </cell>
          <cell r="G102">
            <v>0</v>
          </cell>
          <cell r="H102">
            <v>0</v>
          </cell>
          <cell r="I102">
            <v>0</v>
          </cell>
          <cell r="J102">
            <v>0</v>
          </cell>
          <cell r="K102">
            <v>0</v>
          </cell>
          <cell r="L102">
            <v>0</v>
          </cell>
          <cell r="M102">
            <v>0</v>
          </cell>
          <cell r="N102">
            <v>0</v>
          </cell>
          <cell r="O102">
            <v>0</v>
          </cell>
          <cell r="P102">
            <v>0</v>
          </cell>
          <cell r="Q102">
            <v>0</v>
          </cell>
          <cell r="R102">
            <v>0</v>
          </cell>
          <cell r="S102">
            <v>0</v>
          </cell>
          <cell r="T102">
            <v>0</v>
          </cell>
          <cell r="U102">
            <v>0</v>
          </cell>
          <cell r="V102">
            <v>0</v>
          </cell>
          <cell r="W102">
            <v>0</v>
          </cell>
          <cell r="X102">
            <v>0</v>
          </cell>
          <cell r="Y102">
            <v>0</v>
          </cell>
          <cell r="Z102">
            <v>0</v>
          </cell>
          <cell r="AA102">
            <v>0</v>
          </cell>
          <cell r="AB102">
            <v>0</v>
          </cell>
          <cell r="AC102">
            <v>0</v>
          </cell>
          <cell r="AD102">
            <v>0</v>
          </cell>
          <cell r="AE102">
            <v>0</v>
          </cell>
          <cell r="AF102">
            <v>0</v>
          </cell>
          <cell r="AG102">
            <v>0</v>
          </cell>
        </row>
        <row r="103">
          <cell r="B103" t="str">
            <v>Current portion of long-term debt / Line of Credit</v>
          </cell>
          <cell r="D103">
            <v>0</v>
          </cell>
          <cell r="E103">
            <v>0</v>
          </cell>
          <cell r="F103">
            <v>0</v>
          </cell>
          <cell r="G103">
            <v>0</v>
          </cell>
          <cell r="H103">
            <v>0</v>
          </cell>
          <cell r="I103">
            <v>0</v>
          </cell>
          <cell r="J103">
            <v>0</v>
          </cell>
          <cell r="K103">
            <v>0</v>
          </cell>
          <cell r="L103">
            <v>0</v>
          </cell>
          <cell r="M103">
            <v>0</v>
          </cell>
          <cell r="N103">
            <v>0</v>
          </cell>
          <cell r="O103">
            <v>0</v>
          </cell>
          <cell r="P103">
            <v>0</v>
          </cell>
          <cell r="Q103">
            <v>0</v>
          </cell>
          <cell r="R103">
            <v>0</v>
          </cell>
          <cell r="S103">
            <v>0</v>
          </cell>
          <cell r="T103">
            <v>0</v>
          </cell>
          <cell r="U103">
            <v>0</v>
          </cell>
          <cell r="V103">
            <v>0</v>
          </cell>
          <cell r="W103">
            <v>0</v>
          </cell>
          <cell r="X103">
            <v>0</v>
          </cell>
          <cell r="Y103">
            <v>5.0060000000000002</v>
          </cell>
          <cell r="Z103">
            <v>45.274000000000001</v>
          </cell>
          <cell r="AA103">
            <v>40.29</v>
          </cell>
          <cell r="AB103">
            <v>40.29</v>
          </cell>
          <cell r="AC103">
            <v>45.369</v>
          </cell>
          <cell r="AD103">
            <v>40.29</v>
          </cell>
          <cell r="AE103">
            <v>40.29</v>
          </cell>
          <cell r="AF103">
            <v>40.29</v>
          </cell>
          <cell r="AG103">
            <v>40.29</v>
          </cell>
        </row>
        <row r="104">
          <cell r="B104" t="str">
            <v>Due to affiliates and other</v>
          </cell>
          <cell r="D104">
            <v>5.6539999999999999</v>
          </cell>
          <cell r="E104">
            <v>10.542</v>
          </cell>
          <cell r="F104">
            <v>4.843</v>
          </cell>
          <cell r="G104">
            <v>9.2409999999999997</v>
          </cell>
          <cell r="H104">
            <v>9.2409999999999997</v>
          </cell>
          <cell r="I104">
            <v>11.541</v>
          </cell>
          <cell r="J104">
            <v>11.17</v>
          </cell>
          <cell r="K104">
            <v>0</v>
          </cell>
          <cell r="L104">
            <v>24.806000000000001</v>
          </cell>
          <cell r="M104">
            <v>24.806000000000001</v>
          </cell>
          <cell r="N104">
            <v>29.173999999999999</v>
          </cell>
          <cell r="O104">
            <v>28.463000000000001</v>
          </cell>
          <cell r="P104">
            <v>29.015999999999998</v>
          </cell>
          <cell r="Q104">
            <v>45.448</v>
          </cell>
          <cell r="R104">
            <v>45.448</v>
          </cell>
          <cell r="S104">
            <v>26.474</v>
          </cell>
          <cell r="T104">
            <v>18.393999999999998</v>
          </cell>
          <cell r="U104">
            <v>26.154</v>
          </cell>
          <cell r="V104">
            <v>13.124000000000001</v>
          </cell>
          <cell r="W104">
            <v>13.124000000000001</v>
          </cell>
          <cell r="X104">
            <v>18.696000000000002</v>
          </cell>
          <cell r="Y104">
            <v>20.03</v>
          </cell>
          <cell r="Z104">
            <v>36.249000000000002</v>
          </cell>
          <cell r="AA104">
            <v>26.905999999999999</v>
          </cell>
          <cell r="AB104">
            <v>26.905999999999999</v>
          </cell>
          <cell r="AC104">
            <v>29.716000000000001</v>
          </cell>
          <cell r="AD104">
            <v>29.716000000000001</v>
          </cell>
          <cell r="AE104">
            <v>29.716000000000001</v>
          </cell>
          <cell r="AF104">
            <v>29.716000000000001</v>
          </cell>
          <cell r="AG104">
            <v>29.716000000000001</v>
          </cell>
        </row>
        <row r="105">
          <cell r="B105" t="str">
            <v>Current liabilities</v>
          </cell>
          <cell r="D105">
            <v>64.971999999999994</v>
          </cell>
          <cell r="E105">
            <v>74.656000000000006</v>
          </cell>
          <cell r="F105">
            <v>70.664000000000001</v>
          </cell>
          <cell r="G105">
            <v>86.498000000000005</v>
          </cell>
          <cell r="H105">
            <v>86.498000000000005</v>
          </cell>
          <cell r="I105">
            <v>93.305999999999997</v>
          </cell>
          <cell r="J105">
            <v>100.036</v>
          </cell>
          <cell r="K105">
            <v>107.467</v>
          </cell>
          <cell r="L105">
            <v>140.95400000000001</v>
          </cell>
          <cell r="M105">
            <v>140.95400000000001</v>
          </cell>
          <cell r="N105">
            <v>137.387</v>
          </cell>
          <cell r="O105">
            <v>168.898</v>
          </cell>
          <cell r="P105">
            <v>147.553</v>
          </cell>
          <cell r="Q105">
            <v>188.114</v>
          </cell>
          <cell r="R105">
            <v>188.114</v>
          </cell>
          <cell r="S105">
            <v>177.851</v>
          </cell>
          <cell r="T105">
            <v>172.71200000000002</v>
          </cell>
          <cell r="U105">
            <v>183.922</v>
          </cell>
          <cell r="V105">
            <v>164.66299999999998</v>
          </cell>
          <cell r="W105">
            <v>164.66299999999998</v>
          </cell>
          <cell r="X105">
            <v>171.21600000000001</v>
          </cell>
          <cell r="Y105">
            <v>189.23099999999999</v>
          </cell>
          <cell r="Z105">
            <v>244.69899999999998</v>
          </cell>
          <cell r="AA105">
            <v>241.16499999999999</v>
          </cell>
          <cell r="AB105">
            <v>241.16499999999999</v>
          </cell>
          <cell r="AC105">
            <v>274.77100000000002</v>
          </cell>
          <cell r="AD105">
            <v>301.30729686305352</v>
          </cell>
          <cell r="AE105">
            <v>313.07224419073202</v>
          </cell>
          <cell r="AF105">
            <v>332.96101490266386</v>
          </cell>
          <cell r="AG105">
            <v>332.96101490266386</v>
          </cell>
        </row>
        <row r="107">
          <cell r="B107" t="str">
            <v>Long term debt / LOC</v>
          </cell>
          <cell r="D107">
            <v>0</v>
          </cell>
          <cell r="E107">
            <v>0</v>
          </cell>
          <cell r="F107">
            <v>0</v>
          </cell>
          <cell r="G107">
            <v>0</v>
          </cell>
          <cell r="H107">
            <v>0</v>
          </cell>
          <cell r="I107">
            <v>0</v>
          </cell>
          <cell r="J107">
            <v>0</v>
          </cell>
          <cell r="K107">
            <v>0</v>
          </cell>
          <cell r="L107">
            <v>0</v>
          </cell>
          <cell r="M107">
            <v>0</v>
          </cell>
          <cell r="N107">
            <v>0</v>
          </cell>
          <cell r="O107">
            <v>0</v>
          </cell>
          <cell r="P107">
            <v>0</v>
          </cell>
          <cell r="Q107">
            <v>0</v>
          </cell>
          <cell r="R107">
            <v>0</v>
          </cell>
          <cell r="S107">
            <v>0</v>
          </cell>
          <cell r="T107">
            <v>0</v>
          </cell>
          <cell r="U107">
            <v>0</v>
          </cell>
          <cell r="V107">
            <v>0</v>
          </cell>
          <cell r="W107">
            <v>0</v>
          </cell>
          <cell r="X107">
            <v>0</v>
          </cell>
          <cell r="Y107">
            <v>0</v>
          </cell>
          <cell r="Z107">
            <v>0</v>
          </cell>
          <cell r="AA107">
            <v>0</v>
          </cell>
          <cell r="AB107">
            <v>0</v>
          </cell>
          <cell r="AC107">
            <v>0</v>
          </cell>
          <cell r="AD107">
            <v>0</v>
          </cell>
          <cell r="AE107">
            <v>0</v>
          </cell>
          <cell r="AF107">
            <v>0</v>
          </cell>
          <cell r="AG107">
            <v>0</v>
          </cell>
        </row>
        <row r="108">
          <cell r="B108" t="str">
            <v>Deferred income taxes</v>
          </cell>
          <cell r="D108">
            <v>0</v>
          </cell>
          <cell r="E108">
            <v>0</v>
          </cell>
          <cell r="F108">
            <v>0</v>
          </cell>
          <cell r="G108">
            <v>0</v>
          </cell>
          <cell r="H108">
            <v>0</v>
          </cell>
          <cell r="I108">
            <v>0</v>
          </cell>
          <cell r="J108">
            <v>0</v>
          </cell>
          <cell r="K108">
            <v>0.16600000000000001</v>
          </cell>
          <cell r="L108">
            <v>0.72199999999999998</v>
          </cell>
          <cell r="M108">
            <v>0.72199999999999998</v>
          </cell>
          <cell r="N108">
            <v>0.72199999999999998</v>
          </cell>
          <cell r="O108">
            <v>0.72199999999999998</v>
          </cell>
          <cell r="P108">
            <v>0.72199999999999998</v>
          </cell>
          <cell r="Q108">
            <v>2.3210000000000002</v>
          </cell>
          <cell r="R108">
            <v>2.3210000000000002</v>
          </cell>
          <cell r="S108">
            <v>2.3210000000000002</v>
          </cell>
          <cell r="T108">
            <v>2.3210000000000002</v>
          </cell>
          <cell r="U108">
            <v>2.3210000000000002</v>
          </cell>
          <cell r="V108">
            <v>6.4370000000000003</v>
          </cell>
          <cell r="W108">
            <v>6.4370000000000003</v>
          </cell>
          <cell r="X108">
            <v>6.4370000000000003</v>
          </cell>
          <cell r="Y108">
            <v>6.49</v>
          </cell>
          <cell r="Z108">
            <v>6.49</v>
          </cell>
          <cell r="AA108">
            <v>9.7140000000000004</v>
          </cell>
          <cell r="AB108">
            <v>9.7140000000000004</v>
          </cell>
          <cell r="AC108">
            <v>9.7140000000000004</v>
          </cell>
          <cell r="AD108">
            <v>9.7140000000000004</v>
          </cell>
          <cell r="AE108">
            <v>9.7140000000000004</v>
          </cell>
          <cell r="AF108">
            <v>9.7140000000000004</v>
          </cell>
          <cell r="AG108">
            <v>9.7140000000000004</v>
          </cell>
        </row>
        <row r="109">
          <cell r="B109" t="str">
            <v xml:space="preserve"> Minority interest in consolidated joint venture</v>
          </cell>
          <cell r="D109">
            <v>0</v>
          </cell>
          <cell r="E109">
            <v>0</v>
          </cell>
          <cell r="F109">
            <v>0</v>
          </cell>
          <cell r="G109">
            <v>0</v>
          </cell>
          <cell r="H109">
            <v>0</v>
          </cell>
          <cell r="I109">
            <v>0</v>
          </cell>
          <cell r="J109">
            <v>0</v>
          </cell>
          <cell r="K109">
            <v>0</v>
          </cell>
          <cell r="L109">
            <v>0</v>
          </cell>
          <cell r="M109">
            <v>0</v>
          </cell>
          <cell r="N109">
            <v>0</v>
          </cell>
          <cell r="O109">
            <v>0</v>
          </cell>
          <cell r="P109">
            <v>0</v>
          </cell>
          <cell r="Q109">
            <v>0</v>
          </cell>
          <cell r="R109">
            <v>0</v>
          </cell>
          <cell r="S109">
            <v>0</v>
          </cell>
          <cell r="T109">
            <v>0</v>
          </cell>
          <cell r="U109">
            <v>0</v>
          </cell>
          <cell r="V109">
            <v>0</v>
          </cell>
          <cell r="W109">
            <v>0</v>
          </cell>
          <cell r="X109">
            <v>7.8E-2</v>
          </cell>
          <cell r="Y109">
            <v>0.16300000000000001</v>
          </cell>
          <cell r="Z109">
            <v>23.254999999999999</v>
          </cell>
          <cell r="AA109">
            <v>23.212</v>
          </cell>
          <cell r="AB109">
            <v>23.212</v>
          </cell>
          <cell r="AC109">
            <v>21.712</v>
          </cell>
          <cell r="AD109">
            <v>21.712</v>
          </cell>
          <cell r="AE109">
            <v>21.712</v>
          </cell>
          <cell r="AF109">
            <v>21.712</v>
          </cell>
          <cell r="AG109">
            <v>21.712</v>
          </cell>
        </row>
        <row r="110">
          <cell r="B110" t="str">
            <v>Liabilities - Total</v>
          </cell>
          <cell r="D110">
            <v>64.971999999999994</v>
          </cell>
          <cell r="E110">
            <v>74.656000000000006</v>
          </cell>
          <cell r="F110">
            <v>70.664000000000001</v>
          </cell>
          <cell r="G110">
            <v>86.498000000000005</v>
          </cell>
          <cell r="H110">
            <v>86.498000000000005</v>
          </cell>
          <cell r="I110">
            <v>93.305999999999997</v>
          </cell>
          <cell r="J110">
            <v>100.036</v>
          </cell>
          <cell r="K110">
            <v>107.633</v>
          </cell>
          <cell r="L110">
            <v>141.67600000000002</v>
          </cell>
          <cell r="M110">
            <v>141.67600000000002</v>
          </cell>
          <cell r="N110">
            <v>138.10900000000001</v>
          </cell>
          <cell r="O110">
            <v>169.62</v>
          </cell>
          <cell r="P110">
            <v>148.27500000000001</v>
          </cell>
          <cell r="Q110">
            <v>190.435</v>
          </cell>
          <cell r="R110">
            <v>190.435</v>
          </cell>
          <cell r="S110">
            <v>180.172</v>
          </cell>
          <cell r="T110">
            <v>175.03300000000002</v>
          </cell>
          <cell r="U110">
            <v>186.24299999999999</v>
          </cell>
          <cell r="V110">
            <v>171.1</v>
          </cell>
          <cell r="W110">
            <v>171.1</v>
          </cell>
          <cell r="X110">
            <v>177.73100000000002</v>
          </cell>
          <cell r="Y110">
            <v>195.88400000000001</v>
          </cell>
          <cell r="Z110">
            <v>274.44400000000002</v>
          </cell>
          <cell r="AA110">
            <v>274.09100000000001</v>
          </cell>
          <cell r="AB110">
            <v>274.09100000000001</v>
          </cell>
          <cell r="AC110">
            <v>306.197</v>
          </cell>
          <cell r="AD110">
            <v>332.73329686305351</v>
          </cell>
          <cell r="AE110">
            <v>344.49824419073201</v>
          </cell>
          <cell r="AF110">
            <v>364.38701490266385</v>
          </cell>
          <cell r="AG110">
            <v>364.38701490266385</v>
          </cell>
        </row>
        <row r="112">
          <cell r="B112" t="str">
            <v>Preferred Secuities</v>
          </cell>
          <cell r="D112">
            <v>0</v>
          </cell>
          <cell r="E112">
            <v>0</v>
          </cell>
          <cell r="F112">
            <v>0</v>
          </cell>
          <cell r="G112">
            <v>0</v>
          </cell>
          <cell r="H112">
            <v>0</v>
          </cell>
          <cell r="I112">
            <v>0</v>
          </cell>
          <cell r="J112">
            <v>0</v>
          </cell>
          <cell r="K112">
            <v>0</v>
          </cell>
          <cell r="L112">
            <v>0</v>
          </cell>
          <cell r="M112">
            <v>0</v>
          </cell>
          <cell r="N112">
            <v>0</v>
          </cell>
          <cell r="O112">
            <v>0</v>
          </cell>
          <cell r="P112">
            <v>0</v>
          </cell>
          <cell r="Q112">
            <v>0</v>
          </cell>
          <cell r="S112">
            <v>0</v>
          </cell>
          <cell r="T112">
            <v>0</v>
          </cell>
          <cell r="U112">
            <v>0</v>
          </cell>
          <cell r="V112">
            <v>0</v>
          </cell>
          <cell r="W112">
            <v>0</v>
          </cell>
          <cell r="X112">
            <v>0</v>
          </cell>
          <cell r="Y112">
            <v>0</v>
          </cell>
          <cell r="Z112">
            <v>0</v>
          </cell>
          <cell r="AA112">
            <v>0</v>
          </cell>
          <cell r="AB112">
            <v>0</v>
          </cell>
          <cell r="AC112">
            <v>0</v>
          </cell>
          <cell r="AD112">
            <v>0</v>
          </cell>
          <cell r="AE112">
            <v>0</v>
          </cell>
          <cell r="AF112">
            <v>0</v>
          </cell>
          <cell r="AG112">
            <v>0</v>
          </cell>
        </row>
        <row r="113">
          <cell r="B113" t="str">
            <v>Common stock</v>
          </cell>
          <cell r="D113">
            <v>0.22299999999999998</v>
          </cell>
          <cell r="E113">
            <v>0.22699999999999998</v>
          </cell>
          <cell r="F113">
            <v>0.22700000000000001</v>
          </cell>
          <cell r="G113">
            <v>0.45400000000000001</v>
          </cell>
          <cell r="H113">
            <v>0.45400000000000001</v>
          </cell>
          <cell r="I113">
            <v>0.45400000000000001</v>
          </cell>
          <cell r="J113">
            <v>0.45400000000000001</v>
          </cell>
          <cell r="K113">
            <v>0.45400000000000001</v>
          </cell>
          <cell r="L113">
            <v>0.45400000000000001</v>
          </cell>
          <cell r="M113">
            <v>0.45400000000000001</v>
          </cell>
          <cell r="N113">
            <v>0.45400000000000001</v>
          </cell>
          <cell r="O113">
            <v>0.45400000000000001</v>
          </cell>
          <cell r="P113">
            <v>0.45400000000000001</v>
          </cell>
          <cell r="Q113">
            <v>0.45400000000000001</v>
          </cell>
          <cell r="R113">
            <v>0.45400000000000001</v>
          </cell>
          <cell r="S113">
            <v>0.45400000000000001</v>
          </cell>
          <cell r="T113">
            <v>0.45400000000000001</v>
          </cell>
          <cell r="U113">
            <v>0.45400000000000001</v>
          </cell>
          <cell r="V113">
            <v>0.45400000000000001</v>
          </cell>
          <cell r="W113">
            <v>0.45400000000000001</v>
          </cell>
          <cell r="X113">
            <v>0.45400000000000001</v>
          </cell>
          <cell r="Y113">
            <v>0.45400000000000001</v>
          </cell>
          <cell r="Z113">
            <v>0.45400000000000001</v>
          </cell>
          <cell r="AA113">
            <v>0.45400000000000001</v>
          </cell>
          <cell r="AB113">
            <v>0.45400000000000001</v>
          </cell>
          <cell r="AC113">
            <v>0.45400000000000001</v>
          </cell>
          <cell r="AD113">
            <v>0.45400000000000001</v>
          </cell>
          <cell r="AE113">
            <v>0.45400000000000001</v>
          </cell>
          <cell r="AF113">
            <v>0.45400000000000001</v>
          </cell>
          <cell r="AG113">
            <v>0.45400000000000001</v>
          </cell>
        </row>
        <row r="114">
          <cell r="B114" t="str">
            <v>Additional paid-in capital</v>
          </cell>
          <cell r="D114">
            <v>160.08500000000001</v>
          </cell>
          <cell r="E114">
            <v>173.834</v>
          </cell>
          <cell r="F114">
            <v>174.291</v>
          </cell>
          <cell r="G114">
            <v>174.279</v>
          </cell>
          <cell r="H114">
            <v>174.279</v>
          </cell>
          <cell r="I114">
            <v>180.65</v>
          </cell>
          <cell r="J114">
            <v>181.316</v>
          </cell>
          <cell r="K114">
            <v>181.47399999999999</v>
          </cell>
          <cell r="L114">
            <v>182.81800000000001</v>
          </cell>
          <cell r="M114">
            <v>182.81800000000001</v>
          </cell>
          <cell r="N114">
            <v>186.26599999999999</v>
          </cell>
          <cell r="O114">
            <v>186.48500000000001</v>
          </cell>
          <cell r="P114">
            <v>186.624</v>
          </cell>
          <cell r="Q114">
            <v>187.15799999999999</v>
          </cell>
          <cell r="R114">
            <v>187.15799999999999</v>
          </cell>
          <cell r="S114">
            <v>187.31100000000001</v>
          </cell>
          <cell r="T114">
            <v>187.762</v>
          </cell>
          <cell r="U114">
            <v>188.90700000000001</v>
          </cell>
          <cell r="V114">
            <v>189.309</v>
          </cell>
          <cell r="W114">
            <v>189.309</v>
          </cell>
          <cell r="X114">
            <v>189.37200000000001</v>
          </cell>
          <cell r="Y114">
            <v>189.50800000000001</v>
          </cell>
          <cell r="Z114">
            <v>190.917</v>
          </cell>
          <cell r="AA114">
            <v>190.524</v>
          </cell>
          <cell r="AB114">
            <v>190.524</v>
          </cell>
          <cell r="AC114">
            <v>190.65199999999999</v>
          </cell>
          <cell r="AD114">
            <v>190.65199999999999</v>
          </cell>
          <cell r="AE114">
            <v>190.65199999999999</v>
          </cell>
          <cell r="AF114">
            <v>190.65199999999999</v>
          </cell>
          <cell r="AG114">
            <v>190.65199999999999</v>
          </cell>
        </row>
        <row r="115">
          <cell r="B115" t="str">
            <v>Accumulated other comprehensive income (loss)</v>
          </cell>
          <cell r="D115">
            <v>-30.734000000000002</v>
          </cell>
          <cell r="E115">
            <v>-31.107000000000003</v>
          </cell>
          <cell r="F115">
            <v>-31.12</v>
          </cell>
          <cell r="G115">
            <v>-29.896999999999998</v>
          </cell>
          <cell r="H115">
            <v>-29.896999999999998</v>
          </cell>
          <cell r="I115">
            <v>-21.007000000000001</v>
          </cell>
          <cell r="J115">
            <v>-20.212</v>
          </cell>
          <cell r="K115">
            <v>-23.606000000000002</v>
          </cell>
          <cell r="L115">
            <v>-22.419</v>
          </cell>
          <cell r="M115">
            <v>-22.419</v>
          </cell>
          <cell r="N115">
            <v>-18.613</v>
          </cell>
          <cell r="O115">
            <v>-18.137</v>
          </cell>
          <cell r="P115">
            <v>-30.058</v>
          </cell>
          <cell r="Q115">
            <v>-30.257999999999999</v>
          </cell>
          <cell r="R115">
            <v>-30.257999999999999</v>
          </cell>
          <cell r="S115">
            <v>-29.2</v>
          </cell>
          <cell r="T115">
            <v>-31.568000000000001</v>
          </cell>
          <cell r="U115">
            <v>-35.704000000000001</v>
          </cell>
          <cell r="V115">
            <v>-34.527000000000001</v>
          </cell>
          <cell r="W115">
            <v>-34.527000000000001</v>
          </cell>
          <cell r="X115">
            <v>-34.81</v>
          </cell>
          <cell r="Y115">
            <v>-34.302</v>
          </cell>
          <cell r="Z115">
            <v>-29.901</v>
          </cell>
          <cell r="AA115">
            <v>-27.975000000000001</v>
          </cell>
          <cell r="AB115">
            <v>-27.975000000000001</v>
          </cell>
          <cell r="AC115">
            <v>-25.286999999999999</v>
          </cell>
          <cell r="AD115">
            <v>-25.286999999999999</v>
          </cell>
          <cell r="AE115">
            <v>-25.286999999999999</v>
          </cell>
          <cell r="AF115">
            <v>-25.286999999999999</v>
          </cell>
          <cell r="AG115">
            <v>-25.286999999999999</v>
          </cell>
        </row>
        <row r="116">
          <cell r="B116" t="str">
            <v>Retained earnings</v>
          </cell>
          <cell r="D116">
            <v>44.448999999999998</v>
          </cell>
          <cell r="E116">
            <v>51.545999999999999</v>
          </cell>
          <cell r="F116">
            <v>59.2</v>
          </cell>
          <cell r="G116">
            <v>65.766999999999996</v>
          </cell>
          <cell r="H116">
            <v>65.766999999999996</v>
          </cell>
          <cell r="I116">
            <v>74.5</v>
          </cell>
          <cell r="J116">
            <v>77.566999999999993</v>
          </cell>
          <cell r="K116">
            <v>85.271000000000001</v>
          </cell>
          <cell r="L116">
            <v>93.486999999999995</v>
          </cell>
          <cell r="M116">
            <v>93.486999999999995</v>
          </cell>
          <cell r="N116">
            <v>103.10599999999999</v>
          </cell>
          <cell r="O116">
            <v>113.816</v>
          </cell>
          <cell r="P116">
            <v>125.511</v>
          </cell>
          <cell r="Q116">
            <v>137.07300000000001</v>
          </cell>
          <cell r="R116">
            <v>137.07300000000001</v>
          </cell>
          <cell r="S116">
            <v>150.25700000000001</v>
          </cell>
          <cell r="T116">
            <v>161.66399999999999</v>
          </cell>
          <cell r="U116">
            <v>173.858</v>
          </cell>
          <cell r="V116">
            <v>187.673</v>
          </cell>
          <cell r="W116">
            <v>187.673</v>
          </cell>
          <cell r="X116">
            <v>199.91200000000001</v>
          </cell>
          <cell r="Y116">
            <v>212.07599999999999</v>
          </cell>
          <cell r="Z116">
            <v>224.71700000000001</v>
          </cell>
          <cell r="AA116">
            <v>232.29900000000001</v>
          </cell>
          <cell r="AB116">
            <v>232.29900000000001</v>
          </cell>
          <cell r="AC116">
            <v>241.922</v>
          </cell>
          <cell r="AD116">
            <v>253.75843153622344</v>
          </cell>
          <cell r="AE116">
            <v>268.00481768046552</v>
          </cell>
          <cell r="AF116">
            <v>285.44298314915437</v>
          </cell>
          <cell r="AG116">
            <v>285.44298314915437</v>
          </cell>
        </row>
        <row r="117">
          <cell r="B117" t="str">
            <v>Equity</v>
          </cell>
          <cell r="D117">
            <v>174.02300000000002</v>
          </cell>
          <cell r="E117">
            <v>194.5</v>
          </cell>
          <cell r="F117">
            <v>202.59800000000001</v>
          </cell>
          <cell r="G117">
            <v>210.60300000000001</v>
          </cell>
          <cell r="H117">
            <v>210.60300000000001</v>
          </cell>
          <cell r="I117">
            <v>234.59700000000001</v>
          </cell>
          <cell r="J117">
            <v>239.125</v>
          </cell>
          <cell r="K117">
            <v>243.59300000000002</v>
          </cell>
          <cell r="L117">
            <v>254.34</v>
          </cell>
          <cell r="M117">
            <v>254.34</v>
          </cell>
          <cell r="N117">
            <v>271.21299999999997</v>
          </cell>
          <cell r="O117">
            <v>282.61800000000005</v>
          </cell>
          <cell r="P117">
            <v>282.53100000000001</v>
          </cell>
          <cell r="Q117">
            <v>294.42700000000002</v>
          </cell>
          <cell r="R117">
            <v>294.42700000000002</v>
          </cell>
          <cell r="S117">
            <v>308.822</v>
          </cell>
          <cell r="T117">
            <v>318.31200000000001</v>
          </cell>
          <cell r="U117">
            <v>327.51499999999999</v>
          </cell>
          <cell r="V117">
            <v>342.90899999999999</v>
          </cell>
          <cell r="W117">
            <v>342.90899999999999</v>
          </cell>
          <cell r="X117">
            <v>354.928</v>
          </cell>
          <cell r="Y117">
            <v>367.73599999999999</v>
          </cell>
          <cell r="Z117">
            <v>386.18700000000001</v>
          </cell>
          <cell r="AA117">
            <v>395.30200000000002</v>
          </cell>
          <cell r="AB117">
            <v>395.30200000000002</v>
          </cell>
          <cell r="AC117">
            <v>407.74099999999999</v>
          </cell>
          <cell r="AD117">
            <v>419.57743153622346</v>
          </cell>
          <cell r="AE117">
            <v>433.82381768046548</v>
          </cell>
          <cell r="AF117">
            <v>451.26198314915439</v>
          </cell>
          <cell r="AG117">
            <v>451.26198314915439</v>
          </cell>
        </row>
        <row r="118">
          <cell r="B118" t="str">
            <v>Total Liabilities and Shareholders Equity</v>
          </cell>
          <cell r="D118">
            <v>238.995</v>
          </cell>
          <cell r="E118">
            <v>269.15600000000001</v>
          </cell>
          <cell r="F118">
            <v>273.262</v>
          </cell>
          <cell r="G118">
            <v>297.101</v>
          </cell>
          <cell r="H118">
            <v>297.101</v>
          </cell>
          <cell r="I118">
            <v>327.90300000000002</v>
          </cell>
          <cell r="J118">
            <v>339.161</v>
          </cell>
          <cell r="K118">
            <v>351.226</v>
          </cell>
          <cell r="L118">
            <v>396.01600000000002</v>
          </cell>
          <cell r="M118">
            <v>396.01600000000002</v>
          </cell>
          <cell r="N118">
            <v>409.322</v>
          </cell>
          <cell r="O118">
            <v>452.23800000000006</v>
          </cell>
          <cell r="P118">
            <v>430.80600000000004</v>
          </cell>
          <cell r="Q118">
            <v>484.86200000000002</v>
          </cell>
          <cell r="R118">
            <v>484.86200000000002</v>
          </cell>
          <cell r="S118">
            <v>488.99400000000003</v>
          </cell>
          <cell r="T118">
            <v>493.34500000000003</v>
          </cell>
          <cell r="U118">
            <v>513.75800000000004</v>
          </cell>
          <cell r="V118">
            <v>514.00900000000001</v>
          </cell>
          <cell r="W118">
            <v>514.00900000000001</v>
          </cell>
          <cell r="X118">
            <v>532.65899999999999</v>
          </cell>
          <cell r="Y118">
            <v>563.62</v>
          </cell>
          <cell r="Z118">
            <v>660.63100000000009</v>
          </cell>
          <cell r="AA118">
            <v>669.39300000000003</v>
          </cell>
          <cell r="AB118">
            <v>669.39300000000003</v>
          </cell>
          <cell r="AC118">
            <v>713.93799999999999</v>
          </cell>
          <cell r="AD118">
            <v>752.31072839927697</v>
          </cell>
          <cell r="AE118">
            <v>778.32206187119755</v>
          </cell>
          <cell r="AF118">
            <v>815.64899805181824</v>
          </cell>
          <cell r="AG118">
            <v>815.64899805181824</v>
          </cell>
        </row>
        <row r="120">
          <cell r="B120" t="str">
            <v>Balance Sheet Check</v>
          </cell>
          <cell r="D120" t="str">
            <v>OK</v>
          </cell>
          <cell r="E120" t="str">
            <v>OK</v>
          </cell>
          <cell r="F120" t="str">
            <v>OK</v>
          </cell>
          <cell r="G120" t="str">
            <v>OK</v>
          </cell>
          <cell r="H120" t="str">
            <v>OK</v>
          </cell>
          <cell r="I120" t="str">
            <v>OK</v>
          </cell>
          <cell r="J120" t="str">
            <v>OK</v>
          </cell>
          <cell r="K120" t="str">
            <v>OK</v>
          </cell>
          <cell r="L120" t="str">
            <v>OK</v>
          </cell>
          <cell r="M120" t="str">
            <v>OK</v>
          </cell>
          <cell r="N120" t="str">
            <v>Balance</v>
          </cell>
          <cell r="O120" t="str">
            <v>OK</v>
          </cell>
          <cell r="P120" t="str">
            <v>OK</v>
          </cell>
          <cell r="Q120" t="str">
            <v>OK</v>
          </cell>
          <cell r="R120" t="str">
            <v>OK</v>
          </cell>
          <cell r="S120" t="str">
            <v>OK</v>
          </cell>
          <cell r="T120" t="str">
            <v>OK</v>
          </cell>
          <cell r="U120" t="str">
            <v>OK</v>
          </cell>
          <cell r="V120" t="str">
            <v>OK</v>
          </cell>
          <cell r="W120" t="str">
            <v>OK</v>
          </cell>
          <cell r="X120" t="str">
            <v>OK</v>
          </cell>
          <cell r="Y120" t="str">
            <v>OK</v>
          </cell>
          <cell r="Z120" t="str">
            <v>OK</v>
          </cell>
          <cell r="AA120" t="str">
            <v>OK</v>
          </cell>
          <cell r="AB120" t="str">
            <v>OK</v>
          </cell>
          <cell r="AC120" t="str">
            <v>OK</v>
          </cell>
          <cell r="AD120" t="str">
            <v>OK</v>
          </cell>
          <cell r="AE120" t="str">
            <v>OK</v>
          </cell>
          <cell r="AF120" t="str">
            <v>OK</v>
          </cell>
          <cell r="AG120" t="str">
            <v>OK</v>
          </cell>
        </row>
        <row r="121">
          <cell r="B121" t="str">
            <v>Balance Sheet Check</v>
          </cell>
          <cell r="D121">
            <v>0</v>
          </cell>
          <cell r="E121">
            <v>0</v>
          </cell>
          <cell r="F121">
            <v>0</v>
          </cell>
          <cell r="G121">
            <v>0</v>
          </cell>
          <cell r="H121">
            <v>0</v>
          </cell>
          <cell r="I121">
            <v>0</v>
          </cell>
          <cell r="J121">
            <v>0</v>
          </cell>
          <cell r="K121">
            <v>0</v>
          </cell>
          <cell r="L121">
            <v>0</v>
          </cell>
          <cell r="M121">
            <v>0</v>
          </cell>
          <cell r="N121">
            <v>0.94099999999997408</v>
          </cell>
          <cell r="O121">
            <v>0</v>
          </cell>
          <cell r="P121">
            <v>0</v>
          </cell>
          <cell r="Q121">
            <v>0</v>
          </cell>
          <cell r="R121">
            <v>0</v>
          </cell>
          <cell r="S121">
            <v>0</v>
          </cell>
          <cell r="T121">
            <v>0</v>
          </cell>
          <cell r="U121">
            <v>0</v>
          </cell>
          <cell r="V121">
            <v>0</v>
          </cell>
          <cell r="W121">
            <v>0</v>
          </cell>
          <cell r="X121">
            <v>0</v>
          </cell>
          <cell r="Y121">
            <v>0</v>
          </cell>
          <cell r="Z121">
            <v>0</v>
          </cell>
          <cell r="AA121">
            <v>0</v>
          </cell>
          <cell r="AB121">
            <v>0</v>
          </cell>
          <cell r="AC121">
            <v>0</v>
          </cell>
          <cell r="AD121">
            <v>0</v>
          </cell>
          <cell r="AE121">
            <v>0</v>
          </cell>
          <cell r="AF121">
            <v>0</v>
          </cell>
          <cell r="AG121">
            <v>0</v>
          </cell>
        </row>
        <row r="123">
          <cell r="B123" t="str">
            <v xml:space="preserve">PHCC DSO without Integrity </v>
          </cell>
        </row>
        <row r="124">
          <cell r="B124" t="str">
            <v>PHCC receivables</v>
          </cell>
          <cell r="X124">
            <v>43.704566185578315</v>
          </cell>
          <cell r="Y124">
            <v>44.493459375256585</v>
          </cell>
          <cell r="Z124">
            <v>44.493459375256585</v>
          </cell>
          <cell r="AA124">
            <v>44.493459375256585</v>
          </cell>
        </row>
        <row r="125">
          <cell r="B125" t="str">
            <v>Integrity receivables</v>
          </cell>
          <cell r="X125">
            <v>192.17699999999999</v>
          </cell>
          <cell r="Y125">
            <v>213.78900000000002</v>
          </cell>
          <cell r="Z125">
            <v>214.62133244003905</v>
          </cell>
          <cell r="AA125">
            <v>224.18072171184076</v>
          </cell>
        </row>
        <row r="126">
          <cell r="B126" t="str">
            <v>Integrity DSOs</v>
          </cell>
          <cell r="X126">
            <v>0</v>
          </cell>
          <cell r="Y126">
            <v>0</v>
          </cell>
          <cell r="Z126">
            <v>22.173667559960933</v>
          </cell>
          <cell r="AA126">
            <v>20.549278288159229</v>
          </cell>
        </row>
        <row r="127">
          <cell r="B127" t="str">
            <v>Bad Debt</v>
          </cell>
        </row>
        <row r="128">
          <cell r="B128" t="str">
            <v>Allowance for Doubtful Accounts as % of Rec</v>
          </cell>
          <cell r="D128">
            <v>2.0578475287211555E-2</v>
          </cell>
          <cell r="E128">
            <v>1.9403364333994002E-2</v>
          </cell>
          <cell r="F128">
            <v>2.3907462963535707E-2</v>
          </cell>
          <cell r="G128">
            <v>2.9746739841901213E-2</v>
          </cell>
          <cell r="H128">
            <v>2.9746739841901213E-2</v>
          </cell>
          <cell r="I128">
            <v>2.8485599847415603E-2</v>
          </cell>
          <cell r="J128">
            <v>2.7143627539097607E-2</v>
          </cell>
          <cell r="K128">
            <v>2.8115637038093878E-2</v>
          </cell>
          <cell r="L128">
            <v>2.7369826435246995E-2</v>
          </cell>
          <cell r="M128">
            <v>2.7369826435246995E-2</v>
          </cell>
          <cell r="N128">
            <v>2.6629585065529243E-2</v>
          </cell>
          <cell r="O128">
            <v>2.8486642854232594E-2</v>
          </cell>
          <cell r="P128">
            <v>3.0811661718030105E-2</v>
          </cell>
          <cell r="Q128">
            <v>3.3215629734617079E-2</v>
          </cell>
          <cell r="R128">
            <v>3.3215629734617079E-2</v>
          </cell>
          <cell r="S128">
            <v>3.3891610514711519E-2</v>
          </cell>
          <cell r="T128">
            <v>3.4261690841228161E-2</v>
          </cell>
          <cell r="U128">
            <v>3.3371982481495116E-2</v>
          </cell>
          <cell r="V128">
            <v>3.1822352298990747E-2</v>
          </cell>
          <cell r="W128">
            <v>3.1822352298990747E-2</v>
          </cell>
          <cell r="X128">
            <v>3.110674014059955E-2</v>
          </cell>
          <cell r="Y128">
            <v>2.9538470173863018E-2</v>
          </cell>
          <cell r="Z128">
            <v>2.8771722375894763E-2</v>
          </cell>
          <cell r="AA128">
            <v>2.8206595023086665E-2</v>
          </cell>
          <cell r="AB128">
            <v>2.8206595023086665E-2</v>
          </cell>
          <cell r="AC128">
            <v>2.6589776102551629E-2</v>
          </cell>
          <cell r="AD128">
            <v>2.5087418971520996E-2</v>
          </cell>
          <cell r="AE128">
            <v>2.4977937052348669E-2</v>
          </cell>
          <cell r="AF128">
            <v>2.474457353731244E-2</v>
          </cell>
          <cell r="AG128">
            <v>2.474457353731244E-2</v>
          </cell>
        </row>
        <row r="129">
          <cell r="B129" t="str">
            <v>Allowance y/y Growth Rate</v>
          </cell>
          <cell r="M129">
            <v>9.6479350033852329E-2</v>
          </cell>
          <cell r="N129">
            <v>0.23736190157348513</v>
          </cell>
          <cell r="O129">
            <v>0.38907284768211925</v>
          </cell>
          <cell r="P129">
            <v>0.52711703139866795</v>
          </cell>
          <cell r="Q129">
            <v>0.67860450756406321</v>
          </cell>
          <cell r="R129">
            <v>0.67860450756406321</v>
          </cell>
          <cell r="S129">
            <v>0.55546536796536783</v>
          </cell>
          <cell r="T129">
            <v>0.4026221692491061</v>
          </cell>
          <cell r="U129">
            <v>0.2612668743509865</v>
          </cell>
          <cell r="V129">
            <v>7.9087732205260775E-3</v>
          </cell>
          <cell r="W129">
            <v>7.9087732205260775E-3</v>
          </cell>
          <cell r="X129">
            <v>3.9833014437293368E-2</v>
          </cell>
          <cell r="Y129">
            <v>7.3249490142760054E-2</v>
          </cell>
          <cell r="Z129">
            <v>0.12185081508315476</v>
          </cell>
          <cell r="AA129">
            <v>0.25967153284671518</v>
          </cell>
          <cell r="AB129">
            <v>0.25967153284671518</v>
          </cell>
          <cell r="AC129">
            <v>0.28036132485781207</v>
          </cell>
        </row>
        <row r="130">
          <cell r="B130" t="str">
            <v>Receivables y/y growth rate</v>
          </cell>
          <cell r="M130">
            <v>0.19170233120185287</v>
          </cell>
          <cell r="N130">
            <v>0.32360289910356665</v>
          </cell>
          <cell r="O130">
            <v>0.32358439690814311</v>
          </cell>
          <cell r="P130">
            <v>0.39349407904123246</v>
          </cell>
          <cell r="Q130">
            <v>0.38317757009345788</v>
          </cell>
          <cell r="R130">
            <v>0.38317757009345788</v>
          </cell>
          <cell r="S130">
            <v>0.22217258795472383</v>
          </cell>
          <cell r="T130">
            <v>0.16620037755836536</v>
          </cell>
          <cell r="U130">
            <v>0.16450163816934582</v>
          </cell>
          <cell r="V130">
            <v>5.2038023557010815E-2</v>
          </cell>
          <cell r="W130">
            <v>5.2038023557010815E-2</v>
          </cell>
          <cell r="X130">
            <v>0.13292538422085842</v>
          </cell>
          <cell r="Y130">
            <v>0.24486278437378073</v>
          </cell>
          <cell r="Z130">
            <v>0.30122156952175794</v>
          </cell>
          <cell r="AA130">
            <v>0.42114676608248258</v>
          </cell>
          <cell r="AB130">
            <v>0.42114676608248258</v>
          </cell>
          <cell r="AC130">
            <v>0.49786394833929148</v>
          </cell>
        </row>
        <row r="133">
          <cell r="B133" t="str">
            <v>Days receivable</v>
          </cell>
          <cell r="D133">
            <v>61.016207992501073</v>
          </cell>
          <cell r="E133">
            <v>61.412387301109547</v>
          </cell>
          <cell r="F133">
            <v>59.916457945506856</v>
          </cell>
          <cell r="G133">
            <v>58.767786151122309</v>
          </cell>
          <cell r="H133">
            <v>15.498969908852541</v>
          </cell>
          <cell r="I133">
            <v>56.838148812564597</v>
          </cell>
          <cell r="J133">
            <v>50.616094486932766</v>
          </cell>
          <cell r="K133">
            <v>48.793366519806995</v>
          </cell>
          <cell r="L133">
            <v>47.682307305097297</v>
          </cell>
          <cell r="M133">
            <v>13.412544092806042</v>
          </cell>
          <cell r="N133">
            <v>47.530600622239241</v>
          </cell>
          <cell r="O133">
            <v>46.177675868301954</v>
          </cell>
          <cell r="P133">
            <v>46.59934838517821</v>
          </cell>
          <cell r="Q133">
            <v>44.331782053032406</v>
          </cell>
          <cell r="R133">
            <v>12.443053971580925</v>
          </cell>
          <cell r="S133">
            <v>44.032345126575613</v>
          </cell>
          <cell r="T133">
            <v>44.709524346161416</v>
          </cell>
          <cell r="U133">
            <v>45.763690041476622</v>
          </cell>
          <cell r="V133">
            <v>39.589331603345777</v>
          </cell>
          <cell r="W133">
            <v>42.998164605410686</v>
          </cell>
          <cell r="X133">
            <v>43.704566185578315</v>
          </cell>
          <cell r="Y133">
            <v>44.493459375256585</v>
          </cell>
          <cell r="Z133">
            <v>49.090314522706564</v>
          </cell>
          <cell r="AA133">
            <v>48.571903193812481</v>
          </cell>
          <cell r="AB133">
            <v>51.348313250380258</v>
          </cell>
          <cell r="AC133">
            <v>53.964569966368153</v>
          </cell>
          <cell r="AD133">
            <v>51</v>
          </cell>
          <cell r="AE133">
            <v>50</v>
          </cell>
          <cell r="AF133">
            <v>48</v>
          </cell>
          <cell r="AG133">
            <v>53.995340473532082</v>
          </cell>
        </row>
        <row r="134">
          <cell r="B134" t="str">
            <v>Inventory turns</v>
          </cell>
          <cell r="D134">
            <v>15.274572376818995</v>
          </cell>
          <cell r="E134">
            <v>20.80138670536542</v>
          </cell>
          <cell r="F134">
            <v>19.352290444724925</v>
          </cell>
          <cell r="G134">
            <v>11.086713487172137</v>
          </cell>
          <cell r="H134">
            <v>42.12698867708184</v>
          </cell>
          <cell r="I134">
            <v>14.075395683453236</v>
          </cell>
          <cell r="J134">
            <v>14.414074163741272</v>
          </cell>
          <cell r="K134">
            <v>14.881097682581467</v>
          </cell>
          <cell r="L134">
            <v>10.860730778578951</v>
          </cell>
          <cell r="M134">
            <v>38.508790407518426</v>
          </cell>
          <cell r="N134">
            <v>13.325843329391226</v>
          </cell>
          <cell r="O134">
            <v>11.365669998678939</v>
          </cell>
          <cell r="P134">
            <v>13.596092023307213</v>
          </cell>
          <cell r="Q134">
            <v>10.967551839711241</v>
          </cell>
          <cell r="R134">
            <v>39.158078892121836</v>
          </cell>
          <cell r="S134">
            <v>11.971153291409451</v>
          </cell>
          <cell r="T134">
            <v>11.670075008396463</v>
          </cell>
          <cell r="U134">
            <v>12.997418460518519</v>
          </cell>
          <cell r="V134">
            <v>12.028801037383342</v>
          </cell>
          <cell r="W134">
            <v>11.090003241822929</v>
          </cell>
          <cell r="X134">
            <v>13.836883678711446</v>
          </cell>
          <cell r="Y134">
            <v>14.990024723412784</v>
          </cell>
          <cell r="Z134">
            <v>14.396263137407551</v>
          </cell>
          <cell r="AA134">
            <v>14.476806137671378</v>
          </cell>
          <cell r="AB134">
            <v>13.734522625559421</v>
          </cell>
          <cell r="AC134">
            <v>14.761376021798366</v>
          </cell>
          <cell r="AD134">
            <v>15</v>
          </cell>
          <cell r="AE134">
            <v>15</v>
          </cell>
          <cell r="AF134">
            <v>15</v>
          </cell>
          <cell r="AG134">
            <v>13.359735709719359</v>
          </cell>
        </row>
        <row r="135">
          <cell r="B135" t="str">
            <v>Days payables</v>
          </cell>
          <cell r="D135">
            <v>45.234182398609406</v>
          </cell>
          <cell r="E135">
            <v>45.350199604666493</v>
          </cell>
          <cell r="F135">
            <v>46.085002838990853</v>
          </cell>
          <cell r="G135">
            <v>52.078817797674468</v>
          </cell>
          <cell r="H135">
            <v>13.705772707831091</v>
          </cell>
          <cell r="I135">
            <v>50.846801398429839</v>
          </cell>
          <cell r="J135">
            <v>45.400211072044435</v>
          </cell>
          <cell r="K135">
            <v>44.82570279079242</v>
          </cell>
          <cell r="L135">
            <v>52.707640204693625</v>
          </cell>
          <cell r="M135">
            <v>14.865268012303446</v>
          </cell>
          <cell r="N135">
            <v>41.729964247528812</v>
          </cell>
          <cell r="O135">
            <v>49.649534294448337</v>
          </cell>
          <cell r="P135">
            <v>39.96180325930743</v>
          </cell>
          <cell r="Q135">
            <v>43.717753039156435</v>
          </cell>
          <cell r="R135">
            <v>12.244643668387603</v>
          </cell>
          <cell r="S135">
            <v>44.380457936538534</v>
          </cell>
          <cell r="T135">
            <v>45.028723502908328</v>
          </cell>
          <cell r="U135">
            <v>44.504131592695757</v>
          </cell>
          <cell r="V135">
            <v>39.228403423565503</v>
          </cell>
          <cell r="W135">
            <v>42.549190429155622</v>
          </cell>
          <cell r="X135">
            <v>38.850598777321835</v>
          </cell>
          <cell r="Y135">
            <v>38.164458015461619</v>
          </cell>
          <cell r="Z135">
            <v>38.342990018849846</v>
          </cell>
          <cell r="AA135">
            <v>38.948602114922224</v>
          </cell>
          <cell r="AB135">
            <v>41.053582823601062</v>
          </cell>
          <cell r="AC135">
            <v>42.043377388704045</v>
          </cell>
          <cell r="AD135">
            <v>42</v>
          </cell>
          <cell r="AE135">
            <v>42</v>
          </cell>
          <cell r="AF135">
            <v>42</v>
          </cell>
          <cell r="AG135">
            <v>47.1566214847849</v>
          </cell>
        </row>
        <row r="136">
          <cell r="B136" t="str">
            <v>EBITDA/Interest Expense</v>
          </cell>
          <cell r="D136">
            <v>8.387873754152821</v>
          </cell>
          <cell r="E136">
            <v>6.6978557504873377</v>
          </cell>
          <cell r="F136">
            <v>5.30875804057397</v>
          </cell>
          <cell r="G136">
            <v>3.6400742115027809</v>
          </cell>
          <cell r="H136">
            <v>5.633526011560698</v>
          </cell>
          <cell r="I136">
            <v>6.7426588360918389</v>
          </cell>
          <cell r="J136">
            <v>2.7901234567901296</v>
          </cell>
          <cell r="K136">
            <v>8.5470884255930901</v>
          </cell>
          <cell r="L136">
            <v>11.094097519247283</v>
          </cell>
          <cell r="M136">
            <v>6.9961486939048898</v>
          </cell>
          <cell r="N136">
            <v>17.495963091118782</v>
          </cell>
          <cell r="O136">
            <v>25.518628912071556</v>
          </cell>
          <cell r="P136">
            <v>37.165354330708709</v>
          </cell>
          <cell r="Q136">
            <v>31.899317406143549</v>
          </cell>
          <cell r="R136">
            <v>26.544452887538007</v>
          </cell>
          <cell r="S136">
            <v>46.767895878524868</v>
          </cell>
          <cell r="T136">
            <v>54.085470085470064</v>
          </cell>
          <cell r="U136">
            <v>82.890243902439082</v>
          </cell>
          <cell r="V136">
            <v>94.245901639342975</v>
          </cell>
          <cell r="W136">
            <v>64.463133640552854</v>
          </cell>
          <cell r="X136" t="str">
            <v>NM</v>
          </cell>
          <cell r="Y136" t="str">
            <v>NM</v>
          </cell>
          <cell r="Z136" t="str">
            <v>NM</v>
          </cell>
          <cell r="AA136">
            <v>44.301176470588288</v>
          </cell>
          <cell r="AB136" t="str">
            <v>NM</v>
          </cell>
          <cell r="AC136">
            <v>33.302912621359191</v>
          </cell>
          <cell r="AD136" t="str">
            <v>NM</v>
          </cell>
          <cell r="AE136" t="str">
            <v>NM</v>
          </cell>
          <cell r="AF136" t="str">
            <v>NM</v>
          </cell>
          <cell r="AG136" t="str">
            <v>NM</v>
          </cell>
        </row>
        <row r="137">
          <cell r="B137" t="str">
            <v>Debt to total capitalization</v>
          </cell>
          <cell r="D137">
            <v>3.1467577931510428E-2</v>
          </cell>
          <cell r="E137">
            <v>5.1413856673266936E-2</v>
          </cell>
          <cell r="F137">
            <v>2.3346397288867678E-2</v>
          </cell>
          <cell r="G137">
            <v>4.2034351631156638E-2</v>
          </cell>
          <cell r="H137">
            <v>4.2034351631156638E-2</v>
          </cell>
          <cell r="I137">
            <v>4.6888330936304026E-2</v>
          </cell>
          <cell r="J137">
            <v>4.4627339739107853E-2</v>
          </cell>
          <cell r="K137">
            <v>0</v>
          </cell>
          <cell r="L137">
            <v>8.8863892013498313E-2</v>
          </cell>
          <cell r="M137">
            <v>8.8863892013498313E-2</v>
          </cell>
          <cell r="N137">
            <v>9.7121380086355291E-2</v>
          </cell>
          <cell r="O137">
            <v>9.1497069894979105E-2</v>
          </cell>
          <cell r="P137">
            <v>9.3135225182717205E-2</v>
          </cell>
          <cell r="Q137">
            <v>0.13371974990805444</v>
          </cell>
          <cell r="R137">
            <v>0.13371974990805444</v>
          </cell>
          <cell r="S137">
            <v>7.8957100591715984E-2</v>
          </cell>
          <cell r="T137">
            <v>5.4629261135827688E-2</v>
          </cell>
          <cell r="U137">
            <v>7.3950501740327829E-2</v>
          </cell>
          <cell r="V137">
            <v>3.6861751579207548E-2</v>
          </cell>
          <cell r="W137">
            <v>3.6861751579207548E-2</v>
          </cell>
          <cell r="X137">
            <v>5.0039612016358696E-2</v>
          </cell>
          <cell r="Y137">
            <v>5.1654864015927136E-2</v>
          </cell>
          <cell r="Z137">
            <v>8.5809448058404111E-2</v>
          </cell>
          <cell r="AA137">
            <v>6.372688343186296E-2</v>
          </cell>
          <cell r="AB137">
            <v>6.372688343186296E-2</v>
          </cell>
          <cell r="AC137">
            <v>6.7928962160852382E-2</v>
          </cell>
          <cell r="AD137">
            <v>6.6139404483157249E-2</v>
          </cell>
          <cell r="AE137">
            <v>6.4106682676577098E-2</v>
          </cell>
          <cell r="AF137">
            <v>6.1782453752742515E-2</v>
          </cell>
          <cell r="AG137">
            <v>6.1782453752742515E-2</v>
          </cell>
        </row>
        <row r="138">
          <cell r="B138" t="str">
            <v>Bad debt allowance (% of receivables)</v>
          </cell>
          <cell r="D138">
            <v>2.0578475287211555E-2</v>
          </cell>
          <cell r="E138">
            <v>1.9403364333994002E-2</v>
          </cell>
          <cell r="F138">
            <v>2.3907462963535707E-2</v>
          </cell>
          <cell r="G138">
            <v>2.9746739841901213E-2</v>
          </cell>
          <cell r="H138">
            <v>2.9746739841901213E-2</v>
          </cell>
          <cell r="I138">
            <v>2.8485599847415603E-2</v>
          </cell>
          <cell r="J138">
            <v>2.7143627539097607E-2</v>
          </cell>
          <cell r="K138">
            <v>2.8115637038093878E-2</v>
          </cell>
          <cell r="L138">
            <v>2.7369826435246995E-2</v>
          </cell>
          <cell r="M138">
            <v>2.7369826435246995E-2</v>
          </cell>
          <cell r="N138">
            <v>2.6629585065529243E-2</v>
          </cell>
          <cell r="O138">
            <v>2.8486642854232594E-2</v>
          </cell>
          <cell r="P138">
            <v>3.0811661718030105E-2</v>
          </cell>
          <cell r="Q138">
            <v>3.3215629734617079E-2</v>
          </cell>
          <cell r="R138">
            <v>3.3215629734617079E-2</v>
          </cell>
          <cell r="S138">
            <v>3.3891610514711519E-2</v>
          </cell>
          <cell r="T138">
            <v>3.4261690841228161E-2</v>
          </cell>
          <cell r="U138">
            <v>3.3371982481495116E-2</v>
          </cell>
          <cell r="V138">
            <v>3.1822352298990747E-2</v>
          </cell>
          <cell r="W138">
            <v>3.1822352298990747E-2</v>
          </cell>
          <cell r="X138">
            <v>3.110674014059955E-2</v>
          </cell>
          <cell r="Y138">
            <v>2.9538470173863018E-2</v>
          </cell>
          <cell r="Z138">
            <v>2.8771722375894763E-2</v>
          </cell>
          <cell r="AA138">
            <v>2.8206595023086665E-2</v>
          </cell>
          <cell r="AB138">
            <v>2.8206595023086665E-2</v>
          </cell>
          <cell r="AC138">
            <v>2.6589776102551629E-2</v>
          </cell>
          <cell r="AD138">
            <v>2.5087418971520996E-2</v>
          </cell>
          <cell r="AE138">
            <v>2.4977937052348669E-2</v>
          </cell>
          <cell r="AF138">
            <v>2.474457353731244E-2</v>
          </cell>
          <cell r="AG138">
            <v>2.474457353731244E-2</v>
          </cell>
        </row>
        <row r="140">
          <cell r="B140" t="str">
            <v>CASH FLOW STATEMENT</v>
          </cell>
          <cell r="D140" t="str">
            <v>Fiscal Year End, December 2000</v>
          </cell>
          <cell r="I140" t="str">
            <v>Fiscal Year End, December 2001</v>
          </cell>
          <cell r="N140" t="str">
            <v>Fiscal Year End, December 2002</v>
          </cell>
          <cell r="S140" t="str">
            <v>Fiscal Year End, December 2003</v>
          </cell>
          <cell r="X140" t="str">
            <v>Fiscal Year End, December 2004</v>
          </cell>
          <cell r="AC140" t="str">
            <v>Fiscal Year End, December 2005</v>
          </cell>
        </row>
        <row r="141">
          <cell r="D141" t="str">
            <v>1QA</v>
          </cell>
          <cell r="E141" t="str">
            <v>2QA</v>
          </cell>
          <cell r="F141" t="str">
            <v>3QA</v>
          </cell>
          <cell r="G141" t="str">
            <v>4QA</v>
          </cell>
          <cell r="H141" t="str">
            <v>FY00</v>
          </cell>
          <cell r="I141" t="str">
            <v>1QA</v>
          </cell>
          <cell r="J141" t="str">
            <v>2QA</v>
          </cell>
          <cell r="K141" t="str">
            <v>3QA</v>
          </cell>
          <cell r="L141" t="str">
            <v>4QA</v>
          </cell>
          <cell r="M141" t="str">
            <v>FY01</v>
          </cell>
          <cell r="N141" t="str">
            <v>1QA</v>
          </cell>
          <cell r="O141" t="str">
            <v>2QA</v>
          </cell>
          <cell r="P141" t="str">
            <v>3QA</v>
          </cell>
          <cell r="Q141" t="str">
            <v>4QA</v>
          </cell>
          <cell r="R141" t="str">
            <v>FY02</v>
          </cell>
          <cell r="S141" t="str">
            <v>1QA</v>
          </cell>
          <cell r="T141" t="str">
            <v>2QA</v>
          </cell>
          <cell r="U141" t="str">
            <v>3QA</v>
          </cell>
          <cell r="V141" t="str">
            <v>4QA</v>
          </cell>
          <cell r="W141" t="str">
            <v>FY03</v>
          </cell>
          <cell r="X141" t="str">
            <v>1QA</v>
          </cell>
          <cell r="Y141" t="str">
            <v>2QA</v>
          </cell>
          <cell r="Z141" t="str">
            <v>3QA</v>
          </cell>
          <cell r="AA141" t="str">
            <v>4QA</v>
          </cell>
          <cell r="AB141" t="str">
            <v>FY04</v>
          </cell>
          <cell r="AC141" t="str">
            <v>1QA</v>
          </cell>
          <cell r="AD141" t="str">
            <v>2QE</v>
          </cell>
          <cell r="AE141" t="str">
            <v>3QE</v>
          </cell>
          <cell r="AF141" t="str">
            <v>4QE</v>
          </cell>
          <cell r="AG141" t="str">
            <v>FY 05E</v>
          </cell>
        </row>
        <row r="143">
          <cell r="B143" t="str">
            <v>Net income</v>
          </cell>
          <cell r="D143">
            <v>6.7609999999999966</v>
          </cell>
          <cell r="E143">
            <v>7.0970000000000111</v>
          </cell>
          <cell r="F143">
            <v>7.6539999999999901</v>
          </cell>
          <cell r="G143">
            <v>6.5670000000000019</v>
          </cell>
          <cell r="H143">
            <v>28.079000000000033</v>
          </cell>
          <cell r="I143">
            <v>8.733000000000013</v>
          </cell>
          <cell r="J143">
            <v>3.0670000000000091</v>
          </cell>
          <cell r="K143">
            <v>7.7039999999999891</v>
          </cell>
          <cell r="L143">
            <v>8.2160000000000792</v>
          </cell>
          <cell r="M143">
            <v>27.72000000000001</v>
          </cell>
          <cell r="N143">
            <v>9.618999999999982</v>
          </cell>
          <cell r="O143">
            <v>10.710000000000015</v>
          </cell>
          <cell r="P143">
            <v>11.695000000000023</v>
          </cell>
          <cell r="Q143">
            <v>11.562000000000122</v>
          </cell>
          <cell r="R143">
            <v>43.586000000000041</v>
          </cell>
          <cell r="S143">
            <v>13.183999999999966</v>
          </cell>
          <cell r="T143">
            <v>11.406999999999993</v>
          </cell>
          <cell r="U143">
            <v>12.194000000000013</v>
          </cell>
          <cell r="V143">
            <v>13.814999999999863</v>
          </cell>
          <cell r="W143">
            <v>50.599999999999838</v>
          </cell>
          <cell r="X143">
            <v>12.238999999999976</v>
          </cell>
          <cell r="Y143">
            <v>12.164000000000023</v>
          </cell>
          <cell r="Z143">
            <v>12.641000000000002</v>
          </cell>
          <cell r="AA143">
            <v>7.5820000000000221</v>
          </cell>
          <cell r="AB143">
            <v>44.626000000000019</v>
          </cell>
          <cell r="AC143">
            <v>9.6229999999999798</v>
          </cell>
          <cell r="AD143">
            <v>11.836431536223449</v>
          </cell>
          <cell r="AE143">
            <v>14.246386144242056</v>
          </cell>
          <cell r="AF143">
            <v>17.438165468688851</v>
          </cell>
          <cell r="AG143">
            <v>53.143983149154337</v>
          </cell>
        </row>
        <row r="144">
          <cell r="B144" t="str">
            <v>Depreciation and amortization</v>
          </cell>
          <cell r="D144">
            <v>0.34499999999999997</v>
          </cell>
          <cell r="E144">
            <v>0.34499999999999997</v>
          </cell>
          <cell r="F144">
            <v>0.34499999999999997</v>
          </cell>
          <cell r="G144">
            <v>0.30000000000000004</v>
          </cell>
          <cell r="H144">
            <v>1.335</v>
          </cell>
          <cell r="I144">
            <v>0.52900000000000003</v>
          </cell>
          <cell r="J144">
            <v>0.92600000000000005</v>
          </cell>
          <cell r="K144">
            <v>0.95299999999999974</v>
          </cell>
          <cell r="L144">
            <v>0.99199999999999988</v>
          </cell>
          <cell r="M144">
            <v>3.4</v>
          </cell>
          <cell r="N144">
            <v>0.64600000000000002</v>
          </cell>
          <cell r="O144">
            <v>0.65699999999999992</v>
          </cell>
          <cell r="P144">
            <v>0.67699999999999994</v>
          </cell>
          <cell r="Q144">
            <v>0.77999999999999969</v>
          </cell>
          <cell r="R144">
            <v>2.76</v>
          </cell>
          <cell r="S144">
            <v>0.92700000000000005</v>
          </cell>
          <cell r="T144">
            <v>1.0829999999999997</v>
          </cell>
          <cell r="U144">
            <v>1.1270000000000002</v>
          </cell>
          <cell r="V144">
            <v>1.1359999999999997</v>
          </cell>
          <cell r="W144">
            <v>4.2729999999999997</v>
          </cell>
          <cell r="X144">
            <v>1.369</v>
          </cell>
          <cell r="Y144">
            <v>1.43</v>
          </cell>
          <cell r="Z144">
            <v>1.7780000000000002</v>
          </cell>
          <cell r="AA144">
            <v>2.0140000000000002</v>
          </cell>
          <cell r="AB144">
            <v>6.5910000000000002</v>
          </cell>
          <cell r="AC144">
            <v>2.6150000000000002</v>
          </cell>
          <cell r="AD144">
            <v>2.9217499999999998</v>
          </cell>
          <cell r="AE144">
            <v>3.3342499999999999</v>
          </cell>
          <cell r="AF144">
            <v>3.3342499999999999</v>
          </cell>
          <cell r="AG144">
            <v>12.205249999999999</v>
          </cell>
        </row>
        <row r="145">
          <cell r="B145" t="str">
            <v>Provision for losses on accounts receivable</v>
          </cell>
          <cell r="D145">
            <v>0.38400000000000001</v>
          </cell>
          <cell r="E145">
            <v>0.124</v>
          </cell>
          <cell r="F145">
            <v>0.67299999999999993</v>
          </cell>
          <cell r="G145">
            <v>4.4290000000000003</v>
          </cell>
          <cell r="H145">
            <v>5.61</v>
          </cell>
          <cell r="I145">
            <v>0.35099999999999998</v>
          </cell>
          <cell r="J145">
            <v>4.3029999999999999</v>
          </cell>
          <cell r="K145">
            <v>0.14900000000000002</v>
          </cell>
          <cell r="L145">
            <v>0.11699999999999999</v>
          </cell>
          <cell r="M145">
            <v>4.92</v>
          </cell>
          <cell r="N145">
            <v>0.46700000000000003</v>
          </cell>
          <cell r="O145">
            <v>0.88300000000000001</v>
          </cell>
          <cell r="P145">
            <v>0.39900000000000008</v>
          </cell>
          <cell r="Q145">
            <v>0.69999999999999973</v>
          </cell>
          <cell r="R145">
            <v>2.4489999999999998</v>
          </cell>
          <cell r="S145">
            <v>0.57599999999999996</v>
          </cell>
          <cell r="T145">
            <v>0.50900000000000001</v>
          </cell>
          <cell r="U145">
            <v>0.75700000000000023</v>
          </cell>
          <cell r="V145">
            <v>0.35499999999999998</v>
          </cell>
          <cell r="W145">
            <v>2.1970000000000001</v>
          </cell>
          <cell r="X145">
            <v>0.70099999999999996</v>
          </cell>
          <cell r="Y145">
            <v>0.77800000000000014</v>
          </cell>
          <cell r="Z145">
            <v>1.0840000000000001</v>
          </cell>
          <cell r="AA145">
            <v>3.5779999999999998</v>
          </cell>
          <cell r="AB145">
            <v>6.141</v>
          </cell>
          <cell r="AC145">
            <v>1.044</v>
          </cell>
          <cell r="AD145">
            <v>0</v>
          </cell>
          <cell r="AE145">
            <v>0</v>
          </cell>
          <cell r="AF145">
            <v>0</v>
          </cell>
          <cell r="AG145">
            <v>1.044</v>
          </cell>
        </row>
        <row r="146">
          <cell r="B146" t="str">
            <v>Deferred income taxes</v>
          </cell>
          <cell r="D146">
            <v>0</v>
          </cell>
          <cell r="E146">
            <v>0</v>
          </cell>
          <cell r="F146">
            <v>0</v>
          </cell>
          <cell r="G146">
            <v>-1.218</v>
          </cell>
          <cell r="H146">
            <v>-1.218</v>
          </cell>
          <cell r="I146">
            <v>0</v>
          </cell>
          <cell r="J146">
            <v>0</v>
          </cell>
          <cell r="K146">
            <v>1.466</v>
          </cell>
          <cell r="L146">
            <v>3.2000000000000028E-2</v>
          </cell>
          <cell r="M146">
            <v>1.498</v>
          </cell>
          <cell r="N146">
            <v>0</v>
          </cell>
          <cell r="O146">
            <v>0</v>
          </cell>
          <cell r="P146">
            <v>0</v>
          </cell>
          <cell r="Q146">
            <v>0.54300000000000004</v>
          </cell>
          <cell r="R146">
            <v>0.54300000000000004</v>
          </cell>
          <cell r="S146">
            <v>0</v>
          </cell>
          <cell r="T146">
            <v>0</v>
          </cell>
          <cell r="U146">
            <v>0</v>
          </cell>
          <cell r="V146">
            <v>5.0119999999999996</v>
          </cell>
          <cell r="W146">
            <v>5.0119999999999996</v>
          </cell>
          <cell r="X146">
            <v>0</v>
          </cell>
          <cell r="Y146">
            <v>0</v>
          </cell>
          <cell r="Z146">
            <v>0</v>
          </cell>
          <cell r="AA146">
            <v>2.5259999999999998</v>
          </cell>
          <cell r="AB146">
            <v>2.5259999999999998</v>
          </cell>
          <cell r="AC146">
            <v>0</v>
          </cell>
          <cell r="AD146">
            <v>-1.5374999999999694E-2</v>
          </cell>
          <cell r="AE146">
            <v>-1.5451874999999671E-2</v>
          </cell>
          <cell r="AF146">
            <v>-1.5529134374999476E-2</v>
          </cell>
          <cell r="AG146">
            <v>-4.6356009374998841E-2</v>
          </cell>
        </row>
        <row r="147">
          <cell r="B147" t="str">
            <v>Tax benefit of exercise of stock options</v>
          </cell>
          <cell r="D147">
            <v>0</v>
          </cell>
          <cell r="E147">
            <v>0</v>
          </cell>
          <cell r="F147">
            <v>12.436999999999999</v>
          </cell>
          <cell r="G147">
            <v>0.22300000000000075</v>
          </cell>
          <cell r="H147">
            <v>12.66</v>
          </cell>
          <cell r="I147">
            <v>8.8070000000000004</v>
          </cell>
          <cell r="J147">
            <v>0.54999999999999893</v>
          </cell>
          <cell r="K147">
            <v>0.10599999999999987</v>
          </cell>
          <cell r="L147">
            <v>0.13800000000000168</v>
          </cell>
          <cell r="M147">
            <v>9.6010000000000009</v>
          </cell>
          <cell r="N147">
            <v>0.35599999999999998</v>
          </cell>
          <cell r="O147">
            <v>0.16500000000000004</v>
          </cell>
          <cell r="P147">
            <v>0.371</v>
          </cell>
          <cell r="Q147">
            <v>5.1999999999999935E-2</v>
          </cell>
          <cell r="R147">
            <v>0.94399999999999995</v>
          </cell>
          <cell r="S147">
            <v>0.20300000000000001</v>
          </cell>
          <cell r="T147">
            <v>4.2999999999999983E-2</v>
          </cell>
          <cell r="U147">
            <v>0.17599999999999999</v>
          </cell>
          <cell r="V147">
            <v>0.25000000000000006</v>
          </cell>
          <cell r="W147">
            <v>0.67200000000000004</v>
          </cell>
          <cell r="X147">
            <v>0.14499999999999999</v>
          </cell>
          <cell r="Y147">
            <v>4.0000000000000036E-3</v>
          </cell>
          <cell r="Z147">
            <v>5.2000000000000018E-2</v>
          </cell>
          <cell r="AA147">
            <v>0.59799999999999998</v>
          </cell>
          <cell r="AB147">
            <v>0.79900000000000004</v>
          </cell>
          <cell r="AC147">
            <v>0.47199999999999998</v>
          </cell>
          <cell r="AD147">
            <v>0</v>
          </cell>
          <cell r="AE147">
            <v>0</v>
          </cell>
          <cell r="AF147">
            <v>0</v>
          </cell>
          <cell r="AG147">
            <v>0.47199999999999998</v>
          </cell>
        </row>
        <row r="148">
          <cell r="B148" t="str">
            <v>Compensation expense on stock grants</v>
          </cell>
          <cell r="D148">
            <v>0</v>
          </cell>
          <cell r="E148">
            <v>0</v>
          </cell>
          <cell r="G148">
            <v>0.03</v>
          </cell>
          <cell r="H148">
            <v>0.03</v>
          </cell>
          <cell r="I148">
            <v>0</v>
          </cell>
          <cell r="J148">
            <v>0</v>
          </cell>
          <cell r="K148">
            <v>0</v>
          </cell>
          <cell r="M148">
            <v>0.03</v>
          </cell>
          <cell r="N148">
            <v>0</v>
          </cell>
          <cell r="O148">
            <v>0</v>
          </cell>
          <cell r="P148">
            <v>0</v>
          </cell>
          <cell r="R148">
            <v>0.03</v>
          </cell>
          <cell r="S148">
            <v>0.26700000000000002</v>
          </cell>
          <cell r="T148">
            <v>0.19700000000000001</v>
          </cell>
          <cell r="U148">
            <v>0.15499999999999997</v>
          </cell>
          <cell r="V148">
            <v>0.31300000000000006</v>
          </cell>
          <cell r="W148">
            <v>0.93200000000000005</v>
          </cell>
          <cell r="X148">
            <v>0.249</v>
          </cell>
          <cell r="Y148">
            <v>0.31200000000000006</v>
          </cell>
          <cell r="Z148">
            <v>0.27399999999999991</v>
          </cell>
          <cell r="AA148">
            <v>0.36899999999999999</v>
          </cell>
          <cell r="AB148">
            <v>1.204</v>
          </cell>
          <cell r="AC148">
            <v>0.25800000000000001</v>
          </cell>
          <cell r="AD148">
            <v>0.25800000000000001</v>
          </cell>
          <cell r="AE148">
            <v>0.25800000000000001</v>
          </cell>
          <cell r="AF148">
            <v>0.25800000000000001</v>
          </cell>
          <cell r="AG148">
            <v>1.032</v>
          </cell>
        </row>
        <row r="149">
          <cell r="B149" t="str">
            <v>Undistributed earnings of joint ventures</v>
          </cell>
          <cell r="D149">
            <v>0</v>
          </cell>
          <cell r="E149">
            <v>0</v>
          </cell>
          <cell r="F149">
            <v>0</v>
          </cell>
          <cell r="G149">
            <v>0</v>
          </cell>
          <cell r="H149">
            <v>0</v>
          </cell>
          <cell r="I149">
            <v>0</v>
          </cell>
          <cell r="J149">
            <v>0</v>
          </cell>
          <cell r="K149">
            <v>0</v>
          </cell>
          <cell r="L149">
            <v>0</v>
          </cell>
          <cell r="M149">
            <v>0</v>
          </cell>
          <cell r="N149">
            <v>0</v>
          </cell>
          <cell r="O149">
            <v>0</v>
          </cell>
          <cell r="P149">
            <v>0</v>
          </cell>
          <cell r="Q149">
            <v>0</v>
          </cell>
          <cell r="R149">
            <v>0</v>
          </cell>
          <cell r="S149">
            <v>0</v>
          </cell>
          <cell r="T149">
            <v>0</v>
          </cell>
          <cell r="U149">
            <v>0</v>
          </cell>
          <cell r="V149">
            <v>0</v>
          </cell>
          <cell r="W149">
            <v>0</v>
          </cell>
          <cell r="X149">
            <v>0</v>
          </cell>
          <cell r="Y149">
            <v>8.5000000000000006E-2</v>
          </cell>
          <cell r="Z149">
            <v>23.091999999999999</v>
          </cell>
          <cell r="AA149">
            <v>-23.177</v>
          </cell>
          <cell r="AB149">
            <v>0</v>
          </cell>
          <cell r="AC149">
            <v>0</v>
          </cell>
          <cell r="AD149">
            <v>0</v>
          </cell>
          <cell r="AE149">
            <v>0</v>
          </cell>
          <cell r="AF149">
            <v>0</v>
          </cell>
          <cell r="AG149">
            <v>0</v>
          </cell>
        </row>
        <row r="150">
          <cell r="B150" t="str">
            <v>Minority interest income of consolidated joint venture</v>
          </cell>
          <cell r="D150">
            <v>0</v>
          </cell>
          <cell r="E150">
            <v>0</v>
          </cell>
          <cell r="F150">
            <v>0</v>
          </cell>
          <cell r="G150">
            <v>0</v>
          </cell>
          <cell r="H150">
            <v>0</v>
          </cell>
          <cell r="I150">
            <v>0</v>
          </cell>
          <cell r="J150">
            <v>0</v>
          </cell>
          <cell r="K150">
            <v>0</v>
          </cell>
          <cell r="L150">
            <v>0</v>
          </cell>
          <cell r="M150">
            <v>0</v>
          </cell>
          <cell r="N150">
            <v>0</v>
          </cell>
          <cell r="O150">
            <v>0</v>
          </cell>
          <cell r="P150">
            <v>0</v>
          </cell>
          <cell r="Q150">
            <v>0</v>
          </cell>
          <cell r="R150">
            <v>0</v>
          </cell>
          <cell r="S150">
            <v>0</v>
          </cell>
          <cell r="T150">
            <v>0</v>
          </cell>
          <cell r="U150">
            <v>0</v>
          </cell>
          <cell r="V150">
            <v>0</v>
          </cell>
          <cell r="W150">
            <v>0</v>
          </cell>
          <cell r="X150">
            <v>7.8E-2</v>
          </cell>
          <cell r="Y150">
            <v>8.5000000000000006E-2</v>
          </cell>
          <cell r="Z150">
            <v>9.1999999999999985E-2</v>
          </cell>
          <cell r="AA150">
            <v>-4.2999999999999997E-2</v>
          </cell>
          <cell r="AB150">
            <v>0.21199999999999999</v>
          </cell>
          <cell r="AC150">
            <v>-1.5</v>
          </cell>
          <cell r="AD150">
            <v>0.86357001000000055</v>
          </cell>
          <cell r="AE150">
            <v>0.20375000000000015</v>
          </cell>
          <cell r="AF150">
            <v>-0.33125000000000004</v>
          </cell>
          <cell r="AG150">
            <v>-0.76392998999999939</v>
          </cell>
        </row>
        <row r="151">
          <cell r="B151" t="str">
            <v>Changes in working capital</v>
          </cell>
        </row>
        <row r="152">
          <cell r="B152" t="str">
            <v>Patient and other receivables</v>
          </cell>
          <cell r="D152">
            <v>-2.9</v>
          </cell>
          <cell r="E152">
            <v>-7.1999999999999993</v>
          </cell>
          <cell r="F152">
            <v>0.71299999999999875</v>
          </cell>
          <cell r="G152">
            <v>-6.7349999999999977</v>
          </cell>
          <cell r="H152">
            <v>-16.122</v>
          </cell>
          <cell r="I152">
            <v>-1.4330000000000001</v>
          </cell>
          <cell r="J152">
            <v>-7.3460000000000001</v>
          </cell>
          <cell r="K152">
            <v>-1.0329999999999993</v>
          </cell>
          <cell r="L152">
            <v>-5.088000000000001</v>
          </cell>
          <cell r="M152">
            <v>-14.9</v>
          </cell>
          <cell r="N152">
            <v>-18.027999999999999</v>
          </cell>
          <cell r="O152">
            <v>-9.3520000000000003</v>
          </cell>
          <cell r="P152">
            <v>-9.4090000000000025</v>
          </cell>
          <cell r="Q152">
            <v>-8.1159999999999961</v>
          </cell>
          <cell r="R152">
            <v>-44.905000000000001</v>
          </cell>
          <cell r="S152">
            <v>-6.5170000000000003</v>
          </cell>
          <cell r="T152">
            <v>-2.617</v>
          </cell>
          <cell r="U152">
            <v>-10.998999999999999</v>
          </cell>
          <cell r="V152">
            <v>9.4179999999999993</v>
          </cell>
          <cell r="W152">
            <v>-10.715</v>
          </cell>
          <cell r="X152">
            <v>-20.672000000000001</v>
          </cell>
          <cell r="Y152">
            <v>-21.257000000000001</v>
          </cell>
          <cell r="Z152">
            <v>-11.373999999999992</v>
          </cell>
          <cell r="AA152">
            <v>-11.094000000000008</v>
          </cell>
          <cell r="AB152">
            <v>-64.397000000000006</v>
          </cell>
          <cell r="AC152">
            <v>-44.167999999999999</v>
          </cell>
          <cell r="AD152">
            <v>-26.3909576630586</v>
          </cell>
          <cell r="AE152">
            <v>-10.846085886489334</v>
          </cell>
          <cell r="AF152">
            <v>-12.910648046178949</v>
          </cell>
          <cell r="AG152">
            <v>-94.315691595726889</v>
          </cell>
        </row>
        <row r="153">
          <cell r="B153" t="str">
            <v>Due from affiliates</v>
          </cell>
          <cell r="D153">
            <v>0</v>
          </cell>
          <cell r="E153">
            <v>0</v>
          </cell>
          <cell r="F153">
            <v>0</v>
          </cell>
          <cell r="G153">
            <v>0</v>
          </cell>
          <cell r="H153">
            <v>0</v>
          </cell>
          <cell r="I153">
            <v>0</v>
          </cell>
          <cell r="J153">
            <v>0</v>
          </cell>
          <cell r="K153">
            <v>0</v>
          </cell>
          <cell r="L153">
            <v>0</v>
          </cell>
          <cell r="M153">
            <v>0</v>
          </cell>
          <cell r="N153">
            <v>0</v>
          </cell>
          <cell r="O153">
            <v>0</v>
          </cell>
          <cell r="P153">
            <v>0</v>
          </cell>
          <cell r="Q153">
            <v>0</v>
          </cell>
          <cell r="R153">
            <v>0</v>
          </cell>
          <cell r="S153">
            <v>0</v>
          </cell>
          <cell r="T153">
            <v>0</v>
          </cell>
          <cell r="U153">
            <v>0</v>
          </cell>
          <cell r="V153">
            <v>0</v>
          </cell>
          <cell r="W153">
            <v>0</v>
          </cell>
          <cell r="X153">
            <v>0</v>
          </cell>
          <cell r="Y153">
            <v>0</v>
          </cell>
          <cell r="Z153">
            <v>0</v>
          </cell>
          <cell r="AA153">
            <v>0</v>
          </cell>
          <cell r="AB153">
            <v>0</v>
          </cell>
          <cell r="AC153">
            <v>0</v>
          </cell>
          <cell r="AD153">
            <v>0</v>
          </cell>
          <cell r="AE153">
            <v>0</v>
          </cell>
          <cell r="AF153">
            <v>0</v>
          </cell>
          <cell r="AG153">
            <v>0</v>
          </cell>
        </row>
        <row r="154">
          <cell r="B154" t="str">
            <v>Inventories</v>
          </cell>
          <cell r="D154">
            <v>-0.41599999999999998</v>
          </cell>
          <cell r="E154">
            <v>6.5290000000000008</v>
          </cell>
          <cell r="F154">
            <v>-2.1310000000000007</v>
          </cell>
          <cell r="G154">
            <v>-21.901</v>
          </cell>
          <cell r="H154">
            <v>-17.919</v>
          </cell>
          <cell r="I154">
            <v>9.734</v>
          </cell>
          <cell r="J154">
            <v>-7.7669999999999995</v>
          </cell>
          <cell r="K154">
            <v>-0.57600000000000051</v>
          </cell>
          <cell r="L154">
            <v>-23.741</v>
          </cell>
          <cell r="M154">
            <v>-22.35</v>
          </cell>
          <cell r="N154">
            <v>5.3869999999999996</v>
          </cell>
          <cell r="O154">
            <v>-19.808</v>
          </cell>
          <cell r="P154">
            <v>11.204000000000001</v>
          </cell>
          <cell r="Q154">
            <v>-28.972000000000001</v>
          </cell>
          <cell r="R154">
            <v>-32.189</v>
          </cell>
          <cell r="S154">
            <v>4.6059999999999999</v>
          </cell>
          <cell r="T154">
            <v>-3.19</v>
          </cell>
          <cell r="U154">
            <v>7.8919999999999995</v>
          </cell>
          <cell r="V154">
            <v>-17.492000000000001</v>
          </cell>
          <cell r="W154">
            <v>-8.1839999999999993</v>
          </cell>
          <cell r="X154">
            <v>13.904999999999999</v>
          </cell>
          <cell r="Y154">
            <v>-1.2009999999999987</v>
          </cell>
          <cell r="Z154">
            <v>-0.70000000000000107</v>
          </cell>
          <cell r="AA154">
            <v>-4.3539999999999992</v>
          </cell>
          <cell r="AB154">
            <v>7.65</v>
          </cell>
          <cell r="AC154">
            <v>-4.8239999999999998</v>
          </cell>
          <cell r="AD154">
            <v>-16.56789421430878</v>
          </cell>
          <cell r="AE154">
            <v>-6.816199642226394</v>
          </cell>
          <cell r="AF154">
            <v>-11.522859221992292</v>
          </cell>
          <cell r="AG154">
            <v>-39.730953078527463</v>
          </cell>
        </row>
        <row r="155">
          <cell r="B155" t="str">
            <v>Prepaid expenses and other current assets</v>
          </cell>
          <cell r="D155">
            <v>0</v>
          </cell>
          <cell r="E155">
            <v>0</v>
          </cell>
          <cell r="F155">
            <v>0</v>
          </cell>
          <cell r="G155">
            <v>3.7999999999999999E-2</v>
          </cell>
          <cell r="H155">
            <v>3.7999999999999999E-2</v>
          </cell>
          <cell r="I155">
            <v>0</v>
          </cell>
          <cell r="J155">
            <v>0</v>
          </cell>
          <cell r="K155">
            <v>0</v>
          </cell>
          <cell r="L155">
            <v>0</v>
          </cell>
          <cell r="M155">
            <v>0</v>
          </cell>
          <cell r="N155">
            <v>0</v>
          </cell>
          <cell r="O155">
            <v>0</v>
          </cell>
          <cell r="P155">
            <v>0</v>
          </cell>
          <cell r="Q155">
            <v>0</v>
          </cell>
          <cell r="R155">
            <v>0</v>
          </cell>
          <cell r="T155">
            <v>0</v>
          </cell>
          <cell r="U155">
            <v>0</v>
          </cell>
          <cell r="V155">
            <v>0</v>
          </cell>
          <cell r="W155">
            <v>0</v>
          </cell>
          <cell r="X155">
            <v>4.319</v>
          </cell>
          <cell r="Y155">
            <v>2.1790000000000003</v>
          </cell>
          <cell r="Z155">
            <v>5.8790000000000004</v>
          </cell>
          <cell r="AA155">
            <v>-12.376999999999999</v>
          </cell>
          <cell r="AB155">
            <v>0</v>
          </cell>
          <cell r="AC155">
            <v>0</v>
          </cell>
          <cell r="AD155">
            <v>0</v>
          </cell>
          <cell r="AE155">
            <v>0</v>
          </cell>
          <cell r="AF155">
            <v>0</v>
          </cell>
          <cell r="AG155">
            <v>0</v>
          </cell>
        </row>
        <row r="156">
          <cell r="B156" t="str">
            <v>Income taxes payable</v>
          </cell>
          <cell r="D156">
            <v>0</v>
          </cell>
          <cell r="E156">
            <v>0</v>
          </cell>
          <cell r="F156">
            <v>0</v>
          </cell>
          <cell r="G156">
            <v>0</v>
          </cell>
          <cell r="H156">
            <v>0</v>
          </cell>
          <cell r="I156">
            <v>0</v>
          </cell>
          <cell r="J156">
            <v>0</v>
          </cell>
          <cell r="K156">
            <v>0</v>
          </cell>
          <cell r="L156">
            <v>0</v>
          </cell>
          <cell r="M156">
            <v>0</v>
          </cell>
          <cell r="N156">
            <v>0</v>
          </cell>
          <cell r="O156">
            <v>0</v>
          </cell>
          <cell r="P156">
            <v>0</v>
          </cell>
          <cell r="Q156">
            <v>0</v>
          </cell>
          <cell r="R156">
            <v>0</v>
          </cell>
          <cell r="S156">
            <v>0</v>
          </cell>
          <cell r="T156">
            <v>0</v>
          </cell>
          <cell r="U156">
            <v>0</v>
          </cell>
          <cell r="V156">
            <v>0</v>
          </cell>
          <cell r="W156">
            <v>0</v>
          </cell>
          <cell r="X156">
            <v>0</v>
          </cell>
          <cell r="Y156">
            <v>0</v>
          </cell>
          <cell r="Z156">
            <v>0</v>
          </cell>
          <cell r="AA156">
            <v>0</v>
          </cell>
          <cell r="AB156">
            <v>0</v>
          </cell>
          <cell r="AC156">
            <v>0</v>
          </cell>
          <cell r="AD156">
            <v>0</v>
          </cell>
          <cell r="AE156">
            <v>0</v>
          </cell>
          <cell r="AF156">
            <v>0</v>
          </cell>
          <cell r="AG156">
            <v>0</v>
          </cell>
        </row>
        <row r="157">
          <cell r="B157" t="str">
            <v>Income taxes receivable</v>
          </cell>
          <cell r="D157">
            <v>0</v>
          </cell>
          <cell r="E157">
            <v>0</v>
          </cell>
          <cell r="F157">
            <v>0</v>
          </cell>
          <cell r="G157">
            <v>0</v>
          </cell>
          <cell r="H157">
            <v>0</v>
          </cell>
          <cell r="I157">
            <v>0</v>
          </cell>
          <cell r="J157">
            <v>0</v>
          </cell>
          <cell r="K157">
            <v>0</v>
          </cell>
          <cell r="L157">
            <v>0</v>
          </cell>
          <cell r="M157">
            <v>0</v>
          </cell>
          <cell r="N157">
            <v>0</v>
          </cell>
          <cell r="O157">
            <v>0</v>
          </cell>
          <cell r="P157">
            <v>0</v>
          </cell>
          <cell r="Q157">
            <v>0</v>
          </cell>
          <cell r="R157">
            <v>0</v>
          </cell>
          <cell r="S157">
            <v>0</v>
          </cell>
          <cell r="T157">
            <v>0</v>
          </cell>
          <cell r="U157">
            <v>0</v>
          </cell>
          <cell r="V157">
            <v>0</v>
          </cell>
          <cell r="W157">
            <v>0</v>
          </cell>
          <cell r="X157">
            <v>0</v>
          </cell>
          <cell r="Y157">
            <v>0</v>
          </cell>
          <cell r="Z157">
            <v>0</v>
          </cell>
          <cell r="AA157">
            <v>0</v>
          </cell>
          <cell r="AB157">
            <v>0</v>
          </cell>
          <cell r="AC157">
            <v>0</v>
          </cell>
          <cell r="AD157">
            <v>0</v>
          </cell>
          <cell r="AE157">
            <v>0</v>
          </cell>
          <cell r="AF157">
            <v>0</v>
          </cell>
          <cell r="AG157">
            <v>0</v>
          </cell>
        </row>
        <row r="158">
          <cell r="B158" t="str">
            <v>Accounts payable and accrued expenses</v>
          </cell>
          <cell r="D158">
            <v>4.7720000000000002</v>
          </cell>
          <cell r="E158">
            <v>5.2240000000000002</v>
          </cell>
          <cell r="F158">
            <v>0.68899999999999828</v>
          </cell>
          <cell r="G158">
            <v>12.674999999999999</v>
          </cell>
          <cell r="H158">
            <v>23.36</v>
          </cell>
          <cell r="I158">
            <v>-3.2480000000000002</v>
          </cell>
          <cell r="J158">
            <v>5.109</v>
          </cell>
          <cell r="K158">
            <v>2.7709999999999999</v>
          </cell>
          <cell r="L158">
            <v>23.044999999999998</v>
          </cell>
          <cell r="M158">
            <v>27.677</v>
          </cell>
          <cell r="N158">
            <v>-8.8109999999999999</v>
          </cell>
          <cell r="O158">
            <v>32.222000000000001</v>
          </cell>
          <cell r="P158">
            <v>-21.898000000000003</v>
          </cell>
          <cell r="Q158">
            <v>24.129000000000005</v>
          </cell>
          <cell r="R158">
            <v>25.641999999999999</v>
          </cell>
          <cell r="S158">
            <v>8.7110000000000003</v>
          </cell>
          <cell r="T158">
            <v>2.9409999999999989</v>
          </cell>
          <cell r="U158">
            <v>0.79800000000000004</v>
          </cell>
          <cell r="V158">
            <v>-5.68</v>
          </cell>
          <cell r="W158">
            <v>6.77</v>
          </cell>
          <cell r="X158">
            <v>0.34200000000000003</v>
          </cell>
          <cell r="Y158">
            <v>12.302999999999999</v>
          </cell>
          <cell r="Z158">
            <v>-3.762</v>
          </cell>
          <cell r="AA158">
            <v>4.8939999999999992</v>
          </cell>
          <cell r="AB158">
            <v>13.776999999999999</v>
          </cell>
          <cell r="AC158">
            <v>30.599</v>
          </cell>
          <cell r="AD158">
            <v>31.615296863053516</v>
          </cell>
          <cell r="AE158">
            <v>11.76494732767847</v>
          </cell>
          <cell r="AF158">
            <v>19.888770711931841</v>
          </cell>
          <cell r="AG158">
            <v>93.86801490266383</v>
          </cell>
        </row>
        <row r="159">
          <cell r="B159" t="str">
            <v>Total change in working capital</v>
          </cell>
          <cell r="D159">
            <v>1.4560000000000004</v>
          </cell>
          <cell r="E159">
            <v>4.5530000000000017</v>
          </cell>
          <cell r="F159">
            <v>-0.72900000000000365</v>
          </cell>
          <cell r="G159">
            <v>-15.922999999999996</v>
          </cell>
          <cell r="H159">
            <v>-10.643000000000001</v>
          </cell>
          <cell r="I159">
            <v>5.0529999999999999</v>
          </cell>
          <cell r="J159">
            <v>-10.004</v>
          </cell>
          <cell r="K159">
            <v>1.1620000000000001</v>
          </cell>
          <cell r="L159">
            <v>-5.7840000000000025</v>
          </cell>
          <cell r="M159">
            <v>-9.5730000000000004</v>
          </cell>
          <cell r="N159">
            <v>-21.451999999999998</v>
          </cell>
          <cell r="O159">
            <v>3.0620000000000012</v>
          </cell>
          <cell r="P159">
            <v>-20.103000000000005</v>
          </cell>
          <cell r="Q159">
            <v>-12.958999999999989</v>
          </cell>
          <cell r="R159">
            <v>-51.451999999999998</v>
          </cell>
          <cell r="S159">
            <v>6.8</v>
          </cell>
          <cell r="T159">
            <v>-2.8660000000000014</v>
          </cell>
          <cell r="U159">
            <v>-2.3089999999999993</v>
          </cell>
          <cell r="V159">
            <v>-13.754000000000001</v>
          </cell>
          <cell r="W159">
            <v>-12.129000000000001</v>
          </cell>
          <cell r="X159">
            <v>-2.1060000000000012</v>
          </cell>
          <cell r="Y159">
            <v>-7.9759999999999973</v>
          </cell>
          <cell r="Z159">
            <v>-9.9569999999999919</v>
          </cell>
          <cell r="AA159">
            <v>-22.931000000000008</v>
          </cell>
          <cell r="AB159">
            <v>-42.970000000000006</v>
          </cell>
          <cell r="AC159">
            <v>-18.392999999999997</v>
          </cell>
          <cell r="AD159">
            <v>-11.343555014313864</v>
          </cell>
          <cell r="AE159">
            <v>-5.8973382010372575</v>
          </cell>
          <cell r="AF159">
            <v>-4.5447365562393998</v>
          </cell>
          <cell r="AG159">
            <v>-40.178629771590522</v>
          </cell>
        </row>
        <row r="160">
          <cell r="B160" t="str">
            <v>Other</v>
          </cell>
          <cell r="D160">
            <v>0</v>
          </cell>
          <cell r="E160">
            <v>0</v>
          </cell>
          <cell r="F160">
            <v>0</v>
          </cell>
          <cell r="G160">
            <v>4.1180000000000003</v>
          </cell>
          <cell r="H160">
            <v>4.1180000000000003</v>
          </cell>
          <cell r="I160">
            <v>-7.29</v>
          </cell>
          <cell r="J160">
            <v>2.8520000000000003</v>
          </cell>
          <cell r="K160">
            <v>3.5369999999999999</v>
          </cell>
          <cell r="L160">
            <v>8.7729999999999997</v>
          </cell>
          <cell r="M160">
            <v>7.8719999999999999</v>
          </cell>
          <cell r="N160">
            <v>-4.8230000000000004</v>
          </cell>
          <cell r="O160">
            <v>-1.7889999999999997</v>
          </cell>
          <cell r="P160">
            <v>15.3</v>
          </cell>
          <cell r="Q160">
            <v>12.115</v>
          </cell>
          <cell r="R160">
            <v>20.803000000000001</v>
          </cell>
          <cell r="S160">
            <v>-20.37</v>
          </cell>
          <cell r="T160">
            <v>0.90900000000000247</v>
          </cell>
          <cell r="U160">
            <v>1.9009999999999998</v>
          </cell>
          <cell r="V160">
            <v>-5.703000000000003</v>
          </cell>
          <cell r="W160">
            <v>-23.263000000000002</v>
          </cell>
          <cell r="X160">
            <v>0</v>
          </cell>
          <cell r="Y160">
            <v>0</v>
          </cell>
          <cell r="Z160">
            <v>0</v>
          </cell>
          <cell r="AA160">
            <v>5.0860000000000003</v>
          </cell>
          <cell r="AB160">
            <v>5.0860000000000003</v>
          </cell>
          <cell r="AC160">
            <v>3.8679999999999999</v>
          </cell>
          <cell r="AD160">
            <v>0</v>
          </cell>
          <cell r="AE160">
            <v>0</v>
          </cell>
          <cell r="AF160">
            <v>0</v>
          </cell>
          <cell r="AG160">
            <v>3.8679999999999999</v>
          </cell>
        </row>
        <row r="161">
          <cell r="B161" t="str">
            <v>Cash from operations</v>
          </cell>
          <cell r="D161">
            <v>8.945999999999998</v>
          </cell>
          <cell r="E161">
            <v>12.119000000000012</v>
          </cell>
          <cell r="F161">
            <v>20.379999999999985</v>
          </cell>
          <cell r="G161">
            <v>-1.4739999999999931</v>
          </cell>
          <cell r="H161">
            <v>39.971000000000039</v>
          </cell>
          <cell r="I161">
            <v>16.183000000000018</v>
          </cell>
          <cell r="J161">
            <v>1.6940000000000097</v>
          </cell>
          <cell r="K161">
            <v>15.076999999999991</v>
          </cell>
          <cell r="L161">
            <v>12.484000000000076</v>
          </cell>
          <cell r="M161">
            <v>45.468000000000004</v>
          </cell>
          <cell r="N161">
            <v>-15.187000000000015</v>
          </cell>
          <cell r="O161">
            <v>13.688000000000015</v>
          </cell>
          <cell r="P161">
            <v>8.33900000000002</v>
          </cell>
          <cell r="Q161">
            <v>12.793000000000131</v>
          </cell>
          <cell r="R161">
            <v>19.663000000000043</v>
          </cell>
          <cell r="S161">
            <v>1.5869999999999642</v>
          </cell>
          <cell r="T161">
            <v>11.281999999999993</v>
          </cell>
          <cell r="U161">
            <v>14.001000000000014</v>
          </cell>
          <cell r="V161">
            <v>1.4239999999998574</v>
          </cell>
          <cell r="W161">
            <v>28.29399999999983</v>
          </cell>
          <cell r="X161">
            <v>12.674999999999974</v>
          </cell>
          <cell r="Y161">
            <v>6.8820000000000263</v>
          </cell>
          <cell r="Z161">
            <v>29.056000000000004</v>
          </cell>
          <cell r="AA161">
            <v>-24.397999999999989</v>
          </cell>
          <cell r="AB161">
            <v>24.215000000000011</v>
          </cell>
          <cell r="AC161">
            <v>-2.0130000000000181</v>
          </cell>
          <cell r="AD161">
            <v>4.5208215319095828</v>
          </cell>
          <cell r="AE161">
            <v>12.129596068204798</v>
          </cell>
          <cell r="AF161">
            <v>16.13889977807445</v>
          </cell>
          <cell r="AG161">
            <v>30.776317378188811</v>
          </cell>
        </row>
        <row r="163">
          <cell r="B163" t="str">
            <v>Sales, net of purchases, of marketable securities</v>
          </cell>
          <cell r="D163">
            <v>7.8719999999999999</v>
          </cell>
          <cell r="E163">
            <v>-44.287999999999997</v>
          </cell>
          <cell r="F163">
            <v>24.544999999999995</v>
          </cell>
          <cell r="G163">
            <v>-9.9039999999999964</v>
          </cell>
          <cell r="H163">
            <v>-21.774999999999999</v>
          </cell>
          <cell r="I163">
            <v>7.3179999999999996</v>
          </cell>
          <cell r="J163">
            <v>-4.302999999999999</v>
          </cell>
          <cell r="K163">
            <v>-17.25</v>
          </cell>
          <cell r="L163">
            <v>-1.3610000000000007</v>
          </cell>
          <cell r="M163">
            <v>-15.596</v>
          </cell>
          <cell r="N163">
            <v>32.923000000000002</v>
          </cell>
          <cell r="O163">
            <v>-0.34700000000000131</v>
          </cell>
          <cell r="P163">
            <v>22.923999999999999</v>
          </cell>
          <cell r="R163">
            <v>47.829000000000001</v>
          </cell>
          <cell r="S163">
            <v>20.52</v>
          </cell>
          <cell r="T163">
            <v>2.2850000000000001</v>
          </cell>
          <cell r="U163">
            <v>-7.1430000000000007</v>
          </cell>
          <cell r="V163">
            <v>15.358000000000001</v>
          </cell>
          <cell r="W163">
            <v>31.02</v>
          </cell>
          <cell r="X163">
            <v>4.7290000000000001</v>
          </cell>
          <cell r="Y163">
            <v>2.2850000000000001</v>
          </cell>
          <cell r="Z163">
            <v>-1.426000000000001</v>
          </cell>
          <cell r="AA163">
            <v>-7.5599999999999987</v>
          </cell>
          <cell r="AB163">
            <v>-1.972</v>
          </cell>
          <cell r="AC163">
            <v>7.55</v>
          </cell>
        </row>
        <row r="164">
          <cell r="B164" t="str">
            <v>PP&amp;E (and capitalized software expenditures)</v>
          </cell>
          <cell r="D164">
            <v>-0.41</v>
          </cell>
          <cell r="E164">
            <v>-1.1320000000000001</v>
          </cell>
          <cell r="F164">
            <v>-0.33099999999999991</v>
          </cell>
          <cell r="G164">
            <v>-0.40299999999999975</v>
          </cell>
          <cell r="H164">
            <v>-2.2759999999999998</v>
          </cell>
          <cell r="I164">
            <v>-0.121</v>
          </cell>
          <cell r="J164">
            <v>-0.74</v>
          </cell>
          <cell r="K164">
            <v>-2.863</v>
          </cell>
          <cell r="L164">
            <v>-3.722</v>
          </cell>
          <cell r="M164">
            <v>-7.4459999999999997</v>
          </cell>
          <cell r="N164">
            <v>-1.849</v>
          </cell>
          <cell r="O164">
            <v>-1.9139999999999999</v>
          </cell>
          <cell r="P164">
            <v>-2.149</v>
          </cell>
          <cell r="Q164">
            <v>-3.0680000000000005</v>
          </cell>
          <cell r="R164">
            <v>-8.98</v>
          </cell>
          <cell r="S164">
            <v>-2.4540000000000002</v>
          </cell>
          <cell r="T164">
            <v>-6.0350000000000001</v>
          </cell>
          <cell r="U164">
            <v>-3.0989999999999989</v>
          </cell>
          <cell r="V164">
            <v>-6.5359999999999996</v>
          </cell>
          <cell r="W164">
            <v>-18.123999999999999</v>
          </cell>
          <cell r="X164">
            <v>-2.7679999999999998</v>
          </cell>
          <cell r="Y164">
            <v>-3.16</v>
          </cell>
          <cell r="Z164">
            <v>-5.319</v>
          </cell>
          <cell r="AA164">
            <v>-6.8690000000000007</v>
          </cell>
          <cell r="AB164">
            <v>-18.116</v>
          </cell>
          <cell r="AC164">
            <v>-19.856999999999999</v>
          </cell>
          <cell r="AD164">
            <v>-2.3810000000000002</v>
          </cell>
          <cell r="AE164">
            <v>-2.3810000000000002</v>
          </cell>
          <cell r="AF164">
            <v>-2.3810000000000002</v>
          </cell>
          <cell r="AG164">
            <v>-27</v>
          </cell>
        </row>
        <row r="165">
          <cell r="B165" t="str">
            <v>Acquisitions</v>
          </cell>
          <cell r="D165">
            <v>0</v>
          </cell>
          <cell r="E165">
            <v>0</v>
          </cell>
          <cell r="F165">
            <v>0</v>
          </cell>
          <cell r="G165">
            <v>0</v>
          </cell>
          <cell r="H165">
            <v>0</v>
          </cell>
          <cell r="I165">
            <v>-11.513</v>
          </cell>
          <cell r="J165">
            <v>-17.381999999999998</v>
          </cell>
          <cell r="K165">
            <v>0</v>
          </cell>
          <cell r="L165">
            <v>-7.7159999999999993</v>
          </cell>
          <cell r="M165">
            <v>-36.610999999999997</v>
          </cell>
          <cell r="N165">
            <v>-19.213000000000001</v>
          </cell>
          <cell r="O165">
            <v>-7.1140000000000008</v>
          </cell>
          <cell r="P165">
            <v>-6.5539999999999985</v>
          </cell>
          <cell r="Q165">
            <v>-1.5000000000000568E-2</v>
          </cell>
          <cell r="R165">
            <v>-32.896000000000001</v>
          </cell>
          <cell r="S165">
            <v>0</v>
          </cell>
          <cell r="T165">
            <v>-8.0280000000000005</v>
          </cell>
          <cell r="U165">
            <v>-7.1980000000000004</v>
          </cell>
          <cell r="V165">
            <v>-8.1059999999999999</v>
          </cell>
          <cell r="W165">
            <v>-23.332000000000001</v>
          </cell>
          <cell r="X165">
            <v>-5.7960000000000003</v>
          </cell>
          <cell r="Y165">
            <v>-8.870000000000001</v>
          </cell>
          <cell r="Z165">
            <v>-35.431000000000004</v>
          </cell>
          <cell r="AA165">
            <v>10.449000000000002</v>
          </cell>
          <cell r="AB165">
            <v>-39.648000000000003</v>
          </cell>
          <cell r="AC165">
            <v>-2.6</v>
          </cell>
          <cell r="AD165">
            <v>-20</v>
          </cell>
          <cell r="AE165">
            <v>-5</v>
          </cell>
          <cell r="AF165">
            <v>0</v>
          </cell>
          <cell r="AG165">
            <v>-27.6</v>
          </cell>
        </row>
        <row r="166">
          <cell r="B166" t="str">
            <v>Other</v>
          </cell>
          <cell r="D166">
            <v>0.46899999999999997</v>
          </cell>
          <cell r="E166">
            <v>-2.0190000000000001</v>
          </cell>
          <cell r="F166">
            <v>0</v>
          </cell>
          <cell r="G166">
            <v>0</v>
          </cell>
          <cell r="H166">
            <v>-1.55</v>
          </cell>
          <cell r="I166">
            <v>0</v>
          </cell>
          <cell r="J166">
            <v>-0.113</v>
          </cell>
          <cell r="K166">
            <v>-8.9999999999999941E-3</v>
          </cell>
          <cell r="L166">
            <v>-7.3779999999999992</v>
          </cell>
          <cell r="M166">
            <v>-7.5</v>
          </cell>
          <cell r="N166">
            <v>-1.2250000000000001</v>
          </cell>
          <cell r="O166">
            <v>0</v>
          </cell>
          <cell r="P166">
            <v>-7.4239999999999995</v>
          </cell>
          <cell r="Q166">
            <v>-3.2209999999999996</v>
          </cell>
          <cell r="R166">
            <v>-11.87</v>
          </cell>
          <cell r="S166">
            <v>0</v>
          </cell>
          <cell r="T166">
            <v>4.4649999999999999</v>
          </cell>
          <cell r="U166">
            <v>-1.3899999999999997</v>
          </cell>
          <cell r="V166">
            <v>-3.101</v>
          </cell>
          <cell r="W166">
            <v>-2.6000000000000023E-2</v>
          </cell>
          <cell r="X166">
            <v>0</v>
          </cell>
          <cell r="Y166">
            <v>-15</v>
          </cell>
          <cell r="Z166">
            <v>0</v>
          </cell>
          <cell r="AA166">
            <v>-2.9170000000000016</v>
          </cell>
          <cell r="AB166">
            <v>-17.917000000000002</v>
          </cell>
          <cell r="AC166">
            <v>-0.11799999999999999</v>
          </cell>
          <cell r="AD166">
            <v>0</v>
          </cell>
          <cell r="AE166">
            <v>0</v>
          </cell>
          <cell r="AF166">
            <v>0</v>
          </cell>
          <cell r="AG166">
            <v>-0.11799999999999999</v>
          </cell>
        </row>
        <row r="167">
          <cell r="B167" t="str">
            <v>Cash from investing</v>
          </cell>
          <cell r="D167">
            <v>7.931</v>
          </cell>
          <cell r="E167">
            <v>-47.438999999999993</v>
          </cell>
          <cell r="F167">
            <v>24.213999999999995</v>
          </cell>
          <cell r="G167">
            <v>-10.306999999999997</v>
          </cell>
          <cell r="H167">
            <v>-25.600999999999999</v>
          </cell>
          <cell r="I167">
            <v>-4.3160000000000007</v>
          </cell>
          <cell r="J167">
            <v>-22.537999999999997</v>
          </cell>
          <cell r="K167">
            <v>-20.122</v>
          </cell>
          <cell r="L167">
            <v>-20.177</v>
          </cell>
          <cell r="M167">
            <v>-67.152999999999992</v>
          </cell>
          <cell r="N167">
            <v>10.636000000000001</v>
          </cell>
          <cell r="O167">
            <v>-9.3750000000000018</v>
          </cell>
          <cell r="P167">
            <v>6.7970000000000006</v>
          </cell>
          <cell r="Q167">
            <v>-6.3040000000000003</v>
          </cell>
          <cell r="R167">
            <v>-5.9169999999999963</v>
          </cell>
          <cell r="S167">
            <v>18.065999999999999</v>
          </cell>
          <cell r="T167">
            <v>-7.3130000000000006</v>
          </cell>
          <cell r="U167">
            <v>-18.829999999999998</v>
          </cell>
          <cell r="V167">
            <v>-2.3849999999999989</v>
          </cell>
          <cell r="W167">
            <v>-10.462</v>
          </cell>
          <cell r="X167">
            <v>-3.835</v>
          </cell>
          <cell r="Y167">
            <v>-24.745000000000001</v>
          </cell>
          <cell r="Z167">
            <v>-42.176000000000002</v>
          </cell>
          <cell r="AA167">
            <v>-6.8969999999999985</v>
          </cell>
          <cell r="AB167">
            <v>-77.653000000000006</v>
          </cell>
          <cell r="AC167">
            <v>-15.024999999999999</v>
          </cell>
          <cell r="AD167">
            <v>-22.381</v>
          </cell>
          <cell r="AE167">
            <v>-7.3810000000000002</v>
          </cell>
          <cell r="AF167">
            <v>-2.3810000000000002</v>
          </cell>
          <cell r="AG167">
            <v>-54.718000000000004</v>
          </cell>
        </row>
        <row r="169">
          <cell r="B169" t="str">
            <v>Proceeds from stock option exercises</v>
          </cell>
          <cell r="D169">
            <v>9.0530000000000008</v>
          </cell>
          <cell r="E169">
            <v>13.753</v>
          </cell>
          <cell r="F169">
            <v>-12.226000000000001</v>
          </cell>
          <cell r="G169">
            <v>0.45899999999999963</v>
          </cell>
          <cell r="H169">
            <v>11.039</v>
          </cell>
          <cell r="I169">
            <v>6.819</v>
          </cell>
          <cell r="J169">
            <v>0.91100000000000048</v>
          </cell>
          <cell r="K169">
            <v>0.33199999999999896</v>
          </cell>
          <cell r="L169">
            <v>0.36300000000000132</v>
          </cell>
          <cell r="M169">
            <v>8.4250000000000007</v>
          </cell>
          <cell r="N169">
            <v>1.8979999999999999</v>
          </cell>
          <cell r="O169">
            <v>0.53</v>
          </cell>
          <cell r="P169">
            <v>1.0369999999999997</v>
          </cell>
          <cell r="Q169">
            <v>0.25100000000000011</v>
          </cell>
          <cell r="R169">
            <v>3.7160000000000002</v>
          </cell>
          <cell r="S169">
            <v>0.74099999999999999</v>
          </cell>
          <cell r="T169">
            <v>0.27700000000000002</v>
          </cell>
          <cell r="U169">
            <v>0.51600000000000013</v>
          </cell>
          <cell r="V169">
            <v>0.67499999999999993</v>
          </cell>
          <cell r="W169">
            <v>2.2090000000000001</v>
          </cell>
          <cell r="X169">
            <v>0.46800000000000003</v>
          </cell>
          <cell r="Y169">
            <v>1.699999999999996E-2</v>
          </cell>
          <cell r="Z169">
            <v>0.38699999999999996</v>
          </cell>
          <cell r="AA169">
            <v>0.51400000000000001</v>
          </cell>
          <cell r="AB169">
            <v>1.3859999999999999</v>
          </cell>
          <cell r="AC169">
            <v>1.9319999999999999</v>
          </cell>
          <cell r="AD169">
            <v>0</v>
          </cell>
          <cell r="AE169">
            <v>0</v>
          </cell>
          <cell r="AF169">
            <v>0</v>
          </cell>
          <cell r="AG169">
            <v>1.9319999999999999</v>
          </cell>
        </row>
        <row r="170">
          <cell r="B170" t="str">
            <v>Joint venture contribution</v>
          </cell>
          <cell r="D170">
            <v>0</v>
          </cell>
          <cell r="E170">
            <v>0</v>
          </cell>
          <cell r="F170">
            <v>0</v>
          </cell>
          <cell r="G170">
            <v>0</v>
          </cell>
          <cell r="H170">
            <v>0</v>
          </cell>
          <cell r="I170">
            <v>0</v>
          </cell>
          <cell r="J170">
            <v>0</v>
          </cell>
          <cell r="K170">
            <v>0</v>
          </cell>
          <cell r="L170">
            <v>0</v>
          </cell>
          <cell r="M170">
            <v>0</v>
          </cell>
          <cell r="N170">
            <v>0</v>
          </cell>
          <cell r="O170">
            <v>0</v>
          </cell>
          <cell r="P170">
            <v>0</v>
          </cell>
          <cell r="Q170">
            <v>0</v>
          </cell>
          <cell r="R170">
            <v>0</v>
          </cell>
          <cell r="S170">
            <v>0</v>
          </cell>
          <cell r="T170">
            <v>0</v>
          </cell>
          <cell r="U170">
            <v>0</v>
          </cell>
          <cell r="V170">
            <v>0</v>
          </cell>
          <cell r="W170">
            <v>0</v>
          </cell>
          <cell r="X170">
            <v>0</v>
          </cell>
          <cell r="Y170">
            <v>0</v>
          </cell>
          <cell r="Z170">
            <v>23</v>
          </cell>
          <cell r="AA170">
            <v>0</v>
          </cell>
          <cell r="AB170">
            <v>23</v>
          </cell>
          <cell r="AC170">
            <v>0</v>
          </cell>
          <cell r="AD170">
            <v>0</v>
          </cell>
          <cell r="AE170">
            <v>0</v>
          </cell>
          <cell r="AF170">
            <v>0</v>
          </cell>
          <cell r="AG170">
            <v>0</v>
          </cell>
        </row>
        <row r="171">
          <cell r="B171" t="str">
            <v>Proceeds from ESPP</v>
          </cell>
          <cell r="D171">
            <v>0</v>
          </cell>
          <cell r="E171">
            <v>0</v>
          </cell>
          <cell r="F171">
            <v>0</v>
          </cell>
          <cell r="G171">
            <v>0</v>
          </cell>
          <cell r="H171">
            <v>0</v>
          </cell>
          <cell r="I171">
            <v>0</v>
          </cell>
          <cell r="J171">
            <v>0</v>
          </cell>
          <cell r="K171">
            <v>0</v>
          </cell>
          <cell r="L171">
            <v>0</v>
          </cell>
          <cell r="M171">
            <v>0</v>
          </cell>
          <cell r="N171">
            <v>0</v>
          </cell>
          <cell r="O171">
            <v>0</v>
          </cell>
          <cell r="P171">
            <v>0</v>
          </cell>
          <cell r="Q171">
            <v>0</v>
          </cell>
          <cell r="R171">
            <v>0</v>
          </cell>
          <cell r="S171">
            <v>0</v>
          </cell>
          <cell r="T171">
            <v>0</v>
          </cell>
          <cell r="U171">
            <v>0</v>
          </cell>
          <cell r="V171">
            <v>0</v>
          </cell>
          <cell r="W171">
            <v>0</v>
          </cell>
          <cell r="X171">
            <v>7.4999999999999997E-2</v>
          </cell>
          <cell r="Y171">
            <v>8.1000000000000003E-2</v>
          </cell>
          <cell r="Z171">
            <v>9.6999999999999989E-2</v>
          </cell>
          <cell r="AA171">
            <v>-9.9999999999997313E-4</v>
          </cell>
          <cell r="AB171">
            <v>0.252</v>
          </cell>
          <cell r="AC171">
            <v>0.154</v>
          </cell>
          <cell r="AD171">
            <v>0</v>
          </cell>
          <cell r="AE171">
            <v>0</v>
          </cell>
          <cell r="AF171">
            <v>0</v>
          </cell>
          <cell r="AG171">
            <v>0.154</v>
          </cell>
        </row>
        <row r="172">
          <cell r="B172" t="str">
            <v>Proceeds from line of credit</v>
          </cell>
          <cell r="D172">
            <v>0</v>
          </cell>
          <cell r="E172">
            <v>0</v>
          </cell>
          <cell r="F172">
            <v>0</v>
          </cell>
          <cell r="G172">
            <v>0</v>
          </cell>
          <cell r="H172">
            <v>0</v>
          </cell>
          <cell r="I172">
            <v>0</v>
          </cell>
          <cell r="J172">
            <v>0</v>
          </cell>
          <cell r="K172">
            <v>0</v>
          </cell>
          <cell r="L172">
            <v>0</v>
          </cell>
          <cell r="M172">
            <v>0</v>
          </cell>
          <cell r="N172">
            <v>0</v>
          </cell>
          <cell r="O172">
            <v>0</v>
          </cell>
          <cell r="P172">
            <v>0</v>
          </cell>
          <cell r="Q172">
            <v>0</v>
          </cell>
          <cell r="R172">
            <v>0</v>
          </cell>
          <cell r="S172">
            <v>0</v>
          </cell>
          <cell r="T172">
            <v>0</v>
          </cell>
          <cell r="U172">
            <v>0</v>
          </cell>
          <cell r="V172">
            <v>0</v>
          </cell>
          <cell r="W172">
            <v>0</v>
          </cell>
          <cell r="X172">
            <v>0</v>
          </cell>
          <cell r="Y172">
            <v>5.0060000000000002</v>
          </cell>
          <cell r="Z172">
            <v>40.268000000000001</v>
          </cell>
          <cell r="AA172">
            <v>20.016000000000005</v>
          </cell>
          <cell r="AB172">
            <v>65.290000000000006</v>
          </cell>
          <cell r="AC172">
            <v>20.079000000000001</v>
          </cell>
          <cell r="AD172">
            <v>0</v>
          </cell>
          <cell r="AE172">
            <v>0</v>
          </cell>
          <cell r="AF172">
            <v>0</v>
          </cell>
          <cell r="AG172">
            <v>20.079000000000001</v>
          </cell>
        </row>
        <row r="173">
          <cell r="B173" t="str">
            <v>Payment of proceeds from notes payable and LOC</v>
          </cell>
          <cell r="D173">
            <v>0</v>
          </cell>
          <cell r="E173">
            <v>0</v>
          </cell>
          <cell r="F173">
            <v>0</v>
          </cell>
          <cell r="G173">
            <v>0</v>
          </cell>
          <cell r="H173">
            <v>0</v>
          </cell>
          <cell r="M173">
            <v>0</v>
          </cell>
          <cell r="R173">
            <v>0</v>
          </cell>
          <cell r="S173">
            <v>0</v>
          </cell>
          <cell r="T173">
            <v>0</v>
          </cell>
          <cell r="U173">
            <v>0</v>
          </cell>
          <cell r="V173">
            <v>0</v>
          </cell>
          <cell r="W173">
            <v>0</v>
          </cell>
          <cell r="X173">
            <v>0</v>
          </cell>
          <cell r="Y173">
            <v>0</v>
          </cell>
          <cell r="Z173">
            <v>0</v>
          </cell>
          <cell r="AA173">
            <v>-37.421999999999997</v>
          </cell>
          <cell r="AB173">
            <v>-37.421999999999997</v>
          </cell>
          <cell r="AC173">
            <v>-15</v>
          </cell>
          <cell r="AD173">
            <v>-5.0790000000000006</v>
          </cell>
          <cell r="AE173">
            <v>0</v>
          </cell>
          <cell r="AF173">
            <v>0</v>
          </cell>
          <cell r="AG173">
            <v>-20.079000000000001</v>
          </cell>
        </row>
        <row r="174">
          <cell r="B174" t="str">
            <v>Payments for purchase of treasury stock</v>
          </cell>
          <cell r="D174">
            <v>-0.39800000000000002</v>
          </cell>
          <cell r="E174">
            <v>0</v>
          </cell>
          <cell r="F174">
            <v>0</v>
          </cell>
          <cell r="G174">
            <v>-3.7999999999999978E-2</v>
          </cell>
          <cell r="H174">
            <v>-0.436</v>
          </cell>
          <cell r="I174">
            <v>-0.36499999999999999</v>
          </cell>
          <cell r="J174">
            <v>0</v>
          </cell>
          <cell r="K174">
            <v>0</v>
          </cell>
          <cell r="L174">
            <v>-3.6739999999999995</v>
          </cell>
          <cell r="M174">
            <v>-4.0389999999999997</v>
          </cell>
          <cell r="N174">
            <v>0</v>
          </cell>
          <cell r="O174">
            <v>0</v>
          </cell>
          <cell r="P174">
            <v>-13.19</v>
          </cell>
          <cell r="Q174">
            <v>9.9999999999944578E-4</v>
          </cell>
          <cell r="R174">
            <v>-13.189</v>
          </cell>
          <cell r="S174">
            <v>0</v>
          </cell>
          <cell r="T174">
            <v>-3.4340000000000002</v>
          </cell>
          <cell r="U174">
            <v>-6.8359999999999994</v>
          </cell>
          <cell r="V174">
            <v>-1.0830000000000002</v>
          </cell>
          <cell r="W174">
            <v>-11.353</v>
          </cell>
          <cell r="X174">
            <v>-1.157</v>
          </cell>
          <cell r="Y174">
            <v>0</v>
          </cell>
          <cell r="Z174">
            <v>0</v>
          </cell>
          <cell r="AA174">
            <v>-0.16500000000000004</v>
          </cell>
          <cell r="AB174">
            <v>-1.3220000000000001</v>
          </cell>
          <cell r="AC174">
            <v>0</v>
          </cell>
          <cell r="AD174">
            <v>0</v>
          </cell>
          <cell r="AE174">
            <v>0</v>
          </cell>
          <cell r="AF174">
            <v>0</v>
          </cell>
          <cell r="AG174">
            <v>0</v>
          </cell>
        </row>
        <row r="175">
          <cell r="B175" t="str">
            <v>Distributions to minority interest partner</v>
          </cell>
          <cell r="D175">
            <v>0</v>
          </cell>
          <cell r="E175">
            <v>0</v>
          </cell>
          <cell r="F175">
            <v>0</v>
          </cell>
          <cell r="G175">
            <v>0</v>
          </cell>
          <cell r="H175">
            <v>0</v>
          </cell>
          <cell r="I175">
            <v>0</v>
          </cell>
          <cell r="J175">
            <v>0</v>
          </cell>
          <cell r="K175">
            <v>0</v>
          </cell>
          <cell r="L175">
            <v>0</v>
          </cell>
          <cell r="M175">
            <v>0</v>
          </cell>
          <cell r="N175">
            <v>0</v>
          </cell>
          <cell r="O175">
            <v>0</v>
          </cell>
          <cell r="P175">
            <v>0</v>
          </cell>
          <cell r="Q175">
            <v>0</v>
          </cell>
          <cell r="R175">
            <v>0</v>
          </cell>
          <cell r="S175">
            <v>0</v>
          </cell>
          <cell r="T175">
            <v>0</v>
          </cell>
          <cell r="U175">
            <v>0</v>
          </cell>
          <cell r="V175">
            <v>0</v>
          </cell>
          <cell r="W175">
            <v>0</v>
          </cell>
          <cell r="X175">
            <v>0</v>
          </cell>
          <cell r="Y175">
            <v>0</v>
          </cell>
          <cell r="Z175">
            <v>0</v>
          </cell>
          <cell r="AA175">
            <v>0</v>
          </cell>
          <cell r="AB175">
            <v>0</v>
          </cell>
          <cell r="AC175">
            <v>0</v>
          </cell>
          <cell r="AD175">
            <v>0</v>
          </cell>
          <cell r="AE175">
            <v>0</v>
          </cell>
          <cell r="AF175">
            <v>0</v>
          </cell>
          <cell r="AG175">
            <v>0</v>
          </cell>
        </row>
        <row r="176">
          <cell r="B176" t="str">
            <v>Other</v>
          </cell>
          <cell r="D176">
            <v>0</v>
          </cell>
          <cell r="E176">
            <v>0</v>
          </cell>
          <cell r="F176">
            <v>0</v>
          </cell>
          <cell r="G176">
            <v>0</v>
          </cell>
          <cell r="H176">
            <v>0</v>
          </cell>
          <cell r="I176">
            <v>0</v>
          </cell>
          <cell r="J176">
            <v>0</v>
          </cell>
          <cell r="K176">
            <v>0</v>
          </cell>
          <cell r="L176">
            <v>0</v>
          </cell>
          <cell r="M176">
            <v>0</v>
          </cell>
          <cell r="N176">
            <v>0</v>
          </cell>
          <cell r="O176">
            <v>0</v>
          </cell>
          <cell r="P176">
            <v>0</v>
          </cell>
          <cell r="Q176">
            <v>0</v>
          </cell>
          <cell r="R176">
            <v>0</v>
          </cell>
          <cell r="S176">
            <v>0</v>
          </cell>
          <cell r="T176">
            <v>0</v>
          </cell>
          <cell r="U176">
            <v>0</v>
          </cell>
          <cell r="V176">
            <v>0</v>
          </cell>
          <cell r="W176">
            <v>0</v>
          </cell>
          <cell r="X176">
            <v>0</v>
          </cell>
          <cell r="Y176">
            <v>0</v>
          </cell>
          <cell r="Z176">
            <v>0</v>
          </cell>
          <cell r="AA176">
            <v>0</v>
          </cell>
          <cell r="AB176">
            <v>0</v>
          </cell>
          <cell r="AC176">
            <v>0</v>
          </cell>
          <cell r="AD176">
            <v>0</v>
          </cell>
          <cell r="AE176">
            <v>0</v>
          </cell>
          <cell r="AF176">
            <v>0</v>
          </cell>
          <cell r="AG176">
            <v>0</v>
          </cell>
        </row>
        <row r="177">
          <cell r="B177" t="str">
            <v>Cash from financing</v>
          </cell>
          <cell r="D177">
            <v>8.6550000000000011</v>
          </cell>
          <cell r="E177">
            <v>13.753</v>
          </cell>
          <cell r="F177">
            <v>-12.226000000000001</v>
          </cell>
          <cell r="G177">
            <v>0.42099999999999937</v>
          </cell>
          <cell r="H177">
            <v>10.603</v>
          </cell>
          <cell r="I177">
            <v>6.4539999999999997</v>
          </cell>
          <cell r="J177">
            <v>0.91100000000000048</v>
          </cell>
          <cell r="K177">
            <v>0.33199999999999896</v>
          </cell>
          <cell r="L177">
            <v>-3.3109999999999982</v>
          </cell>
          <cell r="M177">
            <v>4.386000000000001</v>
          </cell>
          <cell r="N177">
            <v>1.8979999999999999</v>
          </cell>
          <cell r="O177">
            <v>0.53</v>
          </cell>
          <cell r="P177">
            <v>-12.153</v>
          </cell>
          <cell r="Q177">
            <v>0.25199999999999956</v>
          </cell>
          <cell r="R177">
            <v>-9.472999999999999</v>
          </cell>
          <cell r="S177">
            <v>0.74099999999999999</v>
          </cell>
          <cell r="T177">
            <v>-3.157</v>
          </cell>
          <cell r="U177">
            <v>-6.3199999999999994</v>
          </cell>
          <cell r="V177">
            <v>-0.40800000000000025</v>
          </cell>
          <cell r="W177">
            <v>-9.1440000000000001</v>
          </cell>
          <cell r="X177">
            <v>-0.61399999999999999</v>
          </cell>
          <cell r="Y177">
            <v>5.1040000000000001</v>
          </cell>
          <cell r="Z177">
            <v>63.752000000000002</v>
          </cell>
          <cell r="AA177">
            <v>-17.057999999999989</v>
          </cell>
          <cell r="AB177">
            <v>51.183999999999997</v>
          </cell>
          <cell r="AC177">
            <v>7.1649999999999991</v>
          </cell>
          <cell r="AD177">
            <v>-5.0790000000000006</v>
          </cell>
          <cell r="AE177">
            <v>0</v>
          </cell>
          <cell r="AF177">
            <v>0</v>
          </cell>
          <cell r="AG177">
            <v>2.0859999999999985</v>
          </cell>
        </row>
        <row r="179">
          <cell r="B179" t="str">
            <v>Net Increase (Decrease) in Cash and Cash Equivalents</v>
          </cell>
          <cell r="D179">
            <v>25.532</v>
          </cell>
          <cell r="E179">
            <v>-21.566999999999979</v>
          </cell>
          <cell r="F179">
            <v>32.367999999999981</v>
          </cell>
          <cell r="G179">
            <v>-11.359999999999991</v>
          </cell>
          <cell r="H179">
            <v>24.973000000000042</v>
          </cell>
          <cell r="I179">
            <v>18.321000000000016</v>
          </cell>
          <cell r="J179">
            <v>-19.932999999999986</v>
          </cell>
          <cell r="K179">
            <v>-4.7130000000000098</v>
          </cell>
          <cell r="L179">
            <v>-11.003999999999921</v>
          </cell>
          <cell r="M179">
            <v>-17.298999999999985</v>
          </cell>
          <cell r="N179">
            <v>-2.6530000000000147</v>
          </cell>
          <cell r="O179">
            <v>4.8430000000000133</v>
          </cell>
          <cell r="P179">
            <v>2.9830000000000201</v>
          </cell>
          <cell r="Q179">
            <v>6.7410000000001302</v>
          </cell>
          <cell r="R179">
            <v>4.2730000000000476</v>
          </cell>
          <cell r="S179">
            <v>20.393999999999963</v>
          </cell>
          <cell r="T179">
            <v>0.81199999999999228</v>
          </cell>
          <cell r="U179">
            <v>-11.148999999999983</v>
          </cell>
          <cell r="V179">
            <v>-1.3690000000001419</v>
          </cell>
          <cell r="W179">
            <v>8.6879999999998301</v>
          </cell>
          <cell r="X179">
            <v>8.2259999999999742</v>
          </cell>
          <cell r="Y179">
            <v>-12.758999999999975</v>
          </cell>
          <cell r="Z179">
            <v>50.632000000000005</v>
          </cell>
          <cell r="AA179">
            <v>-48.35299999999998</v>
          </cell>
          <cell r="AB179">
            <v>-2.2539999999999978</v>
          </cell>
          <cell r="AC179">
            <v>-9.8730000000000189</v>
          </cell>
          <cell r="AD179">
            <v>-22.939178468090418</v>
          </cell>
          <cell r="AE179">
            <v>4.7485960682047974</v>
          </cell>
          <cell r="AF179">
            <v>13.757899778074449</v>
          </cell>
          <cell r="AG179">
            <v>-21.855682621811194</v>
          </cell>
        </row>
        <row r="180">
          <cell r="B180" t="str">
            <v>Source: Company reports and UBS</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__FDSCACHE__"/>
      <sheetName val="COVER SHEET"/>
      <sheetName val="MW-Cache"/>
      <sheetName val="consensus"/>
      <sheetName val="DCF"/>
      <sheetName val="IS-ANNUAL"/>
      <sheetName val="CFBS"/>
      <sheetName val="PIPELINE"/>
      <sheetName val="REV-ANNUAL"/>
      <sheetName val="Para IV"/>
      <sheetName val="PIPELINE_UNADJ"/>
      <sheetName val="DEBT"/>
      <sheetName val="IS-QTRLY"/>
      <sheetName val="REV-QTRLY"/>
      <sheetName val="FOOTNOTES"/>
      <sheetName val="AGREEMENTS"/>
      <sheetName val="MGMT PROJECTIONS"/>
      <sheetName val="patent expirations"/>
      <sheetName val="Var-YOY"/>
      <sheetName val="Var-Seq"/>
      <sheetName val="revenue snapshot"/>
      <sheetName val="rev contribution analysis"/>
      <sheetName val="rev change analysis"/>
      <sheetName val="2015 rev change"/>
      <sheetName val="Gaap Adj"/>
      <sheetName val="mwareDates"/>
      <sheetName val="MWA RR"/>
      <sheetName val="mwareSettings"/>
    </sheetNames>
    <sheetDataSet>
      <sheetData sheetId="0" refreshError="1">
        <row r="7">
          <cell r="J7" t="str">
            <v>Allergan</v>
          </cell>
        </row>
        <row r="8">
          <cell r="J8" t="str">
            <v>AGN</v>
          </cell>
        </row>
        <row r="12">
          <cell r="J12" t="str">
            <v>TBD</v>
          </cell>
        </row>
        <row r="14">
          <cell r="J14">
            <v>40029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up"/>
      <sheetName val="Script Metrics"/>
      <sheetName val="Synergies"/>
      <sheetName val="WAG Generic Synergies"/>
      <sheetName val="GM Build Seq"/>
      <sheetName val="GM Build"/>
      <sheetName val="Script Charts"/>
      <sheetName val="ACA Impact"/>
      <sheetName val="Part D Pref Impact"/>
      <sheetName val="ESRX Impact"/>
      <sheetName val="GWP-WLine"/>
    </sheetNames>
    <sheetDataSet>
      <sheetData sheetId="0" refreshError="1"/>
      <sheetData sheetId="1" refreshError="1"/>
      <sheetData sheetId="2" refreshError="1"/>
      <sheetData sheetId="3" refreshError="1">
        <row r="30">
          <cell r="A30">
            <v>0.19</v>
          </cell>
        </row>
      </sheetData>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500000" mc:Ignorable="a14" a14:legacySpreadsheetColorIndex="80"/>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500000" mc:Ignorable="a14" a14:legacySpreadsheetColorIndex="80"/>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 Id="rId2" Target="../drawings/drawing1.xml" Type="http://schemas.openxmlformats.org/officeDocument/2006/relationships/drawing"/>
</Relationships>

</file>

<file path=xl/worksheets/_rels/sheet3.xml.rels><?xml version="1.0" encoding="UTF-8" standalone="yes"?>
<Relationships xmlns="http://schemas.openxmlformats.org/package/2006/relationships">
<Relationship Id="rId1" Target="../printerSettings/printerSettings2.bin" Type="http://schemas.openxmlformats.org/officeDocument/2006/relationships/printerSettings"/>
<Relationship Id="rId2" Target="../drawings/drawing2.xml" Type="http://schemas.openxmlformats.org/officeDocument/2006/relationships/drawing"/>
<Relationship Id="rId3" Target="../drawings/vmlDrawing1.vml" Type="http://schemas.openxmlformats.org/officeDocument/2006/relationships/vmlDrawing"/>
<Relationship Id="rId4" Target="../ctrlProps/ctrlProp1.xml" Type="http://schemas.openxmlformats.org/officeDocument/2006/relationships/ctrlProp"/>
<Relationship Id="rId5" Target="../ctrlProps/ctrlProp2.xml" Type="http://schemas.openxmlformats.org/officeDocument/2006/relationships/ctrlProp"/>
</Relationships>

</file>

<file path=xl/worksheets/_rels/sheet4.xml.rels><?xml version="1.0" encoding="UTF-8" standalone="yes"?>
<Relationships xmlns="http://schemas.openxmlformats.org/package/2006/relationships">
<Relationship Id="rId1" Target="mailto:Ricky.Goldwasser@morganstanley.com" TargetMode="External" Type="http://schemas.openxmlformats.org/officeDocument/2006/relationships/hyperlink"/>
<Relationship Id="rId2" Target="mailto:Mark.Rosenblum@morganstanley.com" TargetMode="External" Type="http://schemas.openxmlformats.org/officeDocument/2006/relationships/hyperlink"/>
<Relationship Id="rId3" Target="mailto:Liza.Garcia@morganstanley.com" TargetMode="External" Type="http://schemas.openxmlformats.org/officeDocument/2006/relationships/hyperlink"/>
<Relationship Id="rId4" Target="mailto:Rose.Lauricella@morganstanley.com" TargetMode="External" Type="http://schemas.openxmlformats.org/officeDocument/2006/relationships/hyperlink"/>
<Relationship Id="rId5" Target="../printerSettings/printerSettings3.bin" Type="http://schemas.openxmlformats.org/officeDocument/2006/relationships/printerSettings"/>
<Relationship Id="rId6" Target="../drawings/drawing3.xml" Type="http://schemas.openxmlformats.org/officeDocument/2006/relationships/drawing"/>
</Relationships>

</file>

<file path=xl/worksheets/_rels/sheet5.xml.rels><?xml version="1.0" encoding="UTF-8" standalone="yes"?>
<Relationships xmlns="http://schemas.openxmlformats.org/package/2006/relationships">
<Relationship Id="rId1" Target="../printerSettings/printerSettings4.bin" Type="http://schemas.openxmlformats.org/officeDocument/2006/relationships/printerSettings"/>
<Relationship Id="rId2" Target="../drawings/drawing4.xml" Type="http://schemas.openxmlformats.org/officeDocument/2006/relationships/drawing"/>
<Relationship Id="rId3" Target="../drawings/vmlDrawing2.vml" Type="http://schemas.openxmlformats.org/officeDocument/2006/relationships/vmlDrawing"/>
<Relationship Id="rId4" Target="../comments1.xml" Type="http://schemas.openxmlformats.org/officeDocument/2006/relationships/comments"/>
</Relationships>

</file>

<file path=xl/worksheets/_rels/sheet6.xml.rels><?xml version="1.0" encoding="UTF-8" standalone="yes"?>
<Relationships xmlns="http://schemas.openxmlformats.org/package/2006/relationships">
<Relationship Id="rId1" Target="../printerSettings/printerSettings5.bin" Type="http://schemas.openxmlformats.org/officeDocument/2006/relationships/printerSettings"/>
<Relationship Id="rId2" Target="../drawings/drawing5.xml" Type="http://schemas.openxmlformats.org/officeDocument/2006/relationships/drawing"/>
<Relationship Id="rId3" Target="../drawings/vmlDrawing3.vml" Type="http://schemas.openxmlformats.org/officeDocument/2006/relationships/vmlDrawing"/>
<Relationship Id="rId4" Target="../comments2.xml" Type="http://schemas.openxmlformats.org/officeDocument/2006/relationships/comments"/>
</Relationships>

</file>

<file path=xl/worksheets/_rels/sheet7.xml.rels><?xml version="1.0" encoding="UTF-8" standalone="yes"?>
<Relationships xmlns="http://schemas.openxmlformats.org/package/2006/relationships">
<Relationship Id="rId1" Target="../printerSettings/printerSettings6.bin" Type="http://schemas.openxmlformats.org/officeDocument/2006/relationships/printerSettings"/>
<Relationship Id="rId2" Target="../drawings/drawing6.xml" Type="http://schemas.openxmlformats.org/officeDocument/2006/relationships/drawing"/>
<Relationship Id="rId3" Target="../drawings/vmlDrawing4.vml" Type="http://schemas.openxmlformats.org/officeDocument/2006/relationships/vmlDrawing"/>
<Relationship Id="rId4" Target="../comments3.xml" Type="http://schemas.openxmlformats.org/officeDocument/2006/relationships/comments"/>
</Relationships>

</file>

<file path=xl/worksheets/_rels/sheet8.xml.rels><?xml version="1.0" encoding="UTF-8" standalone="yes"?>
<Relationships xmlns="http://schemas.openxmlformats.org/package/2006/relationships">
<Relationship Id="rId1" Target="../printerSettings/printerSettings7.bin" Type="http://schemas.openxmlformats.org/officeDocument/2006/relationships/printerSettings"/>
<Relationship Id="rId2" Target="../drawings/vmlDrawing5.vml" Type="http://schemas.openxmlformats.org/officeDocument/2006/relationships/vmlDrawing"/>
<Relationship Id="rId3" Target="../comments4.xml" Type="http://schemas.openxmlformats.org/officeDocument/2006/relationships/comments"/>
</Relationships>

</file>

<file path=xl/worksheets/_rels/sheet9.xml.rels><?xml version="1.0" encoding="UTF-8" standalone="yes"?>
<Relationships xmlns="http://schemas.openxmlformats.org/package/2006/relationships">
<Relationship Id="rId1" Target="../printerSettings/printerSettings8.bin" Type="http://schemas.openxmlformats.org/officeDocument/2006/relationships/printerSettings"/>
<Relationship Id="rId2" Target="../drawings/drawing7.xml" Type="http://schemas.openxmlformats.org/officeDocument/2006/relationships/drawing"/>
<Relationship Id="rId3" Target="../drawings/vmlDrawing6.vml" Type="http://schemas.openxmlformats.org/officeDocument/2006/relationships/vmlDrawing"/>
<Relationship Id="rId4" Target="../comments5.xml" Type="http://schemas.openxmlformats.org/officeDocument/2006/relationships/comments"/>
</Relationships>

</file>

<file path=xl/worksheets/_rels/sheet10.xml.rels><?xml version="1.0" encoding="UTF-8" standalone="yes"?>
<Relationships xmlns="http://schemas.openxmlformats.org/package/2006/relationships">
<Relationship Id="rId1" Target="../printerSettings/printerSettings9.bin" Type="http://schemas.openxmlformats.org/officeDocument/2006/relationships/printerSettings"/>
<Relationship Id="rId2" Target="../drawings/drawing8.xml" Type="http://schemas.openxmlformats.org/officeDocument/2006/relationships/drawing"/>
<Relationship Id="rId3" Target="../drawings/vmlDrawing7.vml" Type="http://schemas.openxmlformats.org/officeDocument/2006/relationships/vmlDrawing"/>
<Relationship Id="rId4" Target="../comments6.xml" Type="http://schemas.openxmlformats.org/officeDocument/2006/relationships/comments"/>
</Relationships>

</file>

<file path=xl/worksheets/_rels/sheet11.xml.rels><?xml version="1.0" encoding="UTF-8" standalone="yes"?>
<Relationships xmlns="http://schemas.openxmlformats.org/package/2006/relationships">
<Relationship Id="rId1" Target="../printerSettings/printerSettings10.bin" Type="http://schemas.openxmlformats.org/officeDocument/2006/relationships/printerSettings"/>
<Relationship Id="rId2" Target="../drawings/drawing9.xml" Type="http://schemas.openxmlformats.org/officeDocument/2006/relationships/drawing"/>
<Relationship Id="rId3" Target="../drawings/vmlDrawing8.vml" Type="http://schemas.openxmlformats.org/officeDocument/2006/relationships/vmlDrawing"/>
<Relationship Id="rId4" Target="../comments7.xml" Type="http://schemas.openxmlformats.org/officeDocument/2006/relationships/comments"/>
</Relationships>

</file>

<file path=xl/worksheets/_rels/sheet12.xml.rels><?xml version="1.0" encoding="UTF-8" standalone="yes"?>
<Relationships xmlns="http://schemas.openxmlformats.org/package/2006/relationships">
<Relationship Id="rId1" Target="../printerSettings/printerSettings11.bin" Type="http://schemas.openxmlformats.org/officeDocument/2006/relationships/printerSettings"/>
<Relationship Id="rId2" Target="../drawings/drawing10.xml" Type="http://schemas.openxmlformats.org/officeDocument/2006/relationships/drawing"/>
<Relationship Id="rId3" Target="../drawings/vmlDrawing9.vml" Type="http://schemas.openxmlformats.org/officeDocument/2006/relationships/vmlDrawing"/>
<Relationship Id="rId4" Target="../comments8.xml" Type="http://schemas.openxmlformats.org/officeDocument/2006/relationships/comments"/>
</Relationships>

</file>

<file path=xl/worksheets/_rels/sheet13.xml.rels><?xml version="1.0" encoding="UTF-8" standalone="yes"?>
<Relationships xmlns="http://schemas.openxmlformats.org/package/2006/relationships">
<Relationship Id="rId1" Target="../printerSettings/printerSettings12.bin" Type="http://schemas.openxmlformats.org/officeDocument/2006/relationships/printerSettings"/>
<Relationship Id="rId2" Target="../drawings/drawing11.xml" Type="http://schemas.openxmlformats.org/officeDocument/2006/relationships/drawing"/>
<Relationship Id="rId3" Target="../drawings/vmlDrawing10.vml" Type="http://schemas.openxmlformats.org/officeDocument/2006/relationships/vmlDrawing"/>
<Relationship Id="rId4" Target="../comments9.xml" Type="http://schemas.openxmlformats.org/officeDocument/2006/relationships/comments"/>
</Relationships>

</file>

<file path=xl/worksheets/_rels/sheet14.xml.rels><?xml version="1.0" encoding="UTF-8" standalone="yes"?>
<Relationships xmlns="http://schemas.openxmlformats.org/package/2006/relationships">
<Relationship Id="rId1" Target="../printerSettings/printerSettings13.bin" Type="http://schemas.openxmlformats.org/officeDocument/2006/relationships/printerSettings"/>
<Relationship Id="rId2" Target="../drawings/vmlDrawing11.vml" Type="http://schemas.openxmlformats.org/officeDocument/2006/relationships/vmlDrawing"/>
<Relationship Id="rId3" Target="../comments10.xml" Type="http://schemas.openxmlformats.org/officeDocument/2006/relationships/comments"/>
</Relationships>

</file>

<file path=xl/worksheets/_rels/sheet15.xml.rels><?xml version="1.0" encoding="UTF-8" standalone="yes"?>
<Relationships xmlns="http://schemas.openxmlformats.org/package/2006/relationships">
<Relationship Id="rId1" Target="../printerSettings/printerSettings14.bin" Type="http://schemas.openxmlformats.org/officeDocument/2006/relationships/printerSettings"/>
</Relationships>

</file>

<file path=xl/worksheets/_rels/sheet17.xml.rels><?xml version="1.0" encoding="UTF-8" standalone="yes"?>
<Relationships xmlns="http://schemas.openxmlformats.org/package/2006/relationships">
<Relationship Id="rId1" Target="../printerSettings/printerSettings15.bin" Type="http://schemas.openxmlformats.org/officeDocument/2006/relationships/printerSettings"/>
<Relationship Id="rId2" Target="../drawings/vmlDrawing12.vml" Type="http://schemas.openxmlformats.org/officeDocument/2006/relationships/vmlDrawing"/>
<Relationship Id="rId3" Target="../comments11.xml" Type="http://schemas.openxmlformats.org/officeDocument/2006/relationships/comments"/>
</Relationships>

</file>

<file path=xl/worksheets/_rels/sheet18.xml.rels><?xml version="1.0" encoding="UTF-8" standalone="yes"?>
<Relationships xmlns="http://schemas.openxmlformats.org/package/2006/relationships">
<Relationship Id="rId1" Target="../printerSettings/printerSettings16.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399"/>
  <sheetViews>
    <sheetView showGridLines="0" tabSelected="1" workbookViewId="0">
      <selection activeCell="A23" sqref="A23"/>
    </sheetView>
  </sheetViews>
  <sheetFormatPr defaultRowHeight="12.75" x14ac:dyDescent="0.2"/>
  <cols>
    <col min="1" max="1" width="90.140625" style="1988" customWidth="1"/>
    <col min="2" max="5" width="9.140625" style="1988"/>
    <col min="6" max="6" width="18.7109375" style="1988" customWidth="1"/>
    <col min="7" max="256" width="9.140625" style="1988"/>
    <col min="257" max="257" width="100.7109375" style="1988" customWidth="1"/>
    <col min="258" max="512" width="9.140625" style="1988"/>
    <col min="513" max="513" width="100.7109375" style="1988" customWidth="1"/>
    <col min="514" max="768" width="9.140625" style="1988"/>
    <col min="769" max="769" width="100.7109375" style="1988" customWidth="1"/>
    <col min="770" max="1024" width="9.140625" style="1988"/>
    <col min="1025" max="1025" width="100.7109375" style="1988" customWidth="1"/>
    <col min="1026" max="1280" width="9.140625" style="1988"/>
    <col min="1281" max="1281" width="100.7109375" style="1988" customWidth="1"/>
    <col min="1282" max="1536" width="9.140625" style="1988"/>
    <col min="1537" max="1537" width="100.7109375" style="1988" customWidth="1"/>
    <col min="1538" max="1792" width="9.140625" style="1988"/>
    <col min="1793" max="1793" width="100.7109375" style="1988" customWidth="1"/>
    <col min="1794" max="2048" width="9.140625" style="1988"/>
    <col min="2049" max="2049" width="100.7109375" style="1988" customWidth="1"/>
    <col min="2050" max="2304" width="9.140625" style="1988"/>
    <col min="2305" max="2305" width="100.7109375" style="1988" customWidth="1"/>
    <col min="2306" max="2560" width="9.140625" style="1988"/>
    <col min="2561" max="2561" width="100.7109375" style="1988" customWidth="1"/>
    <col min="2562" max="2816" width="9.140625" style="1988"/>
    <col min="2817" max="2817" width="100.7109375" style="1988" customWidth="1"/>
    <col min="2818" max="3072" width="9.140625" style="1988"/>
    <col min="3073" max="3073" width="100.7109375" style="1988" customWidth="1"/>
    <col min="3074" max="3328" width="9.140625" style="1988"/>
    <col min="3329" max="3329" width="100.7109375" style="1988" customWidth="1"/>
    <col min="3330" max="3584" width="9.140625" style="1988"/>
    <col min="3585" max="3585" width="100.7109375" style="1988" customWidth="1"/>
    <col min="3586" max="3840" width="9.140625" style="1988"/>
    <col min="3841" max="3841" width="100.7109375" style="1988" customWidth="1"/>
    <col min="3842" max="4096" width="9.140625" style="1988"/>
    <col min="4097" max="4097" width="100.7109375" style="1988" customWidth="1"/>
    <col min="4098" max="4352" width="9.140625" style="1988"/>
    <col min="4353" max="4353" width="100.7109375" style="1988" customWidth="1"/>
    <col min="4354" max="4608" width="9.140625" style="1988"/>
    <col min="4609" max="4609" width="100.7109375" style="1988" customWidth="1"/>
    <col min="4610" max="4864" width="9.140625" style="1988"/>
    <col min="4865" max="4865" width="100.7109375" style="1988" customWidth="1"/>
    <col min="4866" max="5120" width="9.140625" style="1988"/>
    <col min="5121" max="5121" width="100.7109375" style="1988" customWidth="1"/>
    <col min="5122" max="5376" width="9.140625" style="1988"/>
    <col min="5377" max="5377" width="100.7109375" style="1988" customWidth="1"/>
    <col min="5378" max="5632" width="9.140625" style="1988"/>
    <col min="5633" max="5633" width="100.7109375" style="1988" customWidth="1"/>
    <col min="5634" max="5888" width="9.140625" style="1988"/>
    <col min="5889" max="5889" width="100.7109375" style="1988" customWidth="1"/>
    <col min="5890" max="6144" width="9.140625" style="1988"/>
    <col min="6145" max="6145" width="100.7109375" style="1988" customWidth="1"/>
    <col min="6146" max="6400" width="9.140625" style="1988"/>
    <col min="6401" max="6401" width="100.7109375" style="1988" customWidth="1"/>
    <col min="6402" max="6656" width="9.140625" style="1988"/>
    <col min="6657" max="6657" width="100.7109375" style="1988" customWidth="1"/>
    <col min="6658" max="6912" width="9.140625" style="1988"/>
    <col min="6913" max="6913" width="100.7109375" style="1988" customWidth="1"/>
    <col min="6914" max="7168" width="9.140625" style="1988"/>
    <col min="7169" max="7169" width="100.7109375" style="1988" customWidth="1"/>
    <col min="7170" max="7424" width="9.140625" style="1988"/>
    <col min="7425" max="7425" width="100.7109375" style="1988" customWidth="1"/>
    <col min="7426" max="7680" width="9.140625" style="1988"/>
    <col min="7681" max="7681" width="100.7109375" style="1988" customWidth="1"/>
    <col min="7682" max="7936" width="9.140625" style="1988"/>
    <col min="7937" max="7937" width="100.7109375" style="1988" customWidth="1"/>
    <col min="7938" max="8192" width="9.140625" style="1988"/>
    <col min="8193" max="8193" width="100.7109375" style="1988" customWidth="1"/>
    <col min="8194" max="8448" width="9.140625" style="1988"/>
    <col min="8449" max="8449" width="100.7109375" style="1988" customWidth="1"/>
    <col min="8450" max="8704" width="9.140625" style="1988"/>
    <col min="8705" max="8705" width="100.7109375" style="1988" customWidth="1"/>
    <col min="8706" max="8960" width="9.140625" style="1988"/>
    <col min="8961" max="8961" width="100.7109375" style="1988" customWidth="1"/>
    <col min="8962" max="9216" width="9.140625" style="1988"/>
    <col min="9217" max="9217" width="100.7109375" style="1988" customWidth="1"/>
    <col min="9218" max="9472" width="9.140625" style="1988"/>
    <col min="9473" max="9473" width="100.7109375" style="1988" customWidth="1"/>
    <col min="9474" max="9728" width="9.140625" style="1988"/>
    <col min="9729" max="9729" width="100.7109375" style="1988" customWidth="1"/>
    <col min="9730" max="9984" width="9.140625" style="1988"/>
    <col min="9985" max="9985" width="100.7109375" style="1988" customWidth="1"/>
    <col min="9986" max="10240" width="9.140625" style="1988"/>
    <col min="10241" max="10241" width="100.7109375" style="1988" customWidth="1"/>
    <col min="10242" max="10496" width="9.140625" style="1988"/>
    <col min="10497" max="10497" width="100.7109375" style="1988" customWidth="1"/>
    <col min="10498" max="10752" width="9.140625" style="1988"/>
    <col min="10753" max="10753" width="100.7109375" style="1988" customWidth="1"/>
    <col min="10754" max="11008" width="9.140625" style="1988"/>
    <col min="11009" max="11009" width="100.7109375" style="1988" customWidth="1"/>
    <col min="11010" max="11264" width="9.140625" style="1988"/>
    <col min="11265" max="11265" width="100.7109375" style="1988" customWidth="1"/>
    <col min="11266" max="11520" width="9.140625" style="1988"/>
    <col min="11521" max="11521" width="100.7109375" style="1988" customWidth="1"/>
    <col min="11522" max="11776" width="9.140625" style="1988"/>
    <col min="11777" max="11777" width="100.7109375" style="1988" customWidth="1"/>
    <col min="11778" max="12032" width="9.140625" style="1988"/>
    <col min="12033" max="12033" width="100.7109375" style="1988" customWidth="1"/>
    <col min="12034" max="12288" width="9.140625" style="1988"/>
    <col min="12289" max="12289" width="100.7109375" style="1988" customWidth="1"/>
    <col min="12290" max="12544" width="9.140625" style="1988"/>
    <col min="12545" max="12545" width="100.7109375" style="1988" customWidth="1"/>
    <col min="12546" max="12800" width="9.140625" style="1988"/>
    <col min="12801" max="12801" width="100.7109375" style="1988" customWidth="1"/>
    <col min="12802" max="13056" width="9.140625" style="1988"/>
    <col min="13057" max="13057" width="100.7109375" style="1988" customWidth="1"/>
    <col min="13058" max="13312" width="9.140625" style="1988"/>
    <col min="13313" max="13313" width="100.7109375" style="1988" customWidth="1"/>
    <col min="13314" max="13568" width="9.140625" style="1988"/>
    <col min="13569" max="13569" width="100.7109375" style="1988" customWidth="1"/>
    <col min="13570" max="13824" width="9.140625" style="1988"/>
    <col min="13825" max="13825" width="100.7109375" style="1988" customWidth="1"/>
    <col min="13826" max="14080" width="9.140625" style="1988"/>
    <col min="14081" max="14081" width="100.7109375" style="1988" customWidth="1"/>
    <col min="14082" max="14336" width="9.140625" style="1988"/>
    <col min="14337" max="14337" width="100.7109375" style="1988" customWidth="1"/>
    <col min="14338" max="14592" width="9.140625" style="1988"/>
    <col min="14593" max="14593" width="100.7109375" style="1988" customWidth="1"/>
    <col min="14594" max="14848" width="9.140625" style="1988"/>
    <col min="14849" max="14849" width="100.7109375" style="1988" customWidth="1"/>
    <col min="14850" max="15104" width="9.140625" style="1988"/>
    <col min="15105" max="15105" width="100.7109375" style="1988" customWidth="1"/>
    <col min="15106" max="15360" width="9.140625" style="1988"/>
    <col min="15361" max="15361" width="100.7109375" style="1988" customWidth="1"/>
    <col min="15362" max="15616" width="9.140625" style="1988"/>
    <col min="15617" max="15617" width="100.7109375" style="1988" customWidth="1"/>
    <col min="15618" max="15872" width="9.140625" style="1988"/>
    <col min="15873" max="15873" width="100.7109375" style="1988" customWidth="1"/>
    <col min="15874" max="16128" width="9.140625" style="1988"/>
    <col min="16129" max="16129" width="100.7109375" style="1988" customWidth="1"/>
    <col min="16130" max="16384" width="9.140625" style="1988"/>
  </cols>
  <sheetData>
    <row r="1" spans="1:8" ht="30" customHeight="1" x14ac:dyDescent="0.2">
      <c r="A1" s="1986"/>
      <c r="B1" s="1987"/>
      <c r="C1" s="1987"/>
      <c r="D1" s="1987"/>
      <c r="E1" s="1987"/>
      <c r="F1" s="1987"/>
      <c r="G1" s="1987"/>
      <c r="H1" s="1987"/>
    </row>
    <row r="2" spans="1:8" ht="14.25" x14ac:dyDescent="0.2">
      <c r="A2" s="1989" t="s">
        <v>794</v>
      </c>
      <c r="B2" s="1987"/>
      <c r="C2" s="1987"/>
      <c r="D2" s="1987"/>
      <c r="E2" s="1987"/>
      <c r="F2" s="1987"/>
      <c r="G2" s="1987"/>
      <c r="H2" s="1987"/>
    </row>
    <row r="3" spans="1:8" ht="14.25" x14ac:dyDescent="0.2">
      <c r="A3" s="1989" t="s">
        <v>795</v>
      </c>
      <c r="B3" s="1987"/>
      <c r="C3" s="1987"/>
      <c r="D3" s="1987"/>
      <c r="E3" s="1987"/>
      <c r="F3" s="1987"/>
      <c r="G3" s="1987"/>
      <c r="H3" s="1987"/>
    </row>
    <row r="4" spans="1:8" ht="14.25" x14ac:dyDescent="0.2">
      <c r="A4" s="1989" t="s">
        <v>796</v>
      </c>
      <c r="B4" s="1987"/>
      <c r="C4" s="1987"/>
      <c r="D4" s="1987"/>
      <c r="E4" s="1987"/>
      <c r="F4" s="1987"/>
      <c r="G4" s="1987"/>
      <c r="H4" s="1987"/>
    </row>
    <row r="5" spans="1:8" ht="14.25" x14ac:dyDescent="0.2">
      <c r="A5" s="1989" t="s">
        <v>797</v>
      </c>
      <c r="B5" s="1987"/>
      <c r="C5" s="1987"/>
      <c r="D5" s="1987"/>
      <c r="E5" s="1987"/>
      <c r="F5" s="1987"/>
      <c r="G5" s="1987"/>
      <c r="H5" s="1987"/>
    </row>
    <row r="6" spans="1:8" ht="14.25" x14ac:dyDescent="0.2">
      <c r="A6" s="1989"/>
      <c r="B6" s="1987"/>
      <c r="C6" s="1987"/>
      <c r="D6" s="1987"/>
      <c r="E6" s="1987"/>
      <c r="F6" s="1987"/>
      <c r="G6" s="1987"/>
      <c r="H6" s="1987"/>
    </row>
    <row r="7" spans="1:8" x14ac:dyDescent="0.2">
      <c r="A7" s="1986" t="s">
        <v>798</v>
      </c>
      <c r="B7" s="1987"/>
      <c r="C7" s="1987"/>
      <c r="D7" s="1987"/>
      <c r="E7" s="1987"/>
      <c r="F7" s="1987"/>
      <c r="G7" s="1987"/>
      <c r="H7" s="1987"/>
    </row>
    <row r="8" spans="1:8" x14ac:dyDescent="0.2">
      <c r="A8" s="1986" t="s">
        <v>799</v>
      </c>
      <c r="B8" s="1987"/>
      <c r="C8" s="1987"/>
      <c r="D8" s="1987"/>
      <c r="E8" s="1987"/>
      <c r="F8" s="1987"/>
      <c r="G8" s="1987"/>
      <c r="H8" s="1987"/>
    </row>
    <row r="9" spans="1:8" x14ac:dyDescent="0.2">
      <c r="A9" s="1986"/>
      <c r="B9" s="1987"/>
      <c r="C9" s="1987"/>
      <c r="D9" s="1987"/>
      <c r="E9" s="1987"/>
      <c r="F9" s="1987"/>
      <c r="G9" s="1987"/>
      <c r="H9" s="1987"/>
    </row>
    <row r="10" spans="1:8" x14ac:dyDescent="0.2">
      <c r="A10" s="1990" t="s">
        <v>800</v>
      </c>
      <c r="B10" s="1987"/>
      <c r="C10" s="1987"/>
      <c r="D10" s="1987"/>
      <c r="E10" s="1987"/>
      <c r="F10" s="1987"/>
      <c r="G10" s="1987"/>
      <c r="H10" s="1987"/>
    </row>
    <row r="11" spans="1:8" x14ac:dyDescent="0.2">
      <c r="A11" s="1990" t="s">
        <v>801</v>
      </c>
      <c r="B11" s="1987"/>
      <c r="C11" s="1987"/>
      <c r="D11" s="1987"/>
      <c r="E11" s="1987"/>
      <c r="F11" s="1987"/>
      <c r="G11" s="1987"/>
      <c r="H11" s="1987"/>
    </row>
    <row r="12" spans="1:8" x14ac:dyDescent="0.2">
      <c r="A12" s="1990" t="s">
        <v>802</v>
      </c>
      <c r="B12" s="1987"/>
      <c r="C12" s="1987"/>
      <c r="D12" s="1987"/>
      <c r="E12" s="1987"/>
      <c r="F12" s="1987"/>
      <c r="G12" s="1987"/>
      <c r="H12" s="1987"/>
    </row>
    <row r="13" spans="1:8" x14ac:dyDescent="0.2">
      <c r="A13" s="1990" t="s">
        <v>803</v>
      </c>
      <c r="B13" s="1987"/>
      <c r="C13" s="1987"/>
      <c r="D13" s="1987"/>
      <c r="E13" s="1987"/>
      <c r="F13" s="1987"/>
      <c r="G13" s="1987"/>
      <c r="H13" s="1987"/>
    </row>
    <row r="14" spans="1:8" x14ac:dyDescent="0.2">
      <c r="A14" s="1990" t="s">
        <v>804</v>
      </c>
      <c r="B14" s="1987"/>
      <c r="C14" s="1987"/>
      <c r="D14" s="1987"/>
      <c r="E14" s="1987"/>
      <c r="F14" s="1987"/>
      <c r="G14" s="1987"/>
      <c r="H14" s="1987"/>
    </row>
    <row r="15" spans="1:8" x14ac:dyDescent="0.2">
      <c r="A15" s="1990" t="s">
        <v>805</v>
      </c>
      <c r="B15" s="1987"/>
      <c r="C15" s="1987"/>
      <c r="D15" s="1987"/>
      <c r="E15" s="1987"/>
      <c r="F15" s="1987"/>
      <c r="G15" s="1987"/>
      <c r="H15" s="1987"/>
    </row>
    <row r="16" spans="1:8" x14ac:dyDescent="0.2">
      <c r="A16" s="1990"/>
      <c r="B16" s="1987"/>
      <c r="C16" s="1987"/>
      <c r="D16" s="1987"/>
      <c r="E16" s="1987"/>
      <c r="F16" s="1987"/>
      <c r="G16" s="1987"/>
      <c r="H16" s="1987"/>
    </row>
    <row r="17" spans="1:8" x14ac:dyDescent="0.2">
      <c r="A17" s="1990" t="s">
        <v>791</v>
      </c>
      <c r="B17" s="1987"/>
      <c r="C17" s="1987"/>
      <c r="D17" s="1987"/>
      <c r="E17" s="1987"/>
      <c r="F17" s="1987"/>
      <c r="G17" s="1987"/>
      <c r="H17" s="1987"/>
    </row>
    <row r="18" spans="1:8" x14ac:dyDescent="0.2">
      <c r="A18" s="1990"/>
      <c r="B18" s="1987"/>
      <c r="C18" s="1987"/>
      <c r="D18" s="1987"/>
      <c r="E18" s="1987"/>
      <c r="F18" s="1987"/>
      <c r="G18" s="1987"/>
      <c r="H18" s="1987"/>
    </row>
    <row r="19" spans="1:8" x14ac:dyDescent="0.2">
      <c r="A19" s="1990" t="s">
        <v>792</v>
      </c>
      <c r="B19" s="1987"/>
      <c r="C19" s="1987"/>
      <c r="D19" s="1987"/>
      <c r="E19" s="1987"/>
      <c r="F19" s="1987"/>
      <c r="G19" s="1987"/>
      <c r="H19" s="1987"/>
    </row>
    <row r="20" spans="1:8" x14ac:dyDescent="0.2">
      <c r="A20" s="1986"/>
      <c r="B20" s="1987"/>
      <c r="C20" s="1987"/>
      <c r="D20" s="1987"/>
      <c r="E20" s="1987"/>
      <c r="F20" s="1987"/>
      <c r="G20" s="1987"/>
      <c r="H20" s="1987"/>
    </row>
    <row r="21" spans="1:8" x14ac:dyDescent="0.2">
      <c r="A21" s="1991" t="s">
        <v>793</v>
      </c>
      <c r="B21" s="1987"/>
      <c r="C21" s="1987"/>
      <c r="D21" s="1987"/>
      <c r="E21" s="1987"/>
      <c r="F21" s="1987"/>
      <c r="G21" s="1987"/>
      <c r="H21" s="1987"/>
    </row>
    <row r="22" spans="1:8" x14ac:dyDescent="0.2">
      <c r="A22" s="1991"/>
      <c r="B22" s="1987"/>
      <c r="C22" s="1987"/>
      <c r="D22" s="1987"/>
      <c r="E22" s="1987"/>
      <c r="F22" s="1987"/>
      <c r="G22" s="1987"/>
      <c r="H22" s="1987"/>
    </row>
    <row r="23" spans="1:8" ht="114.75" x14ac:dyDescent="0.2">
      <c r="A23" s="2031" t="s">
        <v>1178</v>
      </c>
      <c r="B23" s="1987"/>
      <c r="C23" s="1987"/>
      <c r="D23" s="1987"/>
      <c r="E23" s="1987"/>
      <c r="F23" s="1987"/>
      <c r="G23" s="1987"/>
      <c r="H23" s="1987"/>
    </row>
    <row r="24" spans="1:8" x14ac:dyDescent="0.2">
      <c r="A24" s="1992"/>
      <c r="B24" s="1992"/>
      <c r="C24" s="1992"/>
      <c r="D24" s="1992"/>
      <c r="E24" s="1992"/>
      <c r="F24" s="1992"/>
      <c r="G24" s="1992"/>
      <c r="H24" s="1992"/>
    </row>
    <row r="25" spans="1:8" x14ac:dyDescent="0.2">
      <c r="A25" s="1993" t="s">
        <v>1088</v>
      </c>
      <c r="B25" s="1992"/>
      <c r="C25" s="1992"/>
      <c r="D25" s="1992"/>
      <c r="E25" s="1992"/>
      <c r="F25" s="1992"/>
      <c r="G25" s="1992"/>
      <c r="H25" s="1992"/>
    </row>
    <row r="26" spans="1:8" x14ac:dyDescent="0.2">
      <c r="A26" s="1993" t="s">
        <v>1089</v>
      </c>
      <c r="B26" s="1992"/>
      <c r="C26" s="1992"/>
      <c r="D26" s="1992"/>
      <c r="E26" s="1992"/>
      <c r="F26" s="1992"/>
      <c r="G26" s="1992"/>
      <c r="H26" s="1992"/>
    </row>
    <row r="27" spans="1:8" x14ac:dyDescent="0.2">
      <c r="A27" s="1993" t="s">
        <v>1090</v>
      </c>
      <c r="B27" s="1992"/>
      <c r="C27" s="1992"/>
      <c r="D27" s="1992"/>
      <c r="E27" s="1992"/>
      <c r="F27" s="1992"/>
      <c r="G27" s="1992"/>
      <c r="H27" s="1992"/>
    </row>
    <row r="28" spans="1:8" x14ac:dyDescent="0.2">
      <c r="A28" s="1993" t="s">
        <v>1091</v>
      </c>
      <c r="B28" s="1992"/>
      <c r="C28" s="1992"/>
      <c r="D28" s="1992"/>
      <c r="E28" s="1992"/>
      <c r="F28" s="1992"/>
      <c r="G28" s="1992"/>
      <c r="H28" s="1992"/>
    </row>
    <row r="29" spans="1:8" x14ac:dyDescent="0.2">
      <c r="A29" s="1992"/>
      <c r="B29" s="1992"/>
      <c r="C29" s="1992"/>
      <c r="D29" s="1992"/>
      <c r="E29" s="1992"/>
      <c r="F29" s="1992"/>
      <c r="G29" s="1992"/>
      <c r="H29" s="1992"/>
    </row>
    <row r="30" spans="1:8" x14ac:dyDescent="0.2">
      <c r="A30" s="1992"/>
      <c r="B30" s="1992"/>
      <c r="C30" s="1992"/>
      <c r="D30" s="1992"/>
      <c r="E30" s="1992"/>
      <c r="F30" s="1992"/>
      <c r="G30" s="1992"/>
      <c r="H30" s="1992"/>
    </row>
    <row r="31" spans="1:8" x14ac:dyDescent="0.2">
      <c r="A31" s="1993" t="s">
        <v>1083</v>
      </c>
      <c r="B31" s="1992"/>
      <c r="C31" s="1992"/>
      <c r="D31" s="1992"/>
      <c r="E31" s="1992"/>
      <c r="F31" s="1992"/>
      <c r="G31" s="1992"/>
      <c r="H31" s="1992"/>
    </row>
    <row r="32" spans="1:8" x14ac:dyDescent="0.2">
      <c r="A32" s="1993" t="s">
        <v>1084</v>
      </c>
      <c r="B32" s="1992"/>
      <c r="C32" s="1992"/>
      <c r="D32" s="1992"/>
      <c r="E32" s="1992"/>
      <c r="F32" s="1992"/>
      <c r="G32" s="1992"/>
      <c r="H32" s="1992"/>
    </row>
    <row r="33" spans="1:8" x14ac:dyDescent="0.2">
      <c r="A33" s="1993" t="s">
        <v>1085</v>
      </c>
      <c r="B33" s="1992"/>
      <c r="C33" s="1992"/>
      <c r="D33" s="1992"/>
      <c r="E33" s="1992"/>
      <c r="F33" s="1992"/>
      <c r="G33" s="1992"/>
      <c r="H33" s="1992"/>
    </row>
    <row r="34" spans="1:8" x14ac:dyDescent="0.2">
      <c r="A34" s="1993" t="s">
        <v>1086</v>
      </c>
      <c r="B34" s="1992"/>
      <c r="C34" s="1992"/>
      <c r="D34" s="1992"/>
      <c r="E34" s="1992"/>
      <c r="F34" s="1992"/>
      <c r="G34" s="1992"/>
      <c r="H34" s="1992"/>
    </row>
    <row r="35" spans="1:8" x14ac:dyDescent="0.2">
      <c r="A35" s="1993" t="s">
        <v>1087</v>
      </c>
      <c r="B35" s="1992"/>
      <c r="C35" s="1992"/>
      <c r="D35" s="1992"/>
      <c r="E35" s="1992"/>
      <c r="F35" s="1992"/>
      <c r="G35" s="1992"/>
      <c r="H35" s="1992"/>
    </row>
    <row r="36" spans="1:8" x14ac:dyDescent="0.2">
      <c r="A36" s="1992"/>
      <c r="B36" s="1992"/>
      <c r="C36" s="1992"/>
      <c r="D36" s="1992"/>
      <c r="E36" s="1992"/>
      <c r="F36" s="1992"/>
      <c r="G36" s="1992"/>
      <c r="H36" s="1992"/>
    </row>
    <row r="37" spans="1:8" x14ac:dyDescent="0.2">
      <c r="A37" s="1993" t="s">
        <v>1079</v>
      </c>
      <c r="B37" s="1992"/>
      <c r="C37" s="1992"/>
      <c r="D37" s="1992"/>
      <c r="E37" s="1992"/>
      <c r="F37" s="1992"/>
      <c r="G37" s="1992"/>
      <c r="H37" s="1992"/>
    </row>
    <row r="38" spans="1:8" x14ac:dyDescent="0.2">
      <c r="A38" s="1993" t="s">
        <v>1080</v>
      </c>
      <c r="B38" s="1992"/>
      <c r="C38" s="1992"/>
      <c r="D38" s="1992"/>
      <c r="E38" s="1992"/>
      <c r="F38" s="1992"/>
      <c r="G38" s="1992"/>
      <c r="H38" s="1992"/>
    </row>
    <row r="39" spans="1:8" x14ac:dyDescent="0.2">
      <c r="A39" s="1993" t="s">
        <v>1081</v>
      </c>
      <c r="B39" s="1992"/>
      <c r="C39" s="1992"/>
      <c r="D39" s="1992"/>
      <c r="E39" s="1992"/>
      <c r="F39" s="1992"/>
      <c r="G39" s="1992"/>
      <c r="H39" s="1992"/>
    </row>
    <row r="40" spans="1:8" x14ac:dyDescent="0.2">
      <c r="A40" s="1993" t="s">
        <v>1082</v>
      </c>
      <c r="B40" s="1992"/>
      <c r="C40" s="1992"/>
      <c r="D40" s="1992"/>
      <c r="E40" s="1992"/>
      <c r="F40" s="1992"/>
      <c r="G40" s="1992"/>
      <c r="H40" s="1992"/>
    </row>
    <row r="41" spans="1:8" x14ac:dyDescent="0.2">
      <c r="A41" s="1992"/>
      <c r="B41" s="1992"/>
      <c r="C41" s="1992"/>
      <c r="D41" s="1992"/>
      <c r="E41" s="1992"/>
      <c r="F41" s="1992"/>
      <c r="G41" s="1992"/>
      <c r="H41" s="1992"/>
    </row>
    <row r="42" spans="1:8" x14ac:dyDescent="0.2">
      <c r="A42" s="1993" t="s">
        <v>1073</v>
      </c>
      <c r="B42" s="1992"/>
      <c r="C42" s="1992"/>
      <c r="D42" s="1992"/>
      <c r="E42" s="1992"/>
      <c r="F42" s="1992"/>
      <c r="G42" s="1992"/>
      <c r="H42" s="1992"/>
    </row>
    <row r="43" spans="1:8" x14ac:dyDescent="0.2">
      <c r="A43" s="1993" t="s">
        <v>1074</v>
      </c>
      <c r="B43" s="1992"/>
      <c r="C43" s="1992"/>
      <c r="D43" s="1992"/>
      <c r="E43" s="1992"/>
      <c r="F43" s="1992"/>
      <c r="G43" s="1992"/>
      <c r="H43" s="1992"/>
    </row>
    <row r="44" spans="1:8" x14ac:dyDescent="0.2">
      <c r="A44" s="1993" t="s">
        <v>1075</v>
      </c>
      <c r="B44" s="1992"/>
      <c r="C44" s="1992"/>
      <c r="D44" s="1992"/>
      <c r="E44" s="1992"/>
      <c r="F44" s="1992"/>
      <c r="G44" s="1992"/>
      <c r="H44" s="1992"/>
    </row>
    <row r="45" spans="1:8" x14ac:dyDescent="0.2">
      <c r="A45" s="1993" t="s">
        <v>1076</v>
      </c>
      <c r="B45" s="1992"/>
      <c r="C45" s="1992"/>
      <c r="D45" s="1992"/>
      <c r="E45" s="1992"/>
      <c r="F45" s="1992"/>
      <c r="G45" s="1992"/>
      <c r="H45" s="1992"/>
    </row>
    <row r="46" spans="1:8" x14ac:dyDescent="0.2">
      <c r="A46" s="1993" t="s">
        <v>1077</v>
      </c>
      <c r="B46" s="1992"/>
      <c r="C46" s="1992"/>
      <c r="D46" s="1992"/>
      <c r="E46" s="1992"/>
      <c r="F46" s="1992"/>
      <c r="G46" s="1992"/>
      <c r="H46" s="1992"/>
    </row>
    <row r="47" spans="1:8" x14ac:dyDescent="0.2">
      <c r="A47" s="1993" t="s">
        <v>1078</v>
      </c>
      <c r="B47" s="1992"/>
      <c r="C47" s="1992"/>
      <c r="D47" s="1992"/>
      <c r="E47" s="1992"/>
      <c r="F47" s="1992"/>
      <c r="G47" s="1992"/>
      <c r="H47" s="1992"/>
    </row>
    <row r="48" spans="1:8" x14ac:dyDescent="0.2">
      <c r="A48" s="1992"/>
      <c r="B48" s="1992"/>
      <c r="C48" s="1992"/>
      <c r="D48" s="1992"/>
      <c r="E48" s="1992"/>
      <c r="F48" s="1992"/>
      <c r="G48" s="1992"/>
      <c r="H48" s="1992"/>
    </row>
    <row r="49" spans="1:8" ht="15.75" x14ac:dyDescent="0.2">
      <c r="A49" s="1994" t="s">
        <v>806</v>
      </c>
      <c r="B49" s="1992"/>
      <c r="C49" s="1992"/>
      <c r="D49" s="1992"/>
      <c r="E49" s="1992"/>
      <c r="F49" s="1992"/>
      <c r="G49" s="1992"/>
      <c r="H49" s="1992"/>
    </row>
    <row r="50" spans="1:8" x14ac:dyDescent="0.2">
      <c r="A50" s="1992"/>
      <c r="B50" s="1992"/>
      <c r="C50" s="1992"/>
      <c r="D50" s="1992"/>
      <c r="E50" s="1992"/>
      <c r="F50" s="1992"/>
      <c r="G50" s="1992"/>
      <c r="H50" s="1992"/>
    </row>
    <row r="51" spans="1:8" x14ac:dyDescent="0.2">
      <c r="A51" s="1993" t="s">
        <v>1069</v>
      </c>
      <c r="B51" s="1992"/>
      <c r="C51" s="1992"/>
      <c r="D51" s="1992"/>
      <c r="E51" s="1992"/>
      <c r="F51" s="1992"/>
      <c r="G51" s="1992"/>
      <c r="H51" s="1992"/>
    </row>
    <row r="52" spans="1:8" x14ac:dyDescent="0.2">
      <c r="A52" s="1993" t="s">
        <v>1070</v>
      </c>
      <c r="B52" s="1992"/>
      <c r="C52" s="1992"/>
      <c r="D52" s="1992"/>
      <c r="E52" s="1992"/>
      <c r="F52" s="1992"/>
      <c r="G52" s="1992"/>
      <c r="H52" s="1992"/>
    </row>
    <row r="53" spans="1:8" x14ac:dyDescent="0.2">
      <c r="A53" s="1993" t="s">
        <v>1071</v>
      </c>
      <c r="B53" s="1992"/>
      <c r="C53" s="1992"/>
      <c r="D53" s="1992"/>
      <c r="E53" s="1992"/>
      <c r="F53" s="1992"/>
      <c r="G53" s="1992"/>
      <c r="H53" s="1992"/>
    </row>
    <row r="54" spans="1:8" x14ac:dyDescent="0.2">
      <c r="A54" s="1993" t="s">
        <v>1072</v>
      </c>
      <c r="B54" s="1992"/>
      <c r="C54" s="1992"/>
      <c r="D54" s="1992"/>
      <c r="E54" s="1992"/>
      <c r="F54" s="1992"/>
      <c r="G54" s="1992"/>
      <c r="H54" s="1992"/>
    </row>
    <row r="55" spans="1:8" x14ac:dyDescent="0.2">
      <c r="A55" s="1992"/>
      <c r="B55" s="1992"/>
      <c r="C55" s="1992"/>
      <c r="D55" s="1992"/>
      <c r="E55" s="1992"/>
      <c r="F55" s="1992"/>
      <c r="G55" s="1992"/>
      <c r="H55" s="1992"/>
    </row>
    <row r="56" spans="1:8" x14ac:dyDescent="0.2">
      <c r="A56" s="1993" t="s">
        <v>807</v>
      </c>
      <c r="B56" s="1992"/>
      <c r="C56" s="1992"/>
      <c r="D56" s="1992"/>
      <c r="E56" s="1992"/>
      <c r="F56" s="1992"/>
      <c r="G56" s="1992"/>
      <c r="H56" s="1992"/>
    </row>
    <row r="57" spans="1:8" x14ac:dyDescent="0.2">
      <c r="A57" s="1992"/>
      <c r="B57" s="1992"/>
      <c r="C57" s="1992"/>
      <c r="D57" s="1992"/>
      <c r="E57" s="1992"/>
      <c r="F57" s="1992"/>
      <c r="G57" s="1992"/>
      <c r="H57" s="1992"/>
    </row>
    <row r="58" spans="1:8" ht="15.75" x14ac:dyDescent="0.2">
      <c r="A58" s="1994" t="s">
        <v>808</v>
      </c>
      <c r="B58" s="1992"/>
      <c r="C58" s="1992"/>
      <c r="D58" s="1992"/>
      <c r="E58" s="1992"/>
      <c r="F58" s="1992"/>
      <c r="G58" s="1992"/>
      <c r="H58" s="1992"/>
    </row>
    <row r="59" spans="1:8" x14ac:dyDescent="0.2">
      <c r="A59" s="1992"/>
      <c r="B59" s="1992"/>
      <c r="C59" s="1992"/>
      <c r="D59" s="1992"/>
      <c r="E59" s="1992"/>
      <c r="F59" s="1992"/>
      <c r="G59" s="1992"/>
      <c r="H59" s="1992"/>
    </row>
    <row r="60" spans="1:8" x14ac:dyDescent="0.2">
      <c r="A60" s="1993" t="s">
        <v>1067</v>
      </c>
      <c r="B60" s="1992"/>
      <c r="C60" s="1992"/>
      <c r="D60" s="1992"/>
      <c r="E60" s="1992"/>
      <c r="F60" s="1992"/>
      <c r="G60" s="1992"/>
      <c r="H60" s="1992"/>
    </row>
    <row r="61" spans="1:8" x14ac:dyDescent="0.2">
      <c r="A61" s="1993" t="s">
        <v>1068</v>
      </c>
      <c r="B61" s="1992"/>
      <c r="C61" s="1992"/>
      <c r="D61" s="1992"/>
      <c r="E61" s="1992"/>
      <c r="F61" s="1992"/>
      <c r="G61" s="1992"/>
      <c r="H61" s="1992"/>
    </row>
    <row r="62" spans="1:8" x14ac:dyDescent="0.2">
      <c r="A62" s="1992"/>
      <c r="B62" s="1992"/>
      <c r="C62" s="1992"/>
      <c r="D62" s="1992"/>
      <c r="E62" s="1992"/>
      <c r="F62" s="1992"/>
      <c r="G62" s="1992"/>
      <c r="H62" s="1992"/>
    </row>
    <row r="63" spans="1:8" ht="15.75" x14ac:dyDescent="0.2">
      <c r="A63" s="1994" t="s">
        <v>809</v>
      </c>
      <c r="B63" s="1992"/>
      <c r="C63" s="1992"/>
      <c r="D63" s="1992"/>
      <c r="E63" s="1992"/>
      <c r="F63" s="1992"/>
      <c r="G63" s="1992"/>
      <c r="H63" s="1992"/>
    </row>
    <row r="64" spans="1:8" x14ac:dyDescent="0.2">
      <c r="A64" s="1992"/>
      <c r="B64" s="1992"/>
      <c r="C64" s="1992"/>
      <c r="D64" s="1992"/>
      <c r="E64" s="1992"/>
      <c r="F64" s="1992"/>
      <c r="G64" s="1992"/>
      <c r="H64" s="1992"/>
    </row>
    <row r="65" spans="1:8" x14ac:dyDescent="0.2">
      <c r="A65" s="1993" t="s">
        <v>1065</v>
      </c>
      <c r="B65" s="1992"/>
      <c r="C65" s="1992"/>
      <c r="D65" s="1992"/>
      <c r="E65" s="1992"/>
      <c r="F65" s="1992"/>
      <c r="G65" s="1992"/>
      <c r="H65" s="1992"/>
    </row>
    <row r="66" spans="1:8" x14ac:dyDescent="0.2">
      <c r="A66" s="1993" t="s">
        <v>1066</v>
      </c>
      <c r="B66" s="1992"/>
      <c r="C66" s="1992"/>
      <c r="D66" s="1992"/>
      <c r="E66" s="1992"/>
      <c r="F66" s="1992"/>
      <c r="G66" s="1992"/>
      <c r="H66" s="1992"/>
    </row>
    <row r="67" spans="1:8" x14ac:dyDescent="0.2">
      <c r="A67" s="1992"/>
      <c r="B67" s="1992"/>
      <c r="C67" s="1992"/>
      <c r="D67" s="1992"/>
      <c r="E67" s="1992"/>
      <c r="F67" s="1992"/>
      <c r="G67" s="1992"/>
      <c r="H67" s="1992"/>
    </row>
    <row r="68" spans="1:8" x14ac:dyDescent="0.2">
      <c r="A68" s="1993" t="s">
        <v>1063</v>
      </c>
      <c r="B68" s="1992"/>
      <c r="C68" s="1992"/>
      <c r="D68" s="1992"/>
      <c r="E68" s="1992"/>
      <c r="F68" s="1992"/>
      <c r="G68" s="1992"/>
      <c r="H68" s="1992"/>
    </row>
    <row r="69" spans="1:8" x14ac:dyDescent="0.2">
      <c r="A69" s="1993" t="s">
        <v>1064</v>
      </c>
      <c r="B69" s="1992"/>
      <c r="C69" s="1992"/>
      <c r="D69" s="1992"/>
      <c r="E69" s="1992"/>
      <c r="F69" s="1992"/>
      <c r="G69" s="1992"/>
      <c r="H69" s="1992"/>
    </row>
    <row r="70" spans="1:8" x14ac:dyDescent="0.2">
      <c r="A70" s="1992"/>
      <c r="B70" s="1992"/>
      <c r="C70" s="1992"/>
      <c r="D70" s="1992"/>
      <c r="E70" s="1992"/>
      <c r="F70" s="1992"/>
      <c r="G70" s="1992"/>
      <c r="H70" s="1992"/>
    </row>
    <row r="71" spans="1:8" x14ac:dyDescent="0.2">
      <c r="A71" s="1993" t="s">
        <v>1061</v>
      </c>
      <c r="B71" s="1992"/>
      <c r="C71" s="1992"/>
      <c r="D71" s="1992"/>
      <c r="E71" s="1992"/>
      <c r="F71" s="1992"/>
      <c r="G71" s="1992"/>
      <c r="H71" s="1992"/>
    </row>
    <row r="72" spans="1:8" x14ac:dyDescent="0.2">
      <c r="A72" s="1993" t="s">
        <v>1062</v>
      </c>
      <c r="B72" s="1992"/>
      <c r="C72" s="1992"/>
      <c r="D72" s="1992"/>
      <c r="E72" s="1992"/>
      <c r="F72" s="1992"/>
      <c r="G72" s="1992"/>
      <c r="H72" s="1992"/>
    </row>
    <row r="73" spans="1:8" x14ac:dyDescent="0.2">
      <c r="A73" s="1992"/>
      <c r="B73" s="1992"/>
      <c r="C73" s="1992"/>
      <c r="D73" s="1992"/>
      <c r="E73" s="1992"/>
      <c r="F73" s="1992"/>
      <c r="G73" s="1992"/>
      <c r="H73" s="1992"/>
    </row>
    <row r="74" spans="1:8" x14ac:dyDescent="0.2">
      <c r="A74" s="1993" t="s">
        <v>1059</v>
      </c>
      <c r="B74" s="1992"/>
      <c r="C74" s="1992"/>
      <c r="D74" s="1992"/>
      <c r="E74" s="1992"/>
      <c r="F74" s="1992"/>
      <c r="G74" s="1992"/>
      <c r="H74" s="1992"/>
    </row>
    <row r="75" spans="1:8" x14ac:dyDescent="0.2">
      <c r="A75" s="1993" t="s">
        <v>1060</v>
      </c>
      <c r="B75" s="1992"/>
      <c r="C75" s="1992"/>
      <c r="D75" s="1992"/>
      <c r="E75" s="1992"/>
      <c r="F75" s="1992"/>
      <c r="G75" s="1992"/>
      <c r="H75" s="1992"/>
    </row>
    <row r="76" spans="1:8" x14ac:dyDescent="0.2">
      <c r="A76" s="1992"/>
      <c r="B76" s="1992"/>
      <c r="C76" s="1992"/>
      <c r="D76" s="1992"/>
      <c r="E76" s="1992"/>
      <c r="F76" s="1992"/>
      <c r="G76" s="1992"/>
      <c r="H76" s="1992"/>
    </row>
    <row r="77" spans="1:8" x14ac:dyDescent="0.2">
      <c r="A77" s="1993" t="s">
        <v>1057</v>
      </c>
      <c r="B77" s="1992"/>
      <c r="C77" s="1992"/>
      <c r="D77" s="1992"/>
      <c r="E77" s="1992"/>
      <c r="F77" s="1992"/>
      <c r="G77" s="1992"/>
      <c r="H77" s="1992"/>
    </row>
    <row r="78" spans="1:8" x14ac:dyDescent="0.2">
      <c r="A78" s="1993" t="s">
        <v>1058</v>
      </c>
      <c r="B78" s="1992"/>
      <c r="C78" s="1992"/>
      <c r="D78" s="1992"/>
      <c r="E78" s="1992"/>
      <c r="F78" s="1992"/>
      <c r="G78" s="1992"/>
      <c r="H78" s="1992"/>
    </row>
    <row r="79" spans="1:8" x14ac:dyDescent="0.2">
      <c r="A79" s="1992"/>
      <c r="B79" s="1992"/>
      <c r="C79" s="1992"/>
      <c r="D79" s="1992"/>
      <c r="E79" s="1992"/>
      <c r="F79" s="1992"/>
      <c r="G79" s="1992"/>
      <c r="H79" s="1992"/>
    </row>
    <row r="80" spans="1:8" x14ac:dyDescent="0.2">
      <c r="A80" s="1993" t="s">
        <v>1054</v>
      </c>
      <c r="B80" s="1992"/>
      <c r="C80" s="1992"/>
      <c r="D80" s="1992"/>
      <c r="E80" s="1992"/>
      <c r="F80" s="1992"/>
      <c r="G80" s="1992"/>
      <c r="H80" s="1992"/>
    </row>
    <row r="81" spans="1:8" x14ac:dyDescent="0.2">
      <c r="A81" s="1993" t="s">
        <v>1055</v>
      </c>
      <c r="B81" s="1992"/>
      <c r="C81" s="1992"/>
      <c r="D81" s="1992"/>
      <c r="E81" s="1992"/>
      <c r="F81" s="1992"/>
      <c r="G81" s="1992"/>
      <c r="H81" s="1992"/>
    </row>
    <row r="82" spans="1:8" x14ac:dyDescent="0.2">
      <c r="A82" s="1993" t="s">
        <v>1056</v>
      </c>
      <c r="B82" s="1992"/>
      <c r="C82" s="1992"/>
      <c r="D82" s="1992"/>
      <c r="E82" s="1992"/>
      <c r="F82" s="1992"/>
      <c r="G82" s="1992"/>
      <c r="H82" s="1992"/>
    </row>
    <row r="83" spans="1:8" x14ac:dyDescent="0.2">
      <c r="A83" s="1992"/>
      <c r="B83" s="1992"/>
      <c r="C83" s="1992"/>
      <c r="D83" s="1992"/>
      <c r="E83" s="1992"/>
      <c r="F83" s="1992"/>
      <c r="G83" s="1992"/>
      <c r="H83" s="1992"/>
    </row>
    <row r="84" spans="1:8" x14ac:dyDescent="0.2">
      <c r="A84" s="1993" t="s">
        <v>810</v>
      </c>
      <c r="B84" s="1992"/>
      <c r="C84" s="1992"/>
      <c r="D84" s="1992"/>
      <c r="E84" s="1992"/>
      <c r="F84" s="1992"/>
      <c r="G84" s="1992"/>
      <c r="H84" s="1992"/>
    </row>
    <row r="85" spans="1:8" x14ac:dyDescent="0.2">
      <c r="A85" s="1992"/>
      <c r="B85" s="1992"/>
      <c r="C85" s="1992"/>
      <c r="D85" s="1992"/>
      <c r="E85" s="1992"/>
      <c r="F85" s="1992"/>
      <c r="G85" s="1992"/>
      <c r="H85" s="1992"/>
    </row>
    <row r="86" spans="1:8" x14ac:dyDescent="0.2">
      <c r="A86" s="1993" t="s">
        <v>1049</v>
      </c>
      <c r="B86" s="1992"/>
      <c r="C86" s="1992"/>
      <c r="D86" s="1992"/>
      <c r="E86" s="1992"/>
      <c r="F86" s="1992"/>
      <c r="G86" s="1992"/>
      <c r="H86" s="1992"/>
    </row>
    <row r="87" spans="1:8" x14ac:dyDescent="0.2">
      <c r="A87" s="1993" t="s">
        <v>1050</v>
      </c>
      <c r="B87" s="1992"/>
      <c r="C87" s="1992"/>
      <c r="D87" s="1992"/>
      <c r="E87" s="1992"/>
      <c r="F87" s="1992"/>
      <c r="G87" s="1992"/>
      <c r="H87" s="1992"/>
    </row>
    <row r="88" spans="1:8" x14ac:dyDescent="0.2">
      <c r="A88" s="1993" t="s">
        <v>1051</v>
      </c>
      <c r="B88" s="1992"/>
      <c r="C88" s="1992"/>
      <c r="D88" s="1992"/>
      <c r="E88" s="1992"/>
      <c r="F88" s="1992"/>
      <c r="G88" s="1992"/>
      <c r="H88" s="1992"/>
    </row>
    <row r="89" spans="1:8" x14ac:dyDescent="0.2">
      <c r="A89" s="1993" t="s">
        <v>1052</v>
      </c>
      <c r="B89" s="1992"/>
      <c r="C89" s="1992"/>
      <c r="D89" s="1992"/>
      <c r="E89" s="1992"/>
      <c r="F89" s="1992"/>
      <c r="G89" s="1992"/>
      <c r="H89" s="1992"/>
    </row>
    <row r="90" spans="1:8" x14ac:dyDescent="0.2">
      <c r="A90" s="1993" t="s">
        <v>1053</v>
      </c>
      <c r="B90" s="1992"/>
      <c r="C90" s="1992"/>
      <c r="D90" s="1992"/>
      <c r="E90" s="1992"/>
      <c r="F90" s="1992"/>
      <c r="G90" s="1992"/>
      <c r="H90" s="1992"/>
    </row>
    <row r="91" spans="1:8" x14ac:dyDescent="0.2">
      <c r="A91" s="1993" t="s">
        <v>936</v>
      </c>
      <c r="B91" s="1992"/>
      <c r="C91" s="1992"/>
      <c r="D91" s="1992"/>
      <c r="E91" s="1992"/>
      <c r="F91" s="1992"/>
      <c r="G91" s="1992"/>
      <c r="H91" s="1992"/>
    </row>
    <row r="92" spans="1:8" x14ac:dyDescent="0.2">
      <c r="A92" s="1992"/>
      <c r="B92" s="1992"/>
      <c r="C92" s="1992"/>
      <c r="D92" s="1992"/>
      <c r="E92" s="1992"/>
      <c r="F92" s="1992"/>
      <c r="G92" s="1992"/>
      <c r="H92" s="1992"/>
    </row>
    <row r="93" spans="1:8" x14ac:dyDescent="0.2">
      <c r="A93" s="1993" t="s">
        <v>1042</v>
      </c>
      <c r="B93" s="1992"/>
      <c r="C93" s="1992"/>
      <c r="D93" s="1992"/>
      <c r="E93" s="1992"/>
      <c r="F93" s="1992"/>
      <c r="G93" s="1992"/>
      <c r="H93" s="1992"/>
    </row>
    <row r="94" spans="1:8" x14ac:dyDescent="0.2">
      <c r="A94" s="1993" t="s">
        <v>1043</v>
      </c>
      <c r="B94" s="1992"/>
      <c r="C94" s="1992"/>
      <c r="D94" s="1992"/>
      <c r="E94" s="1992"/>
      <c r="F94" s="1992"/>
      <c r="G94" s="1992"/>
      <c r="H94" s="1992"/>
    </row>
    <row r="95" spans="1:8" x14ac:dyDescent="0.2">
      <c r="A95" s="1993" t="s">
        <v>1044</v>
      </c>
      <c r="B95" s="1992"/>
      <c r="C95" s="1992"/>
      <c r="D95" s="1992"/>
      <c r="E95" s="1992"/>
      <c r="F95" s="1992"/>
      <c r="G95" s="1992"/>
      <c r="H95" s="1992"/>
    </row>
    <row r="96" spans="1:8" x14ac:dyDescent="0.2">
      <c r="A96" s="1993" t="s">
        <v>1045</v>
      </c>
      <c r="B96" s="1992"/>
      <c r="C96" s="1992"/>
      <c r="D96" s="1992"/>
      <c r="E96" s="1992"/>
      <c r="F96" s="1992"/>
      <c r="G96" s="1992"/>
      <c r="H96" s="1992"/>
    </row>
    <row r="97" spans="1:8" x14ac:dyDescent="0.2">
      <c r="A97" s="1993" t="s">
        <v>1046</v>
      </c>
      <c r="B97" s="1992"/>
      <c r="C97" s="1992"/>
      <c r="D97" s="1992"/>
      <c r="E97" s="1992"/>
      <c r="F97" s="1992"/>
      <c r="G97" s="1992"/>
      <c r="H97" s="1992"/>
    </row>
    <row r="98" spans="1:8" x14ac:dyDescent="0.2">
      <c r="A98" s="1993" t="s">
        <v>1047</v>
      </c>
      <c r="B98" s="1992"/>
      <c r="C98" s="1992"/>
      <c r="D98" s="1992"/>
      <c r="E98" s="1992"/>
      <c r="F98" s="1992"/>
      <c r="G98" s="1992"/>
      <c r="H98" s="1992"/>
    </row>
    <row r="99" spans="1:8" x14ac:dyDescent="0.2">
      <c r="A99" s="1993" t="s">
        <v>1048</v>
      </c>
      <c r="B99" s="1992"/>
      <c r="C99" s="1992"/>
      <c r="D99" s="1992"/>
      <c r="E99" s="1992"/>
      <c r="F99" s="1992"/>
      <c r="G99" s="1992"/>
      <c r="H99" s="1992"/>
    </row>
    <row r="100" spans="1:8" x14ac:dyDescent="0.2">
      <c r="A100" s="1992"/>
      <c r="B100" s="1992"/>
      <c r="C100" s="1992"/>
      <c r="D100" s="1992"/>
      <c r="E100" s="1992"/>
      <c r="F100" s="1992"/>
      <c r="G100" s="1992"/>
      <c r="H100" s="1992"/>
    </row>
    <row r="101" spans="1:8" x14ac:dyDescent="0.2">
      <c r="A101" s="1993" t="s">
        <v>1040</v>
      </c>
      <c r="B101" s="1992"/>
      <c r="C101" s="1992"/>
      <c r="D101" s="1992"/>
      <c r="E101" s="1992"/>
      <c r="F101" s="1992"/>
      <c r="G101" s="1992"/>
      <c r="H101" s="1992"/>
    </row>
    <row r="102" spans="1:8" x14ac:dyDescent="0.2">
      <c r="A102" s="1993" t="s">
        <v>1041</v>
      </c>
      <c r="B102" s="1992"/>
      <c r="C102" s="1992"/>
      <c r="D102" s="1992"/>
      <c r="E102" s="1992"/>
      <c r="F102" s="1992"/>
      <c r="G102" s="1992"/>
      <c r="H102" s="1992"/>
    </row>
    <row r="103" spans="1:8" x14ac:dyDescent="0.2">
      <c r="A103" s="1992"/>
      <c r="B103" s="1992"/>
      <c r="C103" s="1992"/>
      <c r="D103" s="1992"/>
      <c r="E103" s="1992"/>
      <c r="F103" s="1992"/>
      <c r="G103" s="1992"/>
      <c r="H103" s="1992"/>
    </row>
    <row r="104" spans="1:8" ht="15.75" x14ac:dyDescent="0.2">
      <c r="A104" s="1994" t="s">
        <v>811</v>
      </c>
      <c r="B104" s="1992"/>
      <c r="C104" s="1992"/>
      <c r="D104" s="1992"/>
      <c r="E104" s="1992"/>
      <c r="F104" s="1992"/>
      <c r="G104" s="1992"/>
      <c r="H104" s="1992"/>
    </row>
    <row r="105" spans="1:8" x14ac:dyDescent="0.2">
      <c r="A105" s="1992"/>
      <c r="B105" s="1992"/>
      <c r="C105" s="1992"/>
      <c r="D105" s="1992"/>
      <c r="E105" s="1992"/>
      <c r="F105" s="1992"/>
      <c r="G105" s="1992"/>
      <c r="H105" s="1992"/>
    </row>
    <row r="106" spans="1:8" x14ac:dyDescent="0.2">
      <c r="A106" s="1993" t="s">
        <v>1031</v>
      </c>
      <c r="B106" s="1992"/>
      <c r="C106" s="1992"/>
      <c r="D106" s="1992"/>
      <c r="E106" s="1992"/>
      <c r="F106" s="1992"/>
      <c r="G106" s="1992"/>
      <c r="H106" s="1992"/>
    </row>
    <row r="107" spans="1:8" x14ac:dyDescent="0.2">
      <c r="A107" s="1993" t="s">
        <v>1032</v>
      </c>
      <c r="B107" s="1992"/>
      <c r="C107" s="1992"/>
      <c r="D107" s="1992"/>
      <c r="E107" s="1992"/>
      <c r="F107" s="1992"/>
      <c r="G107" s="1992"/>
      <c r="H107" s="1992"/>
    </row>
    <row r="108" spans="1:8" x14ac:dyDescent="0.2">
      <c r="A108" s="1993" t="s">
        <v>1033</v>
      </c>
      <c r="B108" s="1992"/>
      <c r="C108" s="1992"/>
      <c r="D108" s="1992"/>
      <c r="E108" s="1992"/>
      <c r="F108" s="1992"/>
      <c r="G108" s="1992"/>
      <c r="H108" s="1992"/>
    </row>
    <row r="109" spans="1:8" x14ac:dyDescent="0.2">
      <c r="A109" s="1993" t="s">
        <v>1034</v>
      </c>
      <c r="B109" s="1992"/>
      <c r="C109" s="1992"/>
      <c r="D109" s="1992"/>
      <c r="E109" s="1992"/>
      <c r="F109" s="1992"/>
      <c r="G109" s="1992"/>
      <c r="H109" s="1992"/>
    </row>
    <row r="110" spans="1:8" x14ac:dyDescent="0.2">
      <c r="A110" s="1993" t="s">
        <v>1035</v>
      </c>
      <c r="B110" s="1992"/>
      <c r="C110" s="1992"/>
      <c r="D110" s="1992"/>
      <c r="E110" s="1992"/>
      <c r="F110" s="1992"/>
      <c r="G110" s="1992"/>
      <c r="H110" s="1992"/>
    </row>
    <row r="111" spans="1:8" x14ac:dyDescent="0.2">
      <c r="A111" s="1993" t="s">
        <v>1036</v>
      </c>
      <c r="B111" s="1992"/>
      <c r="C111" s="1992"/>
      <c r="D111" s="1992"/>
      <c r="E111" s="1992"/>
      <c r="F111" s="1992"/>
      <c r="G111" s="1992"/>
      <c r="H111" s="1992"/>
    </row>
    <row r="112" spans="1:8" x14ac:dyDescent="0.2">
      <c r="A112" s="1993" t="s">
        <v>1037</v>
      </c>
      <c r="B112" s="1992"/>
      <c r="C112" s="1992"/>
      <c r="D112" s="1992"/>
      <c r="E112" s="1992"/>
      <c r="F112" s="1992"/>
      <c r="G112" s="1992"/>
      <c r="H112" s="1992"/>
    </row>
    <row r="113" spans="1:8" x14ac:dyDescent="0.2">
      <c r="A113" s="1993" t="s">
        <v>1038</v>
      </c>
      <c r="B113" s="1992"/>
      <c r="C113" s="1992"/>
      <c r="D113" s="1992"/>
      <c r="E113" s="1992"/>
      <c r="F113" s="1992"/>
      <c r="G113" s="1992"/>
      <c r="H113" s="1992"/>
    </row>
    <row r="114" spans="1:8" x14ac:dyDescent="0.2">
      <c r="A114" s="1993" t="s">
        <v>1039</v>
      </c>
      <c r="B114" s="1992"/>
      <c r="C114" s="1992"/>
      <c r="D114" s="1992"/>
      <c r="E114" s="1992"/>
      <c r="F114" s="1992"/>
      <c r="G114" s="1992"/>
      <c r="H114" s="1992"/>
    </row>
    <row r="115" spans="1:8" x14ac:dyDescent="0.2">
      <c r="A115" s="1992"/>
      <c r="B115" s="1992"/>
      <c r="C115" s="1992"/>
      <c r="D115" s="1992"/>
      <c r="E115" s="1992"/>
      <c r="F115" s="1992"/>
      <c r="G115" s="1992"/>
      <c r="H115" s="1992"/>
    </row>
    <row r="116" spans="1:8" ht="15.75" x14ac:dyDescent="0.2">
      <c r="A116" s="2014" t="s">
        <v>812</v>
      </c>
      <c r="B116" s="2014"/>
      <c r="C116" s="2014"/>
      <c r="D116" s="2014"/>
      <c r="E116" s="2014"/>
      <c r="F116" s="2014"/>
      <c r="G116" s="2014"/>
      <c r="H116" s="2014"/>
    </row>
    <row r="117" spans="1:8" x14ac:dyDescent="0.2">
      <c r="A117" s="2010" t="s">
        <v>813</v>
      </c>
      <c r="B117" s="2010"/>
      <c r="C117" s="2010"/>
      <c r="D117" s="2010"/>
      <c r="E117" s="2010"/>
      <c r="F117" s="2010"/>
      <c r="G117" s="2010"/>
      <c r="H117" s="2010"/>
    </row>
    <row r="118" spans="1:8" x14ac:dyDescent="0.2">
      <c r="A118" s="2015"/>
      <c r="B118" s="2015"/>
      <c r="C118" s="2015"/>
      <c r="D118" s="2015"/>
      <c r="E118" s="2015"/>
      <c r="F118" s="2015"/>
      <c r="G118" s="2015"/>
      <c r="H118" s="2015"/>
    </row>
    <row r="119" spans="1:8" x14ac:dyDescent="0.2">
      <c r="A119" s="2010" t="s">
        <v>1029</v>
      </c>
      <c r="B119" s="2010"/>
      <c r="C119" s="2010"/>
      <c r="D119" s="2010"/>
      <c r="E119" s="2010"/>
      <c r="F119" s="2010"/>
      <c r="G119" s="2010"/>
      <c r="H119" s="2010"/>
    </row>
    <row r="120" spans="1:8" x14ac:dyDescent="0.2">
      <c r="A120" s="1993" t="s">
        <v>1030</v>
      </c>
      <c r="B120" s="1993"/>
      <c r="C120" s="1993"/>
      <c r="D120" s="1993"/>
      <c r="E120" s="1993"/>
      <c r="F120" s="1993"/>
      <c r="G120" s="1993"/>
      <c r="H120" s="1993"/>
    </row>
    <row r="121" spans="1:8" x14ac:dyDescent="0.2">
      <c r="A121" s="2015"/>
      <c r="B121" s="2015"/>
      <c r="C121" s="2015"/>
      <c r="D121" s="2015"/>
      <c r="E121" s="2015"/>
      <c r="F121" s="2015"/>
      <c r="G121" s="2015"/>
      <c r="H121" s="2015"/>
    </row>
    <row r="122" spans="1:8" x14ac:dyDescent="0.2">
      <c r="A122" s="2010" t="s">
        <v>1022</v>
      </c>
      <c r="B122" s="2010"/>
      <c r="C122" s="2010"/>
      <c r="D122" s="2010"/>
      <c r="E122" s="2010"/>
      <c r="F122" s="2010"/>
      <c r="G122" s="2010"/>
      <c r="H122" s="2010"/>
    </row>
    <row r="123" spans="1:8" x14ac:dyDescent="0.2">
      <c r="A123" s="1993" t="s">
        <v>1023</v>
      </c>
      <c r="B123" s="1993"/>
      <c r="C123" s="1993"/>
      <c r="D123" s="1993"/>
      <c r="E123" s="1993"/>
      <c r="F123" s="1993"/>
      <c r="G123" s="1993"/>
      <c r="H123" s="1993"/>
    </row>
    <row r="124" spans="1:8" x14ac:dyDescent="0.2">
      <c r="A124" s="1993" t="s">
        <v>1024</v>
      </c>
      <c r="B124" s="1993"/>
      <c r="C124" s="1993"/>
      <c r="D124" s="1993"/>
      <c r="E124" s="1993"/>
      <c r="F124" s="1993"/>
      <c r="G124" s="1993"/>
      <c r="H124" s="1993"/>
    </row>
    <row r="125" spans="1:8" x14ac:dyDescent="0.2">
      <c r="A125" s="1993" t="s">
        <v>1025</v>
      </c>
      <c r="B125" s="1993"/>
      <c r="C125" s="1993"/>
      <c r="D125" s="1993"/>
      <c r="E125" s="1993"/>
      <c r="F125" s="1993"/>
      <c r="G125" s="1993"/>
      <c r="H125" s="1993"/>
    </row>
    <row r="126" spans="1:8" x14ac:dyDescent="0.2">
      <c r="A126" s="1993" t="s">
        <v>1026</v>
      </c>
      <c r="B126" s="1993"/>
      <c r="C126" s="1993"/>
      <c r="D126" s="1993"/>
      <c r="E126" s="1993"/>
      <c r="F126" s="1993"/>
      <c r="G126" s="1993"/>
      <c r="H126" s="1993"/>
    </row>
    <row r="127" spans="1:8" x14ac:dyDescent="0.2">
      <c r="A127" s="1993" t="s">
        <v>1027</v>
      </c>
      <c r="B127" s="1993"/>
      <c r="C127" s="1993"/>
      <c r="D127" s="1993"/>
      <c r="E127" s="1993"/>
      <c r="F127" s="1993"/>
      <c r="G127" s="1993"/>
      <c r="H127" s="1993"/>
    </row>
    <row r="128" spans="1:8" x14ac:dyDescent="0.2">
      <c r="A128" s="1993" t="s">
        <v>1028</v>
      </c>
      <c r="B128" s="1993"/>
      <c r="C128" s="1993"/>
      <c r="D128" s="1993"/>
      <c r="E128" s="1993"/>
      <c r="F128" s="1993"/>
      <c r="G128" s="1993"/>
      <c r="H128" s="1993"/>
    </row>
    <row r="129" spans="1:8" x14ac:dyDescent="0.2">
      <c r="A129" s="2016"/>
      <c r="B129" s="2016"/>
      <c r="C129" s="2016"/>
      <c r="D129" s="2016"/>
      <c r="E129" s="2016"/>
      <c r="F129" s="2016"/>
      <c r="G129" s="2016"/>
      <c r="H129" s="2016"/>
    </row>
    <row r="130" spans="1:8" x14ac:dyDescent="0.2">
      <c r="A130" s="1995"/>
      <c r="B130" s="2011" t="s">
        <v>814</v>
      </c>
      <c r="C130" s="2012"/>
      <c r="D130" s="2011" t="s">
        <v>815</v>
      </c>
      <c r="E130" s="2013"/>
      <c r="F130" s="2012"/>
      <c r="G130" s="2011" t="s">
        <v>816</v>
      </c>
      <c r="H130" s="2012"/>
    </row>
    <row r="131" spans="1:8" x14ac:dyDescent="0.2">
      <c r="A131" s="1995" t="s">
        <v>817</v>
      </c>
      <c r="B131" s="1995" t="s">
        <v>438</v>
      </c>
      <c r="C131" s="1995" t="s">
        <v>818</v>
      </c>
      <c r="D131" s="1995" t="s">
        <v>438</v>
      </c>
      <c r="E131" s="1995" t="s">
        <v>819</v>
      </c>
      <c r="F131" s="1995" t="s">
        <v>820</v>
      </c>
      <c r="G131" s="1995" t="s">
        <v>438</v>
      </c>
      <c r="H131" s="1995" t="s">
        <v>821</v>
      </c>
    </row>
    <row r="132" spans="1:8" x14ac:dyDescent="0.2">
      <c r="A132" s="1995" t="s">
        <v>822</v>
      </c>
      <c r="B132" s="1995">
        <v>1189</v>
      </c>
      <c r="C132" s="1996">
        <v>0.38</v>
      </c>
      <c r="D132" s="1995">
        <v>315</v>
      </c>
      <c r="E132" s="1996">
        <v>0.41</v>
      </c>
      <c r="F132" s="1996">
        <v>0.26</v>
      </c>
      <c r="G132" s="1995">
        <v>555</v>
      </c>
      <c r="H132" s="1996">
        <v>0.39</v>
      </c>
    </row>
    <row r="133" spans="1:8" x14ac:dyDescent="0.2">
      <c r="A133" s="1995" t="s">
        <v>823</v>
      </c>
      <c r="B133" s="1995">
        <v>1355</v>
      </c>
      <c r="C133" s="1996">
        <v>0.43</v>
      </c>
      <c r="D133" s="1995">
        <v>364</v>
      </c>
      <c r="E133" s="1996">
        <v>0.47</v>
      </c>
      <c r="F133" s="1996">
        <v>0.27</v>
      </c>
      <c r="G133" s="1995">
        <v>644</v>
      </c>
      <c r="H133" s="1996">
        <v>0.45</v>
      </c>
    </row>
    <row r="134" spans="1:8" x14ac:dyDescent="0.2">
      <c r="A134" s="1995" t="s">
        <v>824</v>
      </c>
      <c r="B134" s="1995">
        <v>53</v>
      </c>
      <c r="C134" s="1996">
        <v>0.02</v>
      </c>
      <c r="D134" s="1995">
        <v>4</v>
      </c>
      <c r="E134" s="1996">
        <v>0.01</v>
      </c>
      <c r="F134" s="1996">
        <v>0.08</v>
      </c>
      <c r="G134" s="1995">
        <v>7</v>
      </c>
      <c r="H134" s="1996">
        <v>0</v>
      </c>
    </row>
    <row r="135" spans="1:8" x14ac:dyDescent="0.2">
      <c r="A135" s="1995" t="s">
        <v>825</v>
      </c>
      <c r="B135" s="1995">
        <v>545</v>
      </c>
      <c r="C135" s="1996">
        <v>0.17</v>
      </c>
      <c r="D135" s="1995">
        <v>84</v>
      </c>
      <c r="E135" s="1996">
        <v>0.11</v>
      </c>
      <c r="F135" s="1996">
        <v>0.15</v>
      </c>
      <c r="G135" s="1995">
        <v>214</v>
      </c>
      <c r="H135" s="1996">
        <v>0.15</v>
      </c>
    </row>
    <row r="136" spans="1:8" x14ac:dyDescent="0.2">
      <c r="A136" s="1995" t="s">
        <v>157</v>
      </c>
      <c r="B136" s="1997">
        <v>3142</v>
      </c>
      <c r="C136" s="1995"/>
      <c r="D136" s="1995">
        <v>767</v>
      </c>
      <c r="E136" s="1995"/>
      <c r="F136" s="1995"/>
      <c r="G136" s="1995">
        <v>1420</v>
      </c>
      <c r="H136" s="1995"/>
    </row>
    <row r="137" spans="1:8" x14ac:dyDescent="0.2">
      <c r="A137" s="2009"/>
      <c r="B137" s="2009"/>
      <c r="C137" s="2009"/>
      <c r="D137" s="2009"/>
      <c r="E137" s="2009"/>
      <c r="F137" s="2009"/>
      <c r="G137" s="2009"/>
      <c r="H137" s="2009"/>
    </row>
    <row r="138" spans="1:8" x14ac:dyDescent="0.2">
      <c r="A138" s="2010" t="s">
        <v>1018</v>
      </c>
      <c r="B138" s="2010"/>
      <c r="C138" s="2010"/>
      <c r="D138" s="2010"/>
      <c r="E138" s="2010"/>
      <c r="F138" s="2010"/>
      <c r="G138" s="2010"/>
      <c r="H138" s="2010"/>
    </row>
    <row r="139" spans="1:8" x14ac:dyDescent="0.2">
      <c r="A139" s="1993" t="s">
        <v>1019</v>
      </c>
      <c r="B139" s="1993"/>
      <c r="C139" s="1993"/>
      <c r="D139" s="1993"/>
      <c r="E139" s="1993"/>
      <c r="F139" s="1993"/>
      <c r="G139" s="1993"/>
      <c r="H139" s="1993"/>
    </row>
    <row r="140" spans="1:8" x14ac:dyDescent="0.2">
      <c r="A140" s="1993" t="s">
        <v>1020</v>
      </c>
      <c r="B140" s="1993"/>
      <c r="C140" s="1993"/>
      <c r="D140" s="1993"/>
      <c r="E140" s="1993"/>
      <c r="F140" s="1993"/>
      <c r="G140" s="1993"/>
      <c r="H140" s="1993"/>
    </row>
    <row r="141" spans="1:8" x14ac:dyDescent="0.2">
      <c r="A141" s="1993" t="s">
        <v>1021</v>
      </c>
      <c r="B141" s="1993"/>
      <c r="C141" s="1993"/>
      <c r="D141" s="1993"/>
      <c r="E141" s="1993"/>
      <c r="F141" s="1993"/>
      <c r="G141" s="1993"/>
      <c r="H141" s="1993"/>
    </row>
    <row r="142" spans="1:8" x14ac:dyDescent="0.2">
      <c r="A142" s="1992"/>
      <c r="B142" s="1992"/>
      <c r="C142" s="1992"/>
      <c r="D142" s="1992"/>
      <c r="E142" s="1992"/>
      <c r="F142" s="1992"/>
      <c r="G142" s="1992"/>
      <c r="H142" s="1992"/>
    </row>
    <row r="143" spans="1:8" ht="15.75" x14ac:dyDescent="0.2">
      <c r="A143" s="1994" t="s">
        <v>826</v>
      </c>
      <c r="B143" s="1992"/>
      <c r="C143" s="1992"/>
      <c r="D143" s="1992"/>
      <c r="E143" s="1992"/>
      <c r="F143" s="1992"/>
      <c r="G143" s="1992"/>
      <c r="H143" s="1992"/>
    </row>
    <row r="144" spans="1:8" x14ac:dyDescent="0.2">
      <c r="A144" s="1992"/>
      <c r="B144" s="1992"/>
      <c r="C144" s="1992"/>
      <c r="D144" s="1992"/>
      <c r="E144" s="1992"/>
      <c r="F144" s="1992"/>
      <c r="G144" s="1992"/>
      <c r="H144" s="1992"/>
    </row>
    <row r="145" spans="1:8" x14ac:dyDescent="0.2">
      <c r="A145" s="1993" t="s">
        <v>1016</v>
      </c>
      <c r="B145" s="1992"/>
      <c r="C145" s="1992"/>
      <c r="D145" s="1992"/>
      <c r="E145" s="1992"/>
      <c r="F145" s="1992"/>
      <c r="G145" s="1992"/>
      <c r="H145" s="1992"/>
    </row>
    <row r="146" spans="1:8" x14ac:dyDescent="0.2">
      <c r="A146" s="1993" t="s">
        <v>1017</v>
      </c>
      <c r="B146" s="1992"/>
      <c r="C146" s="1992"/>
      <c r="D146" s="1992"/>
      <c r="E146" s="1992"/>
      <c r="F146" s="1992"/>
      <c r="G146" s="1992"/>
      <c r="H146" s="1992"/>
    </row>
    <row r="147" spans="1:8" x14ac:dyDescent="0.2">
      <c r="A147" s="1992"/>
      <c r="B147" s="1992"/>
      <c r="C147" s="1992"/>
      <c r="D147" s="1992"/>
      <c r="E147" s="1992"/>
      <c r="F147" s="1992"/>
      <c r="G147" s="1992"/>
      <c r="H147" s="1992"/>
    </row>
    <row r="148" spans="1:8" x14ac:dyDescent="0.2">
      <c r="A148" s="1993" t="s">
        <v>1013</v>
      </c>
      <c r="B148" s="1992"/>
      <c r="C148" s="1992"/>
      <c r="D148" s="1992"/>
      <c r="E148" s="1992"/>
      <c r="F148" s="1992"/>
      <c r="G148" s="1992"/>
      <c r="H148" s="1992"/>
    </row>
    <row r="149" spans="1:8" x14ac:dyDescent="0.2">
      <c r="A149" s="1993" t="s">
        <v>1014</v>
      </c>
      <c r="B149" s="1992"/>
      <c r="C149" s="1992"/>
      <c r="D149" s="1992"/>
      <c r="E149" s="1992"/>
      <c r="F149" s="1992"/>
      <c r="G149" s="1992"/>
      <c r="H149" s="1992"/>
    </row>
    <row r="150" spans="1:8" x14ac:dyDescent="0.2">
      <c r="A150" s="1993" t="s">
        <v>1015</v>
      </c>
      <c r="B150" s="1992"/>
      <c r="C150" s="1992"/>
      <c r="D150" s="1992"/>
      <c r="E150" s="1992"/>
      <c r="F150" s="1992"/>
      <c r="G150" s="1992"/>
      <c r="H150" s="1992"/>
    </row>
    <row r="151" spans="1:8" x14ac:dyDescent="0.2">
      <c r="A151" s="1992"/>
      <c r="B151" s="1992"/>
      <c r="C151" s="1992"/>
      <c r="D151" s="1992"/>
      <c r="E151" s="1992"/>
      <c r="F151" s="1992"/>
      <c r="G151" s="1992"/>
      <c r="H151" s="1992"/>
    </row>
    <row r="152" spans="1:8" x14ac:dyDescent="0.2">
      <c r="A152" s="1993" t="s">
        <v>1010</v>
      </c>
      <c r="B152" s="1992"/>
      <c r="C152" s="1992"/>
      <c r="D152" s="1992"/>
      <c r="E152" s="1992"/>
      <c r="F152" s="1992"/>
      <c r="G152" s="1992"/>
      <c r="H152" s="1992"/>
    </row>
    <row r="153" spans="1:8" x14ac:dyDescent="0.2">
      <c r="A153" s="1993" t="s">
        <v>1011</v>
      </c>
      <c r="B153" s="1992"/>
      <c r="C153" s="1992"/>
      <c r="D153" s="1992"/>
      <c r="E153" s="1992"/>
      <c r="F153" s="1992"/>
      <c r="G153" s="1992"/>
      <c r="H153" s="1992"/>
    </row>
    <row r="154" spans="1:8" x14ac:dyDescent="0.2">
      <c r="A154" s="1993" t="s">
        <v>1012</v>
      </c>
      <c r="B154" s="1992"/>
      <c r="C154" s="1992"/>
      <c r="D154" s="1992"/>
      <c r="E154" s="1992"/>
      <c r="F154" s="1992"/>
      <c r="G154" s="1992"/>
      <c r="H154" s="1992"/>
    </row>
    <row r="155" spans="1:8" x14ac:dyDescent="0.2">
      <c r="A155" s="1992"/>
      <c r="B155" s="1992"/>
      <c r="C155" s="1992"/>
      <c r="D155" s="1992"/>
      <c r="E155" s="1992"/>
      <c r="F155" s="1992"/>
      <c r="G155" s="1992"/>
      <c r="H155" s="1992"/>
    </row>
    <row r="156" spans="1:8" x14ac:dyDescent="0.2">
      <c r="A156" s="1993" t="s">
        <v>1007</v>
      </c>
      <c r="B156" s="1992"/>
      <c r="C156" s="1992"/>
      <c r="D156" s="1992"/>
      <c r="E156" s="1992"/>
      <c r="F156" s="1992"/>
      <c r="G156" s="1992"/>
      <c r="H156" s="1992"/>
    </row>
    <row r="157" spans="1:8" x14ac:dyDescent="0.2">
      <c r="A157" s="1993" t="s">
        <v>1008</v>
      </c>
      <c r="B157" s="1992"/>
      <c r="C157" s="1992"/>
      <c r="D157" s="1992"/>
      <c r="E157" s="1992"/>
      <c r="F157" s="1992"/>
      <c r="G157" s="1992"/>
      <c r="H157" s="1992"/>
    </row>
    <row r="158" spans="1:8" x14ac:dyDescent="0.2">
      <c r="A158" s="1993" t="s">
        <v>1009</v>
      </c>
      <c r="B158" s="1992"/>
      <c r="C158" s="1992"/>
      <c r="D158" s="1992"/>
      <c r="E158" s="1992"/>
      <c r="F158" s="1992"/>
      <c r="G158" s="1992"/>
      <c r="H158" s="1992"/>
    </row>
    <row r="159" spans="1:8" x14ac:dyDescent="0.2">
      <c r="A159" s="1992"/>
      <c r="B159" s="1992"/>
      <c r="C159" s="1992"/>
      <c r="D159" s="1992"/>
      <c r="E159" s="1992"/>
      <c r="F159" s="1992"/>
      <c r="G159" s="1992"/>
      <c r="H159" s="1992"/>
    </row>
    <row r="160" spans="1:8" x14ac:dyDescent="0.2">
      <c r="A160" s="1993" t="s">
        <v>1005</v>
      </c>
      <c r="B160" s="1992"/>
      <c r="C160" s="1992"/>
      <c r="D160" s="1992"/>
      <c r="E160" s="1992"/>
      <c r="F160" s="1992"/>
      <c r="G160" s="1992"/>
      <c r="H160" s="1992"/>
    </row>
    <row r="161" spans="1:8" x14ac:dyDescent="0.2">
      <c r="A161" s="1993" t="s">
        <v>1006</v>
      </c>
      <c r="B161" s="1992"/>
      <c r="C161" s="1992"/>
      <c r="D161" s="1992"/>
      <c r="E161" s="1992"/>
      <c r="F161" s="1992"/>
      <c r="G161" s="1992"/>
      <c r="H161" s="1992"/>
    </row>
    <row r="162" spans="1:8" x14ac:dyDescent="0.2">
      <c r="A162" s="1992"/>
      <c r="B162" s="1992"/>
      <c r="C162" s="1992"/>
      <c r="D162" s="1992"/>
      <c r="E162" s="1992"/>
      <c r="F162" s="1992"/>
      <c r="G162" s="1992"/>
      <c r="H162" s="1992"/>
    </row>
    <row r="163" spans="1:8" ht="15.75" x14ac:dyDescent="0.2">
      <c r="A163" s="1994" t="s">
        <v>827</v>
      </c>
      <c r="B163" s="1992"/>
      <c r="C163" s="1992"/>
      <c r="D163" s="1992"/>
      <c r="E163" s="1992"/>
      <c r="F163" s="1992"/>
      <c r="G163" s="1992"/>
      <c r="H163" s="1992"/>
    </row>
    <row r="164" spans="1:8" x14ac:dyDescent="0.2">
      <c r="A164" s="1992"/>
      <c r="B164" s="1992"/>
      <c r="C164" s="1992"/>
      <c r="D164" s="1992"/>
      <c r="E164" s="1992"/>
      <c r="F164" s="1992"/>
      <c r="G164" s="1992"/>
      <c r="H164" s="1992"/>
    </row>
    <row r="165" spans="1:8" x14ac:dyDescent="0.2">
      <c r="A165" s="1993" t="s">
        <v>1003</v>
      </c>
      <c r="B165" s="1992"/>
      <c r="C165" s="1992"/>
      <c r="D165" s="1992"/>
      <c r="E165" s="1992"/>
      <c r="F165" s="1992"/>
      <c r="G165" s="1992"/>
      <c r="H165" s="1992"/>
    </row>
    <row r="166" spans="1:8" x14ac:dyDescent="0.2">
      <c r="A166" s="1993" t="s">
        <v>1004</v>
      </c>
      <c r="B166" s="1992"/>
      <c r="C166" s="1992"/>
      <c r="D166" s="1992"/>
      <c r="E166" s="1992"/>
      <c r="F166" s="1992"/>
      <c r="G166" s="1992"/>
      <c r="H166" s="1992"/>
    </row>
    <row r="167" spans="1:8" x14ac:dyDescent="0.2">
      <c r="A167" s="1992"/>
      <c r="B167" s="1992"/>
      <c r="C167" s="1992"/>
      <c r="D167" s="1992"/>
      <c r="E167" s="1992"/>
      <c r="F167" s="1992"/>
      <c r="G167" s="1992"/>
      <c r="H167" s="1992"/>
    </row>
    <row r="168" spans="1:8" x14ac:dyDescent="0.2">
      <c r="A168" s="1993" t="s">
        <v>1001</v>
      </c>
      <c r="B168" s="1992"/>
      <c r="C168" s="1992"/>
      <c r="D168" s="1992"/>
      <c r="E168" s="1992"/>
      <c r="F168" s="1992"/>
      <c r="G168" s="1992"/>
      <c r="H168" s="1992"/>
    </row>
    <row r="169" spans="1:8" x14ac:dyDescent="0.2">
      <c r="A169" s="1993" t="s">
        <v>1002</v>
      </c>
      <c r="B169" s="1992"/>
      <c r="C169" s="1992"/>
      <c r="D169" s="1992"/>
      <c r="E169" s="1992"/>
      <c r="F169" s="1992"/>
      <c r="G169" s="1992"/>
      <c r="H169" s="1992"/>
    </row>
    <row r="170" spans="1:8" x14ac:dyDescent="0.2">
      <c r="A170" s="1992"/>
      <c r="B170" s="1992"/>
      <c r="C170" s="1992"/>
      <c r="D170" s="1992"/>
      <c r="E170" s="1992"/>
      <c r="F170" s="1992"/>
      <c r="G170" s="1992"/>
      <c r="H170" s="1992"/>
    </row>
    <row r="171" spans="1:8" x14ac:dyDescent="0.2">
      <c r="A171" s="1993" t="s">
        <v>999</v>
      </c>
      <c r="B171" s="1992"/>
      <c r="C171" s="1992"/>
      <c r="D171" s="1992"/>
      <c r="E171" s="1992"/>
      <c r="F171" s="1992"/>
      <c r="G171" s="1992"/>
      <c r="H171" s="1992"/>
    </row>
    <row r="172" spans="1:8" x14ac:dyDescent="0.2">
      <c r="A172" s="1993" t="s">
        <v>1000</v>
      </c>
      <c r="B172" s="1992"/>
      <c r="C172" s="1992"/>
      <c r="D172" s="1992"/>
      <c r="E172" s="1992"/>
      <c r="F172" s="1992"/>
      <c r="G172" s="1992"/>
      <c r="H172" s="1992"/>
    </row>
    <row r="173" spans="1:8" x14ac:dyDescent="0.2">
      <c r="A173" s="1992"/>
      <c r="B173" s="1992"/>
      <c r="C173" s="1992"/>
      <c r="D173" s="1992"/>
      <c r="E173" s="1992"/>
      <c r="F173" s="1992"/>
      <c r="G173" s="1992"/>
      <c r="H173" s="1992"/>
    </row>
    <row r="174" spans="1:8" x14ac:dyDescent="0.2">
      <c r="A174" s="1993" t="s">
        <v>996</v>
      </c>
      <c r="B174" s="1992"/>
      <c r="C174" s="1992"/>
      <c r="D174" s="1992"/>
      <c r="E174" s="1992"/>
      <c r="F174" s="1992"/>
      <c r="G174" s="1992"/>
      <c r="H174" s="1992"/>
    </row>
    <row r="175" spans="1:8" x14ac:dyDescent="0.2">
      <c r="A175" s="1993" t="s">
        <v>997</v>
      </c>
      <c r="B175" s="1992"/>
      <c r="C175" s="1992"/>
      <c r="D175" s="1992"/>
      <c r="E175" s="1992"/>
      <c r="F175" s="1992"/>
      <c r="G175" s="1992"/>
      <c r="H175" s="1992"/>
    </row>
    <row r="176" spans="1:8" x14ac:dyDescent="0.2">
      <c r="A176" s="1993" t="s">
        <v>998</v>
      </c>
      <c r="B176" s="1992"/>
      <c r="C176" s="1992"/>
      <c r="D176" s="1992"/>
      <c r="E176" s="1992"/>
      <c r="F176" s="1992"/>
      <c r="G176" s="1992"/>
      <c r="H176" s="1992"/>
    </row>
    <row r="177" spans="1:8" x14ac:dyDescent="0.2">
      <c r="A177" s="1992"/>
      <c r="B177" s="1992"/>
      <c r="C177" s="1992"/>
      <c r="D177" s="1992"/>
      <c r="E177" s="1992"/>
      <c r="F177" s="1992"/>
      <c r="G177" s="1992"/>
      <c r="H177" s="1992"/>
    </row>
    <row r="178" spans="1:8" x14ac:dyDescent="0.2">
      <c r="A178" s="1992"/>
      <c r="B178" s="1992"/>
      <c r="C178" s="1992"/>
      <c r="D178" s="1992"/>
      <c r="E178" s="1992"/>
      <c r="F178" s="1992"/>
      <c r="G178" s="1992"/>
      <c r="H178" s="1992"/>
    </row>
    <row r="179" spans="1:8" x14ac:dyDescent="0.2">
      <c r="A179" s="1993" t="s">
        <v>828</v>
      </c>
      <c r="B179" s="1992"/>
      <c r="C179" s="1992"/>
      <c r="D179" s="1992"/>
      <c r="E179" s="1992"/>
      <c r="F179" s="1992"/>
      <c r="G179" s="1992"/>
      <c r="H179" s="1992"/>
    </row>
    <row r="180" spans="1:8" x14ac:dyDescent="0.2">
      <c r="A180" s="1992"/>
      <c r="B180" s="1992"/>
      <c r="C180" s="1992"/>
      <c r="D180" s="1992"/>
      <c r="E180" s="1992"/>
      <c r="F180" s="1992"/>
      <c r="G180" s="1992"/>
      <c r="H180" s="1992"/>
    </row>
    <row r="181" spans="1:8" ht="15.75" x14ac:dyDescent="0.2">
      <c r="A181" s="1994" t="s">
        <v>829</v>
      </c>
      <c r="B181" s="1992"/>
      <c r="C181" s="1992"/>
      <c r="D181" s="1992"/>
      <c r="E181" s="1992"/>
      <c r="F181" s="1992"/>
      <c r="G181" s="1992"/>
      <c r="H181" s="1992"/>
    </row>
    <row r="182" spans="1:8" x14ac:dyDescent="0.2">
      <c r="A182" s="1992"/>
      <c r="B182" s="1992"/>
      <c r="C182" s="1992"/>
      <c r="D182" s="1992"/>
      <c r="E182" s="1992"/>
      <c r="F182" s="1992"/>
      <c r="G182" s="1992"/>
      <c r="H182" s="1992"/>
    </row>
    <row r="183" spans="1:8" x14ac:dyDescent="0.2">
      <c r="A183" s="1992"/>
      <c r="B183" s="1992"/>
      <c r="C183" s="1992"/>
      <c r="D183" s="1992"/>
      <c r="E183" s="1992"/>
      <c r="F183" s="1992"/>
      <c r="G183" s="1992"/>
      <c r="H183" s="1992"/>
    </row>
    <row r="184" spans="1:8" x14ac:dyDescent="0.2">
      <c r="A184" s="1992"/>
      <c r="B184" s="1992"/>
      <c r="C184" s="1992"/>
      <c r="D184" s="1992"/>
      <c r="E184" s="1992"/>
      <c r="F184" s="1992"/>
      <c r="G184" s="1992"/>
      <c r="H184" s="1992"/>
    </row>
    <row r="185" spans="1:8" x14ac:dyDescent="0.2">
      <c r="A185" s="1992"/>
      <c r="B185" s="1992"/>
      <c r="C185" s="1992"/>
      <c r="D185" s="1992"/>
      <c r="E185" s="1992"/>
      <c r="F185" s="1992"/>
      <c r="G185" s="1992"/>
      <c r="H185" s="1992"/>
    </row>
    <row r="186" spans="1:8" x14ac:dyDescent="0.2">
      <c r="A186" s="1992"/>
      <c r="B186" s="1992"/>
      <c r="C186" s="1992"/>
      <c r="D186" s="1992"/>
      <c r="E186" s="1992"/>
      <c r="F186" s="1992"/>
      <c r="G186" s="1992"/>
      <c r="H186" s="1992"/>
    </row>
    <row r="187" spans="1:8" x14ac:dyDescent="0.2">
      <c r="A187" s="1992"/>
      <c r="B187" s="1992"/>
      <c r="C187" s="1992"/>
      <c r="D187" s="1992"/>
      <c r="E187" s="1992"/>
      <c r="F187" s="1992"/>
      <c r="G187" s="1992"/>
      <c r="H187" s="1992"/>
    </row>
    <row r="188" spans="1:8" x14ac:dyDescent="0.2">
      <c r="A188" s="1992"/>
      <c r="B188" s="1992"/>
      <c r="C188" s="1992"/>
      <c r="D188" s="1992"/>
      <c r="E188" s="1992"/>
      <c r="F188" s="1992"/>
      <c r="G188" s="1992"/>
      <c r="H188" s="1992"/>
    </row>
    <row r="189" spans="1:8" x14ac:dyDescent="0.2">
      <c r="A189" s="1992"/>
      <c r="B189" s="1992"/>
      <c r="C189" s="1992"/>
      <c r="D189" s="1992"/>
      <c r="E189" s="1992"/>
      <c r="F189" s="1992"/>
      <c r="G189" s="1992"/>
      <c r="H189" s="1992"/>
    </row>
    <row r="190" spans="1:8" x14ac:dyDescent="0.2">
      <c r="A190" s="1992"/>
      <c r="B190" s="1992"/>
      <c r="C190" s="1992"/>
      <c r="D190" s="1992"/>
      <c r="E190" s="1992"/>
      <c r="F190" s="1992"/>
      <c r="G190" s="1992"/>
      <c r="H190" s="1992"/>
    </row>
    <row r="191" spans="1:8" x14ac:dyDescent="0.2">
      <c r="A191" s="1992"/>
      <c r="B191" s="1992"/>
      <c r="C191" s="1992"/>
      <c r="D191" s="1992"/>
      <c r="E191" s="1992"/>
      <c r="F191" s="1992"/>
      <c r="G191" s="1992"/>
      <c r="H191" s="1992"/>
    </row>
    <row r="192" spans="1:8" x14ac:dyDescent="0.2">
      <c r="A192" s="1992"/>
      <c r="B192" s="1992"/>
      <c r="C192" s="1992"/>
      <c r="D192" s="1992"/>
      <c r="E192" s="1992"/>
      <c r="F192" s="1992"/>
      <c r="G192" s="1992"/>
      <c r="H192" s="1992"/>
    </row>
    <row r="193" spans="1:8" x14ac:dyDescent="0.2">
      <c r="A193" s="1992"/>
      <c r="B193" s="1992"/>
      <c r="C193" s="1992"/>
      <c r="D193" s="1992"/>
      <c r="E193" s="1992"/>
      <c r="F193" s="1992"/>
      <c r="G193" s="1992"/>
      <c r="H193" s="1992"/>
    </row>
    <row r="194" spans="1:8" x14ac:dyDescent="0.2">
      <c r="A194" s="1992"/>
      <c r="B194" s="1992"/>
      <c r="C194" s="1992"/>
      <c r="D194" s="1992"/>
      <c r="E194" s="1992"/>
      <c r="F194" s="1992"/>
      <c r="G194" s="1992"/>
      <c r="H194" s="1992"/>
    </row>
    <row r="195" spans="1:8" x14ac:dyDescent="0.2">
      <c r="A195" s="1992"/>
      <c r="B195" s="1992"/>
      <c r="C195" s="1992"/>
      <c r="D195" s="1992"/>
      <c r="E195" s="1992"/>
      <c r="F195" s="1992"/>
      <c r="G195" s="1992"/>
      <c r="H195" s="1992"/>
    </row>
    <row r="196" spans="1:8" x14ac:dyDescent="0.2">
      <c r="A196" s="1992"/>
      <c r="B196" s="1992"/>
      <c r="C196" s="1992"/>
      <c r="D196" s="1992"/>
      <c r="E196" s="1992"/>
      <c r="F196" s="1992"/>
      <c r="G196" s="1992"/>
      <c r="H196" s="1992"/>
    </row>
    <row r="197" spans="1:8" x14ac:dyDescent="0.2">
      <c r="A197" s="1992"/>
      <c r="B197" s="1992"/>
      <c r="C197" s="1992"/>
      <c r="D197" s="1992"/>
      <c r="E197" s="1992"/>
      <c r="F197" s="1992"/>
      <c r="G197" s="1992"/>
      <c r="H197" s="1992"/>
    </row>
    <row r="198" spans="1:8" x14ac:dyDescent="0.2">
      <c r="A198" s="1992"/>
      <c r="B198" s="1992"/>
      <c r="C198" s="1992"/>
      <c r="D198" s="1992"/>
      <c r="E198" s="1992"/>
      <c r="F198" s="1992"/>
      <c r="G198" s="1992"/>
      <c r="H198" s="1992"/>
    </row>
    <row r="199" spans="1:8" x14ac:dyDescent="0.2">
      <c r="A199" s="1992"/>
      <c r="B199" s="1992"/>
      <c r="C199" s="1992"/>
      <c r="D199" s="1992"/>
      <c r="E199" s="1992"/>
      <c r="F199" s="1992"/>
      <c r="G199" s="1992"/>
      <c r="H199" s="1992"/>
    </row>
    <row r="200" spans="1:8" x14ac:dyDescent="0.2">
      <c r="A200" s="1992"/>
      <c r="B200" s="1992"/>
      <c r="C200" s="1992"/>
      <c r="D200" s="1992"/>
      <c r="E200" s="1992"/>
      <c r="F200" s="1992"/>
      <c r="G200" s="1992"/>
      <c r="H200" s="1992"/>
    </row>
    <row r="201" spans="1:8" x14ac:dyDescent="0.2">
      <c r="A201" s="1992"/>
      <c r="B201" s="1992"/>
      <c r="C201" s="1992"/>
      <c r="D201" s="1992"/>
      <c r="E201" s="1992"/>
      <c r="F201" s="1992"/>
      <c r="G201" s="1992"/>
      <c r="H201" s="1992"/>
    </row>
    <row r="202" spans="1:8" x14ac:dyDescent="0.2">
      <c r="A202" s="1992"/>
      <c r="B202" s="1992"/>
      <c r="C202" s="1992"/>
      <c r="D202" s="1992"/>
      <c r="E202" s="1992"/>
      <c r="F202" s="1992"/>
      <c r="G202" s="1992"/>
      <c r="H202" s="1992"/>
    </row>
    <row r="203" spans="1:8" x14ac:dyDescent="0.2">
      <c r="A203" s="1992"/>
      <c r="B203" s="1992"/>
      <c r="C203" s="1992"/>
      <c r="D203" s="1992"/>
      <c r="E203" s="1992"/>
      <c r="F203" s="1992"/>
      <c r="G203" s="1992"/>
      <c r="H203" s="1992"/>
    </row>
    <row r="204" spans="1:8" x14ac:dyDescent="0.2">
      <c r="A204" s="1992"/>
      <c r="B204" s="1992"/>
      <c r="C204" s="1992"/>
      <c r="D204" s="1992"/>
      <c r="E204" s="1992"/>
      <c r="F204" s="1992"/>
      <c r="G204" s="1992"/>
      <c r="H204" s="1992"/>
    </row>
    <row r="205" spans="1:8" x14ac:dyDescent="0.2">
      <c r="A205" s="1992"/>
      <c r="B205" s="1992"/>
      <c r="C205" s="1992"/>
      <c r="D205" s="1992"/>
      <c r="E205" s="1992"/>
      <c r="F205" s="1992"/>
      <c r="G205" s="1992"/>
      <c r="H205" s="1992"/>
    </row>
    <row r="206" spans="1:8" x14ac:dyDescent="0.2">
      <c r="A206" s="1992"/>
      <c r="B206" s="1992"/>
      <c r="C206" s="1992"/>
      <c r="D206" s="1992"/>
      <c r="E206" s="1992"/>
      <c r="F206" s="1992"/>
      <c r="G206" s="1992"/>
      <c r="H206" s="1992"/>
    </row>
    <row r="207" spans="1:8" x14ac:dyDescent="0.2">
      <c r="A207" s="1992"/>
      <c r="B207" s="1992"/>
      <c r="C207" s="1992"/>
      <c r="D207" s="1992"/>
      <c r="E207" s="1992"/>
      <c r="F207" s="1992"/>
      <c r="G207" s="1992"/>
      <c r="H207" s="1992"/>
    </row>
    <row r="208" spans="1:8" ht="15.75" x14ac:dyDescent="0.2">
      <c r="A208" s="1994" t="s">
        <v>830</v>
      </c>
      <c r="B208" s="1992"/>
      <c r="C208" s="1992"/>
      <c r="D208" s="1992"/>
      <c r="E208" s="1992"/>
      <c r="F208" s="1992"/>
      <c r="G208" s="1992"/>
      <c r="H208" s="1992"/>
    </row>
    <row r="209" spans="1:8" x14ac:dyDescent="0.2">
      <c r="A209" s="1992"/>
      <c r="B209" s="1992"/>
      <c r="C209" s="1992"/>
      <c r="D209" s="1992"/>
      <c r="E209" s="1992"/>
      <c r="F209" s="1992"/>
      <c r="G209" s="1992"/>
      <c r="H209" s="1992"/>
    </row>
    <row r="210" spans="1:8" x14ac:dyDescent="0.2">
      <c r="A210" s="1993" t="s">
        <v>991</v>
      </c>
      <c r="B210" s="1992"/>
      <c r="C210" s="1992"/>
      <c r="D210" s="1992"/>
      <c r="E210" s="1992"/>
      <c r="F210" s="1992"/>
      <c r="G210" s="1992"/>
      <c r="H210" s="1992"/>
    </row>
    <row r="211" spans="1:8" x14ac:dyDescent="0.2">
      <c r="A211" s="1993" t="s">
        <v>992</v>
      </c>
      <c r="B211" s="1992"/>
      <c r="C211" s="1992"/>
      <c r="D211" s="1992"/>
      <c r="E211" s="1992"/>
      <c r="F211" s="1992"/>
      <c r="G211" s="1992"/>
      <c r="H211" s="1992"/>
    </row>
    <row r="212" spans="1:8" x14ac:dyDescent="0.2">
      <c r="A212" s="1993" t="s">
        <v>993</v>
      </c>
      <c r="B212" s="1992"/>
      <c r="C212" s="1992"/>
      <c r="D212" s="1992"/>
      <c r="E212" s="1992"/>
      <c r="F212" s="1992"/>
      <c r="G212" s="1992"/>
      <c r="H212" s="1992"/>
    </row>
    <row r="213" spans="1:8" x14ac:dyDescent="0.2">
      <c r="A213" s="1993" t="s">
        <v>994</v>
      </c>
      <c r="B213" s="1992"/>
      <c r="C213" s="1992"/>
      <c r="D213" s="1992"/>
      <c r="E213" s="1992"/>
      <c r="F213" s="1992"/>
      <c r="G213" s="1992"/>
      <c r="H213" s="1992"/>
    </row>
    <row r="214" spans="1:8" x14ac:dyDescent="0.2">
      <c r="A214" s="1993" t="s">
        <v>995</v>
      </c>
      <c r="B214" s="1992"/>
      <c r="C214" s="1992"/>
      <c r="D214" s="1992"/>
      <c r="E214" s="1992"/>
      <c r="F214" s="1992"/>
      <c r="G214" s="1992"/>
      <c r="H214" s="1992"/>
    </row>
    <row r="215" spans="1:8" x14ac:dyDescent="0.2">
      <c r="A215" s="1992"/>
      <c r="B215" s="1992"/>
      <c r="C215" s="1992"/>
      <c r="D215" s="1992"/>
      <c r="E215" s="1992"/>
      <c r="F215" s="1992"/>
      <c r="G215" s="1992"/>
      <c r="H215" s="1992"/>
    </row>
    <row r="216" spans="1:8" x14ac:dyDescent="0.2">
      <c r="A216" s="1993" t="s">
        <v>988</v>
      </c>
      <c r="B216" s="1992"/>
      <c r="C216" s="1992"/>
      <c r="D216" s="1992"/>
      <c r="E216" s="1992"/>
      <c r="F216" s="1992"/>
      <c r="G216" s="1992"/>
      <c r="H216" s="1992"/>
    </row>
    <row r="217" spans="1:8" x14ac:dyDescent="0.2">
      <c r="A217" s="1993" t="s">
        <v>989</v>
      </c>
      <c r="B217" s="1992"/>
      <c r="C217" s="1992"/>
      <c r="D217" s="1992"/>
      <c r="E217" s="1992"/>
      <c r="F217" s="1992"/>
      <c r="G217" s="1992"/>
      <c r="H217" s="1992"/>
    </row>
    <row r="218" spans="1:8" x14ac:dyDescent="0.2">
      <c r="A218" s="1993" t="s">
        <v>990</v>
      </c>
      <c r="B218" s="1992"/>
      <c r="C218" s="1992"/>
      <c r="D218" s="1992"/>
      <c r="E218" s="1992"/>
      <c r="F218" s="1992"/>
      <c r="G218" s="1992"/>
      <c r="H218" s="1992"/>
    </row>
    <row r="219" spans="1:8" ht="15.75" x14ac:dyDescent="0.2">
      <c r="A219" s="1994" t="s">
        <v>831</v>
      </c>
      <c r="B219" s="1992"/>
      <c r="C219" s="1992"/>
      <c r="D219" s="1992"/>
      <c r="E219" s="1992"/>
      <c r="F219" s="1992"/>
      <c r="G219" s="1992"/>
      <c r="H219" s="1992"/>
    </row>
    <row r="220" spans="1:8" x14ac:dyDescent="0.2">
      <c r="A220" s="1992"/>
      <c r="B220" s="1992"/>
      <c r="C220" s="1992"/>
      <c r="D220" s="1992"/>
      <c r="E220" s="1992"/>
      <c r="F220" s="1992"/>
      <c r="G220" s="1992"/>
      <c r="H220" s="1992"/>
    </row>
    <row r="221" spans="1:8" x14ac:dyDescent="0.2">
      <c r="A221" s="1993" t="s">
        <v>986</v>
      </c>
      <c r="B221" s="1992"/>
      <c r="C221" s="1992"/>
      <c r="D221" s="1992"/>
      <c r="E221" s="1992"/>
      <c r="F221" s="1992"/>
      <c r="G221" s="1992"/>
      <c r="H221" s="1992"/>
    </row>
    <row r="222" spans="1:8" x14ac:dyDescent="0.2">
      <c r="A222" s="1993" t="s">
        <v>987</v>
      </c>
      <c r="B222" s="1992"/>
      <c r="C222" s="1992"/>
      <c r="D222" s="1992"/>
      <c r="E222" s="1992"/>
      <c r="F222" s="1992"/>
      <c r="G222" s="1992"/>
      <c r="H222" s="1992"/>
    </row>
    <row r="223" spans="1:8" x14ac:dyDescent="0.2">
      <c r="A223" s="1992"/>
      <c r="B223" s="1992"/>
      <c r="C223" s="1992"/>
      <c r="D223" s="1992"/>
      <c r="E223" s="1992"/>
      <c r="F223" s="1992"/>
      <c r="G223" s="1992"/>
      <c r="H223" s="1992"/>
    </row>
    <row r="224" spans="1:8" x14ac:dyDescent="0.2">
      <c r="A224" s="1993" t="s">
        <v>979</v>
      </c>
      <c r="B224" s="1992"/>
      <c r="C224" s="1992"/>
      <c r="D224" s="1992"/>
      <c r="E224" s="1992"/>
      <c r="F224" s="1992"/>
      <c r="G224" s="1992"/>
      <c r="H224" s="1992"/>
    </row>
    <row r="225" spans="1:8" x14ac:dyDescent="0.2">
      <c r="A225" s="1993" t="s">
        <v>980</v>
      </c>
      <c r="B225" s="1992"/>
      <c r="C225" s="1992"/>
      <c r="D225" s="1992"/>
      <c r="E225" s="1992"/>
      <c r="F225" s="1992"/>
      <c r="G225" s="1992"/>
      <c r="H225" s="1992"/>
    </row>
    <row r="226" spans="1:8" x14ac:dyDescent="0.2">
      <c r="A226" s="1993" t="s">
        <v>981</v>
      </c>
      <c r="B226" s="1992"/>
      <c r="C226" s="1992"/>
      <c r="D226" s="1992"/>
      <c r="E226" s="1992"/>
      <c r="F226" s="1992"/>
      <c r="G226" s="1992"/>
      <c r="H226" s="1992"/>
    </row>
    <row r="227" spans="1:8" x14ac:dyDescent="0.2">
      <c r="A227" s="1993" t="s">
        <v>982</v>
      </c>
      <c r="B227" s="1992"/>
      <c r="C227" s="1992"/>
      <c r="D227" s="1992"/>
      <c r="E227" s="1992"/>
      <c r="F227" s="1992"/>
      <c r="G227" s="1992"/>
      <c r="H227" s="1992"/>
    </row>
    <row r="228" spans="1:8" x14ac:dyDescent="0.2">
      <c r="A228" s="1993" t="s">
        <v>983</v>
      </c>
      <c r="B228" s="1992"/>
      <c r="C228" s="1992"/>
      <c r="D228" s="1992"/>
      <c r="E228" s="1992"/>
      <c r="F228" s="1992"/>
      <c r="G228" s="1992"/>
      <c r="H228" s="1992"/>
    </row>
    <row r="229" spans="1:8" x14ac:dyDescent="0.2">
      <c r="A229" s="1993" t="s">
        <v>984</v>
      </c>
      <c r="B229" s="1992"/>
      <c r="C229" s="1992"/>
      <c r="D229" s="1992"/>
      <c r="E229" s="1992"/>
      <c r="F229" s="1992"/>
      <c r="G229" s="1992"/>
      <c r="H229" s="1992"/>
    </row>
    <row r="230" spans="1:8" x14ac:dyDescent="0.2">
      <c r="A230" s="1993" t="s">
        <v>985</v>
      </c>
      <c r="B230" s="1992"/>
      <c r="C230" s="1992"/>
      <c r="D230" s="1992"/>
      <c r="E230" s="1992"/>
      <c r="F230" s="1992"/>
      <c r="G230" s="1992"/>
      <c r="H230" s="1992"/>
    </row>
    <row r="231" spans="1:8" x14ac:dyDescent="0.2">
      <c r="A231" s="1992"/>
      <c r="B231" s="1992"/>
      <c r="C231" s="1992"/>
      <c r="D231" s="1992"/>
      <c r="E231" s="1992"/>
      <c r="F231" s="1992"/>
      <c r="G231" s="1992"/>
      <c r="H231" s="1992"/>
    </row>
    <row r="232" spans="1:8" x14ac:dyDescent="0.2">
      <c r="A232" s="1993" t="s">
        <v>976</v>
      </c>
      <c r="B232" s="1992"/>
      <c r="C232" s="1992"/>
      <c r="D232" s="1992"/>
      <c r="E232" s="1992"/>
      <c r="F232" s="1992"/>
      <c r="G232" s="1992"/>
      <c r="H232" s="1992"/>
    </row>
    <row r="233" spans="1:8" x14ac:dyDescent="0.2">
      <c r="A233" s="1993" t="s">
        <v>977</v>
      </c>
      <c r="B233" s="1992"/>
      <c r="C233" s="1992"/>
      <c r="D233" s="1992"/>
      <c r="E233" s="1992"/>
      <c r="F233" s="1992"/>
      <c r="G233" s="1992"/>
      <c r="H233" s="1992"/>
    </row>
    <row r="234" spans="1:8" x14ac:dyDescent="0.2">
      <c r="A234" s="1993" t="s">
        <v>978</v>
      </c>
      <c r="B234" s="1992"/>
      <c r="C234" s="1992"/>
      <c r="D234" s="1992"/>
      <c r="E234" s="1992"/>
      <c r="F234" s="1992"/>
      <c r="G234" s="1992"/>
      <c r="H234" s="1992"/>
    </row>
    <row r="235" spans="1:8" x14ac:dyDescent="0.2">
      <c r="A235" s="1992"/>
      <c r="B235" s="1992"/>
      <c r="C235" s="1992"/>
      <c r="D235" s="1992"/>
      <c r="E235" s="1992"/>
      <c r="F235" s="1992"/>
      <c r="G235" s="1992"/>
      <c r="H235" s="1992"/>
    </row>
    <row r="236" spans="1:8" x14ac:dyDescent="0.2">
      <c r="A236" s="1993" t="s">
        <v>971</v>
      </c>
      <c r="B236" s="1992"/>
      <c r="C236" s="1992"/>
      <c r="D236" s="1992"/>
      <c r="E236" s="1992"/>
      <c r="F236" s="1992"/>
      <c r="G236" s="1992"/>
      <c r="H236" s="1992"/>
    </row>
    <row r="237" spans="1:8" x14ac:dyDescent="0.2">
      <c r="A237" s="1993" t="s">
        <v>972</v>
      </c>
      <c r="B237" s="1992"/>
      <c r="C237" s="1992"/>
      <c r="D237" s="1992"/>
      <c r="E237" s="1992"/>
      <c r="F237" s="1992"/>
      <c r="G237" s="1992"/>
      <c r="H237" s="1992"/>
    </row>
    <row r="238" spans="1:8" x14ac:dyDescent="0.2">
      <c r="A238" s="1993" t="s">
        <v>973</v>
      </c>
      <c r="B238" s="1992"/>
      <c r="C238" s="1992"/>
      <c r="D238" s="1992"/>
      <c r="E238" s="1992"/>
      <c r="F238" s="1992"/>
      <c r="G238" s="1992"/>
      <c r="H238" s="1992"/>
    </row>
    <row r="239" spans="1:8" x14ac:dyDescent="0.2">
      <c r="A239" s="1993" t="s">
        <v>974</v>
      </c>
      <c r="B239" s="1992"/>
      <c r="C239" s="1992"/>
      <c r="D239" s="1992"/>
      <c r="E239" s="1992"/>
      <c r="F239" s="1992"/>
      <c r="G239" s="1992"/>
      <c r="H239" s="1992"/>
    </row>
    <row r="240" spans="1:8" x14ac:dyDescent="0.2">
      <c r="A240" s="1993" t="s">
        <v>975</v>
      </c>
      <c r="B240" s="1992"/>
      <c r="C240" s="1992"/>
      <c r="D240" s="1992"/>
      <c r="E240" s="1992"/>
      <c r="F240" s="1992"/>
      <c r="G240" s="1992"/>
      <c r="H240" s="1992"/>
    </row>
    <row r="241" spans="1:8" x14ac:dyDescent="0.2">
      <c r="A241" s="1992"/>
      <c r="B241" s="1992"/>
      <c r="C241" s="1992"/>
      <c r="D241" s="1992"/>
      <c r="E241" s="1992"/>
      <c r="F241" s="1992"/>
      <c r="G241" s="1992"/>
      <c r="H241" s="1992"/>
    </row>
    <row r="242" spans="1:8" x14ac:dyDescent="0.2">
      <c r="A242" s="1993" t="s">
        <v>965</v>
      </c>
      <c r="B242" s="1992"/>
      <c r="C242" s="1992"/>
      <c r="D242" s="1992"/>
      <c r="E242" s="1992"/>
      <c r="F242" s="1992"/>
      <c r="G242" s="1992"/>
      <c r="H242" s="1992"/>
    </row>
    <row r="243" spans="1:8" x14ac:dyDescent="0.2">
      <c r="A243" s="1993" t="s">
        <v>966</v>
      </c>
      <c r="B243" s="1992"/>
      <c r="C243" s="1992"/>
      <c r="D243" s="1992"/>
      <c r="E243" s="1992"/>
      <c r="F243" s="1992"/>
      <c r="G243" s="1992"/>
      <c r="H243" s="1992"/>
    </row>
    <row r="244" spans="1:8" x14ac:dyDescent="0.2">
      <c r="A244" s="1993" t="s">
        <v>967</v>
      </c>
      <c r="B244" s="1992"/>
      <c r="C244" s="1992"/>
      <c r="D244" s="1992"/>
      <c r="E244" s="1992"/>
      <c r="F244" s="1992"/>
      <c r="G244" s="1992"/>
      <c r="H244" s="1992"/>
    </row>
    <row r="245" spans="1:8" x14ac:dyDescent="0.2">
      <c r="A245" s="1993" t="s">
        <v>968</v>
      </c>
      <c r="B245" s="1992"/>
      <c r="C245" s="1992"/>
      <c r="D245" s="1992"/>
      <c r="E245" s="1992"/>
      <c r="F245" s="1992"/>
      <c r="G245" s="1992"/>
      <c r="H245" s="1992"/>
    </row>
    <row r="246" spans="1:8" x14ac:dyDescent="0.2">
      <c r="A246" s="1993" t="s">
        <v>969</v>
      </c>
      <c r="B246" s="1992"/>
      <c r="C246" s="1992"/>
      <c r="D246" s="1992"/>
      <c r="E246" s="1992"/>
      <c r="F246" s="1992"/>
      <c r="G246" s="1992"/>
      <c r="H246" s="1992"/>
    </row>
    <row r="247" spans="1:8" x14ac:dyDescent="0.2">
      <c r="A247" s="1993" t="s">
        <v>970</v>
      </c>
      <c r="B247" s="1992"/>
      <c r="C247" s="1992"/>
      <c r="D247" s="1992"/>
      <c r="E247" s="1992"/>
      <c r="F247" s="1992"/>
      <c r="G247" s="1992"/>
      <c r="H247" s="1992"/>
    </row>
    <row r="248" spans="1:8" x14ac:dyDescent="0.2">
      <c r="A248" s="1992"/>
      <c r="B248" s="1992"/>
      <c r="C248" s="1992"/>
      <c r="D248" s="1992"/>
      <c r="E248" s="1992"/>
      <c r="F248" s="1992"/>
      <c r="G248" s="1992"/>
      <c r="H248" s="1992"/>
    </row>
    <row r="249" spans="1:8" x14ac:dyDescent="0.2">
      <c r="A249" s="1993" t="s">
        <v>955</v>
      </c>
      <c r="B249" s="1992"/>
      <c r="C249" s="1992"/>
      <c r="D249" s="1992"/>
      <c r="E249" s="1992"/>
      <c r="F249" s="1992"/>
      <c r="G249" s="1992"/>
      <c r="H249" s="1992"/>
    </row>
    <row r="250" spans="1:8" x14ac:dyDescent="0.2">
      <c r="A250" s="1993" t="s">
        <v>956</v>
      </c>
      <c r="B250" s="1992"/>
      <c r="C250" s="1992"/>
      <c r="D250" s="1992"/>
      <c r="E250" s="1992"/>
      <c r="F250" s="1992"/>
      <c r="G250" s="1992"/>
      <c r="H250" s="1992"/>
    </row>
    <row r="251" spans="1:8" x14ac:dyDescent="0.2">
      <c r="A251" s="1993" t="s">
        <v>957</v>
      </c>
      <c r="B251" s="1992"/>
      <c r="C251" s="1992"/>
      <c r="D251" s="1992"/>
      <c r="E251" s="1992"/>
      <c r="F251" s="1992"/>
      <c r="G251" s="1992"/>
      <c r="H251" s="1992"/>
    </row>
    <row r="252" spans="1:8" x14ac:dyDescent="0.2">
      <c r="A252" s="1993" t="s">
        <v>958</v>
      </c>
      <c r="B252" s="1992"/>
      <c r="C252" s="1992"/>
      <c r="D252" s="1992"/>
      <c r="E252" s="1992"/>
      <c r="F252" s="1992"/>
      <c r="G252" s="1992"/>
      <c r="H252" s="1992"/>
    </row>
    <row r="253" spans="1:8" x14ac:dyDescent="0.2">
      <c r="A253" s="1993" t="s">
        <v>959</v>
      </c>
      <c r="B253" s="1992"/>
      <c r="C253" s="1992"/>
      <c r="D253" s="1992"/>
      <c r="E253" s="1992"/>
      <c r="F253" s="1992"/>
      <c r="G253" s="1992"/>
      <c r="H253" s="1992"/>
    </row>
    <row r="254" spans="1:8" x14ac:dyDescent="0.2">
      <c r="A254" s="1993" t="s">
        <v>960</v>
      </c>
      <c r="B254" s="1992"/>
      <c r="C254" s="1992"/>
      <c r="D254" s="1992"/>
      <c r="E254" s="1992"/>
      <c r="F254" s="1992"/>
      <c r="G254" s="1992"/>
      <c r="H254" s="1992"/>
    </row>
    <row r="255" spans="1:8" x14ac:dyDescent="0.2">
      <c r="A255" s="1993" t="s">
        <v>961</v>
      </c>
      <c r="B255" s="1992"/>
      <c r="C255" s="1992"/>
      <c r="D255" s="1992"/>
      <c r="E255" s="1992"/>
      <c r="F255" s="1992"/>
      <c r="G255" s="1992"/>
      <c r="H255" s="1992"/>
    </row>
    <row r="256" spans="1:8" x14ac:dyDescent="0.2">
      <c r="A256" s="1993" t="s">
        <v>962</v>
      </c>
      <c r="B256" s="1992"/>
      <c r="C256" s="1992"/>
      <c r="D256" s="1992"/>
      <c r="E256" s="1992"/>
      <c r="F256" s="1992"/>
      <c r="G256" s="1992"/>
      <c r="H256" s="1992"/>
    </row>
    <row r="257" spans="1:8" x14ac:dyDescent="0.2">
      <c r="A257" s="1993" t="s">
        <v>963</v>
      </c>
      <c r="B257" s="1992"/>
      <c r="C257" s="1992"/>
      <c r="D257" s="1992"/>
      <c r="E257" s="1992"/>
      <c r="F257" s="1992"/>
      <c r="G257" s="1992"/>
      <c r="H257" s="1992"/>
    </row>
    <row r="258" spans="1:8" x14ac:dyDescent="0.2">
      <c r="A258" s="1993" t="s">
        <v>964</v>
      </c>
      <c r="B258" s="1992"/>
      <c r="C258" s="1992"/>
      <c r="D258" s="1992"/>
      <c r="E258" s="1992"/>
      <c r="F258" s="1992"/>
      <c r="G258" s="1992"/>
      <c r="H258" s="1992"/>
    </row>
    <row r="259" spans="1:8" x14ac:dyDescent="0.2">
      <c r="A259" s="1992"/>
      <c r="B259" s="1992"/>
      <c r="C259" s="1992"/>
      <c r="D259" s="1992"/>
      <c r="E259" s="1992"/>
      <c r="F259" s="1992"/>
      <c r="G259" s="1992"/>
      <c r="H259" s="1992"/>
    </row>
    <row r="260" spans="1:8" x14ac:dyDescent="0.2">
      <c r="A260" s="1993" t="s">
        <v>953</v>
      </c>
      <c r="B260" s="1992"/>
      <c r="C260" s="1992"/>
      <c r="D260" s="1992"/>
      <c r="E260" s="1992"/>
      <c r="F260" s="1992"/>
      <c r="G260" s="1992"/>
      <c r="H260" s="1992"/>
    </row>
    <row r="261" spans="1:8" x14ac:dyDescent="0.2">
      <c r="A261" s="1993" t="s">
        <v>954</v>
      </c>
      <c r="B261" s="1992"/>
      <c r="C261" s="1992"/>
      <c r="D261" s="1992"/>
      <c r="E261" s="1992"/>
      <c r="F261" s="1992"/>
      <c r="G261" s="1992"/>
      <c r="H261" s="1992"/>
    </row>
    <row r="262" spans="1:8" x14ac:dyDescent="0.2">
      <c r="A262" s="1992"/>
      <c r="B262" s="1992"/>
      <c r="C262" s="1992"/>
      <c r="D262" s="1992"/>
      <c r="E262" s="1992"/>
      <c r="F262" s="1992"/>
      <c r="G262" s="1992"/>
      <c r="H262" s="1992"/>
    </row>
    <row r="263" spans="1:8" x14ac:dyDescent="0.2">
      <c r="A263" s="1993" t="s">
        <v>937</v>
      </c>
      <c r="B263" s="1992"/>
      <c r="C263" s="1992"/>
      <c r="D263" s="1992"/>
      <c r="E263" s="1992"/>
      <c r="F263" s="1992"/>
      <c r="G263" s="1992"/>
      <c r="H263" s="1992"/>
    </row>
    <row r="264" spans="1:8" x14ac:dyDescent="0.2">
      <c r="A264" s="1993" t="s">
        <v>938</v>
      </c>
      <c r="B264" s="1992"/>
      <c r="C264" s="1992"/>
      <c r="D264" s="1992"/>
      <c r="E264" s="1992"/>
      <c r="F264" s="1992"/>
      <c r="G264" s="1992"/>
      <c r="H264" s="1992"/>
    </row>
    <row r="265" spans="1:8" x14ac:dyDescent="0.2">
      <c r="A265" s="1993" t="s">
        <v>939</v>
      </c>
      <c r="B265" s="1992"/>
      <c r="C265" s="1992"/>
      <c r="D265" s="1992"/>
      <c r="E265" s="1992"/>
      <c r="F265" s="1992"/>
      <c r="G265" s="1992"/>
      <c r="H265" s="1992"/>
    </row>
    <row r="266" spans="1:8" x14ac:dyDescent="0.2">
      <c r="A266" s="1993" t="s">
        <v>940</v>
      </c>
      <c r="B266" s="1992"/>
      <c r="C266" s="1992"/>
      <c r="D266" s="1992"/>
      <c r="E266" s="1992"/>
      <c r="F266" s="1992"/>
      <c r="G266" s="1992"/>
      <c r="H266" s="1992"/>
    </row>
    <row r="267" spans="1:8" x14ac:dyDescent="0.2">
      <c r="A267" s="1993" t="s">
        <v>941</v>
      </c>
      <c r="B267" s="1992"/>
      <c r="C267" s="1992"/>
      <c r="D267" s="1992"/>
      <c r="E267" s="1992"/>
      <c r="F267" s="1992"/>
      <c r="G267" s="1992"/>
      <c r="H267" s="1992"/>
    </row>
    <row r="268" spans="1:8" x14ac:dyDescent="0.2">
      <c r="A268" s="1993" t="s">
        <v>942</v>
      </c>
      <c r="B268" s="1992"/>
      <c r="C268" s="1992"/>
      <c r="D268" s="1992"/>
      <c r="E268" s="1992"/>
      <c r="F268" s="1992"/>
      <c r="G268" s="1992"/>
      <c r="H268" s="1992"/>
    </row>
    <row r="269" spans="1:8" x14ac:dyDescent="0.2">
      <c r="A269" s="1993" t="s">
        <v>943</v>
      </c>
      <c r="B269" s="1992"/>
      <c r="C269" s="1992"/>
      <c r="D269" s="1992"/>
      <c r="E269" s="1992"/>
      <c r="F269" s="1992"/>
      <c r="G269" s="1992"/>
      <c r="H269" s="1992"/>
    </row>
    <row r="270" spans="1:8" x14ac:dyDescent="0.2">
      <c r="A270" s="1993" t="s">
        <v>944</v>
      </c>
      <c r="B270" s="1992"/>
      <c r="C270" s="1992"/>
      <c r="D270" s="1992"/>
      <c r="E270" s="1992"/>
      <c r="F270" s="1992"/>
      <c r="G270" s="1992"/>
      <c r="H270" s="1992"/>
    </row>
    <row r="271" spans="1:8" x14ac:dyDescent="0.2">
      <c r="A271" s="1993" t="s">
        <v>945</v>
      </c>
      <c r="B271" s="1992"/>
      <c r="C271" s="1992"/>
      <c r="D271" s="1992"/>
      <c r="E271" s="1992"/>
      <c r="F271" s="1992"/>
      <c r="G271" s="1992"/>
      <c r="H271" s="1992"/>
    </row>
    <row r="272" spans="1:8" x14ac:dyDescent="0.2">
      <c r="A272" s="1993" t="s">
        <v>946</v>
      </c>
      <c r="B272" s="1992"/>
      <c r="C272" s="1992"/>
      <c r="D272" s="1992"/>
      <c r="E272" s="1992"/>
      <c r="F272" s="1992"/>
      <c r="G272" s="1992"/>
      <c r="H272" s="1992"/>
    </row>
    <row r="273" spans="1:8" x14ac:dyDescent="0.2">
      <c r="A273" s="1993" t="s">
        <v>947</v>
      </c>
      <c r="B273" s="1992"/>
      <c r="C273" s="1992"/>
      <c r="D273" s="1992"/>
      <c r="E273" s="1992"/>
      <c r="F273" s="1992"/>
      <c r="G273" s="1992"/>
      <c r="H273" s="1992"/>
    </row>
    <row r="274" spans="1:8" x14ac:dyDescent="0.2">
      <c r="A274" s="1993" t="s">
        <v>948</v>
      </c>
      <c r="B274" s="1992"/>
      <c r="C274" s="1992"/>
      <c r="D274" s="1992"/>
      <c r="E274" s="1992"/>
      <c r="F274" s="1992"/>
      <c r="G274" s="1992"/>
      <c r="H274" s="1992"/>
    </row>
    <row r="275" spans="1:8" x14ac:dyDescent="0.2">
      <c r="A275" s="1993" t="s">
        <v>949</v>
      </c>
      <c r="B275" s="1992"/>
      <c r="C275" s="1992"/>
      <c r="D275" s="1992"/>
      <c r="E275" s="1992"/>
      <c r="F275" s="1992"/>
      <c r="G275" s="1992"/>
      <c r="H275" s="1992"/>
    </row>
    <row r="276" spans="1:8" x14ac:dyDescent="0.2">
      <c r="A276" s="1993" t="s">
        <v>950</v>
      </c>
      <c r="B276" s="1992"/>
      <c r="C276" s="1992"/>
      <c r="D276" s="1992"/>
      <c r="E276" s="1992"/>
      <c r="F276" s="1992"/>
      <c r="G276" s="1992"/>
      <c r="H276" s="1992"/>
    </row>
    <row r="277" spans="1:8" x14ac:dyDescent="0.2">
      <c r="A277" s="1993" t="s">
        <v>951</v>
      </c>
      <c r="B277" s="1992"/>
      <c r="C277" s="1992"/>
      <c r="D277" s="1992"/>
      <c r="E277" s="1992"/>
      <c r="F277" s="1992"/>
      <c r="G277" s="1992"/>
      <c r="H277" s="1992"/>
    </row>
    <row r="278" spans="1:8" x14ac:dyDescent="0.2">
      <c r="A278" s="1993" t="s">
        <v>952</v>
      </c>
      <c r="B278" s="1992"/>
      <c r="C278" s="1992"/>
      <c r="D278" s="1992"/>
      <c r="E278" s="1992"/>
      <c r="F278" s="1992"/>
      <c r="G278" s="1992"/>
      <c r="H278" s="1992"/>
    </row>
    <row r="279" spans="1:8" x14ac:dyDescent="0.2">
      <c r="A279" s="1992"/>
      <c r="B279" s="1992"/>
      <c r="C279" s="1992"/>
      <c r="D279" s="1992"/>
      <c r="E279" s="1992"/>
      <c r="F279" s="1992"/>
      <c r="G279" s="1992"/>
      <c r="H279" s="1992"/>
    </row>
    <row r="280" spans="1:8" x14ac:dyDescent="0.2">
      <c r="A280" s="1993" t="s">
        <v>930</v>
      </c>
      <c r="B280" s="1992"/>
      <c r="C280" s="1992"/>
      <c r="D280" s="1992"/>
      <c r="E280" s="1992"/>
      <c r="F280" s="1992"/>
      <c r="G280" s="1992"/>
      <c r="H280" s="1992"/>
    </row>
    <row r="281" spans="1:8" x14ac:dyDescent="0.2">
      <c r="A281" s="1993" t="s">
        <v>931</v>
      </c>
      <c r="B281" s="1992"/>
      <c r="C281" s="1992"/>
      <c r="D281" s="1992"/>
      <c r="E281" s="1992"/>
      <c r="F281" s="1992"/>
      <c r="G281" s="1992"/>
      <c r="H281" s="1992"/>
    </row>
    <row r="282" spans="1:8" x14ac:dyDescent="0.2">
      <c r="A282" s="1993" t="s">
        <v>932</v>
      </c>
      <c r="B282" s="1992"/>
      <c r="C282" s="1992"/>
      <c r="D282" s="1992"/>
      <c r="E282" s="1992"/>
      <c r="F282" s="1992"/>
      <c r="G282" s="1992"/>
      <c r="H282" s="1992"/>
    </row>
    <row r="283" spans="1:8" x14ac:dyDescent="0.2">
      <c r="A283" s="1993" t="s">
        <v>933</v>
      </c>
      <c r="B283" s="1992"/>
      <c r="C283" s="1992"/>
      <c r="D283" s="1992"/>
      <c r="E283" s="1992"/>
      <c r="F283" s="1992"/>
      <c r="G283" s="1992"/>
      <c r="H283" s="1992"/>
    </row>
    <row r="284" spans="1:8" x14ac:dyDescent="0.2">
      <c r="A284" s="1993" t="s">
        <v>934</v>
      </c>
      <c r="B284" s="1992"/>
      <c r="C284" s="1992"/>
      <c r="D284" s="1992"/>
      <c r="E284" s="1992"/>
      <c r="F284" s="1992"/>
      <c r="G284" s="1992"/>
      <c r="H284" s="1992"/>
    </row>
    <row r="285" spans="1:8" x14ac:dyDescent="0.2">
      <c r="A285" s="1993" t="s">
        <v>935</v>
      </c>
      <c r="B285" s="1992"/>
      <c r="C285" s="1992"/>
      <c r="D285" s="1992"/>
      <c r="E285" s="1992"/>
      <c r="F285" s="1992"/>
      <c r="G285" s="1992"/>
      <c r="H285" s="1992"/>
    </row>
    <row r="286" spans="1:8" x14ac:dyDescent="0.2">
      <c r="A286" s="1993" t="s">
        <v>936</v>
      </c>
      <c r="B286" s="1992"/>
      <c r="C286" s="1992"/>
      <c r="D286" s="1992"/>
      <c r="E286" s="1992"/>
      <c r="F286" s="1992"/>
      <c r="G286" s="1992"/>
      <c r="H286" s="1992"/>
    </row>
    <row r="287" spans="1:8" x14ac:dyDescent="0.2">
      <c r="A287" s="1992"/>
      <c r="B287" s="1992"/>
      <c r="C287" s="1992"/>
      <c r="D287" s="1992"/>
      <c r="E287" s="1992"/>
      <c r="F287" s="1992"/>
      <c r="G287" s="1992"/>
      <c r="H287" s="1992"/>
    </row>
    <row r="288" spans="1:8" x14ac:dyDescent="0.2">
      <c r="A288" s="1993" t="s">
        <v>921</v>
      </c>
      <c r="B288" s="1992"/>
      <c r="C288" s="1992"/>
      <c r="D288" s="1992"/>
      <c r="E288" s="1992"/>
      <c r="F288" s="1992"/>
      <c r="G288" s="1992"/>
      <c r="H288" s="1992"/>
    </row>
    <row r="289" spans="1:8" x14ac:dyDescent="0.2">
      <c r="A289" s="1993" t="s">
        <v>922</v>
      </c>
      <c r="B289" s="1992"/>
      <c r="C289" s="1992"/>
      <c r="D289" s="1992"/>
      <c r="E289" s="1992"/>
      <c r="F289" s="1992"/>
      <c r="G289" s="1992"/>
      <c r="H289" s="1992"/>
    </row>
    <row r="290" spans="1:8" x14ac:dyDescent="0.2">
      <c r="A290" s="1993" t="s">
        <v>923</v>
      </c>
      <c r="B290" s="1992"/>
      <c r="C290" s="1992"/>
      <c r="D290" s="1992"/>
      <c r="E290" s="1992"/>
      <c r="F290" s="1992"/>
      <c r="G290" s="1992"/>
      <c r="H290" s="1992"/>
    </row>
    <row r="291" spans="1:8" x14ac:dyDescent="0.2">
      <c r="A291" s="1993" t="s">
        <v>924</v>
      </c>
      <c r="B291" s="1992"/>
      <c r="C291" s="1992"/>
      <c r="D291" s="1992"/>
      <c r="E291" s="1992"/>
      <c r="F291" s="1992"/>
      <c r="G291" s="1992"/>
      <c r="H291" s="1992"/>
    </row>
    <row r="292" spans="1:8" x14ac:dyDescent="0.2">
      <c r="A292" s="1993" t="s">
        <v>925</v>
      </c>
      <c r="B292" s="1992"/>
      <c r="C292" s="1992"/>
      <c r="D292" s="1992"/>
      <c r="E292" s="1992"/>
      <c r="F292" s="1992"/>
      <c r="G292" s="1992"/>
      <c r="H292" s="1992"/>
    </row>
    <row r="293" spans="1:8" x14ac:dyDescent="0.2">
      <c r="A293" s="1993" t="s">
        <v>926</v>
      </c>
      <c r="B293" s="1992"/>
      <c r="C293" s="1992"/>
      <c r="D293" s="1992"/>
      <c r="E293" s="1992"/>
      <c r="F293" s="1992"/>
      <c r="G293" s="1992"/>
      <c r="H293" s="1992"/>
    </row>
    <row r="294" spans="1:8" x14ac:dyDescent="0.2">
      <c r="A294" s="1993" t="s">
        <v>927</v>
      </c>
      <c r="B294" s="1992"/>
      <c r="C294" s="1992"/>
      <c r="D294" s="1992"/>
      <c r="E294" s="1992"/>
      <c r="F294" s="1992"/>
      <c r="G294" s="1992"/>
      <c r="H294" s="1992"/>
    </row>
    <row r="295" spans="1:8" x14ac:dyDescent="0.2">
      <c r="A295" s="1993" t="s">
        <v>928</v>
      </c>
      <c r="B295" s="1992"/>
      <c r="C295" s="1992"/>
      <c r="D295" s="1992"/>
      <c r="E295" s="1992"/>
      <c r="F295" s="1992"/>
      <c r="G295" s="1992"/>
      <c r="H295" s="1992"/>
    </row>
    <row r="296" spans="1:8" x14ac:dyDescent="0.2">
      <c r="A296" s="1993" t="s">
        <v>929</v>
      </c>
      <c r="B296" s="1992"/>
      <c r="C296" s="1992"/>
      <c r="D296" s="1992"/>
      <c r="E296" s="1992"/>
      <c r="F296" s="1992"/>
      <c r="G296" s="1992"/>
      <c r="H296" s="1992"/>
    </row>
    <row r="297" spans="1:8" x14ac:dyDescent="0.2">
      <c r="A297" s="1992"/>
      <c r="B297" s="1992"/>
      <c r="C297" s="1992"/>
      <c r="D297" s="1992"/>
      <c r="E297" s="1992"/>
      <c r="F297" s="1992"/>
      <c r="G297" s="1992"/>
      <c r="H297" s="1992"/>
    </row>
    <row r="298" spans="1:8" x14ac:dyDescent="0.2">
      <c r="A298" s="1993" t="s">
        <v>914</v>
      </c>
      <c r="B298" s="1992"/>
      <c r="C298" s="1992"/>
      <c r="D298" s="1992"/>
      <c r="E298" s="1992"/>
      <c r="F298" s="1992"/>
      <c r="G298" s="1992"/>
      <c r="H298" s="1992"/>
    </row>
    <row r="299" spans="1:8" x14ac:dyDescent="0.2">
      <c r="A299" s="1993" t="s">
        <v>915</v>
      </c>
      <c r="B299" s="1992"/>
      <c r="C299" s="1992"/>
      <c r="D299" s="1992"/>
      <c r="E299" s="1992"/>
      <c r="F299" s="1992"/>
      <c r="G299" s="1992"/>
      <c r="H299" s="1992"/>
    </row>
    <row r="300" spans="1:8" x14ac:dyDescent="0.2">
      <c r="A300" s="1993" t="s">
        <v>916</v>
      </c>
      <c r="B300" s="1992"/>
      <c r="C300" s="1992"/>
      <c r="D300" s="1992"/>
      <c r="E300" s="1992"/>
      <c r="F300" s="1992"/>
      <c r="G300" s="1992"/>
      <c r="H300" s="1992"/>
    </row>
    <row r="301" spans="1:8" x14ac:dyDescent="0.2">
      <c r="A301" s="1993" t="s">
        <v>917</v>
      </c>
      <c r="B301" s="1992"/>
      <c r="C301" s="1992"/>
      <c r="D301" s="1992"/>
      <c r="E301" s="1992"/>
      <c r="F301" s="1992"/>
      <c r="G301" s="1992"/>
      <c r="H301" s="1992"/>
    </row>
    <row r="302" spans="1:8" x14ac:dyDescent="0.2">
      <c r="A302" s="1993" t="s">
        <v>918</v>
      </c>
      <c r="B302" s="1992"/>
      <c r="C302" s="1992"/>
      <c r="D302" s="1992"/>
      <c r="E302" s="1992"/>
      <c r="F302" s="1992"/>
      <c r="G302" s="1992"/>
      <c r="H302" s="1992"/>
    </row>
    <row r="303" spans="1:8" x14ac:dyDescent="0.2">
      <c r="A303" s="1993" t="s">
        <v>919</v>
      </c>
      <c r="B303" s="1992"/>
      <c r="C303" s="1992"/>
      <c r="D303" s="1992"/>
      <c r="E303" s="1992"/>
      <c r="F303" s="1992"/>
      <c r="G303" s="1992"/>
      <c r="H303" s="1992"/>
    </row>
    <row r="304" spans="1:8" x14ac:dyDescent="0.2">
      <c r="A304" s="1993" t="s">
        <v>920</v>
      </c>
      <c r="B304" s="1992"/>
      <c r="C304" s="1992"/>
      <c r="D304" s="1992"/>
      <c r="E304" s="1992"/>
      <c r="F304" s="1992"/>
      <c r="G304" s="1992"/>
      <c r="H304" s="1992"/>
    </row>
    <row r="305" spans="1:8" x14ac:dyDescent="0.2">
      <c r="A305" s="1992"/>
      <c r="B305" s="1992"/>
      <c r="C305" s="1992"/>
      <c r="D305" s="1992"/>
      <c r="E305" s="1992"/>
      <c r="F305" s="1992"/>
      <c r="G305" s="1992"/>
      <c r="H305" s="1992"/>
    </row>
    <row r="306" spans="1:8" x14ac:dyDescent="0.2">
      <c r="A306" s="1993" t="s">
        <v>911</v>
      </c>
      <c r="B306" s="1992"/>
      <c r="C306" s="1992"/>
      <c r="D306" s="1992"/>
      <c r="E306" s="1992"/>
      <c r="F306" s="1992"/>
      <c r="G306" s="1992"/>
      <c r="H306" s="1992"/>
    </row>
    <row r="307" spans="1:8" x14ac:dyDescent="0.2">
      <c r="A307" s="1993" t="s">
        <v>912</v>
      </c>
      <c r="B307" s="1992"/>
      <c r="C307" s="1992"/>
      <c r="D307" s="1992"/>
      <c r="E307" s="1992"/>
      <c r="F307" s="1992"/>
      <c r="G307" s="1992"/>
      <c r="H307" s="1992"/>
    </row>
    <row r="308" spans="1:8" x14ac:dyDescent="0.2">
      <c r="A308" s="1993" t="s">
        <v>913</v>
      </c>
      <c r="B308" s="1992"/>
      <c r="C308" s="1992"/>
      <c r="D308" s="1992"/>
      <c r="E308" s="1992"/>
      <c r="F308" s="1992"/>
      <c r="G308" s="1992"/>
      <c r="H308" s="1992"/>
    </row>
    <row r="309" spans="1:8" x14ac:dyDescent="0.2">
      <c r="A309" s="1992"/>
      <c r="B309" s="1992"/>
      <c r="C309" s="1992"/>
      <c r="D309" s="1992"/>
      <c r="E309" s="1992"/>
      <c r="F309" s="1992"/>
      <c r="G309" s="1992"/>
      <c r="H309" s="1992"/>
    </row>
    <row r="310" spans="1:8" x14ac:dyDescent="0.2">
      <c r="A310" s="1993" t="s">
        <v>909</v>
      </c>
      <c r="B310" s="1992"/>
      <c r="C310" s="1992"/>
      <c r="D310" s="1992"/>
      <c r="E310" s="1992"/>
      <c r="F310" s="1992"/>
      <c r="G310" s="1992"/>
      <c r="H310" s="1992"/>
    </row>
    <row r="311" spans="1:8" x14ac:dyDescent="0.2">
      <c r="A311" s="1993" t="s">
        <v>910</v>
      </c>
      <c r="B311" s="1992"/>
      <c r="C311" s="1992"/>
      <c r="D311" s="1992"/>
      <c r="E311" s="1992"/>
      <c r="F311" s="1992"/>
      <c r="G311" s="1992"/>
      <c r="H311" s="1992"/>
    </row>
    <row r="312" spans="1:8" x14ac:dyDescent="0.2">
      <c r="A312" s="1992"/>
      <c r="B312" s="1992"/>
      <c r="C312" s="1992"/>
      <c r="D312" s="1992"/>
      <c r="E312" s="1992"/>
      <c r="F312" s="1992"/>
      <c r="G312" s="1992"/>
      <c r="H312" s="1992"/>
    </row>
    <row r="313" spans="1:8" x14ac:dyDescent="0.2">
      <c r="A313" s="1993" t="s">
        <v>896</v>
      </c>
      <c r="B313" s="1992"/>
      <c r="C313" s="1992"/>
      <c r="D313" s="1992"/>
      <c r="E313" s="1992"/>
      <c r="F313" s="1992"/>
      <c r="G313" s="1992"/>
      <c r="H313" s="1992"/>
    </row>
    <row r="314" spans="1:8" x14ac:dyDescent="0.2">
      <c r="A314" s="1993" t="s">
        <v>897</v>
      </c>
      <c r="B314" s="1992"/>
      <c r="C314" s="1992"/>
      <c r="D314" s="1992"/>
      <c r="E314" s="1992"/>
      <c r="F314" s="1992"/>
      <c r="G314" s="1992"/>
      <c r="H314" s="1992"/>
    </row>
    <row r="315" spans="1:8" x14ac:dyDescent="0.2">
      <c r="A315" s="1993" t="s">
        <v>898</v>
      </c>
      <c r="B315" s="1992"/>
      <c r="C315" s="1992"/>
      <c r="D315" s="1992"/>
      <c r="E315" s="1992"/>
      <c r="F315" s="1992"/>
      <c r="G315" s="1992"/>
      <c r="H315" s="1992"/>
    </row>
    <row r="316" spans="1:8" x14ac:dyDescent="0.2">
      <c r="A316" s="1993" t="s">
        <v>899</v>
      </c>
      <c r="B316" s="1992"/>
      <c r="C316" s="1992"/>
      <c r="D316" s="1992"/>
      <c r="E316" s="1992"/>
      <c r="F316" s="1992"/>
      <c r="G316" s="1992"/>
      <c r="H316" s="1992"/>
    </row>
    <row r="317" spans="1:8" x14ac:dyDescent="0.2">
      <c r="A317" s="1993" t="s">
        <v>900</v>
      </c>
      <c r="B317" s="1992"/>
      <c r="C317" s="1992"/>
      <c r="D317" s="1992"/>
      <c r="E317" s="1992"/>
      <c r="F317" s="1992"/>
      <c r="G317" s="1992"/>
      <c r="H317" s="1992"/>
    </row>
    <row r="318" spans="1:8" x14ac:dyDescent="0.2">
      <c r="A318" s="1993" t="s">
        <v>901</v>
      </c>
      <c r="B318" s="1992"/>
      <c r="C318" s="1992"/>
      <c r="D318" s="1992"/>
      <c r="E318" s="1992"/>
      <c r="F318" s="1992"/>
      <c r="G318" s="1992"/>
      <c r="H318" s="1992"/>
    </row>
    <row r="319" spans="1:8" x14ac:dyDescent="0.2">
      <c r="A319" s="1993" t="s">
        <v>902</v>
      </c>
      <c r="B319" s="1992"/>
      <c r="C319" s="1992"/>
      <c r="D319" s="1992"/>
      <c r="E319" s="1992"/>
      <c r="F319" s="1992"/>
      <c r="G319" s="1992"/>
      <c r="H319" s="1992"/>
    </row>
    <row r="320" spans="1:8" x14ac:dyDescent="0.2">
      <c r="A320" s="1993" t="s">
        <v>903</v>
      </c>
      <c r="B320" s="1992"/>
      <c r="C320" s="1992"/>
      <c r="D320" s="1992"/>
      <c r="E320" s="1992"/>
      <c r="F320" s="1992"/>
      <c r="G320" s="1992"/>
      <c r="H320" s="1992"/>
    </row>
    <row r="321" spans="1:8" x14ac:dyDescent="0.2">
      <c r="A321" s="1993" t="s">
        <v>904</v>
      </c>
      <c r="B321" s="1992"/>
      <c r="C321" s="1992"/>
      <c r="D321" s="1992"/>
      <c r="E321" s="1992"/>
      <c r="F321" s="1992"/>
      <c r="G321" s="1992"/>
      <c r="H321" s="1992"/>
    </row>
    <row r="322" spans="1:8" x14ac:dyDescent="0.2">
      <c r="A322" s="1993" t="s">
        <v>905</v>
      </c>
      <c r="B322" s="1992"/>
      <c r="C322" s="1992"/>
      <c r="D322" s="1992"/>
      <c r="E322" s="1992"/>
      <c r="F322" s="1992"/>
      <c r="G322" s="1992"/>
      <c r="H322" s="1992"/>
    </row>
    <row r="323" spans="1:8" x14ac:dyDescent="0.2">
      <c r="A323" s="1993" t="s">
        <v>906</v>
      </c>
      <c r="B323" s="1992"/>
      <c r="C323" s="1992"/>
      <c r="D323" s="1992"/>
      <c r="E323" s="1992"/>
      <c r="F323" s="1992"/>
      <c r="G323" s="1992"/>
      <c r="H323" s="1992"/>
    </row>
    <row r="324" spans="1:8" x14ac:dyDescent="0.2">
      <c r="A324" s="1993" t="s">
        <v>907</v>
      </c>
      <c r="B324" s="1992"/>
      <c r="C324" s="1992"/>
      <c r="D324" s="1992"/>
      <c r="E324" s="1992"/>
      <c r="F324" s="1992"/>
      <c r="G324" s="1992"/>
      <c r="H324" s="1992"/>
    </row>
    <row r="325" spans="1:8" x14ac:dyDescent="0.2">
      <c r="A325" s="1993" t="s">
        <v>908</v>
      </c>
      <c r="B325" s="1992"/>
      <c r="C325" s="1992"/>
      <c r="D325" s="1992"/>
      <c r="E325" s="1992"/>
      <c r="F325" s="1992"/>
      <c r="G325" s="1992"/>
      <c r="H325" s="1992"/>
    </row>
    <row r="326" spans="1:8" x14ac:dyDescent="0.2">
      <c r="A326" s="1992"/>
      <c r="B326" s="1992"/>
      <c r="C326" s="1992"/>
      <c r="D326" s="1992"/>
      <c r="E326" s="1992"/>
      <c r="F326" s="1992"/>
      <c r="G326" s="1992"/>
      <c r="H326" s="1992"/>
    </row>
    <row r="327" spans="1:8" x14ac:dyDescent="0.2">
      <c r="A327" s="1993" t="s">
        <v>888</v>
      </c>
      <c r="B327" s="1992"/>
      <c r="C327" s="1992"/>
      <c r="D327" s="1992"/>
      <c r="E327" s="1992"/>
      <c r="F327" s="1992"/>
      <c r="G327" s="1992"/>
      <c r="H327" s="1992"/>
    </row>
    <row r="328" spans="1:8" x14ac:dyDescent="0.2">
      <c r="A328" s="1993" t="s">
        <v>889</v>
      </c>
      <c r="B328" s="1992"/>
      <c r="C328" s="1992"/>
      <c r="D328" s="1992"/>
      <c r="E328" s="1992"/>
      <c r="F328" s="1992"/>
      <c r="G328" s="1992"/>
      <c r="H328" s="1992"/>
    </row>
    <row r="329" spans="1:8" x14ac:dyDescent="0.2">
      <c r="A329" s="1993" t="s">
        <v>890</v>
      </c>
      <c r="B329" s="1992"/>
      <c r="C329" s="1992"/>
      <c r="D329" s="1992"/>
      <c r="E329" s="1992"/>
      <c r="F329" s="1992"/>
      <c r="G329" s="1992"/>
      <c r="H329" s="1992"/>
    </row>
    <row r="330" spans="1:8" x14ac:dyDescent="0.2">
      <c r="A330" s="1993" t="s">
        <v>891</v>
      </c>
      <c r="B330" s="1992"/>
      <c r="C330" s="1992"/>
      <c r="D330" s="1992"/>
      <c r="E330" s="1992"/>
      <c r="F330" s="1992"/>
      <c r="G330" s="1992"/>
      <c r="H330" s="1992"/>
    </row>
    <row r="331" spans="1:8" x14ac:dyDescent="0.2">
      <c r="A331" s="1993" t="s">
        <v>892</v>
      </c>
      <c r="B331" s="1992"/>
      <c r="C331" s="1992"/>
      <c r="D331" s="1992"/>
      <c r="E331" s="1992"/>
      <c r="F331" s="1992"/>
      <c r="G331" s="1992"/>
      <c r="H331" s="1992"/>
    </row>
    <row r="332" spans="1:8" x14ac:dyDescent="0.2">
      <c r="A332" s="1993" t="s">
        <v>893</v>
      </c>
      <c r="B332" s="1992"/>
      <c r="C332" s="1992"/>
      <c r="D332" s="1992"/>
      <c r="E332" s="1992"/>
      <c r="F332" s="1992"/>
      <c r="G332" s="1992"/>
      <c r="H332" s="1992"/>
    </row>
    <row r="333" spans="1:8" x14ac:dyDescent="0.2">
      <c r="A333" s="1993" t="s">
        <v>894</v>
      </c>
      <c r="B333" s="1992"/>
      <c r="C333" s="1992"/>
      <c r="D333" s="1992"/>
      <c r="E333" s="1992"/>
      <c r="F333" s="1992"/>
      <c r="G333" s="1992"/>
      <c r="H333" s="1992"/>
    </row>
    <row r="334" spans="1:8" x14ac:dyDescent="0.2">
      <c r="A334" s="1993" t="s">
        <v>895</v>
      </c>
      <c r="B334" s="1992"/>
      <c r="C334" s="1992"/>
      <c r="D334" s="1992"/>
      <c r="E334" s="1992"/>
      <c r="F334" s="1992"/>
      <c r="G334" s="1992"/>
      <c r="H334" s="1992"/>
    </row>
    <row r="335" spans="1:8" x14ac:dyDescent="0.2">
      <c r="A335" s="1992"/>
      <c r="B335" s="1992"/>
      <c r="C335" s="1992"/>
      <c r="D335" s="1992"/>
      <c r="E335" s="1992"/>
      <c r="F335" s="1992"/>
      <c r="G335" s="1992"/>
      <c r="H335" s="1992"/>
    </row>
    <row r="336" spans="1:8" x14ac:dyDescent="0.2">
      <c r="A336" s="1993" t="s">
        <v>853</v>
      </c>
      <c r="B336" s="1992"/>
      <c r="C336" s="1992"/>
      <c r="D336" s="1992"/>
      <c r="E336" s="1992"/>
      <c r="F336" s="1992"/>
      <c r="G336" s="1992"/>
      <c r="H336" s="1992"/>
    </row>
    <row r="337" spans="1:8" x14ac:dyDescent="0.2">
      <c r="A337" s="1993" t="s">
        <v>854</v>
      </c>
      <c r="B337" s="1992"/>
      <c r="C337" s="1992"/>
      <c r="D337" s="1992"/>
      <c r="E337" s="1992"/>
      <c r="F337" s="1992"/>
      <c r="G337" s="1992"/>
      <c r="H337" s="1992"/>
    </row>
    <row r="338" spans="1:8" x14ac:dyDescent="0.2">
      <c r="A338" s="1993" t="s">
        <v>855</v>
      </c>
      <c r="B338" s="1992"/>
      <c r="C338" s="1992"/>
      <c r="D338" s="1992"/>
      <c r="E338" s="1992"/>
      <c r="F338" s="1992"/>
      <c r="G338" s="1992"/>
      <c r="H338" s="1992"/>
    </row>
    <row r="339" spans="1:8" x14ac:dyDescent="0.2">
      <c r="A339" s="1993" t="s">
        <v>856</v>
      </c>
      <c r="B339" s="1992"/>
      <c r="C339" s="1992"/>
      <c r="D339" s="1992"/>
      <c r="E339" s="1992"/>
      <c r="F339" s="1992"/>
      <c r="G339" s="1992"/>
      <c r="H339" s="1992"/>
    </row>
    <row r="340" spans="1:8" x14ac:dyDescent="0.2">
      <c r="A340" s="1993" t="s">
        <v>857</v>
      </c>
      <c r="B340" s="1992"/>
      <c r="C340" s="1992"/>
      <c r="D340" s="1992"/>
      <c r="E340" s="1992"/>
      <c r="F340" s="1992"/>
      <c r="G340" s="1992"/>
      <c r="H340" s="1992"/>
    </row>
    <row r="341" spans="1:8" x14ac:dyDescent="0.2">
      <c r="A341" s="1993" t="s">
        <v>858</v>
      </c>
      <c r="B341" s="1992"/>
      <c r="C341" s="1992"/>
      <c r="D341" s="1992"/>
      <c r="E341" s="1992"/>
      <c r="F341" s="1992"/>
      <c r="G341" s="1992"/>
      <c r="H341" s="1992"/>
    </row>
    <row r="342" spans="1:8" x14ac:dyDescent="0.2">
      <c r="A342" s="1993" t="s">
        <v>859</v>
      </c>
      <c r="B342" s="1992"/>
      <c r="C342" s="1992"/>
      <c r="D342" s="1992"/>
      <c r="E342" s="1992"/>
      <c r="F342" s="1992"/>
      <c r="G342" s="1992"/>
      <c r="H342" s="1992"/>
    </row>
    <row r="343" spans="1:8" x14ac:dyDescent="0.2">
      <c r="A343" s="1993" t="s">
        <v>860</v>
      </c>
      <c r="B343" s="1992"/>
      <c r="C343" s="1992"/>
      <c r="D343" s="1992"/>
      <c r="E343" s="1992"/>
      <c r="F343" s="1992"/>
      <c r="G343" s="1992"/>
      <c r="H343" s="1992"/>
    </row>
    <row r="344" spans="1:8" x14ac:dyDescent="0.2">
      <c r="A344" s="1993" t="s">
        <v>861</v>
      </c>
      <c r="B344" s="1992"/>
      <c r="C344" s="1992"/>
      <c r="D344" s="1992"/>
      <c r="E344" s="1992"/>
      <c r="F344" s="1992"/>
      <c r="G344" s="1992"/>
      <c r="H344" s="1992"/>
    </row>
    <row r="345" spans="1:8" x14ac:dyDescent="0.2">
      <c r="A345" s="1993" t="s">
        <v>862</v>
      </c>
      <c r="B345" s="1992"/>
      <c r="C345" s="1992"/>
      <c r="D345" s="1992"/>
      <c r="E345" s="1992"/>
      <c r="F345" s="1992"/>
      <c r="G345" s="1992"/>
      <c r="H345" s="1992"/>
    </row>
    <row r="346" spans="1:8" x14ac:dyDescent="0.2">
      <c r="A346" s="1993" t="s">
        <v>863</v>
      </c>
      <c r="B346" s="1992"/>
      <c r="C346" s="1992"/>
      <c r="D346" s="1992"/>
      <c r="E346" s="1992"/>
      <c r="F346" s="1992"/>
      <c r="G346" s="1992"/>
      <c r="H346" s="1992"/>
    </row>
    <row r="347" spans="1:8" x14ac:dyDescent="0.2">
      <c r="A347" s="1993" t="s">
        <v>864</v>
      </c>
      <c r="B347" s="1992"/>
      <c r="C347" s="1992"/>
      <c r="D347" s="1992"/>
      <c r="E347" s="1992"/>
      <c r="F347" s="1992"/>
      <c r="G347" s="1992"/>
      <c r="H347" s="1992"/>
    </row>
    <row r="348" spans="1:8" x14ac:dyDescent="0.2">
      <c r="A348" s="1993" t="s">
        <v>865</v>
      </c>
      <c r="B348" s="1992"/>
      <c r="C348" s="1992"/>
      <c r="D348" s="1992"/>
      <c r="E348" s="1992"/>
      <c r="F348" s="1992"/>
      <c r="G348" s="1992"/>
      <c r="H348" s="1992"/>
    </row>
    <row r="349" spans="1:8" x14ac:dyDescent="0.2">
      <c r="A349" s="1993" t="s">
        <v>866</v>
      </c>
      <c r="B349" s="1992"/>
      <c r="C349" s="1992"/>
      <c r="D349" s="1992"/>
      <c r="E349" s="1992"/>
      <c r="F349" s="1992"/>
      <c r="G349" s="1992"/>
      <c r="H349" s="1992"/>
    </row>
    <row r="350" spans="1:8" x14ac:dyDescent="0.2">
      <c r="A350" s="1993" t="s">
        <v>867</v>
      </c>
      <c r="B350" s="1992"/>
      <c r="C350" s="1992"/>
      <c r="D350" s="1992"/>
      <c r="E350" s="1992"/>
      <c r="F350" s="1992"/>
      <c r="G350" s="1992"/>
      <c r="H350" s="1992"/>
    </row>
    <row r="351" spans="1:8" x14ac:dyDescent="0.2">
      <c r="A351" s="1993" t="s">
        <v>868</v>
      </c>
      <c r="B351" s="1992"/>
      <c r="C351" s="1992"/>
      <c r="D351" s="1992"/>
      <c r="E351" s="1992"/>
      <c r="F351" s="1992"/>
      <c r="G351" s="1992"/>
      <c r="H351" s="1992"/>
    </row>
    <row r="352" spans="1:8" x14ac:dyDescent="0.2">
      <c r="A352" s="1993" t="s">
        <v>869</v>
      </c>
      <c r="B352" s="1992"/>
      <c r="C352" s="1992"/>
      <c r="D352" s="1992"/>
      <c r="E352" s="1992"/>
      <c r="F352" s="1992"/>
      <c r="G352" s="1992"/>
      <c r="H352" s="1992"/>
    </row>
    <row r="353" spans="1:8" x14ac:dyDescent="0.2">
      <c r="A353" s="1993" t="s">
        <v>870</v>
      </c>
      <c r="B353" s="1992"/>
      <c r="C353" s="1992"/>
      <c r="D353" s="1992"/>
      <c r="E353" s="1992"/>
      <c r="F353" s="1992"/>
      <c r="G353" s="1992"/>
      <c r="H353" s="1992"/>
    </row>
    <row r="354" spans="1:8" x14ac:dyDescent="0.2">
      <c r="A354" s="1993" t="s">
        <v>871</v>
      </c>
      <c r="B354" s="1992"/>
      <c r="C354" s="1992"/>
      <c r="D354" s="1992"/>
      <c r="E354" s="1992"/>
      <c r="F354" s="1992"/>
      <c r="G354" s="1992"/>
      <c r="H354" s="1992"/>
    </row>
    <row r="355" spans="1:8" x14ac:dyDescent="0.2">
      <c r="A355" s="1993" t="s">
        <v>872</v>
      </c>
      <c r="B355" s="1992"/>
      <c r="C355" s="1992"/>
      <c r="D355" s="1992"/>
      <c r="E355" s="1992"/>
      <c r="F355" s="1992"/>
      <c r="G355" s="1992"/>
      <c r="H355" s="1992"/>
    </row>
    <row r="356" spans="1:8" x14ac:dyDescent="0.2">
      <c r="A356" s="1993" t="s">
        <v>873</v>
      </c>
      <c r="B356" s="1992"/>
      <c r="C356" s="1992"/>
      <c r="D356" s="1992"/>
      <c r="E356" s="1992"/>
      <c r="F356" s="1992"/>
      <c r="G356" s="1992"/>
      <c r="H356" s="1992"/>
    </row>
    <row r="357" spans="1:8" x14ac:dyDescent="0.2">
      <c r="A357" s="1993" t="s">
        <v>874</v>
      </c>
      <c r="B357" s="1992"/>
      <c r="C357" s="1992"/>
      <c r="D357" s="1992"/>
      <c r="E357" s="1992"/>
      <c r="F357" s="1992"/>
      <c r="G357" s="1992"/>
      <c r="H357" s="1992"/>
    </row>
    <row r="358" spans="1:8" x14ac:dyDescent="0.2">
      <c r="A358" s="1993" t="s">
        <v>875</v>
      </c>
      <c r="B358" s="1992"/>
      <c r="C358" s="1992"/>
      <c r="D358" s="1992"/>
      <c r="E358" s="1992"/>
      <c r="F358" s="1992"/>
      <c r="G358" s="1992"/>
      <c r="H358" s="1992"/>
    </row>
    <row r="359" spans="1:8" x14ac:dyDescent="0.2">
      <c r="A359" s="1993" t="s">
        <v>876</v>
      </c>
      <c r="B359" s="1992"/>
      <c r="C359" s="1992"/>
      <c r="D359" s="1992"/>
      <c r="E359" s="1992"/>
      <c r="F359" s="1992"/>
      <c r="G359" s="1992"/>
      <c r="H359" s="1992"/>
    </row>
    <row r="360" spans="1:8" x14ac:dyDescent="0.2">
      <c r="A360" s="1993" t="s">
        <v>877</v>
      </c>
      <c r="B360" s="1992"/>
      <c r="C360" s="1992"/>
      <c r="D360" s="1992"/>
      <c r="E360" s="1992"/>
      <c r="F360" s="1992"/>
      <c r="G360" s="1992"/>
      <c r="H360" s="1992"/>
    </row>
    <row r="361" spans="1:8" x14ac:dyDescent="0.2">
      <c r="A361" s="1993" t="s">
        <v>878</v>
      </c>
      <c r="B361" s="1992"/>
      <c r="C361" s="1992"/>
      <c r="D361" s="1992"/>
      <c r="E361" s="1992"/>
      <c r="F361" s="1992"/>
      <c r="G361" s="1992"/>
      <c r="H361" s="1992"/>
    </row>
    <row r="362" spans="1:8" x14ac:dyDescent="0.2">
      <c r="A362" s="1993" t="s">
        <v>879</v>
      </c>
      <c r="B362" s="1992"/>
      <c r="C362" s="1992"/>
      <c r="D362" s="1992"/>
      <c r="E362" s="1992"/>
      <c r="F362" s="1992"/>
      <c r="G362" s="1992"/>
      <c r="H362" s="1992"/>
    </row>
    <row r="363" spans="1:8" x14ac:dyDescent="0.2">
      <c r="A363" s="1993" t="s">
        <v>880</v>
      </c>
      <c r="B363" s="1992"/>
      <c r="C363" s="1992"/>
      <c r="D363" s="1992"/>
      <c r="E363" s="1992"/>
      <c r="F363" s="1992"/>
      <c r="G363" s="1992"/>
      <c r="H363" s="1992"/>
    </row>
    <row r="364" spans="1:8" x14ac:dyDescent="0.2">
      <c r="A364" s="1993" t="s">
        <v>881</v>
      </c>
      <c r="B364" s="1992"/>
      <c r="C364" s="1992"/>
      <c r="D364" s="1992"/>
      <c r="E364" s="1992"/>
      <c r="F364" s="1992"/>
      <c r="G364" s="1992"/>
      <c r="H364" s="1992"/>
    </row>
    <row r="365" spans="1:8" x14ac:dyDescent="0.2">
      <c r="A365" s="1993" t="s">
        <v>882</v>
      </c>
      <c r="B365" s="1992"/>
      <c r="C365" s="1992"/>
      <c r="D365" s="1992"/>
      <c r="E365" s="1992"/>
      <c r="F365" s="1992"/>
      <c r="G365" s="1992"/>
      <c r="H365" s="1992"/>
    </row>
    <row r="366" spans="1:8" x14ac:dyDescent="0.2">
      <c r="A366" s="1993" t="s">
        <v>883</v>
      </c>
      <c r="B366" s="1992"/>
      <c r="C366" s="1992"/>
      <c r="D366" s="1992"/>
      <c r="E366" s="1992"/>
      <c r="F366" s="1992"/>
      <c r="G366" s="1992"/>
      <c r="H366" s="1992"/>
    </row>
    <row r="367" spans="1:8" x14ac:dyDescent="0.2">
      <c r="A367" s="1993" t="s">
        <v>884</v>
      </c>
      <c r="B367" s="1992"/>
      <c r="C367" s="1992"/>
      <c r="D367" s="1992"/>
      <c r="E367" s="1992"/>
      <c r="F367" s="1992"/>
      <c r="G367" s="1992"/>
      <c r="H367" s="1992"/>
    </row>
    <row r="368" spans="1:8" x14ac:dyDescent="0.2">
      <c r="A368" s="1993" t="s">
        <v>885</v>
      </c>
      <c r="B368" s="1992"/>
      <c r="C368" s="1992"/>
      <c r="D368" s="1992"/>
      <c r="E368" s="1992"/>
      <c r="F368" s="1992"/>
      <c r="G368" s="1992"/>
      <c r="H368" s="1992"/>
    </row>
    <row r="369" spans="1:8" x14ac:dyDescent="0.2">
      <c r="A369" s="1993" t="s">
        <v>886</v>
      </c>
      <c r="B369" s="1992"/>
      <c r="C369" s="1992"/>
      <c r="D369" s="1992"/>
      <c r="E369" s="1992"/>
      <c r="F369" s="1992"/>
      <c r="G369" s="1992"/>
      <c r="H369" s="1992"/>
    </row>
    <row r="370" spans="1:8" x14ac:dyDescent="0.2">
      <c r="A370" s="1993" t="s">
        <v>887</v>
      </c>
      <c r="B370" s="1992"/>
      <c r="C370" s="1992"/>
      <c r="D370" s="1992"/>
      <c r="E370" s="1992"/>
      <c r="F370" s="1992"/>
      <c r="G370" s="1992"/>
      <c r="H370" s="1992"/>
    </row>
    <row r="371" spans="1:8" x14ac:dyDescent="0.2">
      <c r="A371" s="1992"/>
      <c r="B371" s="1992"/>
      <c r="C371" s="1992"/>
      <c r="D371" s="1992"/>
      <c r="E371" s="1992"/>
      <c r="F371" s="1992"/>
      <c r="G371" s="1992"/>
      <c r="H371" s="1992"/>
    </row>
    <row r="372" spans="1:8" x14ac:dyDescent="0.2">
      <c r="A372" s="1993" t="s">
        <v>845</v>
      </c>
      <c r="B372" s="1992"/>
      <c r="C372" s="1992"/>
      <c r="D372" s="1992"/>
      <c r="E372" s="1992"/>
      <c r="F372" s="1992"/>
      <c r="G372" s="1992"/>
      <c r="H372" s="1992"/>
    </row>
    <row r="373" spans="1:8" x14ac:dyDescent="0.2">
      <c r="A373" s="1993" t="s">
        <v>849</v>
      </c>
      <c r="B373" s="1992"/>
      <c r="C373" s="1992"/>
      <c r="D373" s="1992"/>
      <c r="E373" s="1992"/>
      <c r="F373" s="1992"/>
      <c r="G373" s="1992"/>
      <c r="H373" s="1992"/>
    </row>
    <row r="374" spans="1:8" x14ac:dyDescent="0.2">
      <c r="A374" s="1993" t="s">
        <v>850</v>
      </c>
      <c r="B374" s="1992"/>
      <c r="C374" s="1992"/>
      <c r="D374" s="1992"/>
      <c r="E374" s="1992"/>
      <c r="F374" s="1992"/>
      <c r="G374" s="1992"/>
      <c r="H374" s="1992"/>
    </row>
    <row r="375" spans="1:8" x14ac:dyDescent="0.2">
      <c r="A375" s="1993" t="s">
        <v>851</v>
      </c>
      <c r="B375" s="1992"/>
      <c r="C375" s="1992"/>
      <c r="D375" s="1992"/>
      <c r="E375" s="1992"/>
      <c r="F375" s="1992"/>
      <c r="G375" s="1992"/>
      <c r="H375" s="1992"/>
    </row>
    <row r="376" spans="1:8" x14ac:dyDescent="0.2">
      <c r="A376" s="1993" t="s">
        <v>852</v>
      </c>
      <c r="B376" s="1992"/>
      <c r="C376" s="1992"/>
      <c r="D376" s="1992"/>
      <c r="E376" s="1992"/>
      <c r="F376" s="1992"/>
      <c r="G376" s="1992"/>
      <c r="H376" s="1992"/>
    </row>
    <row r="377" spans="1:8" x14ac:dyDescent="0.2">
      <c r="A377" s="1992"/>
      <c r="B377" s="1992"/>
      <c r="C377" s="1992"/>
      <c r="D377" s="1992"/>
      <c r="E377" s="1992"/>
      <c r="F377" s="1992"/>
      <c r="G377" s="1992"/>
      <c r="H377" s="1992"/>
    </row>
    <row r="378" spans="1:8" x14ac:dyDescent="0.2">
      <c r="A378" s="1993" t="s">
        <v>845</v>
      </c>
      <c r="B378" s="1992"/>
      <c r="C378" s="1992"/>
      <c r="D378" s="1992"/>
      <c r="E378" s="1992"/>
      <c r="F378" s="1992"/>
      <c r="G378" s="1992"/>
      <c r="H378" s="1992"/>
    </row>
    <row r="379" spans="1:8" x14ac:dyDescent="0.2">
      <c r="A379" s="1993" t="s">
        <v>846</v>
      </c>
      <c r="B379" s="1992"/>
      <c r="C379" s="1992"/>
      <c r="D379" s="1992"/>
      <c r="E379" s="1992"/>
      <c r="F379" s="1992"/>
      <c r="G379" s="1992"/>
      <c r="H379" s="1992"/>
    </row>
    <row r="380" spans="1:8" x14ac:dyDescent="0.2">
      <c r="A380" s="1993" t="s">
        <v>847</v>
      </c>
      <c r="B380" s="1992"/>
      <c r="C380" s="1992"/>
      <c r="D380" s="1992"/>
      <c r="E380" s="1992"/>
      <c r="F380" s="1992"/>
      <c r="G380" s="1992"/>
      <c r="H380" s="1992"/>
    </row>
    <row r="381" spans="1:8" x14ac:dyDescent="0.2">
      <c r="A381" s="1993" t="s">
        <v>848</v>
      </c>
      <c r="B381" s="1992"/>
      <c r="C381" s="1992"/>
      <c r="D381" s="1992"/>
      <c r="E381" s="1992"/>
      <c r="F381" s="1992"/>
      <c r="G381" s="1992"/>
      <c r="H381" s="1992"/>
    </row>
    <row r="382" spans="1:8" x14ac:dyDescent="0.2">
      <c r="A382" s="1992"/>
      <c r="B382" s="1992"/>
      <c r="C382" s="1992"/>
      <c r="D382" s="1992"/>
      <c r="E382" s="1992"/>
      <c r="F382" s="1992"/>
      <c r="G382" s="1992"/>
      <c r="H382" s="1992"/>
    </row>
    <row r="383" spans="1:8" x14ac:dyDescent="0.2">
      <c r="A383" s="1993" t="s">
        <v>839</v>
      </c>
      <c r="B383" s="1992"/>
      <c r="C383" s="1992"/>
      <c r="D383" s="1992"/>
      <c r="E383" s="1992"/>
      <c r="F383" s="1992"/>
      <c r="G383" s="1992"/>
      <c r="H383" s="1992"/>
    </row>
    <row r="384" spans="1:8" x14ac:dyDescent="0.2">
      <c r="A384" s="1993" t="s">
        <v>840</v>
      </c>
      <c r="B384" s="1992"/>
      <c r="C384" s="1992"/>
      <c r="D384" s="1992"/>
      <c r="E384" s="1992"/>
      <c r="F384" s="1992"/>
      <c r="G384" s="1992"/>
      <c r="H384" s="1992"/>
    </row>
    <row r="385" spans="1:8" x14ac:dyDescent="0.2">
      <c r="A385" s="1993" t="s">
        <v>841</v>
      </c>
      <c r="B385" s="1992"/>
      <c r="C385" s="1992"/>
      <c r="D385" s="1992"/>
      <c r="E385" s="1992"/>
      <c r="F385" s="1992"/>
      <c r="G385" s="1992"/>
      <c r="H385" s="1992"/>
    </row>
    <row r="386" spans="1:8" x14ac:dyDescent="0.2">
      <c r="A386" s="1993" t="s">
        <v>842</v>
      </c>
      <c r="B386" s="1992"/>
      <c r="C386" s="1992"/>
      <c r="D386" s="1992"/>
      <c r="E386" s="1992"/>
      <c r="F386" s="1992"/>
      <c r="G386" s="1992"/>
      <c r="H386" s="1992"/>
    </row>
    <row r="387" spans="1:8" x14ac:dyDescent="0.2">
      <c r="A387" s="1993" t="s">
        <v>843</v>
      </c>
      <c r="B387" s="1992"/>
      <c r="C387" s="1992"/>
      <c r="D387" s="1992"/>
      <c r="E387" s="1992"/>
      <c r="F387" s="1992"/>
      <c r="G387" s="1992"/>
      <c r="H387" s="1992"/>
    </row>
    <row r="388" spans="1:8" x14ac:dyDescent="0.2">
      <c r="A388" s="1993" t="s">
        <v>844</v>
      </c>
      <c r="B388" s="1992"/>
      <c r="C388" s="1992"/>
      <c r="D388" s="1992"/>
      <c r="E388" s="1992"/>
      <c r="F388" s="1992"/>
      <c r="G388" s="1992"/>
      <c r="H388" s="1992"/>
    </row>
    <row r="389" spans="1:8" x14ac:dyDescent="0.2">
      <c r="A389" s="1992"/>
      <c r="B389" s="1992"/>
      <c r="C389" s="1992"/>
      <c r="D389" s="1992"/>
      <c r="E389" s="1992"/>
      <c r="F389" s="1992"/>
      <c r="G389" s="1992"/>
      <c r="H389" s="1992"/>
    </row>
    <row r="390" spans="1:8" x14ac:dyDescent="0.2">
      <c r="A390" s="1993" t="s">
        <v>834</v>
      </c>
      <c r="B390" s="1992"/>
      <c r="C390" s="1992"/>
      <c r="D390" s="1992"/>
      <c r="E390" s="1992"/>
      <c r="F390" s="1992"/>
      <c r="G390" s="1992"/>
      <c r="H390" s="1992"/>
    </row>
    <row r="391" spans="1:8" x14ac:dyDescent="0.2">
      <c r="A391" s="1993" t="s">
        <v>835</v>
      </c>
      <c r="B391" s="1992"/>
      <c r="C391" s="1992"/>
      <c r="D391" s="1992"/>
      <c r="E391" s="1992"/>
      <c r="F391" s="1992"/>
      <c r="G391" s="1992"/>
      <c r="H391" s="1992"/>
    </row>
    <row r="392" spans="1:8" x14ac:dyDescent="0.2">
      <c r="A392" s="1993" t="s">
        <v>836</v>
      </c>
      <c r="B392" s="1992"/>
      <c r="C392" s="1992"/>
      <c r="D392" s="1992"/>
      <c r="E392" s="1992"/>
      <c r="F392" s="1992"/>
      <c r="G392" s="1992"/>
      <c r="H392" s="1992"/>
    </row>
    <row r="393" spans="1:8" x14ac:dyDescent="0.2">
      <c r="A393" s="1993" t="s">
        <v>837</v>
      </c>
      <c r="B393" s="1992"/>
      <c r="C393" s="1992"/>
      <c r="D393" s="1992"/>
      <c r="E393" s="1992"/>
      <c r="F393" s="1992"/>
      <c r="G393" s="1992"/>
      <c r="H393" s="1992"/>
    </row>
    <row r="394" spans="1:8" x14ac:dyDescent="0.2">
      <c r="A394" s="1993" t="s">
        <v>838</v>
      </c>
      <c r="B394" s="1992"/>
      <c r="C394" s="1992"/>
      <c r="D394" s="1992"/>
      <c r="E394" s="1992"/>
      <c r="F394" s="1992"/>
      <c r="G394" s="1992"/>
      <c r="H394" s="1992"/>
    </row>
    <row r="395" spans="1:8" x14ac:dyDescent="0.2">
      <c r="A395" s="1992"/>
      <c r="B395" s="1992"/>
      <c r="C395" s="1992"/>
      <c r="D395" s="1992"/>
      <c r="E395" s="1992"/>
      <c r="F395" s="1992"/>
      <c r="G395" s="1992"/>
      <c r="H395" s="1992"/>
    </row>
    <row r="396" spans="1:8" x14ac:dyDescent="0.2">
      <c r="A396" s="1993" t="s">
        <v>832</v>
      </c>
      <c r="B396" s="1992"/>
      <c r="C396" s="1992"/>
      <c r="D396" s="1992"/>
      <c r="E396" s="1992"/>
      <c r="F396" s="1992"/>
      <c r="G396" s="1992"/>
      <c r="H396" s="1992"/>
    </row>
    <row r="397" spans="1:8" x14ac:dyDescent="0.2">
      <c r="A397" s="1993" t="s">
        <v>833</v>
      </c>
      <c r="B397" s="1992"/>
      <c r="C397" s="1992"/>
      <c r="D397" s="1992"/>
      <c r="E397" s="1992"/>
      <c r="F397" s="1992"/>
      <c r="G397" s="1992"/>
      <c r="H397" s="1992"/>
    </row>
    <row r="399" spans="1:8" x14ac:dyDescent="0.2">
      <c r="A399" s="1988" t="s">
        <v>1092</v>
      </c>
    </row>
  </sheetData>
  <mergeCells count="12">
    <mergeCell ref="A122:H122"/>
    <mergeCell ref="A129:H129"/>
    <mergeCell ref="A116:H116"/>
    <mergeCell ref="A117:H117"/>
    <mergeCell ref="A118:H118"/>
    <mergeCell ref="A119:H119"/>
    <mergeCell ref="A121:H121"/>
    <mergeCell ref="A137:H137"/>
    <mergeCell ref="A138:H138"/>
    <mergeCell ref="B130:C130"/>
    <mergeCell ref="D130:F130"/>
    <mergeCell ref="G130:H130"/>
  </mergeCells>
  <pageMargins left="0.5" right="0.5" top="0.5" bottom="0.5" header="0.5" footer="0.5"/>
  <pageSetup orientation="portrait" horizontalDpi="300" verticalDpi="0"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B19"/>
  <sheetViews>
    <sheetView workbookViewId="0"/>
  </sheetViews>
  <sheetFormatPr defaultRowHeight="12.75" x14ac:dyDescent="0.2"/>
  <sheetData>
    <row r="1" spans="1:2" x14ac:dyDescent="0.2">
      <c r="A1" t="s">
        <v>1167</v>
      </c>
      <c r="B1" t="s">
        <v>1168</v>
      </c>
    </row>
    <row r="2" spans="1:2" x14ac:dyDescent="0.2">
      <c r="A2" s="2008" t="s">
        <v>1169</v>
      </c>
      <c r="B2">
        <v>-1</v>
      </c>
    </row>
    <row r="3" spans="1:2" x14ac:dyDescent="0.2">
      <c r="A3" s="2008" t="s">
        <v>1170</v>
      </c>
      <c r="B3">
        <v>2</v>
      </c>
    </row>
    <row r="4" spans="1:2" x14ac:dyDescent="0.2">
      <c r="A4" s="2008" t="s">
        <v>1171</v>
      </c>
      <c r="B4">
        <v>-1</v>
      </c>
    </row>
    <row r="5" spans="1:2" x14ac:dyDescent="0.2">
      <c r="A5" s="2008" t="s">
        <v>1172</v>
      </c>
      <c r="B5">
        <v>-1</v>
      </c>
    </row>
    <row r="6" spans="1:2" x14ac:dyDescent="0.2">
      <c r="A6" s="2008" t="s">
        <v>718</v>
      </c>
      <c r="B6">
        <v>-1</v>
      </c>
    </row>
    <row r="7" spans="1:2" x14ac:dyDescent="0.2">
      <c r="A7" s="2008" t="s">
        <v>467</v>
      </c>
      <c r="B7">
        <v>-1</v>
      </c>
    </row>
    <row r="8" spans="1:2" x14ac:dyDescent="0.2">
      <c r="A8" s="2008" t="s">
        <v>361</v>
      </c>
      <c r="B8">
        <v>-1</v>
      </c>
    </row>
    <row r="9" spans="1:2" x14ac:dyDescent="0.2">
      <c r="A9" s="2008" t="s">
        <v>70</v>
      </c>
      <c r="B9">
        <v>-1</v>
      </c>
    </row>
    <row r="10" spans="1:2" x14ac:dyDescent="0.2">
      <c r="A10" s="2008" t="s">
        <v>220</v>
      </c>
      <c r="B10">
        <v>-1</v>
      </c>
    </row>
    <row r="11" spans="1:2" x14ac:dyDescent="0.2">
      <c r="A11" s="2008" t="s">
        <v>161</v>
      </c>
      <c r="B11">
        <v>-1</v>
      </c>
    </row>
    <row r="12" spans="1:2" x14ac:dyDescent="0.2">
      <c r="A12" s="2008" t="s">
        <v>326</v>
      </c>
      <c r="B12">
        <v>-1</v>
      </c>
    </row>
    <row r="13" spans="1:2" x14ac:dyDescent="0.2">
      <c r="A13" s="2008" t="s">
        <v>1173</v>
      </c>
      <c r="B13">
        <v>-1</v>
      </c>
    </row>
    <row r="14" spans="1:2" x14ac:dyDescent="0.2">
      <c r="A14" s="2008" t="s">
        <v>364</v>
      </c>
      <c r="B14">
        <v>-1</v>
      </c>
    </row>
    <row r="15" spans="1:2" x14ac:dyDescent="0.2">
      <c r="A15" s="2008" t="s">
        <v>783</v>
      </c>
      <c r="B15">
        <v>-1</v>
      </c>
    </row>
    <row r="16" spans="1:2" x14ac:dyDescent="0.2">
      <c r="A16" s="2008" t="s">
        <v>1174</v>
      </c>
      <c r="B16">
        <v>-1</v>
      </c>
    </row>
    <row r="17" spans="1:2" x14ac:dyDescent="0.2">
      <c r="A17" s="2008" t="s">
        <v>1175</v>
      </c>
      <c r="B17">
        <v>-1</v>
      </c>
    </row>
    <row r="18" spans="1:2" x14ac:dyDescent="0.2">
      <c r="A18" s="2008" t="s">
        <v>1176</v>
      </c>
      <c r="B18">
        <v>2</v>
      </c>
    </row>
    <row r="19" spans="1:2" x14ac:dyDescent="0.2">
      <c r="A19" s="2008" t="s">
        <v>1177</v>
      </c>
      <c r="B19">
        <v>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B1:B11"/>
  <sheetViews>
    <sheetView showGridLines="0" showRowColHeaders="0" workbookViewId="0">
      <selection activeCell="N1" sqref="N1"/>
    </sheetView>
  </sheetViews>
  <sheetFormatPr defaultRowHeight="12.75" x14ac:dyDescent="0.2"/>
  <cols>
    <col min="1" max="1" width="9.140625" style="1773"/>
    <col min="2" max="2" width="88.28515625" style="1773" customWidth="1"/>
    <col min="3" max="257" width="9.140625" style="1773"/>
    <col min="258" max="258" width="88.28515625" style="1773" customWidth="1"/>
    <col min="259" max="513" width="9.140625" style="1773"/>
    <col min="514" max="514" width="88.28515625" style="1773" customWidth="1"/>
    <col min="515" max="769" width="9.140625" style="1773"/>
    <col min="770" max="770" width="88.28515625" style="1773" customWidth="1"/>
    <col min="771" max="1025" width="9.140625" style="1773"/>
    <col min="1026" max="1026" width="88.28515625" style="1773" customWidth="1"/>
    <col min="1027" max="1281" width="9.140625" style="1773"/>
    <col min="1282" max="1282" width="88.28515625" style="1773" customWidth="1"/>
    <col min="1283" max="1537" width="9.140625" style="1773"/>
    <col min="1538" max="1538" width="88.28515625" style="1773" customWidth="1"/>
    <col min="1539" max="1793" width="9.140625" style="1773"/>
    <col min="1794" max="1794" width="88.28515625" style="1773" customWidth="1"/>
    <col min="1795" max="2049" width="9.140625" style="1773"/>
    <col min="2050" max="2050" width="88.28515625" style="1773" customWidth="1"/>
    <col min="2051" max="2305" width="9.140625" style="1773"/>
    <col min="2306" max="2306" width="88.28515625" style="1773" customWidth="1"/>
    <col min="2307" max="2561" width="9.140625" style="1773"/>
    <col min="2562" max="2562" width="88.28515625" style="1773" customWidth="1"/>
    <col min="2563" max="2817" width="9.140625" style="1773"/>
    <col min="2818" max="2818" width="88.28515625" style="1773" customWidth="1"/>
    <col min="2819" max="3073" width="9.140625" style="1773"/>
    <col min="3074" max="3074" width="88.28515625" style="1773" customWidth="1"/>
    <col min="3075" max="3329" width="9.140625" style="1773"/>
    <col min="3330" max="3330" width="88.28515625" style="1773" customWidth="1"/>
    <col min="3331" max="3585" width="9.140625" style="1773"/>
    <col min="3586" max="3586" width="88.28515625" style="1773" customWidth="1"/>
    <col min="3587" max="3841" width="9.140625" style="1773"/>
    <col min="3842" max="3842" width="88.28515625" style="1773" customWidth="1"/>
    <col min="3843" max="4097" width="9.140625" style="1773"/>
    <col min="4098" max="4098" width="88.28515625" style="1773" customWidth="1"/>
    <col min="4099" max="4353" width="9.140625" style="1773"/>
    <col min="4354" max="4354" width="88.28515625" style="1773" customWidth="1"/>
    <col min="4355" max="4609" width="9.140625" style="1773"/>
    <col min="4610" max="4610" width="88.28515625" style="1773" customWidth="1"/>
    <col min="4611" max="4865" width="9.140625" style="1773"/>
    <col min="4866" max="4866" width="88.28515625" style="1773" customWidth="1"/>
    <col min="4867" max="5121" width="9.140625" style="1773"/>
    <col min="5122" max="5122" width="88.28515625" style="1773" customWidth="1"/>
    <col min="5123" max="5377" width="9.140625" style="1773"/>
    <col min="5378" max="5378" width="88.28515625" style="1773" customWidth="1"/>
    <col min="5379" max="5633" width="9.140625" style="1773"/>
    <col min="5634" max="5634" width="88.28515625" style="1773" customWidth="1"/>
    <col min="5635" max="5889" width="9.140625" style="1773"/>
    <col min="5890" max="5890" width="88.28515625" style="1773" customWidth="1"/>
    <col min="5891" max="6145" width="9.140625" style="1773"/>
    <col min="6146" max="6146" width="88.28515625" style="1773" customWidth="1"/>
    <col min="6147" max="6401" width="9.140625" style="1773"/>
    <col min="6402" max="6402" width="88.28515625" style="1773" customWidth="1"/>
    <col min="6403" max="6657" width="9.140625" style="1773"/>
    <col min="6658" max="6658" width="88.28515625" style="1773" customWidth="1"/>
    <col min="6659" max="6913" width="9.140625" style="1773"/>
    <col min="6914" max="6914" width="88.28515625" style="1773" customWidth="1"/>
    <col min="6915" max="7169" width="9.140625" style="1773"/>
    <col min="7170" max="7170" width="88.28515625" style="1773" customWidth="1"/>
    <col min="7171" max="7425" width="9.140625" style="1773"/>
    <col min="7426" max="7426" width="88.28515625" style="1773" customWidth="1"/>
    <col min="7427" max="7681" width="9.140625" style="1773"/>
    <col min="7682" max="7682" width="88.28515625" style="1773" customWidth="1"/>
    <col min="7683" max="7937" width="9.140625" style="1773"/>
    <col min="7938" max="7938" width="88.28515625" style="1773" customWidth="1"/>
    <col min="7939" max="8193" width="9.140625" style="1773"/>
    <col min="8194" max="8194" width="88.28515625" style="1773" customWidth="1"/>
    <col min="8195" max="8449" width="9.140625" style="1773"/>
    <col min="8450" max="8450" width="88.28515625" style="1773" customWidth="1"/>
    <col min="8451" max="8705" width="9.140625" style="1773"/>
    <col min="8706" max="8706" width="88.28515625" style="1773" customWidth="1"/>
    <col min="8707" max="8961" width="9.140625" style="1773"/>
    <col min="8962" max="8962" width="88.28515625" style="1773" customWidth="1"/>
    <col min="8963" max="9217" width="9.140625" style="1773"/>
    <col min="9218" max="9218" width="88.28515625" style="1773" customWidth="1"/>
    <col min="9219" max="9473" width="9.140625" style="1773"/>
    <col min="9474" max="9474" width="88.28515625" style="1773" customWidth="1"/>
    <col min="9475" max="9729" width="9.140625" style="1773"/>
    <col min="9730" max="9730" width="88.28515625" style="1773" customWidth="1"/>
    <col min="9731" max="9985" width="9.140625" style="1773"/>
    <col min="9986" max="9986" width="88.28515625" style="1773" customWidth="1"/>
    <col min="9987" max="10241" width="9.140625" style="1773"/>
    <col min="10242" max="10242" width="88.28515625" style="1773" customWidth="1"/>
    <col min="10243" max="10497" width="9.140625" style="1773"/>
    <col min="10498" max="10498" width="88.28515625" style="1773" customWidth="1"/>
    <col min="10499" max="10753" width="9.140625" style="1773"/>
    <col min="10754" max="10754" width="88.28515625" style="1773" customWidth="1"/>
    <col min="10755" max="11009" width="9.140625" style="1773"/>
    <col min="11010" max="11010" width="88.28515625" style="1773" customWidth="1"/>
    <col min="11011" max="11265" width="9.140625" style="1773"/>
    <col min="11266" max="11266" width="88.28515625" style="1773" customWidth="1"/>
    <col min="11267" max="11521" width="9.140625" style="1773"/>
    <col min="11522" max="11522" width="88.28515625" style="1773" customWidth="1"/>
    <col min="11523" max="11777" width="9.140625" style="1773"/>
    <col min="11778" max="11778" width="88.28515625" style="1773" customWidth="1"/>
    <col min="11779" max="12033" width="9.140625" style="1773"/>
    <col min="12034" max="12034" width="88.28515625" style="1773" customWidth="1"/>
    <col min="12035" max="12289" width="9.140625" style="1773"/>
    <col min="12290" max="12290" width="88.28515625" style="1773" customWidth="1"/>
    <col min="12291" max="12545" width="9.140625" style="1773"/>
    <col min="12546" max="12546" width="88.28515625" style="1773" customWidth="1"/>
    <col min="12547" max="12801" width="9.140625" style="1773"/>
    <col min="12802" max="12802" width="88.28515625" style="1773" customWidth="1"/>
    <col min="12803" max="13057" width="9.140625" style="1773"/>
    <col min="13058" max="13058" width="88.28515625" style="1773" customWidth="1"/>
    <col min="13059" max="13313" width="9.140625" style="1773"/>
    <col min="13314" max="13314" width="88.28515625" style="1773" customWidth="1"/>
    <col min="13315" max="13569" width="9.140625" style="1773"/>
    <col min="13570" max="13570" width="88.28515625" style="1773" customWidth="1"/>
    <col min="13571" max="13825" width="9.140625" style="1773"/>
    <col min="13826" max="13826" width="88.28515625" style="1773" customWidth="1"/>
    <col min="13827" max="14081" width="9.140625" style="1773"/>
    <col min="14082" max="14082" width="88.28515625" style="1773" customWidth="1"/>
    <col min="14083" max="14337" width="9.140625" style="1773"/>
    <col min="14338" max="14338" width="88.28515625" style="1773" customWidth="1"/>
    <col min="14339" max="14593" width="9.140625" style="1773"/>
    <col min="14594" max="14594" width="88.28515625" style="1773" customWidth="1"/>
    <col min="14595" max="14849" width="9.140625" style="1773"/>
    <col min="14850" max="14850" width="88.28515625" style="1773" customWidth="1"/>
    <col min="14851" max="15105" width="9.140625" style="1773"/>
    <col min="15106" max="15106" width="88.28515625" style="1773" customWidth="1"/>
    <col min="15107" max="15361" width="9.140625" style="1773"/>
    <col min="15362" max="15362" width="88.28515625" style="1773" customWidth="1"/>
    <col min="15363" max="15617" width="9.140625" style="1773"/>
    <col min="15618" max="15618" width="88.28515625" style="1773" customWidth="1"/>
    <col min="15619" max="15873" width="9.140625" style="1773"/>
    <col min="15874" max="15874" width="88.28515625" style="1773" customWidth="1"/>
    <col min="15875" max="16129" width="9.140625" style="1773"/>
    <col min="16130" max="16130" width="88.28515625" style="1773" customWidth="1"/>
    <col min="16131" max="16384" width="9.140625" style="1773"/>
  </cols>
  <sheetData>
    <row r="1" spans="2:2" ht="32.25" customHeight="1" x14ac:dyDescent="0.2"/>
    <row r="2" spans="2:2" ht="72" x14ac:dyDescent="0.25">
      <c r="B2" s="2004" t="s">
        <v>1160</v>
      </c>
    </row>
    <row r="3" spans="2:2" ht="72" hidden="1" x14ac:dyDescent="0.25">
      <c r="B3" s="2004" t="s">
        <v>1161</v>
      </c>
    </row>
    <row r="4" spans="2:2" ht="18" x14ac:dyDescent="0.25">
      <c r="B4" s="2004"/>
    </row>
    <row r="5" spans="2:2" ht="54" x14ac:dyDescent="0.25">
      <c r="B5" s="2004" t="s">
        <v>1162</v>
      </c>
    </row>
    <row r="6" spans="2:2" ht="7.5" customHeight="1" x14ac:dyDescent="0.25">
      <c r="B6" s="2004"/>
    </row>
    <row r="7" spans="2:2" ht="18" x14ac:dyDescent="0.25">
      <c r="B7" s="2005" t="s">
        <v>1163</v>
      </c>
    </row>
    <row r="8" spans="2:2" ht="18" x14ac:dyDescent="0.25">
      <c r="B8" s="2005" t="s">
        <v>1165</v>
      </c>
    </row>
    <row r="9" spans="2:2" ht="18" x14ac:dyDescent="0.25">
      <c r="B9" s="2005" t="s">
        <v>1166</v>
      </c>
    </row>
    <row r="10" spans="2:2" ht="18" x14ac:dyDescent="0.25">
      <c r="B10" s="2006"/>
    </row>
    <row r="11" spans="2:2" ht="54" x14ac:dyDescent="0.25">
      <c r="B11" s="2007" t="s">
        <v>1164</v>
      </c>
    </row>
  </sheetData>
  <dataConsolidate/>
  <pageMargins left="0.75" right="0.75" top="1" bottom="1" header="0.5" footer="0.5"/>
  <pageSetup orientation="portrait" horizont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3496449" r:id="rId4" name="Button 1">
              <controlPr defaultSize="0" print="0" autoFill="0" autoPict="0" macro="[0]!ApplyCircRefs">
                <anchor moveWithCells="1" sizeWithCells="1">
                  <from>
                    <xdr:col>1</xdr:col>
                    <xdr:colOff>0</xdr:colOff>
                    <xdr:row>11</xdr:row>
                    <xdr:rowOff>152400</xdr:rowOff>
                  </from>
                  <to>
                    <xdr:col>1</xdr:col>
                    <xdr:colOff>2819400</xdr:colOff>
                    <xdr:row>14</xdr:row>
                    <xdr:rowOff>152400</xdr:rowOff>
                  </to>
                </anchor>
              </controlPr>
            </control>
          </mc:Choice>
        </mc:AlternateContent>
        <mc:AlternateContent xmlns:mc="http://schemas.openxmlformats.org/markup-compatibility/2006">
          <mc:Choice Requires="x14">
            <control shapeId="43496450" r:id="rId5" name="Button 2">
              <controlPr defaultSize="0" print="0" autoFill="0" autoPict="0" macro="[0]!JustUnhideSheets">
                <anchor moveWithCells="1" sizeWithCells="1">
                  <from>
                    <xdr:col>1</xdr:col>
                    <xdr:colOff>3067050</xdr:colOff>
                    <xdr:row>11</xdr:row>
                    <xdr:rowOff>152400</xdr:rowOff>
                  </from>
                  <to>
                    <xdr:col>2</xdr:col>
                    <xdr:colOff>0</xdr:colOff>
                    <xdr:row>14</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indexed="57"/>
  </sheetPr>
  <dimension ref="A1:O20"/>
  <sheetViews>
    <sheetView workbookViewId="0"/>
  </sheetViews>
  <sheetFormatPr defaultRowHeight="12.75" x14ac:dyDescent="0.2"/>
  <cols>
    <col min="1" max="1" width="7.7109375" style="446" customWidth="1"/>
    <col min="2" max="2" width="25.85546875" style="463" customWidth="1"/>
    <col min="3" max="3" width="4.42578125" style="446" customWidth="1"/>
    <col min="4" max="4" width="28.42578125" style="446" customWidth="1"/>
    <col min="5" max="5" width="6.5703125" style="446" customWidth="1"/>
    <col min="6" max="6" width="32" style="446" bestFit="1" customWidth="1"/>
    <col min="7" max="7" width="32" style="446" customWidth="1"/>
    <col min="8" max="8" width="6.5703125" style="446" customWidth="1"/>
    <col min="9" max="9" width="6.42578125" style="446" customWidth="1"/>
    <col min="10" max="16384" width="9.140625" style="446"/>
  </cols>
  <sheetData>
    <row r="1" spans="1:10" ht="65.25" customHeight="1" x14ac:dyDescent="0.2">
      <c r="A1" s="1070"/>
      <c r="B1" s="444"/>
      <c r="C1" s="445"/>
      <c r="D1" s="445"/>
      <c r="E1" s="445"/>
      <c r="F1" s="445"/>
      <c r="G1" s="445"/>
      <c r="H1" s="445"/>
    </row>
    <row r="2" spans="1:10" ht="21.75" customHeight="1" x14ac:dyDescent="0.35">
      <c r="A2" s="448" t="s">
        <v>434</v>
      </c>
      <c r="B2" s="447"/>
      <c r="C2" s="447"/>
      <c r="D2" s="797"/>
      <c r="E2" s="449"/>
      <c r="F2" s="447"/>
      <c r="G2" s="447"/>
      <c r="H2" s="449"/>
    </row>
    <row r="3" spans="1:10" ht="21" customHeight="1" x14ac:dyDescent="0.35">
      <c r="A3" s="450" t="s">
        <v>440</v>
      </c>
      <c r="B3" s="447"/>
      <c r="C3" s="447"/>
      <c r="D3" s="797"/>
      <c r="E3" s="449"/>
      <c r="F3" s="447"/>
      <c r="G3" s="447"/>
      <c r="H3" s="449"/>
    </row>
    <row r="4" spans="1:10" ht="21" customHeight="1" x14ac:dyDescent="0.35">
      <c r="A4" s="798"/>
      <c r="B4" s="447"/>
      <c r="C4" s="447"/>
      <c r="D4" s="451"/>
      <c r="E4" s="452"/>
      <c r="F4" s="447"/>
      <c r="G4" s="447"/>
      <c r="H4" s="452"/>
    </row>
    <row r="5" spans="1:10" ht="21" customHeight="1" thickBot="1" x14ac:dyDescent="0.4">
      <c r="A5" s="798"/>
      <c r="B5" s="447"/>
      <c r="C5" s="447"/>
      <c r="D5" s="451"/>
      <c r="E5" s="452"/>
      <c r="F5" s="447"/>
      <c r="G5" s="447"/>
      <c r="H5" s="452"/>
    </row>
    <row r="6" spans="1:10" x14ac:dyDescent="0.2">
      <c r="A6" s="1503"/>
      <c r="B6" s="1504"/>
      <c r="C6" s="1505"/>
      <c r="D6" s="1505"/>
      <c r="E6" s="1505"/>
      <c r="F6" s="1505"/>
      <c r="G6" s="1505"/>
      <c r="H6" s="1505"/>
    </row>
    <row r="7" spans="1:10" ht="15.75" x14ac:dyDescent="0.25">
      <c r="A7" s="995" t="s">
        <v>248</v>
      </c>
      <c r="B7" s="454"/>
      <c r="C7" s="454"/>
      <c r="D7" s="455" t="s">
        <v>648</v>
      </c>
      <c r="E7" s="454"/>
      <c r="F7" s="455" t="s">
        <v>715</v>
      </c>
      <c r="G7" s="455" t="s">
        <v>756</v>
      </c>
      <c r="H7" s="454"/>
    </row>
    <row r="8" spans="1:10" ht="15.75" x14ac:dyDescent="0.25">
      <c r="A8" s="995" t="s">
        <v>359</v>
      </c>
      <c r="B8" s="454"/>
      <c r="C8" s="454"/>
      <c r="D8" s="455" t="s">
        <v>649</v>
      </c>
      <c r="E8" s="454"/>
      <c r="F8" s="455" t="s">
        <v>649</v>
      </c>
      <c r="G8" s="455" t="s">
        <v>753</v>
      </c>
      <c r="H8" s="454"/>
    </row>
    <row r="9" spans="1:10" ht="15.75" x14ac:dyDescent="0.25">
      <c r="A9" s="995" t="s">
        <v>249</v>
      </c>
      <c r="B9" s="454"/>
      <c r="C9" s="454"/>
      <c r="D9" s="455" t="s">
        <v>650</v>
      </c>
      <c r="E9" s="454"/>
      <c r="F9" s="455" t="s">
        <v>716</v>
      </c>
      <c r="G9" s="455" t="s">
        <v>754</v>
      </c>
      <c r="H9" s="454"/>
    </row>
    <row r="10" spans="1:10" x14ac:dyDescent="0.2">
      <c r="A10" s="996" t="s">
        <v>250</v>
      </c>
      <c r="B10" s="454"/>
      <c r="C10" s="454"/>
      <c r="D10" s="1781" t="s">
        <v>651</v>
      </c>
      <c r="E10" s="454"/>
      <c r="F10" s="1104" t="s">
        <v>717</v>
      </c>
      <c r="G10" s="1104" t="s">
        <v>755</v>
      </c>
      <c r="H10" s="454"/>
    </row>
    <row r="11" spans="1:10" ht="15.75" x14ac:dyDescent="0.25">
      <c r="A11" s="453"/>
      <c r="B11" s="454"/>
      <c r="C11" s="456"/>
      <c r="D11" s="454"/>
      <c r="E11" s="454"/>
      <c r="F11" s="454"/>
      <c r="G11" s="454"/>
      <c r="H11" s="454"/>
    </row>
    <row r="12" spans="1:10" ht="16.5" thickBot="1" x14ac:dyDescent="0.3">
      <c r="A12" s="459"/>
      <c r="B12" s="460"/>
      <c r="C12" s="460"/>
      <c r="D12" s="461"/>
      <c r="E12" s="460"/>
      <c r="F12" s="460"/>
      <c r="G12" s="460"/>
      <c r="H12" s="460"/>
      <c r="I12" s="457"/>
      <c r="J12" s="457"/>
    </row>
    <row r="13" spans="1:10" ht="15.75" x14ac:dyDescent="0.25">
      <c r="A13" s="462"/>
      <c r="C13" s="458"/>
      <c r="E13" s="464"/>
      <c r="F13" s="464"/>
      <c r="G13" s="464"/>
      <c r="H13" s="464"/>
      <c r="I13" s="458"/>
      <c r="J13" s="458"/>
    </row>
    <row r="14" spans="1:10" ht="15.75" x14ac:dyDescent="0.25">
      <c r="A14" s="462"/>
      <c r="B14" s="446"/>
    </row>
    <row r="16" spans="1:10" x14ac:dyDescent="0.2">
      <c r="B16" s="446"/>
    </row>
    <row r="20" spans="4:15" x14ac:dyDescent="0.2">
      <c r="D20" s="465"/>
      <c r="K20" s="1006"/>
      <c r="L20" s="1006"/>
      <c r="M20" s="1006"/>
      <c r="N20" s="1006"/>
      <c r="O20" s="1006"/>
    </row>
  </sheetData>
  <phoneticPr fontId="15" type="noConversion"/>
  <hyperlinks>
    <hyperlink ref="A10" r:id="rId1"/>
    <hyperlink ref="D10" r:id="rId2"/>
    <hyperlink ref="F10" r:id="rId3"/>
    <hyperlink ref="G10" r:id="rId4"/>
  </hyperlinks>
  <pageMargins left="0.75" right="0.75" top="1" bottom="1" header="0.5" footer="0.5"/>
  <pageSetup paperSize="5" orientation="landscape" r:id="rId5"/>
  <headerFooter alignWithMargins="0"/>
  <drawing r:id="rId6"/>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enableFormatConditionsCalculation="0">
    <tabColor indexed="57"/>
    <pageSetUpPr fitToPage="1"/>
  </sheetPr>
  <dimension ref="A1:DR209"/>
  <sheetViews>
    <sheetView showGridLines="0" topLeftCell="A3" zoomScaleNormal="100" zoomScaleSheetLayoutView="100" workbookViewId="0">
      <pane xSplit="3" ySplit="7" topLeftCell="D10" activePane="bottomRight" state="frozen"/>
      <selection activeCell="B2" sqref="B2"/>
      <selection pane="topRight" activeCell="B2" sqref="B2"/>
      <selection pane="bottomLeft" activeCell="B2" sqref="B2"/>
      <selection pane="bottomRight" activeCell="CJ59" sqref="CJ59"/>
    </sheetView>
  </sheetViews>
  <sheetFormatPr defaultRowHeight="12.75" outlineLevelRow="2" outlineLevelCol="2" x14ac:dyDescent="0.2"/>
  <cols>
    <col min="1" max="1" width="1.5703125" style="1" customWidth="1"/>
    <col min="2" max="2" width="27.5703125" style="371" customWidth="1"/>
    <col min="3" max="3" width="6.7109375" style="10" customWidth="1"/>
    <col min="4" max="5" width="7.85546875" style="1" hidden="1" customWidth="1" outlineLevel="1" collapsed="1"/>
    <col min="6" max="9" width="8.7109375" style="1" hidden="1" customWidth="1" outlineLevel="2"/>
    <col min="10" max="10" width="8.7109375" style="1" hidden="1" customWidth="1" outlineLevel="1" collapsed="1"/>
    <col min="11" max="14" width="8.7109375" style="1" hidden="1" customWidth="1" outlineLevel="2"/>
    <col min="15" max="15" width="8.7109375" style="1" hidden="1" customWidth="1" outlineLevel="1" collapsed="1"/>
    <col min="16" max="16" width="8.7109375" style="1" hidden="1" customWidth="1" outlineLevel="2" collapsed="1"/>
    <col min="17" max="19" width="8.7109375" style="1" hidden="1" customWidth="1" outlineLevel="2"/>
    <col min="20" max="20" width="8.7109375" style="1" hidden="1" customWidth="1" outlineLevel="1" collapsed="1"/>
    <col min="21" max="24" width="8.7109375" style="1" hidden="1" customWidth="1" outlineLevel="2"/>
    <col min="25" max="25" width="8.7109375" style="1" hidden="1" customWidth="1" outlineLevel="1" collapsed="1"/>
    <col min="26" max="29" width="8.7109375" style="1" hidden="1" customWidth="1" outlineLevel="2"/>
    <col min="30" max="30" width="8.7109375" style="1" hidden="1" customWidth="1" outlineLevel="1" collapsed="1"/>
    <col min="31" max="34" width="8.7109375" style="1" hidden="1" customWidth="1" outlineLevel="2"/>
    <col min="35" max="35" width="8.7109375" style="1" hidden="1" customWidth="1" outlineLevel="1" collapsed="1"/>
    <col min="36" max="39" width="8.7109375" style="1" hidden="1" customWidth="1" outlineLevel="2"/>
    <col min="40" max="40" width="8.7109375" style="1" hidden="1" customWidth="1" outlineLevel="1" collapsed="1"/>
    <col min="41" max="42" width="8.7109375" style="43" hidden="1" customWidth="1" outlineLevel="2"/>
    <col min="43" max="44" width="8.7109375" style="1" hidden="1" customWidth="1" outlineLevel="2"/>
    <col min="45" max="45" width="8.7109375" style="1" hidden="1" customWidth="1" outlineLevel="1" collapsed="1"/>
    <col min="46" max="46" width="7.28515625" style="43" hidden="1" customWidth="1" outlineLevel="2"/>
    <col min="47" max="47" width="7.5703125" style="43" hidden="1" customWidth="1" outlineLevel="2"/>
    <col min="48" max="49" width="7.5703125" style="1" hidden="1" customWidth="1" outlineLevel="2"/>
    <col min="50" max="50" width="8.7109375" style="1" hidden="1" customWidth="1" collapsed="1"/>
    <col min="51" max="54" width="8.140625" style="1" hidden="1" customWidth="1" outlineLevel="1"/>
    <col min="55" max="55" width="8.7109375" style="1" hidden="1" customWidth="1" collapsed="1"/>
    <col min="56" max="59" width="8.7109375" style="1" hidden="1" customWidth="1" outlineLevel="1"/>
    <col min="60" max="60" width="8.7109375" style="1" hidden="1" customWidth="1" collapsed="1"/>
    <col min="61" max="64" width="8.7109375" style="1" hidden="1" customWidth="1" outlineLevel="1"/>
    <col min="65" max="65" width="8.7109375" style="1" hidden="1" customWidth="1" collapsed="1"/>
    <col min="66" max="69" width="8.7109375" style="1" hidden="1" customWidth="1" outlineLevel="1"/>
    <col min="70" max="70" width="8.7109375" style="1" hidden="1" customWidth="1" collapsed="1"/>
    <col min="71" max="74" width="8.7109375" style="1" hidden="1" customWidth="1" outlineLevel="1"/>
    <col min="75" max="75" width="8.7109375" style="1" hidden="1" customWidth="1" collapsed="1"/>
    <col min="76" max="79" width="8.7109375" style="1" hidden="1" customWidth="1" outlineLevel="1"/>
    <col min="80" max="80" width="8.7109375" style="1" hidden="1" customWidth="1" collapsed="1"/>
    <col min="81" max="84" width="8.7109375" style="1" hidden="1" customWidth="1" outlineLevel="1"/>
    <col min="85" max="85" width="8.7109375" style="1" hidden="1" customWidth="1" collapsed="1"/>
    <col min="86" max="89" width="8.7109375" style="1" customWidth="1" outlineLevel="1"/>
    <col min="90" max="90" width="8.7109375" style="1" customWidth="1"/>
    <col min="91" max="94" width="8.7109375" style="1" customWidth="1" outlineLevel="1"/>
    <col min="95" max="95" width="8.7109375" style="1" customWidth="1"/>
    <col min="96" max="99" width="9.140625" style="1" hidden="1" customWidth="1" outlineLevel="1"/>
    <col min="100" max="100" width="9.140625" style="1" collapsed="1"/>
    <col min="101" max="104" width="9.140625" style="1" hidden="1" customWidth="1" outlineLevel="1"/>
    <col min="105" max="105" width="9.140625" style="1" collapsed="1"/>
    <col min="106" max="109" width="9.140625" style="1" hidden="1" customWidth="1" outlineLevel="1"/>
    <col min="110" max="110" width="9.140625" style="1" collapsed="1"/>
    <col min="113" max="113" width="45.28515625" customWidth="1"/>
    <col min="119" max="16384" width="9.140625" style="43"/>
  </cols>
  <sheetData>
    <row r="1" spans="2:118" x14ac:dyDescent="0.2">
      <c r="B1" s="716" t="s">
        <v>22</v>
      </c>
      <c r="C1" s="1015"/>
      <c r="G1" s="2" t="s">
        <v>23</v>
      </c>
      <c r="H1" s="1" t="s">
        <v>23</v>
      </c>
      <c r="I1" s="3" t="s">
        <v>23</v>
      </c>
      <c r="J1" s="1" t="s">
        <v>23</v>
      </c>
      <c r="N1" s="1" t="s">
        <v>23</v>
      </c>
      <c r="T1" s="1" t="s">
        <v>23</v>
      </c>
    </row>
    <row r="2" spans="2:118" ht="5.0999999999999996" customHeight="1" x14ac:dyDescent="0.2">
      <c r="AT2" s="5"/>
      <c r="AU2" s="5"/>
    </row>
    <row r="3" spans="2:118" ht="5.0999999999999996" customHeight="1" x14ac:dyDescent="0.2">
      <c r="B3" s="881"/>
      <c r="C3" s="1016"/>
      <c r="D3" s="529"/>
      <c r="E3" s="529"/>
      <c r="F3" s="529"/>
      <c r="G3" s="529"/>
      <c r="H3" s="529"/>
      <c r="I3" s="529"/>
      <c r="J3" s="529"/>
      <c r="K3" s="43"/>
      <c r="L3" s="43"/>
      <c r="M3" s="43"/>
      <c r="N3" s="43"/>
      <c r="O3" s="43" t="s">
        <v>24</v>
      </c>
      <c r="P3" s="325"/>
      <c r="Q3" s="325"/>
      <c r="R3" s="325"/>
      <c r="S3" s="325"/>
      <c r="T3" s="325"/>
      <c r="U3" s="325"/>
      <c r="V3" s="325"/>
      <c r="W3" s="325"/>
      <c r="X3" s="325"/>
      <c r="Y3" s="325"/>
      <c r="Z3" s="325"/>
      <c r="AA3" s="325"/>
      <c r="AB3" s="325"/>
      <c r="AC3" s="325"/>
      <c r="AD3" s="325"/>
      <c r="AE3" s="325"/>
      <c r="AF3" s="325"/>
      <c r="AG3" s="325"/>
      <c r="AH3" s="325"/>
      <c r="AI3" s="325"/>
      <c r="AJ3" s="325"/>
      <c r="AK3" s="325"/>
      <c r="AL3" s="325"/>
      <c r="AM3" s="325"/>
      <c r="AN3" s="325"/>
      <c r="AO3" s="325"/>
      <c r="AP3" s="325"/>
      <c r="AQ3" s="325"/>
      <c r="AR3" s="325"/>
      <c r="AS3" s="325"/>
      <c r="AT3" s="325"/>
      <c r="AU3" s="325"/>
      <c r="AV3" s="325"/>
      <c r="AW3" s="325"/>
      <c r="AX3" s="325"/>
      <c r="AY3" s="325"/>
      <c r="AZ3" s="325"/>
      <c r="BA3" s="325"/>
      <c r="BB3" s="325"/>
      <c r="BC3" s="325"/>
      <c r="BD3" s="325"/>
      <c r="BE3" s="325"/>
      <c r="BF3" s="325"/>
      <c r="BG3" s="325"/>
      <c r="BH3" s="325"/>
      <c r="BI3" s="325"/>
      <c r="BJ3" s="325"/>
      <c r="BK3" s="325"/>
      <c r="BL3" s="325"/>
      <c r="BM3" s="325"/>
      <c r="BN3" s="325"/>
      <c r="BO3" s="325"/>
      <c r="BP3" s="325"/>
      <c r="BQ3" s="325"/>
      <c r="BR3" s="325"/>
      <c r="BS3" s="325"/>
      <c r="BT3" s="325"/>
      <c r="BU3" s="325"/>
      <c r="BV3" s="325"/>
      <c r="BW3" s="325"/>
      <c r="BX3" s="325"/>
      <c r="BY3" s="325"/>
      <c r="BZ3" s="325"/>
      <c r="CA3" s="325"/>
      <c r="CB3" s="325"/>
      <c r="CC3" s="325"/>
      <c r="CD3" s="325"/>
      <c r="CE3" s="325"/>
      <c r="CF3" s="325"/>
      <c r="CG3" s="325"/>
      <c r="CH3" s="325"/>
      <c r="CI3" s="325"/>
      <c r="CJ3" s="325"/>
      <c r="CK3" s="325"/>
      <c r="CL3" s="325"/>
      <c r="CM3" s="325"/>
      <c r="CN3" s="325"/>
      <c r="CO3" s="325"/>
      <c r="CP3" s="325"/>
      <c r="CQ3" s="325"/>
      <c r="CR3" s="43"/>
      <c r="CS3" s="43"/>
      <c r="CT3" s="43"/>
      <c r="CU3" s="43"/>
      <c r="CV3" s="43"/>
      <c r="CW3" s="43"/>
      <c r="CX3" s="43"/>
      <c r="CY3" s="43"/>
      <c r="CZ3" s="43"/>
      <c r="DA3" s="43"/>
      <c r="DB3" s="43"/>
      <c r="DC3" s="43"/>
      <c r="DD3" s="43"/>
      <c r="DE3" s="43"/>
      <c r="DF3" s="43"/>
    </row>
    <row r="4" spans="2:118" ht="5.0999999999999996" customHeight="1" thickBot="1" x14ac:dyDescent="0.25"/>
    <row r="5" spans="2:118" ht="18.75" x14ac:dyDescent="0.3">
      <c r="B5" s="1026" t="s">
        <v>22</v>
      </c>
      <c r="C5" s="1027"/>
      <c r="D5" s="1028"/>
      <c r="E5" s="1028"/>
      <c r="F5" s="1029"/>
      <c r="G5" s="1028"/>
      <c r="H5" s="1028"/>
      <c r="I5" s="1030"/>
      <c r="J5" s="1028"/>
      <c r="K5" s="1028" t="s">
        <v>23</v>
      </c>
      <c r="L5" s="1028" t="s">
        <v>23</v>
      </c>
      <c r="M5" s="1031" t="s">
        <v>23</v>
      </c>
      <c r="N5" s="1031" t="s">
        <v>23</v>
      </c>
      <c r="O5" s="1030" t="s">
        <v>23</v>
      </c>
      <c r="P5" s="1032" t="s">
        <v>23</v>
      </c>
      <c r="Q5" s="1033" t="s">
        <v>23</v>
      </c>
      <c r="R5" s="1034" t="s">
        <v>23</v>
      </c>
      <c r="S5" s="1034" t="s">
        <v>23</v>
      </c>
      <c r="T5" s="1028" t="s">
        <v>23</v>
      </c>
      <c r="U5" s="1032" t="s">
        <v>23</v>
      </c>
      <c r="V5" s="1033" t="s">
        <v>23</v>
      </c>
      <c r="W5" s="1028" t="s">
        <v>23</v>
      </c>
      <c r="X5" s="1028" t="s">
        <v>23</v>
      </c>
      <c r="Y5" s="1034" t="s">
        <v>23</v>
      </c>
      <c r="Z5" s="1028"/>
      <c r="AA5" s="1028"/>
      <c r="AB5" s="1028"/>
      <c r="AC5" s="1028"/>
      <c r="AD5" s="1028"/>
      <c r="AE5" s="1028"/>
      <c r="AF5" s="1028"/>
      <c r="AG5" s="1028"/>
      <c r="AH5" s="1028"/>
      <c r="AI5" s="1035"/>
      <c r="AJ5" s="1028"/>
      <c r="AK5" s="1028"/>
      <c r="AL5" s="1028"/>
      <c r="AM5" s="1028"/>
      <c r="AN5" s="1028"/>
      <c r="AO5" s="1028"/>
      <c r="AP5" s="1028"/>
      <c r="AQ5" s="1028"/>
      <c r="AR5" s="1028"/>
      <c r="AS5" s="1028"/>
      <c r="AT5" s="1028"/>
      <c r="AU5" s="1028"/>
      <c r="AV5" s="1028"/>
      <c r="AW5" s="1028"/>
      <c r="AX5" s="1028"/>
      <c r="AY5" s="1028"/>
      <c r="AZ5" s="1028"/>
      <c r="BA5" s="1071"/>
      <c r="BB5" s="1028"/>
      <c r="BC5" s="1028"/>
      <c r="BD5" s="1028"/>
      <c r="BE5" s="1028"/>
      <c r="BF5" s="1028"/>
      <c r="BG5" s="1028"/>
      <c r="BH5" s="1028"/>
      <c r="BI5" s="1028"/>
      <c r="BJ5" s="1028"/>
      <c r="BK5" s="1028"/>
      <c r="BL5" s="1028"/>
      <c r="BM5" s="1028"/>
      <c r="BN5" s="1028"/>
      <c r="BO5" s="1028"/>
      <c r="BP5" s="1466"/>
      <c r="BQ5" s="1036"/>
      <c r="BR5" s="1036"/>
      <c r="BS5" s="1036"/>
      <c r="BT5" s="1036"/>
      <c r="BU5" s="1036"/>
      <c r="BV5" s="1036"/>
      <c r="BW5" s="1036"/>
      <c r="BX5" s="1036"/>
      <c r="BY5" s="1036"/>
      <c r="BZ5" s="1036"/>
      <c r="CA5" s="1036"/>
      <c r="CB5" s="1036"/>
      <c r="CC5" s="1036"/>
      <c r="CD5" s="1036"/>
      <c r="CE5" s="1036"/>
      <c r="CF5" s="1036"/>
      <c r="CG5" s="1037"/>
      <c r="CH5" s="1036"/>
      <c r="CI5" s="1036"/>
      <c r="CJ5" s="1036"/>
      <c r="CK5" s="1036"/>
      <c r="CL5" s="1037"/>
      <c r="CM5" s="1036"/>
      <c r="CN5" s="1036"/>
      <c r="CO5" s="1036"/>
      <c r="CP5" s="1036"/>
      <c r="CQ5" s="1037"/>
      <c r="CR5" s="1036"/>
      <c r="CS5" s="1036"/>
      <c r="CT5" s="1036"/>
      <c r="CU5" s="1036"/>
      <c r="CV5" s="1037"/>
      <c r="CW5" s="1036"/>
      <c r="CX5" s="1036"/>
      <c r="CY5" s="1036"/>
      <c r="CZ5" s="1036"/>
      <c r="DA5" s="1037"/>
      <c r="DB5" s="1036"/>
      <c r="DC5" s="1036"/>
      <c r="DD5" s="1036"/>
      <c r="DE5" s="1036"/>
      <c r="DF5" s="1037"/>
    </row>
    <row r="6" spans="2:118" ht="13.5" thickBot="1" x14ac:dyDescent="0.25">
      <c r="B6" s="1050" t="str">
        <f>"Quarterly Income Statement"</f>
        <v>Quarterly Income Statement</v>
      </c>
      <c r="C6" s="1038"/>
      <c r="D6" s="1038"/>
      <c r="E6" s="1038"/>
      <c r="F6" s="1038"/>
      <c r="G6" s="1039"/>
      <c r="H6" s="1038" t="s">
        <v>23</v>
      </c>
      <c r="I6" s="1038" t="s">
        <v>23</v>
      </c>
      <c r="J6" s="1038" t="s">
        <v>23</v>
      </c>
      <c r="K6" s="1040"/>
      <c r="L6" s="1041" t="s">
        <v>23</v>
      </c>
      <c r="M6" s="1040" t="s">
        <v>23</v>
      </c>
      <c r="N6" s="1040" t="s">
        <v>23</v>
      </c>
      <c r="O6" s="1038" t="s">
        <v>23</v>
      </c>
      <c r="P6" s="1040" t="s">
        <v>23</v>
      </c>
      <c r="Q6" s="1040" t="s">
        <v>23</v>
      </c>
      <c r="R6" s="1040" t="s">
        <v>23</v>
      </c>
      <c r="S6" s="1040" t="s">
        <v>23</v>
      </c>
      <c r="T6" s="1042" t="s">
        <v>23</v>
      </c>
      <c r="U6" s="1040" t="s">
        <v>23</v>
      </c>
      <c r="V6" s="1040" t="s">
        <v>23</v>
      </c>
      <c r="W6" s="1040" t="s">
        <v>23</v>
      </c>
      <c r="X6" s="1042" t="s">
        <v>23</v>
      </c>
      <c r="Y6" s="1042" t="s">
        <v>23</v>
      </c>
      <c r="Z6" s="1038" t="s">
        <v>23</v>
      </c>
      <c r="AA6" s="1038"/>
      <c r="AB6" s="1038"/>
      <c r="AC6" s="1043"/>
      <c r="AD6" s="1038"/>
      <c r="AE6" s="1044"/>
      <c r="AF6" s="1045"/>
      <c r="AG6" s="1042"/>
      <c r="AH6" s="1038"/>
      <c r="AI6" s="1046"/>
      <c r="AJ6" s="1041"/>
      <c r="AK6" s="1038"/>
      <c r="AL6" s="1038"/>
      <c r="AM6" s="1038"/>
      <c r="AN6" s="1041"/>
      <c r="AO6" s="1043"/>
      <c r="AP6" s="1038"/>
      <c r="AQ6" s="1038"/>
      <c r="AR6" s="1038"/>
      <c r="AS6" s="1038"/>
      <c r="AT6" s="1043"/>
      <c r="AU6" s="1038"/>
      <c r="AV6" s="1038"/>
      <c r="AW6" s="1038"/>
      <c r="AX6" s="1038"/>
      <c r="AY6" s="1047"/>
      <c r="AZ6" s="1038"/>
      <c r="BA6" s="1038"/>
      <c r="BB6" s="1038"/>
      <c r="BC6" s="1038"/>
      <c r="BD6" s="1038"/>
      <c r="BE6" s="1038"/>
      <c r="BF6" s="1038"/>
      <c r="BG6" s="1038"/>
      <c r="BH6" s="1038"/>
      <c r="BI6" s="1038"/>
      <c r="BJ6" s="1038"/>
      <c r="BK6" s="1038"/>
      <c r="BL6" s="1038"/>
      <c r="BM6" s="1038"/>
      <c r="BN6" s="1038"/>
      <c r="BO6" s="1038"/>
      <c r="BP6" s="1038"/>
      <c r="BQ6" s="1048"/>
      <c r="BR6" s="1048"/>
      <c r="BS6" s="1048"/>
      <c r="BT6" s="1048"/>
      <c r="BU6" s="1048"/>
      <c r="BV6" s="1048"/>
      <c r="BW6" s="1048"/>
      <c r="BX6" s="1048"/>
      <c r="BY6" s="1048"/>
      <c r="BZ6" s="1048"/>
      <c r="CA6" s="1048"/>
      <c r="CB6" s="1048"/>
      <c r="CC6" s="1048"/>
      <c r="CD6" s="1048"/>
      <c r="CE6" s="1048"/>
      <c r="CF6" s="1048"/>
      <c r="CG6" s="1049"/>
      <c r="CH6" s="1048"/>
      <c r="CI6" s="1048"/>
      <c r="CJ6" s="1048"/>
      <c r="CK6" s="1048"/>
      <c r="CL6" s="1049"/>
      <c r="CM6" s="1048"/>
      <c r="CN6" s="1048"/>
      <c r="CO6" s="1048"/>
      <c r="CP6" s="1048"/>
      <c r="CQ6" s="1049"/>
      <c r="CR6" s="1048"/>
      <c r="CS6" s="1048"/>
      <c r="CT6" s="1048"/>
      <c r="CU6" s="1048"/>
      <c r="CV6" s="1049"/>
      <c r="CW6" s="1048"/>
      <c r="CX6" s="1048"/>
      <c r="CY6" s="1048"/>
      <c r="CZ6" s="1048"/>
      <c r="DA6" s="1049"/>
      <c r="DB6" s="1048"/>
      <c r="DC6" s="1048"/>
      <c r="DD6" s="1048"/>
      <c r="DE6" s="1048"/>
      <c r="DF6" s="1049"/>
    </row>
    <row r="7" spans="2:118" ht="12" hidden="1" customHeight="1" outlineLevel="1" thickBot="1" x14ac:dyDescent="0.25">
      <c r="B7" s="754"/>
      <c r="D7" s="7"/>
      <c r="E7" s="7">
        <v>36891</v>
      </c>
      <c r="F7" s="7">
        <v>36981</v>
      </c>
      <c r="G7" s="8">
        <v>37072</v>
      </c>
      <c r="H7" s="7">
        <v>37164</v>
      </c>
      <c r="I7" s="7">
        <v>37256</v>
      </c>
      <c r="J7" s="755">
        <f>I7</f>
        <v>37256</v>
      </c>
      <c r="K7" s="755">
        <v>37346</v>
      </c>
      <c r="L7" s="755">
        <v>37437</v>
      </c>
      <c r="M7" s="755">
        <v>37529</v>
      </c>
      <c r="N7" s="755">
        <v>37621</v>
      </c>
      <c r="O7" s="755">
        <f>N7</f>
        <v>37621</v>
      </c>
      <c r="P7" s="755">
        <v>37711</v>
      </c>
      <c r="Q7" s="755">
        <v>37802</v>
      </c>
      <c r="R7" s="755">
        <v>37894</v>
      </c>
      <c r="S7" s="755">
        <v>37986</v>
      </c>
      <c r="T7" s="755">
        <f>S7</f>
        <v>37986</v>
      </c>
      <c r="U7" s="755">
        <v>38077</v>
      </c>
      <c r="V7" s="755">
        <v>38168</v>
      </c>
      <c r="W7" s="755">
        <v>38260</v>
      </c>
      <c r="X7" s="755">
        <v>38352</v>
      </c>
      <c r="Y7" s="755">
        <f>X7</f>
        <v>38352</v>
      </c>
      <c r="Z7" s="755">
        <v>38442</v>
      </c>
      <c r="AA7" s="755">
        <v>38533</v>
      </c>
      <c r="AB7" s="755">
        <v>38625</v>
      </c>
      <c r="AC7" s="755">
        <v>38717</v>
      </c>
      <c r="AD7" s="755">
        <f>AC7</f>
        <v>38717</v>
      </c>
      <c r="AE7" s="755">
        <v>38807</v>
      </c>
      <c r="AF7" s="755">
        <v>38898</v>
      </c>
      <c r="AG7" s="755">
        <v>38990</v>
      </c>
      <c r="AH7" s="755">
        <v>39082</v>
      </c>
      <c r="AI7" s="755">
        <f>AH7</f>
        <v>39082</v>
      </c>
      <c r="AJ7" s="755">
        <v>39172</v>
      </c>
      <c r="AK7" s="755">
        <v>39263</v>
      </c>
      <c r="AL7" s="755">
        <v>39355</v>
      </c>
      <c r="AM7" s="755">
        <v>39447</v>
      </c>
      <c r="AN7" s="755">
        <f>AM7</f>
        <v>39447</v>
      </c>
      <c r="AO7" s="755">
        <v>39538</v>
      </c>
      <c r="AP7" s="755">
        <v>39629</v>
      </c>
      <c r="AQ7" s="755">
        <v>39721</v>
      </c>
      <c r="AR7" s="755">
        <v>39813</v>
      </c>
      <c r="AS7" s="755">
        <f>AR7</f>
        <v>39813</v>
      </c>
      <c r="AT7" s="755">
        <v>39903</v>
      </c>
      <c r="AU7" s="755">
        <v>39994</v>
      </c>
      <c r="AV7" s="755">
        <v>40086</v>
      </c>
      <c r="AW7" s="755">
        <v>40178</v>
      </c>
      <c r="AX7" s="755">
        <f>AW7</f>
        <v>40178</v>
      </c>
      <c r="AY7" s="755">
        <v>40268</v>
      </c>
      <c r="AZ7" s="755">
        <v>40359</v>
      </c>
      <c r="BA7" s="755">
        <v>40451</v>
      </c>
      <c r="BB7" s="755">
        <v>40543</v>
      </c>
      <c r="BC7" s="755">
        <f>BB7</f>
        <v>40543</v>
      </c>
      <c r="BD7" s="755">
        <v>40633</v>
      </c>
      <c r="BE7" s="755">
        <v>40724</v>
      </c>
      <c r="BF7" s="755">
        <v>40816</v>
      </c>
      <c r="BG7" s="755">
        <v>40908</v>
      </c>
      <c r="BH7" s="755">
        <f>BG7</f>
        <v>40908</v>
      </c>
      <c r="BI7" s="755">
        <v>40999</v>
      </c>
      <c r="BJ7" s="755">
        <v>41090</v>
      </c>
      <c r="BK7" s="755">
        <v>41182</v>
      </c>
      <c r="BL7" s="755">
        <v>41274</v>
      </c>
      <c r="BM7" s="755">
        <f>BL7</f>
        <v>41274</v>
      </c>
      <c r="BN7" s="755">
        <v>41364</v>
      </c>
      <c r="BO7" s="755">
        <v>41455</v>
      </c>
      <c r="BP7" s="755">
        <v>41547</v>
      </c>
      <c r="BQ7" s="755">
        <v>41639</v>
      </c>
      <c r="BR7" s="755">
        <f>BQ7</f>
        <v>41639</v>
      </c>
      <c r="BS7" s="755">
        <v>41729</v>
      </c>
      <c r="BT7" s="755">
        <v>41820</v>
      </c>
      <c r="BU7" s="755">
        <v>41912</v>
      </c>
      <c r="BV7" s="755">
        <v>42004</v>
      </c>
      <c r="BW7" s="755">
        <f>BV7</f>
        <v>42004</v>
      </c>
      <c r="BX7" s="755">
        <v>42094</v>
      </c>
      <c r="BY7" s="755">
        <v>42185</v>
      </c>
      <c r="BZ7" s="755">
        <v>42277</v>
      </c>
      <c r="CA7" s="755">
        <v>42369</v>
      </c>
      <c r="CB7" s="755">
        <f>CA7</f>
        <v>42369</v>
      </c>
      <c r="CC7" s="755">
        <v>42460</v>
      </c>
      <c r="CD7" s="755">
        <v>42551</v>
      </c>
      <c r="CE7" s="755">
        <v>42643</v>
      </c>
      <c r="CF7" s="755">
        <v>42735</v>
      </c>
      <c r="CG7" s="755">
        <f>CF7</f>
        <v>42735</v>
      </c>
      <c r="CH7" s="755">
        <v>42460</v>
      </c>
      <c r="CI7" s="755">
        <v>42551</v>
      </c>
      <c r="CJ7" s="755">
        <v>42643</v>
      </c>
      <c r="CK7" s="755">
        <v>42735</v>
      </c>
      <c r="CL7" s="755">
        <f>CK7</f>
        <v>42735</v>
      </c>
      <c r="CM7" s="755">
        <v>42460</v>
      </c>
      <c r="CN7" s="755">
        <v>42551</v>
      </c>
      <c r="CO7" s="755">
        <v>42643</v>
      </c>
      <c r="CP7" s="755">
        <v>42735</v>
      </c>
      <c r="CQ7" s="755">
        <f>CP7</f>
        <v>42735</v>
      </c>
      <c r="CR7" s="755">
        <v>42460</v>
      </c>
      <c r="CS7" s="755">
        <v>42551</v>
      </c>
      <c r="CT7" s="755">
        <v>42643</v>
      </c>
      <c r="CU7" s="755">
        <v>42735</v>
      </c>
      <c r="CV7" s="755">
        <f>CU7</f>
        <v>42735</v>
      </c>
      <c r="CW7" s="755">
        <v>42460</v>
      </c>
      <c r="CX7" s="755">
        <v>42551</v>
      </c>
      <c r="CY7" s="755">
        <v>42643</v>
      </c>
      <c r="CZ7" s="755">
        <v>42735</v>
      </c>
      <c r="DA7" s="755">
        <f>CZ7</f>
        <v>42735</v>
      </c>
      <c r="DB7" s="755">
        <v>42460</v>
      </c>
      <c r="DC7" s="755">
        <v>42551</v>
      </c>
      <c r="DD7" s="755">
        <v>42643</v>
      </c>
      <c r="DE7" s="755">
        <v>42735</v>
      </c>
      <c r="DF7" s="755">
        <f>DE7</f>
        <v>42735</v>
      </c>
    </row>
    <row r="8" spans="2:118" ht="13.5" collapsed="1" thickBot="1" x14ac:dyDescent="0.25">
      <c r="B8" s="1556" t="s">
        <v>38</v>
      </c>
      <c r="C8" s="830"/>
      <c r="D8" s="806"/>
      <c r="E8" s="806"/>
      <c r="F8" s="1177" t="s">
        <v>26</v>
      </c>
      <c r="G8" s="805"/>
      <c r="H8" s="805"/>
      <c r="I8" s="1178"/>
      <c r="J8" s="806"/>
      <c r="K8" s="1177" t="s">
        <v>27</v>
      </c>
      <c r="L8" s="805"/>
      <c r="M8" s="805"/>
      <c r="N8" s="1178"/>
      <c r="O8" s="806"/>
      <c r="P8" s="1177" t="s">
        <v>28</v>
      </c>
      <c r="Q8" s="805"/>
      <c r="R8" s="805"/>
      <c r="S8" s="1178"/>
      <c r="T8" s="806"/>
      <c r="U8" s="1177" t="s">
        <v>29</v>
      </c>
      <c r="V8" s="805"/>
      <c r="W8" s="805"/>
      <c r="X8" s="1178"/>
      <c r="Y8" s="806"/>
      <c r="Z8" s="1177" t="s">
        <v>30</v>
      </c>
      <c r="AA8" s="805"/>
      <c r="AB8" s="805"/>
      <c r="AC8" s="805"/>
      <c r="AD8" s="806"/>
      <c r="AE8" s="805" t="s">
        <v>31</v>
      </c>
      <c r="AF8" s="805"/>
      <c r="AG8" s="805"/>
      <c r="AH8" s="805"/>
      <c r="AI8" s="806"/>
      <c r="AJ8" s="805" t="s">
        <v>32</v>
      </c>
      <c r="AK8" s="805"/>
      <c r="AL8" s="805"/>
      <c r="AM8" s="805"/>
      <c r="AN8" s="806"/>
      <c r="AO8" s="805" t="s">
        <v>33</v>
      </c>
      <c r="AP8" s="805"/>
      <c r="AQ8" s="805"/>
      <c r="AR8" s="805"/>
      <c r="AS8" s="806"/>
      <c r="AT8" s="805" t="s">
        <v>34</v>
      </c>
      <c r="AU8" s="805"/>
      <c r="AV8" s="805"/>
      <c r="AW8" s="805"/>
      <c r="AX8" s="806"/>
      <c r="AY8" s="805" t="s">
        <v>35</v>
      </c>
      <c r="AZ8" s="805"/>
      <c r="BA8" s="805"/>
      <c r="BB8" s="805"/>
      <c r="BC8" s="806"/>
      <c r="BD8" s="805" t="s">
        <v>36</v>
      </c>
      <c r="BE8" s="805"/>
      <c r="BF8" s="805"/>
      <c r="BG8" s="805"/>
      <c r="BH8" s="806"/>
      <c r="BI8" s="805" t="s">
        <v>37</v>
      </c>
      <c r="BJ8" s="805"/>
      <c r="BK8" s="805"/>
      <c r="BL8" s="805"/>
      <c r="BM8" s="806"/>
      <c r="BN8" s="805" t="s">
        <v>331</v>
      </c>
      <c r="BO8" s="805"/>
      <c r="BP8" s="805"/>
      <c r="BQ8" s="805"/>
      <c r="BR8" s="806"/>
      <c r="BS8" s="805" t="s">
        <v>334</v>
      </c>
      <c r="BT8" s="805"/>
      <c r="BU8" s="805"/>
      <c r="BV8" s="805"/>
      <c r="BW8" s="806"/>
      <c r="BX8" s="805" t="s">
        <v>356</v>
      </c>
      <c r="BY8" s="805"/>
      <c r="BZ8" s="805"/>
      <c r="CA8" s="805"/>
      <c r="CB8" s="806"/>
      <c r="CC8" s="805" t="s">
        <v>560</v>
      </c>
      <c r="CD8" s="805"/>
      <c r="CE8" s="805"/>
      <c r="CF8" s="805"/>
      <c r="CG8" s="806"/>
      <c r="CH8" s="805" t="s">
        <v>606</v>
      </c>
      <c r="CI8" s="805"/>
      <c r="CJ8" s="805"/>
      <c r="CK8" s="805"/>
      <c r="CL8" s="806"/>
      <c r="CM8" s="805" t="s">
        <v>674</v>
      </c>
      <c r="CN8" s="805"/>
      <c r="CO8" s="805"/>
      <c r="CP8" s="805"/>
      <c r="CQ8" s="806"/>
      <c r="CR8" s="805" t="s">
        <v>724</v>
      </c>
      <c r="CS8" s="805"/>
      <c r="CT8" s="805"/>
      <c r="CU8" s="805"/>
      <c r="CV8" s="806"/>
      <c r="CW8" s="805" t="s">
        <v>747</v>
      </c>
      <c r="CX8" s="805"/>
      <c r="CY8" s="805"/>
      <c r="CZ8" s="805"/>
      <c r="DA8" s="806"/>
      <c r="DB8" s="805" t="s">
        <v>748</v>
      </c>
      <c r="DC8" s="805"/>
      <c r="DD8" s="805"/>
      <c r="DE8" s="805"/>
      <c r="DF8" s="806"/>
    </row>
    <row r="9" spans="2:118" ht="13.5" thickBot="1" x14ac:dyDescent="0.25">
      <c r="B9" s="807" t="s">
        <v>25</v>
      </c>
      <c r="C9" s="808"/>
      <c r="D9" s="809" t="s">
        <v>39</v>
      </c>
      <c r="E9" s="809" t="s">
        <v>40</v>
      </c>
      <c r="F9" s="810" t="s">
        <v>41</v>
      </c>
      <c r="G9" s="810" t="s">
        <v>42</v>
      </c>
      <c r="H9" s="810" t="s">
        <v>43</v>
      </c>
      <c r="I9" s="810" t="s">
        <v>44</v>
      </c>
      <c r="J9" s="809" t="s">
        <v>45</v>
      </c>
      <c r="K9" s="810" t="s">
        <v>46</v>
      </c>
      <c r="L9" s="810" t="s">
        <v>47</v>
      </c>
      <c r="M9" s="810" t="s">
        <v>48</v>
      </c>
      <c r="N9" s="810" t="s">
        <v>49</v>
      </c>
      <c r="O9" s="809" t="s">
        <v>50</v>
      </c>
      <c r="P9" s="811" t="s">
        <v>51</v>
      </c>
      <c r="Q9" s="810" t="s">
        <v>52</v>
      </c>
      <c r="R9" s="810" t="s">
        <v>53</v>
      </c>
      <c r="S9" s="812" t="s">
        <v>54</v>
      </c>
      <c r="T9" s="809" t="s">
        <v>55</v>
      </c>
      <c r="U9" s="810" t="s">
        <v>56</v>
      </c>
      <c r="V9" s="810" t="s">
        <v>57</v>
      </c>
      <c r="W9" s="810" t="s">
        <v>58</v>
      </c>
      <c r="X9" s="810" t="s">
        <v>59</v>
      </c>
      <c r="Y9" s="809" t="s">
        <v>60</v>
      </c>
      <c r="Z9" s="810" t="s">
        <v>56</v>
      </c>
      <c r="AA9" s="810" t="s">
        <v>57</v>
      </c>
      <c r="AB9" s="810" t="s">
        <v>58</v>
      </c>
      <c r="AC9" s="810" t="s">
        <v>59</v>
      </c>
      <c r="AD9" s="813" t="s">
        <v>61</v>
      </c>
      <c r="AE9" s="810" t="s">
        <v>56</v>
      </c>
      <c r="AF9" s="810" t="s">
        <v>57</v>
      </c>
      <c r="AG9" s="810" t="s">
        <v>58</v>
      </c>
      <c r="AH9" s="810" t="s">
        <v>59</v>
      </c>
      <c r="AI9" s="813" t="s">
        <v>219</v>
      </c>
      <c r="AJ9" s="810" t="s">
        <v>56</v>
      </c>
      <c r="AK9" s="810" t="s">
        <v>57</v>
      </c>
      <c r="AL9" s="810" t="s">
        <v>58</v>
      </c>
      <c r="AM9" s="810" t="s">
        <v>59</v>
      </c>
      <c r="AN9" s="813" t="s">
        <v>62</v>
      </c>
      <c r="AO9" s="810" t="s">
        <v>56</v>
      </c>
      <c r="AP9" s="810" t="s">
        <v>57</v>
      </c>
      <c r="AQ9" s="810" t="s">
        <v>58</v>
      </c>
      <c r="AR9" s="810" t="s">
        <v>59</v>
      </c>
      <c r="AS9" s="809" t="s">
        <v>218</v>
      </c>
      <c r="AT9" s="810" t="s">
        <v>56</v>
      </c>
      <c r="AU9" s="810" t="s">
        <v>57</v>
      </c>
      <c r="AV9" s="810" t="s">
        <v>58</v>
      </c>
      <c r="AW9" s="810" t="s">
        <v>59</v>
      </c>
      <c r="AX9" s="809" t="s">
        <v>370</v>
      </c>
      <c r="AY9" s="810" t="s">
        <v>56</v>
      </c>
      <c r="AZ9" s="810" t="s">
        <v>57</v>
      </c>
      <c r="BA9" s="810" t="s">
        <v>58</v>
      </c>
      <c r="BB9" s="810" t="s">
        <v>59</v>
      </c>
      <c r="BC9" s="809" t="s">
        <v>376</v>
      </c>
      <c r="BD9" s="810" t="s">
        <v>56</v>
      </c>
      <c r="BE9" s="810" t="s">
        <v>57</v>
      </c>
      <c r="BF9" s="810" t="s">
        <v>58</v>
      </c>
      <c r="BG9" s="810" t="s">
        <v>59</v>
      </c>
      <c r="BH9" s="809" t="s">
        <v>433</v>
      </c>
      <c r="BI9" s="810" t="s">
        <v>56</v>
      </c>
      <c r="BJ9" s="810" t="s">
        <v>57</v>
      </c>
      <c r="BK9" s="810" t="s">
        <v>58</v>
      </c>
      <c r="BL9" s="810" t="s">
        <v>59</v>
      </c>
      <c r="BM9" s="809" t="s">
        <v>534</v>
      </c>
      <c r="BN9" s="810" t="s">
        <v>56</v>
      </c>
      <c r="BO9" s="810" t="s">
        <v>57</v>
      </c>
      <c r="BP9" s="810" t="s">
        <v>58</v>
      </c>
      <c r="BQ9" s="810" t="s">
        <v>59</v>
      </c>
      <c r="BR9" s="809" t="s">
        <v>561</v>
      </c>
      <c r="BS9" s="810" t="s">
        <v>56</v>
      </c>
      <c r="BT9" s="810" t="s">
        <v>57</v>
      </c>
      <c r="BU9" s="810" t="s">
        <v>58</v>
      </c>
      <c r="BV9" s="810" t="s">
        <v>59</v>
      </c>
      <c r="BW9" s="809" t="s">
        <v>605</v>
      </c>
      <c r="BX9" s="810" t="s">
        <v>56</v>
      </c>
      <c r="BY9" s="810" t="s">
        <v>57</v>
      </c>
      <c r="BZ9" s="810" t="s">
        <v>58</v>
      </c>
      <c r="CA9" s="810" t="s">
        <v>59</v>
      </c>
      <c r="CB9" s="809" t="s">
        <v>676</v>
      </c>
      <c r="CC9" s="810" t="s">
        <v>56</v>
      </c>
      <c r="CD9" s="810" t="s">
        <v>57</v>
      </c>
      <c r="CE9" s="810" t="s">
        <v>58</v>
      </c>
      <c r="CF9" s="810" t="s">
        <v>59</v>
      </c>
      <c r="CG9" s="809" t="s">
        <v>726</v>
      </c>
      <c r="CH9" s="810" t="s">
        <v>56</v>
      </c>
      <c r="CI9" s="810" t="s">
        <v>57</v>
      </c>
      <c r="CJ9" s="810" t="s">
        <v>58</v>
      </c>
      <c r="CK9" s="810" t="s">
        <v>59</v>
      </c>
      <c r="CL9" s="809" t="s">
        <v>784</v>
      </c>
      <c r="CM9" s="810" t="s">
        <v>64</v>
      </c>
      <c r="CN9" s="810" t="s">
        <v>65</v>
      </c>
      <c r="CO9" s="810" t="s">
        <v>66</v>
      </c>
      <c r="CP9" s="810" t="s">
        <v>63</v>
      </c>
      <c r="CQ9" s="809" t="s">
        <v>675</v>
      </c>
      <c r="CR9" s="810" t="s">
        <v>64</v>
      </c>
      <c r="CS9" s="810" t="s">
        <v>65</v>
      </c>
      <c r="CT9" s="810" t="s">
        <v>66</v>
      </c>
      <c r="CU9" s="810" t="s">
        <v>63</v>
      </c>
      <c r="CV9" s="809" t="s">
        <v>725</v>
      </c>
      <c r="CW9" s="810" t="s">
        <v>64</v>
      </c>
      <c r="CX9" s="810" t="s">
        <v>65</v>
      </c>
      <c r="CY9" s="810" t="s">
        <v>66</v>
      </c>
      <c r="CZ9" s="810" t="s">
        <v>63</v>
      </c>
      <c r="DA9" s="809" t="s">
        <v>749</v>
      </c>
      <c r="DB9" s="810" t="s">
        <v>64</v>
      </c>
      <c r="DC9" s="810" t="s">
        <v>65</v>
      </c>
      <c r="DD9" s="810" t="s">
        <v>66</v>
      </c>
      <c r="DE9" s="810" t="s">
        <v>63</v>
      </c>
      <c r="DF9" s="809" t="s">
        <v>750</v>
      </c>
    </row>
    <row r="10" spans="2:118" s="16" customFormat="1" x14ac:dyDescent="0.2">
      <c r="B10" s="1714"/>
      <c r="C10" s="1441"/>
      <c r="D10" s="11"/>
      <c r="E10" s="11"/>
      <c r="F10" s="12"/>
      <c r="G10" s="12"/>
      <c r="H10" s="12"/>
      <c r="I10" s="12"/>
      <c r="J10" s="11"/>
      <c r="K10" s="12"/>
      <c r="L10" s="12"/>
      <c r="M10" s="12"/>
      <c r="N10" s="12"/>
      <c r="O10" s="11"/>
      <c r="P10" s="13"/>
      <c r="Q10" s="12"/>
      <c r="R10" s="12"/>
      <c r="S10" s="14"/>
      <c r="T10" s="11"/>
      <c r="U10" s="12"/>
      <c r="V10" s="12"/>
      <c r="W10" s="12"/>
      <c r="X10" s="12"/>
      <c r="Y10" s="11"/>
      <c r="Z10" s="12"/>
      <c r="AA10" s="12"/>
      <c r="AB10" s="12"/>
      <c r="AC10" s="12"/>
      <c r="AD10" s="15"/>
      <c r="AE10" s="12"/>
      <c r="AF10" s="12"/>
      <c r="AG10" s="12"/>
      <c r="AH10" s="12"/>
      <c r="AI10" s="15"/>
      <c r="AJ10" s="12"/>
      <c r="AK10" s="12"/>
      <c r="AL10" s="12"/>
      <c r="AM10" s="12"/>
      <c r="AN10" s="15"/>
      <c r="AO10" s="23"/>
      <c r="AP10" s="23"/>
      <c r="AQ10" s="12"/>
      <c r="AR10" s="12"/>
      <c r="AS10" s="15"/>
      <c r="AT10" s="23"/>
      <c r="AU10" s="23"/>
      <c r="AV10" s="12"/>
      <c r="AW10" s="12"/>
      <c r="AX10" s="409"/>
      <c r="AY10" s="12"/>
      <c r="AZ10" s="12"/>
      <c r="BA10" s="12"/>
      <c r="BB10" s="12"/>
      <c r="BC10" s="15"/>
      <c r="BD10" s="12"/>
      <c r="BE10" s="12"/>
      <c r="BF10" s="12"/>
      <c r="BG10" s="12"/>
      <c r="BH10" s="15"/>
      <c r="BI10" s="12"/>
      <c r="BJ10" s="12"/>
      <c r="BK10" s="12"/>
      <c r="BL10" s="12"/>
      <c r="BM10" s="15"/>
      <c r="BN10" s="12"/>
      <c r="BO10" s="12"/>
      <c r="BP10" s="12"/>
      <c r="BQ10" s="12"/>
      <c r="BR10" s="15"/>
      <c r="BS10" s="12"/>
      <c r="BT10" s="12"/>
      <c r="BU10" s="12"/>
      <c r="BV10" s="12"/>
      <c r="BW10" s="1837"/>
      <c r="BX10" s="12"/>
      <c r="BY10" s="12"/>
      <c r="BZ10" s="12"/>
      <c r="CA10" s="12"/>
      <c r="CB10" s="15"/>
      <c r="CC10" s="12"/>
      <c r="CD10" s="12"/>
      <c r="CE10" s="12"/>
      <c r="CF10" s="12"/>
      <c r="CG10" s="15"/>
      <c r="CH10" s="12"/>
      <c r="CI10" s="12"/>
      <c r="CJ10" s="12"/>
      <c r="CK10" s="1921"/>
      <c r="CL10" s="15"/>
      <c r="CM10" s="12"/>
      <c r="CN10" s="12"/>
      <c r="CO10" s="12"/>
      <c r="CP10" s="12"/>
      <c r="CQ10" s="15"/>
      <c r="CR10" s="12"/>
      <c r="CS10" s="12"/>
      <c r="CT10" s="12"/>
      <c r="CU10" s="12"/>
      <c r="CV10" s="15"/>
      <c r="CW10" s="12"/>
      <c r="CX10" s="12"/>
      <c r="CY10" s="12"/>
      <c r="CZ10" s="12"/>
      <c r="DA10" s="15"/>
      <c r="DB10" s="12"/>
      <c r="DC10" s="12"/>
      <c r="DD10" s="12"/>
      <c r="DE10" s="12"/>
      <c r="DF10" s="15"/>
      <c r="DG10"/>
      <c r="DH10"/>
      <c r="DI10"/>
      <c r="DJ10"/>
      <c r="DK10"/>
      <c r="DL10"/>
      <c r="DM10"/>
      <c r="DN10"/>
    </row>
    <row r="11" spans="2:118" s="18" customFormat="1" x14ac:dyDescent="0.2">
      <c r="B11" s="719" t="s">
        <v>313</v>
      </c>
      <c r="C11" s="1442"/>
      <c r="D11" s="386"/>
      <c r="E11" s="386">
        <v>6911.4489999999996</v>
      </c>
      <c r="F11" s="382">
        <v>2090.54</v>
      </c>
      <c r="G11" s="382">
        <v>2247.3429999999998</v>
      </c>
      <c r="H11" s="382">
        <v>2381.252</v>
      </c>
      <c r="I11" s="372">
        <f>J11-SUM(F11:H11)</f>
        <v>1868.8649999999998</v>
      </c>
      <c r="J11" s="386">
        <v>8588</v>
      </c>
      <c r="K11" s="382">
        <v>3832.1889999999999</v>
      </c>
      <c r="L11" s="382">
        <v>4804.7132000000001</v>
      </c>
      <c r="M11" s="382">
        <v>4832.0147999999999</v>
      </c>
      <c r="N11" s="372">
        <f>O11-SUM(K11:M11)</f>
        <v>3840.8885999999984</v>
      </c>
      <c r="O11" s="386">
        <v>17309.8056</v>
      </c>
      <c r="P11" s="382">
        <f>3223.981+1333.683</f>
        <v>4557.6640000000007</v>
      </c>
      <c r="Q11" s="382">
        <f>3334.197+1338.804</f>
        <v>4673.0010000000002</v>
      </c>
      <c r="R11" s="382">
        <f>3248.602+1326.022</f>
        <v>4574.6239999999998</v>
      </c>
      <c r="S11" s="372">
        <f>T11-SUM(P11:R11)</f>
        <v>4765.3760000000002</v>
      </c>
      <c r="T11" s="386">
        <f>13294.517+5276.148</f>
        <v>18570.665000000001</v>
      </c>
      <c r="U11" s="382">
        <f>3627.815+1397.11</f>
        <v>5024.9250000000002</v>
      </c>
      <c r="V11" s="382">
        <f>3779.505+1387.488</f>
        <v>5166.9930000000004</v>
      </c>
      <c r="W11" s="382">
        <f>3767.69+1363.991</f>
        <v>5131.6810000000005</v>
      </c>
      <c r="X11" s="23">
        <f>Y11-SUM(U11:W11)</f>
        <v>5337.400999999998</v>
      </c>
      <c r="Y11" s="386">
        <f>5546+15115</f>
        <v>20661</v>
      </c>
      <c r="Z11" s="382">
        <f>3839.122+1483.7</f>
        <v>5322.8220000000001</v>
      </c>
      <c r="AA11" s="382">
        <f>3944.254+1460.2</f>
        <v>5404.4539999999997</v>
      </c>
      <c r="AB11" s="382">
        <f>3847.6+1413.3</f>
        <v>5260.9</v>
      </c>
      <c r="AC11" s="23">
        <f>AD11-SUM(Z11:AB11)</f>
        <v>6045.6239999999998</v>
      </c>
      <c r="AD11" s="386">
        <f>16212+5821.8</f>
        <v>22033.8</v>
      </c>
      <c r="AE11" s="382">
        <v>5600.8</v>
      </c>
      <c r="AF11" s="382">
        <f>4421.1+1045.7</f>
        <v>5466.8</v>
      </c>
      <c r="AG11" s="382">
        <v>5273</v>
      </c>
      <c r="AH11" s="23">
        <f>AI11-SUM(AE11:AG11)</f>
        <v>5388.6999999999989</v>
      </c>
      <c r="AI11" s="386">
        <f>17554+4175.3</f>
        <v>21729.3</v>
      </c>
      <c r="AJ11" s="382">
        <f>4508.9+988.2</f>
        <v>5497.0999999999995</v>
      </c>
      <c r="AK11" s="382">
        <f>4574.8+943.9</f>
        <v>5518.7</v>
      </c>
      <c r="AL11" s="382">
        <f>5358.2</f>
        <v>5358.2</v>
      </c>
      <c r="AM11" s="382">
        <v>5553.4</v>
      </c>
      <c r="AN11" s="24">
        <f>SUM(AJ11:AM11)</f>
        <v>21927.4</v>
      </c>
      <c r="AO11" s="382">
        <v>5490.8</v>
      </c>
      <c r="AP11" s="382">
        <v>5530.8</v>
      </c>
      <c r="AQ11" s="382">
        <v>5450.5</v>
      </c>
      <c r="AR11" s="382">
        <v>5505.9</v>
      </c>
      <c r="AS11" s="24">
        <f>SUM(AO11:AR11)</f>
        <v>21978</v>
      </c>
      <c r="AT11" s="382">
        <v>5422.8</v>
      </c>
      <c r="AU11" s="382">
        <v>5503.3</v>
      </c>
      <c r="AV11" s="382">
        <v>5619.4</v>
      </c>
      <c r="AW11" s="382">
        <f>8203.4+9.5</f>
        <v>8212.9</v>
      </c>
      <c r="AX11" s="681">
        <f>SUM(AT11:AW11)</f>
        <v>24758.400000000001</v>
      </c>
      <c r="AY11" s="382">
        <f>11143.9+28.5</f>
        <v>11172.4</v>
      </c>
      <c r="AZ11" s="382">
        <f>11288.8+28.5-30</f>
        <v>11287.3</v>
      </c>
      <c r="BA11" s="382">
        <f>11251.8+28.5</f>
        <v>11280.3</v>
      </c>
      <c r="BB11" s="382">
        <f>11294.2+28.5</f>
        <v>11322.7</v>
      </c>
      <c r="BC11" s="410">
        <f>SUM(AY11:BB11)</f>
        <v>45062.7</v>
      </c>
      <c r="BD11" s="382">
        <f>11094.5+28.5</f>
        <v>11123</v>
      </c>
      <c r="BE11" s="382">
        <f>11361.4+28.5</f>
        <v>11389.9</v>
      </c>
      <c r="BF11" s="382">
        <f>11571+28.5</f>
        <v>11599.5</v>
      </c>
      <c r="BG11" s="382">
        <f>12101.4+28.5+30</f>
        <v>12159.9</v>
      </c>
      <c r="BH11" s="410">
        <f>SUM(BD11:BG11)</f>
        <v>46272.3</v>
      </c>
      <c r="BI11" s="382">
        <f>12132.6+28.5</f>
        <v>12161.1</v>
      </c>
      <c r="BJ11" s="382">
        <f>27692.5+28.5-187.9</f>
        <v>27533.1</v>
      </c>
      <c r="BK11" s="382">
        <f>26999.4+28.5-189.2</f>
        <v>26838.7</v>
      </c>
      <c r="BL11" s="382">
        <f>27410.7+28.5</f>
        <v>27439.200000000001</v>
      </c>
      <c r="BM11" s="410">
        <f>SUM(BI11:BL11)</f>
        <v>93972.099999999991</v>
      </c>
      <c r="BN11" s="382">
        <f>26063+28.5</f>
        <v>26091.5</v>
      </c>
      <c r="BO11" s="382">
        <f>26425+28.5</f>
        <v>26453.5</v>
      </c>
      <c r="BP11" s="382">
        <f>25915.6+28.5</f>
        <v>25944.1</v>
      </c>
      <c r="BQ11" s="382">
        <f>25781.4+28.5</f>
        <v>25809.9</v>
      </c>
      <c r="BR11" s="410">
        <f>SUM(BN11:BQ11)</f>
        <v>104299</v>
      </c>
      <c r="BS11" s="382">
        <f>23685+28.5</f>
        <v>23713.5</v>
      </c>
      <c r="BT11" s="382">
        <f>25111+28.5</f>
        <v>25139.5</v>
      </c>
      <c r="BU11" s="382">
        <f>25778.5+28.5</f>
        <v>25807</v>
      </c>
      <c r="BV11" s="382">
        <f>26312.6+26.9</f>
        <v>26339.5</v>
      </c>
      <c r="BW11" s="410">
        <f>SUM(BS11:BV11)</f>
        <v>100999.5</v>
      </c>
      <c r="BX11" s="382">
        <f>24899.6+23.8</f>
        <v>24923.399999999998</v>
      </c>
      <c r="BY11" s="382">
        <v>25478</v>
      </c>
      <c r="BZ11" s="382">
        <f>25222.6+23.8</f>
        <v>25246.399999999998</v>
      </c>
      <c r="CA11" s="382">
        <f>26175.4+23.7</f>
        <v>26199.100000000002</v>
      </c>
      <c r="CB11" s="410">
        <f>SUM(BX11:CA11)</f>
        <v>101846.9</v>
      </c>
      <c r="CC11" s="382">
        <f>24791.8+34.3</f>
        <v>24826.1</v>
      </c>
      <c r="CD11" s="382">
        <f>25222.3+55.4</f>
        <v>25277.7</v>
      </c>
      <c r="CE11" s="382">
        <f>25410.1+55.4</f>
        <v>25465.5</v>
      </c>
      <c r="CF11" s="382">
        <f>24863.3+55.4</f>
        <v>24918.7</v>
      </c>
      <c r="CG11" s="410">
        <f>SUM(CC11:CF11)</f>
        <v>100488</v>
      </c>
      <c r="CH11" s="382">
        <f>24654.9+55.4</f>
        <v>24710.300000000003</v>
      </c>
      <c r="CI11" s="382">
        <f>25347.5+55.4</f>
        <v>25402.9</v>
      </c>
      <c r="CJ11" s="382">
        <f>24683.4+55.4</f>
        <v>24738.800000000003</v>
      </c>
      <c r="CK11" s="382">
        <f>55.4+25378.8</f>
        <v>25434.2</v>
      </c>
      <c r="CL11" s="410">
        <f>SUM(CH11:CK11)</f>
        <v>100286.2</v>
      </c>
      <c r="CM11" s="23">
        <f ca="1">Revenue!CM28</f>
        <v>24889.78221163671</v>
      </c>
      <c r="CN11" s="23">
        <f ca="1">Revenue!CN28</f>
        <v>25552.194339957954</v>
      </c>
      <c r="CO11" s="23">
        <f ca="1">Revenue!CO28</f>
        <v>25528.75813802594</v>
      </c>
      <c r="CP11" s="23">
        <f ca="1">Revenue!CP28</f>
        <v>26088.483806121323</v>
      </c>
      <c r="CQ11" s="410">
        <f ca="1">SUM(CM11:CP11)</f>
        <v>102059.21849574192</v>
      </c>
      <c r="CR11" s="23">
        <f ca="1">Revenue!CR28</f>
        <v>26015.483958633544</v>
      </c>
      <c r="CS11" s="23">
        <f ca="1">Revenue!CS28</f>
        <v>26833.716253370018</v>
      </c>
      <c r="CT11" s="23">
        <f ca="1">Revenue!CT28</f>
        <v>26868.196108794949</v>
      </c>
      <c r="CU11" s="23">
        <f ca="1">Revenue!CU28</f>
        <v>27453.071247189848</v>
      </c>
      <c r="CV11" s="410">
        <f ca="1">SUM(CR11:CU11)</f>
        <v>107170.46756798835</v>
      </c>
      <c r="CW11" s="23">
        <f ca="1">Revenue!CW28</f>
        <v>24602.214510688569</v>
      </c>
      <c r="CX11" s="23">
        <f ca="1">Revenue!CX28</f>
        <v>25385.579205760936</v>
      </c>
      <c r="CY11" s="23">
        <f ca="1">Revenue!CY28</f>
        <v>25465.759958078419</v>
      </c>
      <c r="CZ11" s="23">
        <f ca="1">Revenue!CZ28</f>
        <v>25974.926317761874</v>
      </c>
      <c r="DA11" s="410">
        <f ca="1">SUM(CW11:CZ11)</f>
        <v>101428.47999228979</v>
      </c>
      <c r="DB11" s="23">
        <f ca="1">Revenue!DB28</f>
        <v>23362.764177106787</v>
      </c>
      <c r="DC11" s="23">
        <f ca="1">Revenue!DC28</f>
        <v>24114.283065132222</v>
      </c>
      <c r="DD11" s="23">
        <f ca="1">Revenue!DD28</f>
        <v>24236.816459764956</v>
      </c>
      <c r="DE11" s="23">
        <f ca="1">Revenue!DE28</f>
        <v>24679.351726855803</v>
      </c>
      <c r="DF11" s="410">
        <f ca="1">SUM(DB11:DE11)</f>
        <v>96393.215428859767</v>
      </c>
      <c r="DG11"/>
      <c r="DH11"/>
      <c r="DI11"/>
      <c r="DJ11"/>
      <c r="DK11"/>
      <c r="DL11"/>
      <c r="DM11"/>
      <c r="DN11"/>
    </row>
    <row r="12" spans="2:118" s="16" customFormat="1" x14ac:dyDescent="0.2">
      <c r="B12" s="719" t="s">
        <v>67</v>
      </c>
      <c r="C12" s="1441"/>
      <c r="D12" s="387"/>
      <c r="E12" s="387">
        <v>6372.482</v>
      </c>
      <c r="F12" s="384">
        <v>1945.6410000000001</v>
      </c>
      <c r="G12" s="384">
        <v>2097.0590000000002</v>
      </c>
      <c r="H12" s="384">
        <v>2236.799</v>
      </c>
      <c r="I12" s="22">
        <f>J12-SUM(F12:H12)</f>
        <v>1712.6329999999998</v>
      </c>
      <c r="J12" s="387">
        <v>7992.1319999999996</v>
      </c>
      <c r="K12" s="384">
        <f>3657.532</f>
        <v>3657.5320000000002</v>
      </c>
      <c r="L12" s="384">
        <v>4592.6092000000008</v>
      </c>
      <c r="M12" s="384">
        <v>4620.5527999999995</v>
      </c>
      <c r="N12" s="22">
        <f>O12-SUM(K12:M12)</f>
        <v>3615.6935999999969</v>
      </c>
      <c r="O12" s="387">
        <f>16486.3876</f>
        <v>16486.387599999998</v>
      </c>
      <c r="P12" s="384">
        <f>3014.368+1333.683</f>
        <v>4348.0509999999995</v>
      </c>
      <c r="Q12" s="384">
        <f>3116.962+1338.804</f>
        <v>4455.7659999999996</v>
      </c>
      <c r="R12" s="384">
        <f>3041.825+1326.022</f>
        <v>4367.8469999999998</v>
      </c>
      <c r="S12" s="22">
        <f>T12-SUM(P12:R12)</f>
        <v>4532.6630000000023</v>
      </c>
      <c r="T12" s="387">
        <f>5276.148+12428.179</f>
        <v>17704.327000000001</v>
      </c>
      <c r="U12" s="384">
        <f>3406.028+1397.11+5.5</f>
        <v>4808.6379999999999</v>
      </c>
      <c r="V12" s="384">
        <f>3555.983+1387.488</f>
        <v>4943.4710000000005</v>
      </c>
      <c r="W12" s="384">
        <f>3532.28+1363.991</f>
        <v>4896.2710000000006</v>
      </c>
      <c r="X12" s="21">
        <f>Y12-SUM(U12:W12)</f>
        <v>5074.619999999999</v>
      </c>
      <c r="Y12" s="387">
        <f>14171+5546+6</f>
        <v>19723</v>
      </c>
      <c r="Z12" s="384">
        <f>3574.158+1483.7</f>
        <v>5057.8580000000002</v>
      </c>
      <c r="AA12" s="384">
        <f>3667.507+1460.2</f>
        <v>5127.7070000000003</v>
      </c>
      <c r="AB12" s="384">
        <f>3554.4+1413.3</f>
        <v>4967.7</v>
      </c>
      <c r="AC12" s="21">
        <f>AD12-SUM(Z12:AB12)</f>
        <v>5681.3349999999991</v>
      </c>
      <c r="AD12" s="387">
        <f>15012.8+5821.8</f>
        <v>20834.599999999999</v>
      </c>
      <c r="AE12" s="384">
        <f>4035.4+1220.8</f>
        <v>5256.2</v>
      </c>
      <c r="AF12" s="384">
        <f>4057.5+1045.7</f>
        <v>5103.2</v>
      </c>
      <c r="AG12" s="384">
        <v>4898.7</v>
      </c>
      <c r="AH12" s="21">
        <f>AI12-SUM(AE12:AG12)</f>
        <v>4995</v>
      </c>
      <c r="AI12" s="387">
        <f>16077.8+4175.3</f>
        <v>20253.099999999999</v>
      </c>
      <c r="AJ12" s="384">
        <f>4088.6+988.2+9</f>
        <v>5085.8</v>
      </c>
      <c r="AK12" s="384">
        <f>4135.7+943.9</f>
        <v>5079.5999999999995</v>
      </c>
      <c r="AL12" s="384">
        <f>4918.1</f>
        <v>4918.1000000000004</v>
      </c>
      <c r="AM12" s="384">
        <f>5091</f>
        <v>5091</v>
      </c>
      <c r="AN12" s="20">
        <f>SUM(AJ12:AM12)</f>
        <v>20174.5</v>
      </c>
      <c r="AO12" s="383">
        <v>5024.7</v>
      </c>
      <c r="AP12" s="383">
        <v>5028.2</v>
      </c>
      <c r="AQ12" s="384">
        <v>4930.1000000000004</v>
      </c>
      <c r="AR12" s="384">
        <v>4954.1000000000004</v>
      </c>
      <c r="AS12" s="20">
        <f>SUM(AO12:AR12)</f>
        <v>19937.099999999999</v>
      </c>
      <c r="AT12" s="383">
        <v>4888.7</v>
      </c>
      <c r="AU12" s="383">
        <v>4909.3</v>
      </c>
      <c r="AV12" s="384">
        <v>5006.8</v>
      </c>
      <c r="AW12" s="384">
        <f>7513.7-7.5</f>
        <v>7506.2</v>
      </c>
      <c r="AX12" s="411">
        <f>SUM(AT12:AW12)</f>
        <v>22311</v>
      </c>
      <c r="AY12" s="384">
        <f>10478.9-25.9</f>
        <v>10453</v>
      </c>
      <c r="AZ12" s="384">
        <f>10531.3-21.7</f>
        <v>10509.599999999999</v>
      </c>
      <c r="BA12" s="384">
        <f>10487.7-15.1</f>
        <v>10472.6</v>
      </c>
      <c r="BB12" s="384">
        <f>10520.8-31.8</f>
        <v>10489</v>
      </c>
      <c r="BC12" s="411">
        <f>SUM(AY12:BB12)</f>
        <v>41924.199999999997</v>
      </c>
      <c r="BD12" s="384">
        <v>10349</v>
      </c>
      <c r="BE12" s="384">
        <v>10577.3</v>
      </c>
      <c r="BF12" s="384">
        <v>10735.2</v>
      </c>
      <c r="BG12" s="384">
        <v>11256.9</v>
      </c>
      <c r="BH12" s="411">
        <f>SUM(BD12:BG12)</f>
        <v>42918.400000000001</v>
      </c>
      <c r="BI12" s="384">
        <v>11300.6</v>
      </c>
      <c r="BJ12" s="384">
        <f>25579.6-11.9-162.1</f>
        <v>25405.599999999999</v>
      </c>
      <c r="BK12" s="384">
        <f>24864.9-21.8-162.9</f>
        <v>24680.2</v>
      </c>
      <c r="BL12" s="384">
        <f>25107.8-16</f>
        <v>25091.8</v>
      </c>
      <c r="BM12" s="411">
        <f>SUM(BI12:BL12)</f>
        <v>86478.2</v>
      </c>
      <c r="BN12" s="384">
        <f>24096.4-44.5</f>
        <v>24051.9</v>
      </c>
      <c r="BO12" s="384">
        <f>24307.4-36.6</f>
        <v>24270.800000000003</v>
      </c>
      <c r="BP12" s="384">
        <f>23921.4-56.8</f>
        <v>23864.600000000002</v>
      </c>
      <c r="BQ12" s="384">
        <f>23720.4-100.4</f>
        <v>23620</v>
      </c>
      <c r="BR12" s="411">
        <f>SUM(BN12:BQ12)</f>
        <v>95807.3</v>
      </c>
      <c r="BS12" s="384">
        <v>21826.799999999999</v>
      </c>
      <c r="BT12" s="384">
        <f>23103.3-108.6</f>
        <v>22994.7</v>
      </c>
      <c r="BU12" s="384">
        <f>23705.5-65</f>
        <v>23640.5</v>
      </c>
      <c r="BV12" s="384">
        <f>BV11-BV14</f>
        <v>24037.7</v>
      </c>
      <c r="BW12" s="411">
        <f>SUM(BS12:BV12)</f>
        <v>92499.7</v>
      </c>
      <c r="BX12" s="384">
        <f>BX11-BX14</f>
        <v>23010.899999999998</v>
      </c>
      <c r="BY12" s="384">
        <f>BY11-BY14</f>
        <v>23282.3</v>
      </c>
      <c r="BZ12" s="384">
        <f>BZ11-BZ14</f>
        <v>23003.899999999998</v>
      </c>
      <c r="CA12" s="384">
        <f>CA11-CA14</f>
        <v>23834.800000000003</v>
      </c>
      <c r="CB12" s="411">
        <f>SUM(BX12:CA12)</f>
        <v>93131.9</v>
      </c>
      <c r="CC12" s="384">
        <f>CC11-CC14</f>
        <v>22944.799999999999</v>
      </c>
      <c r="CD12" s="384">
        <f>CD11-CD14</f>
        <v>23061.100000000002</v>
      </c>
      <c r="CE12" s="384">
        <f>CE11-CE14</f>
        <v>23136</v>
      </c>
      <c r="CF12" s="384">
        <f>CF11-CF14</f>
        <v>22525.100000000002</v>
      </c>
      <c r="CG12" s="411">
        <f>SUM(CC12:CF12)</f>
        <v>91667</v>
      </c>
      <c r="CH12" s="384">
        <f>CH11-CH14</f>
        <v>22782.200000000004</v>
      </c>
      <c r="CI12" s="384">
        <f>CI11-CI14</f>
        <v>23186.300000000003</v>
      </c>
      <c r="CJ12" s="384">
        <f>CJ11-CJ14</f>
        <v>22443.300000000003</v>
      </c>
      <c r="CK12" s="384">
        <f>CK11-CK14</f>
        <v>22885.600000000002</v>
      </c>
      <c r="CL12" s="411">
        <f>SUM(CH12:CK12)</f>
        <v>91297.400000000023</v>
      </c>
      <c r="CM12" s="21">
        <f ca="1">PBM!CM8+EM!CM7</f>
        <v>22851.457957315342</v>
      </c>
      <c r="CN12" s="21">
        <f ca="1">PBM!CN8+EM!CN7</f>
        <v>23166.566926240474</v>
      </c>
      <c r="CO12" s="21">
        <f ca="1">PBM!CO8+EM!CO7</f>
        <v>23117.64459150434</v>
      </c>
      <c r="CP12" s="21">
        <f ca="1">PBM!CP8+EM!CP7</f>
        <v>23508.178953961127</v>
      </c>
      <c r="CQ12" s="411">
        <f ca="1">SUM(CM12:CP12)</f>
        <v>92643.84842902128</v>
      </c>
      <c r="CR12" s="21">
        <f ca="1">PBM!CR8+EM!CR7</f>
        <v>23980.621232546233</v>
      </c>
      <c r="CS12" s="21">
        <f ca="1">PBM!CS8+EM!CS7</f>
        <v>24517.60166137783</v>
      </c>
      <c r="CT12" s="21">
        <f ca="1">PBM!CT8+EM!CT7</f>
        <v>24549.143109685898</v>
      </c>
      <c r="CU12" s="21">
        <f ca="1">PBM!CU8+EM!CU7</f>
        <v>24979.558825039552</v>
      </c>
      <c r="CV12" s="411">
        <f ca="1">SUM(CR12:CU12)</f>
        <v>98026.924828649513</v>
      </c>
      <c r="CW12" s="21">
        <f ca="1">PBM!CW8+EM!CW7</f>
        <v>22765.248944062925</v>
      </c>
      <c r="CX12" s="21">
        <f ca="1">PBM!CX8+EM!CX7</f>
        <v>23327.602448241723</v>
      </c>
      <c r="CY12" s="21">
        <f ca="1">PBM!CY8+EM!CY7</f>
        <v>23417.74849281061</v>
      </c>
      <c r="CZ12" s="21">
        <f ca="1">PBM!CZ8+EM!CZ7</f>
        <v>23799.404983115492</v>
      </c>
      <c r="DA12" s="411">
        <f ca="1">SUM(CW12:CZ12)</f>
        <v>93310.004868230753</v>
      </c>
      <c r="DB12" s="21">
        <f ca="1">PBM!DB8+EM!DB7</f>
        <v>21724.476678249008</v>
      </c>
      <c r="DC12" s="21">
        <f ca="1">PBM!DC8+EM!DC7</f>
        <v>22313.584232526762</v>
      </c>
      <c r="DD12" s="21">
        <f ca="1">PBM!DD8+EM!DD7</f>
        <v>22395.446111551159</v>
      </c>
      <c r="DE12" s="21">
        <f ca="1">PBM!DE8+EM!DE7</f>
        <v>22748.621404836904</v>
      </c>
      <c r="DF12" s="411">
        <f ca="1">SUM(DB12:DE12)</f>
        <v>89182.128427163829</v>
      </c>
      <c r="DG12"/>
      <c r="DH12"/>
      <c r="DI12"/>
      <c r="DJ12"/>
      <c r="DK12"/>
      <c r="DL12"/>
      <c r="DM12"/>
      <c r="DN12"/>
    </row>
    <row r="13" spans="2:118" s="16" customFormat="1" ht="22.5" hidden="1" customHeight="1" x14ac:dyDescent="0.2">
      <c r="B13" s="719" t="s">
        <v>540</v>
      </c>
      <c r="C13" s="1441"/>
      <c r="D13" s="387">
        <f t="shared" ref="D13:BG13" si="0">D12-D61</f>
        <v>0</v>
      </c>
      <c r="E13" s="387">
        <f t="shared" si="0"/>
        <v>6294.4440000000004</v>
      </c>
      <c r="F13" s="384">
        <f t="shared" si="0"/>
        <v>1926.64</v>
      </c>
      <c r="G13" s="384">
        <f t="shared" si="0"/>
        <v>2077.86</v>
      </c>
      <c r="H13" s="384">
        <f t="shared" si="0"/>
        <v>2216.1610000000001</v>
      </c>
      <c r="I13" s="22">
        <f t="shared" si="0"/>
        <v>1692.2149999999999</v>
      </c>
      <c r="J13" s="387">
        <f t="shared" si="0"/>
        <v>7912.8759999999993</v>
      </c>
      <c r="K13" s="384">
        <f t="shared" si="0"/>
        <v>3629.3790000000004</v>
      </c>
      <c r="L13" s="384">
        <f t="shared" si="0"/>
        <v>4569.7992000000004</v>
      </c>
      <c r="M13" s="384">
        <f t="shared" si="0"/>
        <v>4608.5407999999998</v>
      </c>
      <c r="N13" s="22">
        <f t="shared" si="0"/>
        <v>3596.631599999997</v>
      </c>
      <c r="O13" s="387">
        <f t="shared" si="0"/>
        <v>16404.350599999998</v>
      </c>
      <c r="P13" s="384">
        <f t="shared" si="0"/>
        <v>4334.8879999999999</v>
      </c>
      <c r="Q13" s="384">
        <f t="shared" si="0"/>
        <v>4442.5349999999999</v>
      </c>
      <c r="R13" s="384">
        <f t="shared" si="0"/>
        <v>4354.5540000000001</v>
      </c>
      <c r="S13" s="22">
        <f t="shared" si="0"/>
        <v>4518.3200000000024</v>
      </c>
      <c r="T13" s="387">
        <f t="shared" si="0"/>
        <v>17650.297000000002</v>
      </c>
      <c r="U13" s="384">
        <f t="shared" si="0"/>
        <v>4792.933</v>
      </c>
      <c r="V13" s="384">
        <f t="shared" si="0"/>
        <v>4926.3510000000006</v>
      </c>
      <c r="W13" s="384">
        <f t="shared" si="0"/>
        <v>4878.6190000000006</v>
      </c>
      <c r="X13" s="21">
        <f t="shared" si="0"/>
        <v>5055.0569999999989</v>
      </c>
      <c r="Y13" s="387">
        <f t="shared" si="0"/>
        <v>19652.96</v>
      </c>
      <c r="Z13" s="384">
        <f t="shared" si="0"/>
        <v>5038.0810000000001</v>
      </c>
      <c r="AA13" s="384">
        <f t="shared" si="0"/>
        <v>5108.1810000000005</v>
      </c>
      <c r="AB13" s="384">
        <f t="shared" si="0"/>
        <v>4947.3779999999997</v>
      </c>
      <c r="AC13" s="21">
        <f t="shared" si="0"/>
        <v>5655.9599999999991</v>
      </c>
      <c r="AD13" s="387">
        <f t="shared" si="0"/>
        <v>20749.599999999999</v>
      </c>
      <c r="AE13" s="384">
        <f t="shared" si="0"/>
        <v>5230.3999999999996</v>
      </c>
      <c r="AF13" s="384">
        <f t="shared" si="0"/>
        <v>5077.0999999999995</v>
      </c>
      <c r="AG13" s="384">
        <f t="shared" si="0"/>
        <v>4874.8999999999996</v>
      </c>
      <c r="AH13" s="21">
        <f t="shared" si="0"/>
        <v>4970.8999999999996</v>
      </c>
      <c r="AI13" s="387">
        <f t="shared" si="0"/>
        <v>20153.3</v>
      </c>
      <c r="AJ13" s="384">
        <f t="shared" si="0"/>
        <v>5060.2</v>
      </c>
      <c r="AK13" s="384">
        <f t="shared" si="0"/>
        <v>5053.7</v>
      </c>
      <c r="AL13" s="384">
        <f t="shared" si="0"/>
        <v>4895.3</v>
      </c>
      <c r="AM13" s="384">
        <f t="shared" si="0"/>
        <v>5067.8</v>
      </c>
      <c r="AN13" s="20">
        <f t="shared" si="0"/>
        <v>20077</v>
      </c>
      <c r="AO13" s="383">
        <f t="shared" si="0"/>
        <v>5000.2</v>
      </c>
      <c r="AP13" s="383">
        <f t="shared" si="0"/>
        <v>5003.0999999999995</v>
      </c>
      <c r="AQ13" s="384">
        <f t="shared" si="0"/>
        <v>4906.8</v>
      </c>
      <c r="AR13" s="384">
        <f t="shared" si="0"/>
        <v>4929.3</v>
      </c>
      <c r="AS13" s="20">
        <f t="shared" si="0"/>
        <v>19839.399999999998</v>
      </c>
      <c r="AT13" s="383">
        <f t="shared" si="0"/>
        <v>4864.0999999999995</v>
      </c>
      <c r="AU13" s="383">
        <f t="shared" si="0"/>
        <v>4884.2</v>
      </c>
      <c r="AV13" s="384">
        <f t="shared" si="0"/>
        <v>4983</v>
      </c>
      <c r="AW13" s="384">
        <f t="shared" si="0"/>
        <v>7488.4</v>
      </c>
      <c r="AX13" s="411">
        <f t="shared" si="0"/>
        <v>22219.7</v>
      </c>
      <c r="AY13" s="384">
        <f t="shared" si="0"/>
        <v>10432.125</v>
      </c>
      <c r="AZ13" s="384">
        <f t="shared" si="0"/>
        <v>10488.699999999999</v>
      </c>
      <c r="BA13" s="384">
        <f t="shared" si="0"/>
        <v>10449.5</v>
      </c>
      <c r="BB13" s="384">
        <f t="shared" si="0"/>
        <v>10463.799999999999</v>
      </c>
      <c r="BC13" s="411">
        <f t="shared" si="0"/>
        <v>41834.125</v>
      </c>
      <c r="BD13" s="384">
        <f t="shared" si="0"/>
        <v>10324.799999999999</v>
      </c>
      <c r="BE13" s="384">
        <f t="shared" si="0"/>
        <v>10552.699999999999</v>
      </c>
      <c r="BF13" s="384">
        <f t="shared" si="0"/>
        <v>10712.5</v>
      </c>
      <c r="BG13" s="384">
        <f t="shared" si="0"/>
        <v>11229.6</v>
      </c>
      <c r="BH13" s="411">
        <f t="shared" ref="BH13:BX13" si="1">BH12-BH61</f>
        <v>42819.6</v>
      </c>
      <c r="BI13" s="384">
        <f t="shared" si="1"/>
        <v>11272.7</v>
      </c>
      <c r="BJ13" s="384">
        <f t="shared" si="1"/>
        <v>25321</v>
      </c>
      <c r="BK13" s="384">
        <f t="shared" si="1"/>
        <v>24592.9</v>
      </c>
      <c r="BL13" s="384">
        <f t="shared" si="1"/>
        <v>25001.399999999998</v>
      </c>
      <c r="BM13" s="411">
        <f t="shared" si="1"/>
        <v>86188</v>
      </c>
      <c r="BN13" s="21">
        <f t="shared" si="1"/>
        <v>23952.7</v>
      </c>
      <c r="BO13" s="384">
        <f t="shared" si="1"/>
        <v>24166.800000000003</v>
      </c>
      <c r="BP13" s="384">
        <f t="shared" si="1"/>
        <v>23755.9</v>
      </c>
      <c r="BQ13" s="384">
        <f t="shared" si="1"/>
        <v>23517.3</v>
      </c>
      <c r="BR13" s="411">
        <f t="shared" si="1"/>
        <v>95392.7</v>
      </c>
      <c r="BS13" s="21">
        <f t="shared" si="1"/>
        <v>21730</v>
      </c>
      <c r="BT13" s="21">
        <f t="shared" si="1"/>
        <v>22894.2</v>
      </c>
      <c r="BU13" s="21">
        <f t="shared" si="1"/>
        <v>23543.3</v>
      </c>
      <c r="BV13" s="384">
        <f t="shared" si="1"/>
        <v>23934.9</v>
      </c>
      <c r="BW13" s="411">
        <f t="shared" si="1"/>
        <v>92102.399999999994</v>
      </c>
      <c r="BX13" s="21">
        <f t="shared" si="1"/>
        <v>22906.899999999998</v>
      </c>
      <c r="BY13" s="21">
        <v>22906.899999999998</v>
      </c>
      <c r="BZ13" s="21">
        <v>22906.899999999998</v>
      </c>
      <c r="CA13" s="21">
        <f>CA12-CA61</f>
        <v>23722.800000000003</v>
      </c>
      <c r="CB13" s="411">
        <f>CB12-CB61</f>
        <v>92708</v>
      </c>
      <c r="CC13" s="21">
        <f t="shared" ref="CC13:CD13" si="2">CC12-CC61</f>
        <v>22862.799999999999</v>
      </c>
      <c r="CD13" s="21">
        <f t="shared" si="2"/>
        <v>22976.600000000002</v>
      </c>
      <c r="CE13" s="21">
        <f t="shared" ref="CE13" si="3">CE12-CE61</f>
        <v>23062</v>
      </c>
      <c r="CF13" s="21">
        <f t="shared" ref="CF13:CL13" si="4">CF12-CF61</f>
        <v>22443.800000000003</v>
      </c>
      <c r="CG13" s="411">
        <f t="shared" si="4"/>
        <v>91345.2</v>
      </c>
      <c r="CH13" s="21">
        <f t="shared" ref="CH13" si="5">CH12-CH61</f>
        <v>22699.000000000004</v>
      </c>
      <c r="CI13" s="21">
        <f t="shared" ref="CI13:CJ13" si="6">CI12-CI61</f>
        <v>23101.200000000004</v>
      </c>
      <c r="CJ13" s="21">
        <f t="shared" si="6"/>
        <v>22360.400000000001</v>
      </c>
      <c r="CK13" s="21">
        <f t="shared" ref="CK13" si="7">CK12-CK61</f>
        <v>22799.800000000003</v>
      </c>
      <c r="CL13" s="411">
        <f t="shared" si="4"/>
        <v>90960.400000000023</v>
      </c>
      <c r="CM13" s="21">
        <f t="shared" ref="CM13:CV13" ca="1" si="8">CM12-CM61</f>
        <v>22766.554765355908</v>
      </c>
      <c r="CN13" s="21">
        <f t="shared" ca="1" si="8"/>
        <v>23081.789500689174</v>
      </c>
      <c r="CO13" s="21">
        <f t="shared" ca="1" si="8"/>
        <v>23035.050984343769</v>
      </c>
      <c r="CP13" s="21">
        <f t="shared" ca="1" si="8"/>
        <v>23422.022361795156</v>
      </c>
      <c r="CQ13" s="411">
        <f t="shared" ca="1" si="8"/>
        <v>92305.417612183999</v>
      </c>
      <c r="CR13" s="21">
        <f t="shared" ca="1" si="8"/>
        <v>23894.946483336538</v>
      </c>
      <c r="CS13" s="21">
        <f t="shared" ca="1" si="8"/>
        <v>24432.110464727764</v>
      </c>
      <c r="CT13" s="21">
        <f t="shared" ca="1" si="8"/>
        <v>24465.729512163882</v>
      </c>
      <c r="CU13" s="21">
        <f t="shared" ca="1" si="8"/>
        <v>24892.828102065443</v>
      </c>
      <c r="CV13" s="411">
        <f t="shared" ca="1" si="8"/>
        <v>97685.614562293631</v>
      </c>
      <c r="CW13" s="21">
        <f t="shared" ref="CW13:DF13" ca="1" si="9">CW12-CW61</f>
        <v>22684.061636177652</v>
      </c>
      <c r="CX13" s="21">
        <f t="shared" ca="1" si="9"/>
        <v>23243.830036862713</v>
      </c>
      <c r="CY13" s="21">
        <f t="shared" ca="1" si="9"/>
        <v>23333.711484948952</v>
      </c>
      <c r="CZ13" s="21">
        <f t="shared" ca="1" si="9"/>
        <v>23713.687726266879</v>
      </c>
      <c r="DA13" s="411">
        <f t="shared" ca="1" si="9"/>
        <v>92975.290884256203</v>
      </c>
      <c r="DB13" s="21">
        <f t="shared" ca="1" si="9"/>
        <v>21647.379556464555</v>
      </c>
      <c r="DC13" s="21">
        <f t="shared" ca="1" si="9"/>
        <v>22234.007098411825</v>
      </c>
      <c r="DD13" s="21">
        <f t="shared" ca="1" si="9"/>
        <v>22315.464617233934</v>
      </c>
      <c r="DE13" s="21">
        <f t="shared" ca="1" si="9"/>
        <v>22667.179544138278</v>
      </c>
      <c r="DF13" s="411">
        <f t="shared" ca="1" si="9"/>
        <v>88864.030816248589</v>
      </c>
      <c r="DG13"/>
      <c r="DH13"/>
      <c r="DI13"/>
      <c r="DJ13"/>
      <c r="DK13"/>
      <c r="DL13"/>
      <c r="DM13"/>
      <c r="DN13"/>
    </row>
    <row r="14" spans="2:118" s="16" customFormat="1" x14ac:dyDescent="0.2">
      <c r="B14" s="719" t="s">
        <v>68</v>
      </c>
      <c r="C14" s="1441"/>
      <c r="D14" s="388"/>
      <c r="E14" s="388">
        <f t="shared" ref="E14:AJ14" si="10">E11-E12</f>
        <v>538.96699999999964</v>
      </c>
      <c r="F14" s="12">
        <f t="shared" si="10"/>
        <v>144.89899999999989</v>
      </c>
      <c r="G14" s="12">
        <f t="shared" si="10"/>
        <v>150.28399999999965</v>
      </c>
      <c r="H14" s="12">
        <f t="shared" si="10"/>
        <v>144.45299999999997</v>
      </c>
      <c r="I14" s="14">
        <f t="shared" si="10"/>
        <v>156.23199999999997</v>
      </c>
      <c r="J14" s="388">
        <f t="shared" si="10"/>
        <v>595.86800000000039</v>
      </c>
      <c r="K14" s="12">
        <f t="shared" si="10"/>
        <v>174.6569999999997</v>
      </c>
      <c r="L14" s="12">
        <f t="shared" si="10"/>
        <v>212.10399999999936</v>
      </c>
      <c r="M14" s="12">
        <f t="shared" si="10"/>
        <v>211.46200000000044</v>
      </c>
      <c r="N14" s="14">
        <f t="shared" si="10"/>
        <v>225.19500000000153</v>
      </c>
      <c r="O14" s="388">
        <f t="shared" si="10"/>
        <v>823.41800000000148</v>
      </c>
      <c r="P14" s="12">
        <f t="shared" si="10"/>
        <v>209.61300000000119</v>
      </c>
      <c r="Q14" s="12">
        <f t="shared" si="10"/>
        <v>217.23500000000058</v>
      </c>
      <c r="R14" s="12">
        <f t="shared" si="10"/>
        <v>206.77700000000004</v>
      </c>
      <c r="S14" s="14">
        <f t="shared" si="10"/>
        <v>232.71299999999792</v>
      </c>
      <c r="T14" s="388">
        <f t="shared" si="10"/>
        <v>866.33799999999974</v>
      </c>
      <c r="U14" s="12">
        <f t="shared" si="10"/>
        <v>216.28700000000026</v>
      </c>
      <c r="V14" s="12">
        <f t="shared" si="10"/>
        <v>223.52199999999993</v>
      </c>
      <c r="W14" s="12">
        <f t="shared" si="10"/>
        <v>235.40999999999985</v>
      </c>
      <c r="X14" s="12">
        <f t="shared" si="10"/>
        <v>262.78099999999904</v>
      </c>
      <c r="Y14" s="388">
        <f t="shared" si="10"/>
        <v>938</v>
      </c>
      <c r="Z14" s="12">
        <f t="shared" si="10"/>
        <v>264.96399999999994</v>
      </c>
      <c r="AA14" s="12">
        <f t="shared" si="10"/>
        <v>276.74699999999939</v>
      </c>
      <c r="AB14" s="12">
        <f t="shared" si="10"/>
        <v>293.19999999999982</v>
      </c>
      <c r="AC14" s="12">
        <f t="shared" si="10"/>
        <v>364.28900000000067</v>
      </c>
      <c r="AD14" s="388">
        <f t="shared" si="10"/>
        <v>1199.2000000000007</v>
      </c>
      <c r="AE14" s="12">
        <f t="shared" si="10"/>
        <v>344.60000000000036</v>
      </c>
      <c r="AF14" s="12">
        <f t="shared" si="10"/>
        <v>363.60000000000036</v>
      </c>
      <c r="AG14" s="12">
        <f t="shared" si="10"/>
        <v>374.30000000000018</v>
      </c>
      <c r="AH14" s="12">
        <f t="shared" si="10"/>
        <v>393.69999999999891</v>
      </c>
      <c r="AI14" s="388">
        <f t="shared" si="10"/>
        <v>1476.2000000000007</v>
      </c>
      <c r="AJ14" s="12">
        <f t="shared" si="10"/>
        <v>411.29999999999927</v>
      </c>
      <c r="AK14" s="12">
        <f t="shared" ref="AK14:BM14" si="11">AK11-AK12</f>
        <v>439.10000000000036</v>
      </c>
      <c r="AL14" s="12">
        <f t="shared" si="11"/>
        <v>440.09999999999945</v>
      </c>
      <c r="AM14" s="12">
        <f t="shared" si="11"/>
        <v>462.39999999999964</v>
      </c>
      <c r="AN14" s="388">
        <f t="shared" si="11"/>
        <v>1752.9000000000015</v>
      </c>
      <c r="AO14" s="23">
        <f t="shared" si="11"/>
        <v>466.10000000000036</v>
      </c>
      <c r="AP14" s="23">
        <f t="shared" si="11"/>
        <v>502.60000000000036</v>
      </c>
      <c r="AQ14" s="12">
        <f t="shared" si="11"/>
        <v>520.39999999999964</v>
      </c>
      <c r="AR14" s="12">
        <f t="shared" si="11"/>
        <v>551.79999999999927</v>
      </c>
      <c r="AS14" s="388">
        <f t="shared" si="11"/>
        <v>2040.9000000000015</v>
      </c>
      <c r="AT14" s="23">
        <f t="shared" si="11"/>
        <v>534.10000000000036</v>
      </c>
      <c r="AU14" s="23">
        <f t="shared" si="11"/>
        <v>594</v>
      </c>
      <c r="AV14" s="12">
        <f t="shared" si="11"/>
        <v>612.59999999999945</v>
      </c>
      <c r="AW14" s="12">
        <f t="shared" si="11"/>
        <v>706.69999999999982</v>
      </c>
      <c r="AX14" s="17">
        <f t="shared" si="11"/>
        <v>2447.4000000000015</v>
      </c>
      <c r="AY14" s="12">
        <f t="shared" si="11"/>
        <v>719.39999999999964</v>
      </c>
      <c r="AZ14" s="12">
        <f t="shared" si="11"/>
        <v>777.70000000000073</v>
      </c>
      <c r="BA14" s="12">
        <f t="shared" si="11"/>
        <v>807.69999999999891</v>
      </c>
      <c r="BB14" s="12">
        <f t="shared" si="11"/>
        <v>833.70000000000073</v>
      </c>
      <c r="BC14" s="17">
        <f t="shared" si="11"/>
        <v>3138.5</v>
      </c>
      <c r="BD14" s="12">
        <f t="shared" si="11"/>
        <v>774</v>
      </c>
      <c r="BE14" s="12">
        <f t="shared" si="11"/>
        <v>812.60000000000036</v>
      </c>
      <c r="BF14" s="12">
        <f t="shared" si="11"/>
        <v>864.29999999999927</v>
      </c>
      <c r="BG14" s="12">
        <f t="shared" si="11"/>
        <v>903</v>
      </c>
      <c r="BH14" s="17">
        <f t="shared" si="11"/>
        <v>3353.9000000000015</v>
      </c>
      <c r="BI14" s="12">
        <f>BI11-BI12</f>
        <v>860.5</v>
      </c>
      <c r="BJ14" s="12">
        <f>BJ11-BJ12</f>
        <v>2127.5</v>
      </c>
      <c r="BK14" s="12">
        <f t="shared" si="11"/>
        <v>2158.5</v>
      </c>
      <c r="BL14" s="12">
        <f t="shared" si="11"/>
        <v>2347.4000000000015</v>
      </c>
      <c r="BM14" s="17">
        <f t="shared" si="11"/>
        <v>7493.8999999999942</v>
      </c>
      <c r="BN14" s="12">
        <f t="shared" ref="BN14:BW14" si="12">BN11-BN12</f>
        <v>2039.5999999999985</v>
      </c>
      <c r="BO14" s="12">
        <f t="shared" si="12"/>
        <v>2182.6999999999971</v>
      </c>
      <c r="BP14" s="12">
        <f>BP11-BP12</f>
        <v>2079.4999999999964</v>
      </c>
      <c r="BQ14" s="12">
        <f>BQ11-BQ12</f>
        <v>2189.9000000000015</v>
      </c>
      <c r="BR14" s="17">
        <f t="shared" si="12"/>
        <v>8491.6999999999971</v>
      </c>
      <c r="BS14" s="12">
        <f t="shared" si="12"/>
        <v>1886.7000000000007</v>
      </c>
      <c r="BT14" s="12">
        <f t="shared" si="12"/>
        <v>2144.7999999999993</v>
      </c>
      <c r="BU14" s="12">
        <f t="shared" si="12"/>
        <v>2166.5</v>
      </c>
      <c r="BV14" s="12">
        <v>2301.8000000000002</v>
      </c>
      <c r="BW14" s="17">
        <f t="shared" si="12"/>
        <v>8499.8000000000029</v>
      </c>
      <c r="BX14" s="12">
        <v>1912.5</v>
      </c>
      <c r="BY14" s="12">
        <v>2195.6999999999998</v>
      </c>
      <c r="BZ14" s="12">
        <v>2242.5</v>
      </c>
      <c r="CA14" s="12">
        <v>2364.3000000000002</v>
      </c>
      <c r="CB14" s="17">
        <f>SUM(BX14:CA14)</f>
        <v>8715</v>
      </c>
      <c r="CC14" s="12">
        <v>1881.3</v>
      </c>
      <c r="CD14" s="12">
        <v>2216.6</v>
      </c>
      <c r="CE14" s="12">
        <v>2329.5</v>
      </c>
      <c r="CF14" s="12">
        <v>2393.6</v>
      </c>
      <c r="CG14" s="17">
        <f>SUM(CC14:CF14)</f>
        <v>8821</v>
      </c>
      <c r="CH14" s="12">
        <v>1928.1</v>
      </c>
      <c r="CI14" s="12">
        <v>2216.6</v>
      </c>
      <c r="CJ14" s="12">
        <v>2295.5</v>
      </c>
      <c r="CK14" s="12">
        <v>2548.6</v>
      </c>
      <c r="CL14" s="17">
        <f t="shared" ref="CL14:CQ14" si="13">CL11-CL12</f>
        <v>8988.7999999999738</v>
      </c>
      <c r="CM14" s="12">
        <f t="shared" ca="1" si="13"/>
        <v>2038.3242543213673</v>
      </c>
      <c r="CN14" s="12">
        <f t="shared" ca="1" si="13"/>
        <v>2385.6274137174805</v>
      </c>
      <c r="CO14" s="12">
        <f t="shared" ca="1" si="13"/>
        <v>2411.1135465215993</v>
      </c>
      <c r="CP14" s="12">
        <f t="shared" ca="1" si="13"/>
        <v>2580.3048521601959</v>
      </c>
      <c r="CQ14" s="17">
        <f t="shared" ca="1" si="13"/>
        <v>9415.3700667206431</v>
      </c>
      <c r="CR14" s="12">
        <f t="shared" ref="CR14:CV14" ca="1" si="14">CR11-CR12</f>
        <v>2034.8627260873109</v>
      </c>
      <c r="CS14" s="12">
        <f t="shared" ca="1" si="14"/>
        <v>2316.1145919921873</v>
      </c>
      <c r="CT14" s="12">
        <f t="shared" ca="1" si="14"/>
        <v>2319.0529991090516</v>
      </c>
      <c r="CU14" s="12">
        <f t="shared" ca="1" si="14"/>
        <v>2473.5124221502956</v>
      </c>
      <c r="CV14" s="17">
        <f t="shared" ca="1" si="14"/>
        <v>9143.5427393388381</v>
      </c>
      <c r="CW14" s="12">
        <f t="shared" ref="CW14:DF14" ca="1" si="15">CW11-CW12</f>
        <v>1836.965566625644</v>
      </c>
      <c r="CX14" s="12">
        <f t="shared" ca="1" si="15"/>
        <v>2057.9767575192127</v>
      </c>
      <c r="CY14" s="12">
        <f t="shared" ca="1" si="15"/>
        <v>2048.0114652678094</v>
      </c>
      <c r="CZ14" s="12">
        <f t="shared" ca="1" si="15"/>
        <v>2175.5213346463825</v>
      </c>
      <c r="DA14" s="17">
        <f t="shared" ca="1" si="15"/>
        <v>8118.4751240590413</v>
      </c>
      <c r="DB14" s="12">
        <f t="shared" ca="1" si="15"/>
        <v>1638.2874988577787</v>
      </c>
      <c r="DC14" s="12">
        <f t="shared" ca="1" si="15"/>
        <v>1800.6988326054598</v>
      </c>
      <c r="DD14" s="12">
        <f t="shared" ca="1" si="15"/>
        <v>1841.3703482137971</v>
      </c>
      <c r="DE14" s="12">
        <f t="shared" ca="1" si="15"/>
        <v>1930.7303220188987</v>
      </c>
      <c r="DF14" s="17">
        <f t="shared" ca="1" si="15"/>
        <v>7211.0870016959379</v>
      </c>
      <c r="DG14"/>
      <c r="DH14"/>
      <c r="DI14"/>
      <c r="DJ14"/>
      <c r="DK14"/>
      <c r="DL14"/>
      <c r="DM14"/>
      <c r="DN14"/>
    </row>
    <row r="15" spans="2:118" x14ac:dyDescent="0.2">
      <c r="B15" s="720" t="s">
        <v>151</v>
      </c>
      <c r="C15" s="1443"/>
      <c r="D15" s="398"/>
      <c r="E15" s="398">
        <v>338.755</v>
      </c>
      <c r="F15" s="414">
        <v>89.798000000000002</v>
      </c>
      <c r="G15" s="391">
        <v>92.59</v>
      </c>
      <c r="H15" s="391">
        <v>84.221999999999994</v>
      </c>
      <c r="I15" s="415">
        <f>J15-SUM(F15:H15)</f>
        <v>92.08099999999996</v>
      </c>
      <c r="J15" s="398">
        <v>358.69099999999997</v>
      </c>
      <c r="K15" s="414">
        <v>96.387</v>
      </c>
      <c r="L15" s="391">
        <v>121.31100000000001</v>
      </c>
      <c r="M15" s="391">
        <v>112.16200000000001</v>
      </c>
      <c r="N15" s="415">
        <f>O15-SUM(K15:M15)</f>
        <v>121.83199999999999</v>
      </c>
      <c r="O15" s="398">
        <v>451.69200000000001</v>
      </c>
      <c r="P15" s="414">
        <v>101.786</v>
      </c>
      <c r="Q15" s="391">
        <v>106.955</v>
      </c>
      <c r="R15" s="391">
        <v>93.286000000000001</v>
      </c>
      <c r="S15" s="415">
        <f>T15-SUM(P15:R15)</f>
        <v>115.18600000000004</v>
      </c>
      <c r="T15" s="398">
        <v>417.21300000000002</v>
      </c>
      <c r="U15" s="414">
        <v>95.244</v>
      </c>
      <c r="V15" s="391">
        <v>96.722999999999999</v>
      </c>
      <c r="W15" s="391">
        <f>130.806-25</f>
        <v>105.80600000000001</v>
      </c>
      <c r="X15" s="415">
        <f>Y15-SUM(U15:W15)</f>
        <v>128.22699999999998</v>
      </c>
      <c r="Y15" s="398">
        <f>451-25</f>
        <v>426</v>
      </c>
      <c r="Z15" s="414">
        <v>126.631</v>
      </c>
      <c r="AA15" s="391">
        <v>128.35300000000001</v>
      </c>
      <c r="AB15" s="391">
        <v>132.1</v>
      </c>
      <c r="AC15" s="415">
        <f>AD15-SUM(Z15:AB15)</f>
        <v>169.01600000000002</v>
      </c>
      <c r="AD15" s="398">
        <v>556.1</v>
      </c>
      <c r="AE15" s="414">
        <v>161.1</v>
      </c>
      <c r="AF15" s="391">
        <v>171.1</v>
      </c>
      <c r="AG15" s="391">
        <v>168.6</v>
      </c>
      <c r="AH15" s="415">
        <f>AI15-SUM(AE15:AG15)</f>
        <v>149.60000000000002</v>
      </c>
      <c r="AI15" s="398">
        <v>650.4</v>
      </c>
      <c r="AJ15" s="414">
        <f>168</f>
        <v>168</v>
      </c>
      <c r="AK15" s="391">
        <v>176</v>
      </c>
      <c r="AL15" s="391">
        <f>174.4-18.5</f>
        <v>155.9</v>
      </c>
      <c r="AM15" s="416">
        <f>182.9-9.1-3-6</f>
        <v>164.8</v>
      </c>
      <c r="AN15" s="247">
        <f>SUM(AJ15:AM15)</f>
        <v>664.7</v>
      </c>
      <c r="AO15" s="414">
        <v>171.5</v>
      </c>
      <c r="AP15" s="391">
        <v>185.9</v>
      </c>
      <c r="AQ15" s="391">
        <v>189.7</v>
      </c>
      <c r="AR15" s="416">
        <v>213.3</v>
      </c>
      <c r="AS15" s="247">
        <f>SUM(AO15:AR15)</f>
        <v>760.39999999999986</v>
      </c>
      <c r="AT15" s="414">
        <f>178.6-8.7</f>
        <v>169.9</v>
      </c>
      <c r="AU15" s="391">
        <f>214+15-11.7-8.7</f>
        <v>208.60000000000002</v>
      </c>
      <c r="AV15" s="391">
        <f>254.1-9.6-35-8.7</f>
        <v>200.8</v>
      </c>
      <c r="AW15" s="391">
        <f>285.3-39.8-0.5-8.6</f>
        <v>236.4</v>
      </c>
      <c r="AX15" s="418">
        <f>SUM(AT15:AW15)</f>
        <v>815.69999999999993</v>
      </c>
      <c r="AY15" s="391">
        <f>210.9-6-1.6-8.7</f>
        <v>194.60000000000002</v>
      </c>
      <c r="AZ15" s="391">
        <f>227.2-4.4-8.5-1.6</f>
        <v>212.7</v>
      </c>
      <c r="BA15" s="391">
        <f>236.1-8.6-1.6-12.3</f>
        <v>213.6</v>
      </c>
      <c r="BB15" s="391">
        <f>215.5-8.5-1.7-5.4</f>
        <v>199.9</v>
      </c>
      <c r="BC15" s="418">
        <f>SUM(AY15:BB15)</f>
        <v>820.8</v>
      </c>
      <c r="BD15" s="391">
        <f>193.1-8.6-1.6</f>
        <v>182.9</v>
      </c>
      <c r="BE15" s="391">
        <f>204.8-1.6-8.6</f>
        <v>194.60000000000002</v>
      </c>
      <c r="BF15" s="391">
        <f>230.7-8.5-1.6-20.3-1.1</f>
        <v>199.2</v>
      </c>
      <c r="BG15" s="391">
        <f>269.6-1.7-8.5-42.2-11-1.6</f>
        <v>204.60000000000005</v>
      </c>
      <c r="BH15" s="418">
        <f>SUM(BD15:BG15)</f>
        <v>781.30000000000007</v>
      </c>
      <c r="BI15" s="391">
        <f>267.5-8.6-1.6-26.7-2.4</f>
        <v>228.19999999999996</v>
      </c>
      <c r="BJ15" s="391">
        <f>1580.8-10.2-481.9-343.9-3.4+36.4-26.1</f>
        <v>751.69999999999982</v>
      </c>
      <c r="BK15" s="391">
        <f>1336-10.2-495.9-179.1-4.5-37</f>
        <v>609.29999999999995</v>
      </c>
      <c r="BL15" s="391">
        <f>1398.4-10.2-472.9-130.8</f>
        <v>784.5</v>
      </c>
      <c r="BM15" s="418">
        <f>SUM(BI15:BL15)</f>
        <v>2373.6999999999998</v>
      </c>
      <c r="BN15" s="391">
        <f>1124.7-472.9-110.1</f>
        <v>541.70000000000005</v>
      </c>
      <c r="BO15" s="391">
        <f>1127.3-477.1-105.3</f>
        <v>544.9</v>
      </c>
      <c r="BP15" s="391">
        <f>1118.7-477.1-130.8</f>
        <v>510.8</v>
      </c>
      <c r="BQ15" s="391">
        <f>1232.2-477.1-140.7</f>
        <v>614.40000000000009</v>
      </c>
      <c r="BR15" s="418">
        <f>SUM(BN15:BQ15)</f>
        <v>2211.8000000000002</v>
      </c>
      <c r="BS15" s="391">
        <v>506.3</v>
      </c>
      <c r="BT15" s="391">
        <v>502.6</v>
      </c>
      <c r="BU15" s="391">
        <v>517.70000000000005</v>
      </c>
      <c r="BV15" s="391">
        <v>540.6</v>
      </c>
      <c r="BW15" s="418">
        <f>SUM(BS15:BV15)</f>
        <v>2067.2000000000003</v>
      </c>
      <c r="BX15" s="391">
        <v>497.5</v>
      </c>
      <c r="BY15" s="391">
        <v>501.5</v>
      </c>
      <c r="BZ15" s="391">
        <v>530.1</v>
      </c>
      <c r="CA15" s="391">
        <v>538.9</v>
      </c>
      <c r="CB15" s="418">
        <f>SUM(BX15:CA15)</f>
        <v>2068</v>
      </c>
      <c r="CC15" s="391">
        <v>497.2</v>
      </c>
      <c r="CD15" s="1875">
        <v>496.6</v>
      </c>
      <c r="CE15" s="1875">
        <v>449.8</v>
      </c>
      <c r="CF15" s="391">
        <v>415.6</v>
      </c>
      <c r="CG15" s="418">
        <f>SUM(CC15:CF15)</f>
        <v>1859.1999999999998</v>
      </c>
      <c r="CH15" s="391">
        <v>511.1</v>
      </c>
      <c r="CI15" s="391">
        <v>473.9</v>
      </c>
      <c r="CJ15" s="391">
        <v>427.7</v>
      </c>
      <c r="CK15" s="391">
        <v>483.2</v>
      </c>
      <c r="CL15" s="418">
        <f>SUM(CH15:CK15)</f>
        <v>1895.9</v>
      </c>
      <c r="CM15" s="417">
        <f ca="1">PBM!CM18+EM!CM10</f>
        <v>574.60726879933554</v>
      </c>
      <c r="CN15" s="417">
        <f ca="1">PBM!CN18+EM!CN10</f>
        <v>491.75011467165871</v>
      </c>
      <c r="CO15" s="417">
        <f ca="1">PBM!CO18+EM!CO10</f>
        <v>495.02946740775411</v>
      </c>
      <c r="CP15" s="417">
        <f ca="1">PBM!CP18+EM!CP10</f>
        <v>507.05230988254306</v>
      </c>
      <c r="CQ15" s="418">
        <f ca="1">SUM(CM15:CP15)</f>
        <v>2068.4391607612911</v>
      </c>
      <c r="CR15" s="417">
        <f ca="1">PBM!CR18+EM!CR10</f>
        <v>574.17306304992962</v>
      </c>
      <c r="CS15" s="417">
        <f ca="1">PBM!CS18+EM!CS10</f>
        <v>488.6948789302549</v>
      </c>
      <c r="CT15" s="417">
        <f ca="1">PBM!CT18+EM!CT10</f>
        <v>493.12690985840902</v>
      </c>
      <c r="CU15" s="417">
        <f ca="1">PBM!CU18+EM!CU10</f>
        <v>505.08939459645421</v>
      </c>
      <c r="CV15" s="418">
        <f ca="1">SUM(CR15:CU15)</f>
        <v>2061.084246435048</v>
      </c>
      <c r="CW15" s="417">
        <f ca="1">PBM!CW18+EM!CW10</f>
        <v>552.7186070288692</v>
      </c>
      <c r="CX15" s="417">
        <f ca="1">PBM!CX18+EM!CX10</f>
        <v>472.72186839707501</v>
      </c>
      <c r="CY15" s="417">
        <f ca="1">PBM!CY18+EM!CY10</f>
        <v>478.10357915568977</v>
      </c>
      <c r="CZ15" s="417">
        <f ca="1">PBM!CZ18+EM!CZ10</f>
        <v>489.03849692574676</v>
      </c>
      <c r="DA15" s="418">
        <f ca="1">SUM(CW15:CZ15)</f>
        <v>1992.5825515073809</v>
      </c>
      <c r="DB15" s="417">
        <f ca="1">PBM!DB18+EM!DB10</f>
        <v>535.25891116754156</v>
      </c>
      <c r="DC15" s="417">
        <f ca="1">PBM!DC18+EM!DC10</f>
        <v>460.10503783139291</v>
      </c>
      <c r="DD15" s="417">
        <f ca="1">PBM!DD18+EM!DD10</f>
        <v>466.39062411255816</v>
      </c>
      <c r="DE15" s="417">
        <f ca="1">PBM!DE18+EM!DE10</f>
        <v>476.44114294670567</v>
      </c>
      <c r="DF15" s="418">
        <f ca="1">SUM(DB15:DE15)</f>
        <v>1938.1957160581983</v>
      </c>
      <c r="DG15" s="1926"/>
    </row>
    <row r="16" spans="2:118" x14ac:dyDescent="0.2">
      <c r="B16" s="721" t="s">
        <v>314</v>
      </c>
      <c r="C16" s="122"/>
      <c r="D16" s="247"/>
      <c r="E16" s="408">
        <f t="shared" ref="E16:AJ16" si="16">+E14-E15</f>
        <v>200.21199999999965</v>
      </c>
      <c r="F16" s="183">
        <f t="shared" si="16"/>
        <v>55.100999999999885</v>
      </c>
      <c r="G16" s="183">
        <f t="shared" si="16"/>
        <v>57.693999999999647</v>
      </c>
      <c r="H16" s="183">
        <f t="shared" si="16"/>
        <v>60.23099999999998</v>
      </c>
      <c r="I16" s="408">
        <f t="shared" si="16"/>
        <v>64.15100000000001</v>
      </c>
      <c r="J16" s="408">
        <f t="shared" si="16"/>
        <v>237.17700000000042</v>
      </c>
      <c r="K16" s="183">
        <f t="shared" si="16"/>
        <v>78.269999999999698</v>
      </c>
      <c r="L16" s="183">
        <f t="shared" si="16"/>
        <v>90.792999999999353</v>
      </c>
      <c r="M16" s="183">
        <f t="shared" si="16"/>
        <v>99.300000000000438</v>
      </c>
      <c r="N16" s="183">
        <f t="shared" si="16"/>
        <v>103.36300000000153</v>
      </c>
      <c r="O16" s="247">
        <f t="shared" si="16"/>
        <v>371.72600000000148</v>
      </c>
      <c r="P16" s="183">
        <f t="shared" si="16"/>
        <v>107.82700000000119</v>
      </c>
      <c r="Q16" s="183">
        <f t="shared" si="16"/>
        <v>110.28000000000058</v>
      </c>
      <c r="R16" s="183">
        <f t="shared" si="16"/>
        <v>113.49100000000004</v>
      </c>
      <c r="S16" s="183">
        <f t="shared" si="16"/>
        <v>117.52699999999788</v>
      </c>
      <c r="T16" s="247">
        <f t="shared" si="16"/>
        <v>449.12499999999972</v>
      </c>
      <c r="U16" s="183">
        <f t="shared" si="16"/>
        <v>121.04300000000026</v>
      </c>
      <c r="V16" s="183">
        <f t="shared" si="16"/>
        <v>126.79899999999994</v>
      </c>
      <c r="W16" s="183">
        <f t="shared" si="16"/>
        <v>129.60399999999984</v>
      </c>
      <c r="X16" s="183">
        <f t="shared" si="16"/>
        <v>134.55399999999906</v>
      </c>
      <c r="Y16" s="247">
        <f t="shared" si="16"/>
        <v>512</v>
      </c>
      <c r="Z16" s="183">
        <f t="shared" si="16"/>
        <v>138.33299999999994</v>
      </c>
      <c r="AA16" s="183">
        <f t="shared" si="16"/>
        <v>148.39399999999938</v>
      </c>
      <c r="AB16" s="183">
        <f t="shared" si="16"/>
        <v>161.09999999999982</v>
      </c>
      <c r="AC16" s="183">
        <f t="shared" si="16"/>
        <v>195.27300000000065</v>
      </c>
      <c r="AD16" s="247">
        <f t="shared" si="16"/>
        <v>643.1000000000007</v>
      </c>
      <c r="AE16" s="183">
        <f t="shared" si="16"/>
        <v>183.50000000000037</v>
      </c>
      <c r="AF16" s="183">
        <f t="shared" si="16"/>
        <v>192.50000000000037</v>
      </c>
      <c r="AG16" s="183">
        <f t="shared" si="16"/>
        <v>205.70000000000019</v>
      </c>
      <c r="AH16" s="183">
        <f t="shared" si="16"/>
        <v>244.09999999999889</v>
      </c>
      <c r="AI16" s="247">
        <f t="shared" si="16"/>
        <v>825.80000000000075</v>
      </c>
      <c r="AJ16" s="183">
        <f t="shared" si="16"/>
        <v>243.29999999999927</v>
      </c>
      <c r="AK16" s="183">
        <f t="shared" ref="AK16:BM16" si="17">+AK14-AK15</f>
        <v>263.10000000000036</v>
      </c>
      <c r="AL16" s="183">
        <f t="shared" si="17"/>
        <v>284.19999999999948</v>
      </c>
      <c r="AM16" s="183">
        <f t="shared" si="17"/>
        <v>297.59999999999962</v>
      </c>
      <c r="AN16" s="247">
        <f t="shared" si="17"/>
        <v>1088.2000000000014</v>
      </c>
      <c r="AO16" s="183">
        <f t="shared" si="17"/>
        <v>294.60000000000036</v>
      </c>
      <c r="AP16" s="183">
        <f t="shared" si="17"/>
        <v>316.70000000000039</v>
      </c>
      <c r="AQ16" s="183">
        <f t="shared" si="17"/>
        <v>330.69999999999965</v>
      </c>
      <c r="AR16" s="183">
        <f t="shared" si="17"/>
        <v>338.49999999999926</v>
      </c>
      <c r="AS16" s="247">
        <f t="shared" si="17"/>
        <v>1280.5000000000016</v>
      </c>
      <c r="AT16" s="183">
        <f t="shared" si="17"/>
        <v>364.20000000000039</v>
      </c>
      <c r="AU16" s="183">
        <f t="shared" si="17"/>
        <v>385.4</v>
      </c>
      <c r="AV16" s="183">
        <f t="shared" si="17"/>
        <v>411.79999999999944</v>
      </c>
      <c r="AW16" s="183">
        <f t="shared" si="17"/>
        <v>470.29999999999984</v>
      </c>
      <c r="AX16" s="247">
        <f t="shared" si="17"/>
        <v>1631.7000000000016</v>
      </c>
      <c r="AY16" s="183">
        <f t="shared" si="17"/>
        <v>524.79999999999961</v>
      </c>
      <c r="AZ16" s="183">
        <f t="shared" si="17"/>
        <v>565.00000000000068</v>
      </c>
      <c r="BA16" s="183">
        <f t="shared" si="17"/>
        <v>594.09999999999889</v>
      </c>
      <c r="BB16" s="183">
        <f t="shared" si="17"/>
        <v>633.80000000000075</v>
      </c>
      <c r="BC16" s="247">
        <f t="shared" si="17"/>
        <v>2317.6999999999998</v>
      </c>
      <c r="BD16" s="183">
        <f t="shared" si="17"/>
        <v>591.1</v>
      </c>
      <c r="BE16" s="183">
        <f t="shared" si="17"/>
        <v>618.00000000000034</v>
      </c>
      <c r="BF16" s="183">
        <f t="shared" si="17"/>
        <v>665.09999999999923</v>
      </c>
      <c r="BG16" s="183">
        <f t="shared" si="17"/>
        <v>698.4</v>
      </c>
      <c r="BH16" s="247">
        <f t="shared" si="17"/>
        <v>2572.6000000000013</v>
      </c>
      <c r="BI16" s="183">
        <f>+BI14-BI15</f>
        <v>632.30000000000007</v>
      </c>
      <c r="BJ16" s="183">
        <f>+BJ14-BJ15</f>
        <v>1375.8000000000002</v>
      </c>
      <c r="BK16" s="183">
        <f t="shared" si="17"/>
        <v>1549.2</v>
      </c>
      <c r="BL16" s="183">
        <f t="shared" si="17"/>
        <v>1562.9000000000015</v>
      </c>
      <c r="BM16" s="247">
        <f t="shared" si="17"/>
        <v>5120.1999999999944</v>
      </c>
      <c r="BN16" s="183">
        <f t="shared" ref="BN16:BW16" si="18">+BN14-BN15</f>
        <v>1497.8999999999985</v>
      </c>
      <c r="BO16" s="183">
        <f t="shared" si="18"/>
        <v>1637.799999999997</v>
      </c>
      <c r="BP16" s="183">
        <f t="shared" si="18"/>
        <v>1568.6999999999964</v>
      </c>
      <c r="BQ16" s="183">
        <f>+BQ14-BQ15</f>
        <v>1575.5000000000014</v>
      </c>
      <c r="BR16" s="247">
        <f t="shared" si="18"/>
        <v>6279.8999999999969</v>
      </c>
      <c r="BS16" s="183">
        <f t="shared" si="18"/>
        <v>1380.4000000000008</v>
      </c>
      <c r="BT16" s="183">
        <f t="shared" si="18"/>
        <v>1642.1999999999994</v>
      </c>
      <c r="BU16" s="183">
        <f t="shared" si="18"/>
        <v>1648.8</v>
      </c>
      <c r="BV16" s="183">
        <f t="shared" si="18"/>
        <v>1761.2000000000003</v>
      </c>
      <c r="BW16" s="247">
        <f t="shared" si="18"/>
        <v>6432.6000000000022</v>
      </c>
      <c r="BX16" s="183">
        <f>+BX14-BX15</f>
        <v>1415</v>
      </c>
      <c r="BY16" s="183">
        <f>+BY14-BY15</f>
        <v>1694.1999999999998</v>
      </c>
      <c r="BZ16" s="183">
        <f>+BZ14-BZ15</f>
        <v>1712.4</v>
      </c>
      <c r="CA16" s="183">
        <f>+CA14-CA15</f>
        <v>1825.4</v>
      </c>
      <c r="CB16" s="247">
        <f>SUM(BX16:CA16)</f>
        <v>6647</v>
      </c>
      <c r="CC16" s="183">
        <f>+CC14-CC15</f>
        <v>1384.1</v>
      </c>
      <c r="CD16" s="183">
        <f>+CD14-CD15</f>
        <v>1720</v>
      </c>
      <c r="CE16" s="183">
        <f>+CE14-CE15</f>
        <v>1879.7</v>
      </c>
      <c r="CF16" s="183">
        <f>+CF14-CF15</f>
        <v>1978</v>
      </c>
      <c r="CG16" s="247">
        <f>SUM(CC16:CF16)</f>
        <v>6961.8</v>
      </c>
      <c r="CH16" s="183">
        <f>+CH14-CH15</f>
        <v>1417</v>
      </c>
      <c r="CI16" s="183">
        <f>+CI14-CI15</f>
        <v>1742.6999999999998</v>
      </c>
      <c r="CJ16" s="183">
        <f>+CJ14-CJ15</f>
        <v>1867.8</v>
      </c>
      <c r="CK16" s="183">
        <f>+CK14-CK15</f>
        <v>2065.4</v>
      </c>
      <c r="CL16" s="247">
        <f t="shared" ref="CL16:CQ16" si="19">+CL14-CL15</f>
        <v>7092.8999999999742</v>
      </c>
      <c r="CM16" s="183">
        <f t="shared" ca="1" si="19"/>
        <v>1463.7169855220318</v>
      </c>
      <c r="CN16" s="183">
        <f t="shared" ca="1" si="19"/>
        <v>1893.8772990458219</v>
      </c>
      <c r="CO16" s="183">
        <f t="shared" ca="1" si="19"/>
        <v>1916.0840791138453</v>
      </c>
      <c r="CP16" s="183">
        <f t="shared" ca="1" si="19"/>
        <v>2073.252542277653</v>
      </c>
      <c r="CQ16" s="247">
        <f t="shared" ca="1" si="19"/>
        <v>7346.9309059593525</v>
      </c>
      <c r="CR16" s="183">
        <f t="shared" ref="CR16:CV16" ca="1" si="20">+CR14-CR15</f>
        <v>1460.6896630373813</v>
      </c>
      <c r="CS16" s="183">
        <f t="shared" ca="1" si="20"/>
        <v>1827.4197130619325</v>
      </c>
      <c r="CT16" s="183">
        <f t="shared" ca="1" si="20"/>
        <v>1825.9260892506427</v>
      </c>
      <c r="CU16" s="183">
        <f t="shared" ca="1" si="20"/>
        <v>1968.4230275538414</v>
      </c>
      <c r="CV16" s="247">
        <f t="shared" ca="1" si="20"/>
        <v>7082.4584929037901</v>
      </c>
      <c r="CW16" s="183">
        <f t="shared" ref="CW16:DF16" ca="1" si="21">+CW14-CW15</f>
        <v>1284.2469595967748</v>
      </c>
      <c r="CX16" s="183">
        <f t="shared" ca="1" si="21"/>
        <v>1585.2548891221377</v>
      </c>
      <c r="CY16" s="183">
        <f t="shared" ca="1" si="21"/>
        <v>1569.9078861121197</v>
      </c>
      <c r="CZ16" s="183">
        <f t="shared" ca="1" si="21"/>
        <v>1686.4828377206356</v>
      </c>
      <c r="DA16" s="247">
        <f t="shared" ca="1" si="21"/>
        <v>6125.8925725516601</v>
      </c>
      <c r="DB16" s="183">
        <f t="shared" ca="1" si="21"/>
        <v>1103.0285876902371</v>
      </c>
      <c r="DC16" s="183">
        <f t="shared" ca="1" si="21"/>
        <v>1340.5937947740667</v>
      </c>
      <c r="DD16" s="183">
        <f t="shared" ca="1" si="21"/>
        <v>1374.9797241012388</v>
      </c>
      <c r="DE16" s="183">
        <f t="shared" ca="1" si="21"/>
        <v>1454.2891790721931</v>
      </c>
      <c r="DF16" s="247">
        <f t="shared" ca="1" si="21"/>
        <v>5272.8912856377392</v>
      </c>
      <c r="DG16" s="114"/>
    </row>
    <row r="17" spans="1:118" x14ac:dyDescent="0.2">
      <c r="B17" s="720" t="s">
        <v>544</v>
      </c>
      <c r="C17" s="1443"/>
      <c r="D17" s="398"/>
      <c r="E17" s="398">
        <v>0</v>
      </c>
      <c r="F17" s="506">
        <v>0</v>
      </c>
      <c r="G17" s="506">
        <v>-0.65800000000000003</v>
      </c>
      <c r="H17" s="506">
        <v>-0.435</v>
      </c>
      <c r="I17" s="408">
        <f>J17-SUM(F17:H17)</f>
        <v>-0.7410000000000001</v>
      </c>
      <c r="J17" s="398">
        <v>-1.8340000000000001</v>
      </c>
      <c r="K17" s="506">
        <v>-1.0369999999999999</v>
      </c>
      <c r="L17" s="506">
        <v>-1.0329999999999999</v>
      </c>
      <c r="M17" s="506">
        <v>-1.224</v>
      </c>
      <c r="N17" s="408">
        <f>O17-SUM(K17:M17)</f>
        <v>-1.2550000000000008</v>
      </c>
      <c r="O17" s="398">
        <v>-4.5490000000000004</v>
      </c>
      <c r="P17" s="506">
        <v>-1.5389999999999999</v>
      </c>
      <c r="Q17" s="506">
        <v>-1.5449999999999999</v>
      </c>
      <c r="R17" s="506">
        <v>-1.4359999999999999</v>
      </c>
      <c r="S17" s="408">
        <f>T17-SUM(P17:R17)</f>
        <v>-1.2760000000000007</v>
      </c>
      <c r="T17" s="398">
        <v>-5.7960000000000003</v>
      </c>
      <c r="U17" s="506">
        <v>-1.34</v>
      </c>
      <c r="V17" s="506">
        <v>-1.46</v>
      </c>
      <c r="W17" s="506">
        <v>-0.95399999999999996</v>
      </c>
      <c r="X17" s="26">
        <f>Y17-SUM(U17:W17)</f>
        <v>-1.2460000000000004</v>
      </c>
      <c r="Y17" s="405">
        <v>-5</v>
      </c>
      <c r="Z17" s="505">
        <v>-0.65300000000000002</v>
      </c>
      <c r="AA17" s="505">
        <v>-0.64200000000000002</v>
      </c>
      <c r="AB17" s="505">
        <v>-0.6</v>
      </c>
      <c r="AC17" s="26">
        <f>AD17-SUM(Z17:AB17)</f>
        <v>-0.50499999999999989</v>
      </c>
      <c r="AD17" s="405">
        <v>-2.4</v>
      </c>
      <c r="AE17" s="478">
        <v>-0.5</v>
      </c>
      <c r="AF17" s="478">
        <v>-0.3</v>
      </c>
      <c r="AG17" s="478">
        <v>-0.4</v>
      </c>
      <c r="AH17" s="26">
        <f>AI17-SUM(AE17:AG17)</f>
        <v>-0.39999999999999991</v>
      </c>
      <c r="AI17" s="399">
        <v>-1.6</v>
      </c>
      <c r="AJ17" s="478">
        <v>-0.4</v>
      </c>
      <c r="AK17" s="478">
        <v>-0.4</v>
      </c>
      <c r="AL17" s="478">
        <v>-0.3</v>
      </c>
      <c r="AM17" s="478">
        <v>-0.2</v>
      </c>
      <c r="AN17" s="96">
        <f>SUM(AJ17:AM17)</f>
        <v>-1.3</v>
      </c>
      <c r="AO17" s="145">
        <v>-0.2</v>
      </c>
      <c r="AP17" s="145">
        <v>-0.1</v>
      </c>
      <c r="AQ17" s="478">
        <v>0</v>
      </c>
      <c r="AR17" s="478">
        <v>0</v>
      </c>
      <c r="AS17" s="96">
        <f>SUM(AO17:AR17)</f>
        <v>-0.30000000000000004</v>
      </c>
      <c r="AT17" s="145">
        <v>0</v>
      </c>
      <c r="AU17" s="145">
        <v>0</v>
      </c>
      <c r="AV17" s="478">
        <f>AU17</f>
        <v>0</v>
      </c>
      <c r="AW17" s="478">
        <f>AV17</f>
        <v>0</v>
      </c>
      <c r="AX17" s="96">
        <f>+SUM(AT17:AW17)</f>
        <v>0</v>
      </c>
      <c r="AY17" s="478">
        <f>AW17</f>
        <v>0</v>
      </c>
      <c r="AZ17" s="478">
        <f>AY17</f>
        <v>0</v>
      </c>
      <c r="BA17" s="478">
        <f>AZ17</f>
        <v>0</v>
      </c>
      <c r="BB17" s="478">
        <f>BA17</f>
        <v>0</v>
      </c>
      <c r="BC17" s="96">
        <f>+SUM(AY17:BB17)</f>
        <v>0</v>
      </c>
      <c r="BD17" s="478">
        <f>BB17</f>
        <v>0</v>
      </c>
      <c r="BE17" s="478">
        <f>BD17</f>
        <v>0</v>
      </c>
      <c r="BF17" s="478">
        <f>BE17</f>
        <v>0</v>
      </c>
      <c r="BG17" s="478">
        <f>BF17</f>
        <v>0</v>
      </c>
      <c r="BH17" s="96">
        <f>+SUM(BD17:BG17)</f>
        <v>0</v>
      </c>
      <c r="BI17" s="478">
        <f>BH17</f>
        <v>0</v>
      </c>
      <c r="BJ17" s="478">
        <v>4.3</v>
      </c>
      <c r="BK17" s="478">
        <v>5.0999999999999996</v>
      </c>
      <c r="BL17" s="478">
        <v>5.5</v>
      </c>
      <c r="BM17" s="96">
        <f>+SUM(BI17:BL17)</f>
        <v>14.899999999999999</v>
      </c>
      <c r="BN17" s="478">
        <v>9.8000000000000007</v>
      </c>
      <c r="BO17" s="478">
        <v>7</v>
      </c>
      <c r="BP17" s="478">
        <v>6.3</v>
      </c>
      <c r="BQ17" s="478">
        <v>5.6</v>
      </c>
      <c r="BR17" s="96">
        <f>+SUM(BN17:BQ17)</f>
        <v>28.700000000000003</v>
      </c>
      <c r="BS17" s="145">
        <v>1.7</v>
      </c>
      <c r="BT17" s="145">
        <v>4.7</v>
      </c>
      <c r="BU17" s="145">
        <v>7.2</v>
      </c>
      <c r="BV17" s="478">
        <v>5.0999999999999996</v>
      </c>
      <c r="BW17" s="27">
        <f>+SUM(BS17:BV17)</f>
        <v>18.700000000000003</v>
      </c>
      <c r="BX17" s="145">
        <v>5.0999999999999996</v>
      </c>
      <c r="BY17" s="145">
        <v>0</v>
      </c>
      <c r="BZ17" s="145">
        <v>0</v>
      </c>
      <c r="CA17" s="145">
        <v>0</v>
      </c>
      <c r="CB17" s="96">
        <f>+SUM(BX17:CA17)</f>
        <v>5.0999999999999996</v>
      </c>
      <c r="CC17" s="145">
        <v>0</v>
      </c>
      <c r="CD17" s="145">
        <v>0</v>
      </c>
      <c r="CE17" s="145">
        <v>0</v>
      </c>
      <c r="CF17" s="478">
        <f>CE17</f>
        <v>0</v>
      </c>
      <c r="CG17" s="96">
        <f>+SUM(CC17:CF17)</f>
        <v>0</v>
      </c>
      <c r="CH17" s="478">
        <f>CG17</f>
        <v>0</v>
      </c>
      <c r="CI17" s="478">
        <f>CH17</f>
        <v>0</v>
      </c>
      <c r="CJ17" s="478">
        <f>CI17</f>
        <v>0</v>
      </c>
      <c r="CK17" s="478">
        <f>CJ17</f>
        <v>0</v>
      </c>
      <c r="CL17" s="96">
        <f>+SUM(CH17:CK17)</f>
        <v>0</v>
      </c>
      <c r="CM17" s="478">
        <f>CK17</f>
        <v>0</v>
      </c>
      <c r="CN17" s="478">
        <f>CM17</f>
        <v>0</v>
      </c>
      <c r="CO17" s="478">
        <f>CN17</f>
        <v>0</v>
      </c>
      <c r="CP17" s="478">
        <f>CO17</f>
        <v>0</v>
      </c>
      <c r="CQ17" s="96">
        <f>+SUM(CM17:CP17)</f>
        <v>0</v>
      </c>
      <c r="CR17" s="478">
        <f>CP17</f>
        <v>0</v>
      </c>
      <c r="CS17" s="478">
        <f>CR17</f>
        <v>0</v>
      </c>
      <c r="CT17" s="478">
        <f>CS17</f>
        <v>0</v>
      </c>
      <c r="CU17" s="478">
        <f>CT17</f>
        <v>0</v>
      </c>
      <c r="CV17" s="96">
        <f>+SUM(CR17:CU17)</f>
        <v>0</v>
      </c>
      <c r="CW17" s="478">
        <f>CU17</f>
        <v>0</v>
      </c>
      <c r="CX17" s="478">
        <f>CW17</f>
        <v>0</v>
      </c>
      <c r="CY17" s="478">
        <f>CX17</f>
        <v>0</v>
      </c>
      <c r="CZ17" s="478">
        <f>CY17</f>
        <v>0</v>
      </c>
      <c r="DA17" s="96">
        <f>+SUM(CW17:CZ17)</f>
        <v>0</v>
      </c>
      <c r="DB17" s="478">
        <f>CZ17</f>
        <v>0</v>
      </c>
      <c r="DC17" s="478">
        <f>DB17</f>
        <v>0</v>
      </c>
      <c r="DD17" s="478">
        <f>DC17</f>
        <v>0</v>
      </c>
      <c r="DE17" s="478">
        <f>DD17</f>
        <v>0</v>
      </c>
      <c r="DF17" s="96">
        <f>+SUM(DB17:DE17)</f>
        <v>0</v>
      </c>
    </row>
    <row r="18" spans="1:118" ht="11.25" hidden="1" customHeight="1" outlineLevel="1" x14ac:dyDescent="0.2">
      <c r="B18" s="720" t="s">
        <v>73</v>
      </c>
      <c r="C18" s="1443"/>
      <c r="D18" s="398"/>
      <c r="E18" s="398"/>
      <c r="F18" s="26">
        <v>0</v>
      </c>
      <c r="G18" s="26">
        <v>0</v>
      </c>
      <c r="H18" s="26">
        <v>0</v>
      </c>
      <c r="I18" s="87">
        <f>J18-SUM(F18:H18)</f>
        <v>0</v>
      </c>
      <c r="J18" s="398">
        <v>0</v>
      </c>
      <c r="K18" s="26">
        <v>0</v>
      </c>
      <c r="L18" s="26">
        <v>0</v>
      </c>
      <c r="M18" s="26">
        <v>0</v>
      </c>
      <c r="N18" s="87">
        <f>O18-SUM(K18:M18)</f>
        <v>0</v>
      </c>
      <c r="O18" s="398">
        <v>0</v>
      </c>
      <c r="P18" s="26">
        <v>0</v>
      </c>
      <c r="Q18" s="26">
        <v>0</v>
      </c>
      <c r="R18" s="26">
        <v>0</v>
      </c>
      <c r="S18" s="87">
        <f>T18-SUM(P18:R18)</f>
        <v>0</v>
      </c>
      <c r="T18" s="398">
        <v>0</v>
      </c>
      <c r="U18" s="26">
        <v>0</v>
      </c>
      <c r="V18" s="26">
        <v>0</v>
      </c>
      <c r="W18" s="26">
        <v>0</v>
      </c>
      <c r="X18" s="26">
        <f ca="1">Y18-SUM(U18:W18)</f>
        <v>0</v>
      </c>
      <c r="Y18" s="96">
        <f ca="1">+SUM(U18:X18)</f>
        <v>0</v>
      </c>
      <c r="Z18" s="26">
        <v>0</v>
      </c>
      <c r="AA18" s="26">
        <v>0</v>
      </c>
      <c r="AB18" s="26">
        <v>0</v>
      </c>
      <c r="AC18" s="26">
        <f>AD18-SUM(Z18:AB18)</f>
        <v>0</v>
      </c>
      <c r="AD18" s="399">
        <v>0</v>
      </c>
      <c r="AE18" s="478">
        <v>0</v>
      </c>
      <c r="AF18" s="478">
        <v>0</v>
      </c>
      <c r="AG18" s="478">
        <v>0</v>
      </c>
      <c r="AH18" s="26">
        <f>AI18-SUM(AE18:AG18)</f>
        <v>0</v>
      </c>
      <c r="AI18" s="399">
        <v>0</v>
      </c>
      <c r="AJ18" s="478">
        <f>-23+23</f>
        <v>0</v>
      </c>
      <c r="AK18" s="478">
        <f>-4.2+4.2</f>
        <v>0</v>
      </c>
      <c r="AL18" s="478">
        <f>-0.2+0.2</f>
        <v>0</v>
      </c>
      <c r="AM18" s="19">
        <v>0</v>
      </c>
      <c r="AN18" s="96">
        <f>SUM(AJ18:AM18)</f>
        <v>0</v>
      </c>
      <c r="AO18" s="19">
        <v>0</v>
      </c>
      <c r="AP18" s="19">
        <v>0</v>
      </c>
      <c r="AQ18" s="478">
        <v>-2</v>
      </c>
      <c r="AR18" s="478">
        <v>0</v>
      </c>
      <c r="AS18" s="96">
        <f>SUM(AO18:AR18)</f>
        <v>-2</v>
      </c>
      <c r="AT18" s="19">
        <v>0</v>
      </c>
      <c r="AU18" s="19">
        <v>0</v>
      </c>
      <c r="AV18" s="26">
        <v>0</v>
      </c>
      <c r="AW18" s="26">
        <v>0</v>
      </c>
      <c r="AX18" s="96">
        <f>+SUM(AT18:AW18)</f>
        <v>0</v>
      </c>
      <c r="AY18" s="26">
        <v>0</v>
      </c>
      <c r="AZ18" s="26">
        <v>0</v>
      </c>
      <c r="BA18" s="26">
        <v>0</v>
      </c>
      <c r="BB18" s="26">
        <v>0</v>
      </c>
      <c r="BC18" s="96">
        <f>+SUM(AY18:BB18)</f>
        <v>0</v>
      </c>
      <c r="BD18" s="26">
        <v>0</v>
      </c>
      <c r="BE18" s="26">
        <v>0</v>
      </c>
      <c r="BF18" s="26">
        <v>0</v>
      </c>
      <c r="BG18" s="26">
        <v>0</v>
      </c>
      <c r="BH18" s="96">
        <f>+SUM(BD18:BG18)</f>
        <v>0</v>
      </c>
      <c r="BI18" s="26">
        <v>0</v>
      </c>
      <c r="BJ18" s="26">
        <v>0</v>
      </c>
      <c r="BK18" s="26">
        <v>0</v>
      </c>
      <c r="BL18" s="26">
        <v>0</v>
      </c>
      <c r="BM18" s="96">
        <f>+SUM(BI18:BL18)</f>
        <v>0</v>
      </c>
      <c r="BN18" s="26">
        <v>0</v>
      </c>
      <c r="BO18" s="26">
        <v>0</v>
      </c>
      <c r="BP18" s="26">
        <v>0</v>
      </c>
      <c r="BQ18" s="26">
        <v>0</v>
      </c>
      <c r="BR18" s="96">
        <f>+SUM(BN18:BQ18)</f>
        <v>0</v>
      </c>
      <c r="BS18" s="19">
        <v>0</v>
      </c>
      <c r="BT18" s="506">
        <v>4.4000000000000004</v>
      </c>
      <c r="BU18" s="506">
        <v>71.5</v>
      </c>
      <c r="BV18" s="26">
        <v>0</v>
      </c>
      <c r="BW18" s="27">
        <f>+SUM(BS18:BV18)</f>
        <v>75.900000000000006</v>
      </c>
      <c r="BX18" s="19">
        <v>0</v>
      </c>
      <c r="BY18" s="506">
        <v>9.1999999999999993</v>
      </c>
      <c r="BZ18" s="506">
        <v>0</v>
      </c>
      <c r="CA18" s="506">
        <v>0</v>
      </c>
      <c r="CB18" s="96">
        <f>+SUM(BX18:CA18)</f>
        <v>9.1999999999999993</v>
      </c>
      <c r="CC18" s="19">
        <v>0</v>
      </c>
      <c r="CD18" s="19">
        <v>0</v>
      </c>
      <c r="CE18" s="19">
        <v>0</v>
      </c>
      <c r="CF18" s="26">
        <v>0</v>
      </c>
      <c r="CG18" s="96">
        <f>+SUM(CC18:CF18)</f>
        <v>0</v>
      </c>
      <c r="CH18" s="26">
        <v>0</v>
      </c>
      <c r="CI18" s="26">
        <v>0</v>
      </c>
      <c r="CJ18" s="26">
        <v>0</v>
      </c>
      <c r="CK18" s="26">
        <v>0</v>
      </c>
      <c r="CL18" s="96">
        <f>+SUM(CH18:CK18)</f>
        <v>0</v>
      </c>
      <c r="CM18" s="26">
        <v>0</v>
      </c>
      <c r="CN18" s="26">
        <v>0</v>
      </c>
      <c r="CO18" s="26">
        <v>0</v>
      </c>
      <c r="CP18" s="26">
        <v>0</v>
      </c>
      <c r="CQ18" s="96">
        <f>+SUM(CM18:CP18)</f>
        <v>0</v>
      </c>
      <c r="CR18" s="26">
        <v>0</v>
      </c>
      <c r="CS18" s="26">
        <v>0</v>
      </c>
      <c r="CT18" s="26">
        <v>0</v>
      </c>
      <c r="CU18" s="26">
        <v>0</v>
      </c>
      <c r="CV18" s="96">
        <f>+SUM(CR18:CU18)</f>
        <v>0</v>
      </c>
      <c r="CW18" s="26">
        <v>0</v>
      </c>
      <c r="CX18" s="26">
        <v>0</v>
      </c>
      <c r="CY18" s="26">
        <v>0</v>
      </c>
      <c r="CZ18" s="26">
        <v>0</v>
      </c>
      <c r="DA18" s="96">
        <f>+SUM(CW18:CZ18)</f>
        <v>0</v>
      </c>
      <c r="DB18" s="26">
        <v>0</v>
      </c>
      <c r="DC18" s="26">
        <v>0</v>
      </c>
      <c r="DD18" s="26">
        <v>0</v>
      </c>
      <c r="DE18" s="26">
        <v>0</v>
      </c>
      <c r="DF18" s="96">
        <f>+SUM(DB18:DE18)</f>
        <v>0</v>
      </c>
    </row>
    <row r="19" spans="1:118" collapsed="1" x14ac:dyDescent="0.2">
      <c r="A19" s="43"/>
      <c r="B19" s="722" t="s">
        <v>74</v>
      </c>
      <c r="C19" s="1444"/>
      <c r="D19" s="398"/>
      <c r="E19" s="398">
        <v>8.43</v>
      </c>
      <c r="F19" s="506">
        <v>1.41</v>
      </c>
      <c r="G19" s="506">
        <v>2.274</v>
      </c>
      <c r="H19" s="506">
        <v>1.837</v>
      </c>
      <c r="I19" s="408">
        <f>J19-SUM(F19:H19)</f>
        <v>1.5990000000000002</v>
      </c>
      <c r="J19" s="398">
        <v>7.12</v>
      </c>
      <c r="K19" s="506">
        <v>1.06</v>
      </c>
      <c r="L19" s="506">
        <v>1.319</v>
      </c>
      <c r="M19" s="506">
        <v>1.391</v>
      </c>
      <c r="N19" s="408">
        <f>O19-SUM(K19:M19)</f>
        <v>0.94600000000000017</v>
      </c>
      <c r="O19" s="398">
        <v>4.7160000000000002</v>
      </c>
      <c r="P19" s="506">
        <v>0.86799999999999999</v>
      </c>
      <c r="Q19" s="506">
        <v>0.72099999999999997</v>
      </c>
      <c r="R19" s="506">
        <v>0.75600000000000001</v>
      </c>
      <c r="S19" s="408">
        <f>T19-SUM(P19:R19)</f>
        <v>1.0450000000000004</v>
      </c>
      <c r="T19" s="398">
        <v>3.39</v>
      </c>
      <c r="U19" s="506">
        <v>0.82399999999999995</v>
      </c>
      <c r="V19" s="506">
        <v>0.80100000000000005</v>
      </c>
      <c r="W19" s="506">
        <v>0.86699999999999999</v>
      </c>
      <c r="X19" s="26">
        <f>Y19-SUM(U19:W19)</f>
        <v>1.508</v>
      </c>
      <c r="Y19" s="398">
        <v>4</v>
      </c>
      <c r="Z19" s="506">
        <v>1.6</v>
      </c>
      <c r="AA19" s="506">
        <v>2.452</v>
      </c>
      <c r="AB19" s="506">
        <v>3.5</v>
      </c>
      <c r="AC19" s="26">
        <f>AD19-SUM(Z19:AB19)</f>
        <v>3.6479999999999997</v>
      </c>
      <c r="AD19" s="398">
        <v>11.2</v>
      </c>
      <c r="AE19" s="506">
        <v>5</v>
      </c>
      <c r="AF19" s="506">
        <v>4</v>
      </c>
      <c r="AG19" s="506">
        <v>2.2999999999999998</v>
      </c>
      <c r="AH19" s="26">
        <f>AI19-SUM(AE19:AG19)</f>
        <v>2.3999999999999986</v>
      </c>
      <c r="AI19" s="398">
        <v>13.7</v>
      </c>
      <c r="AJ19" s="506">
        <v>2.8</v>
      </c>
      <c r="AK19" s="506">
        <v>2.6</v>
      </c>
      <c r="AL19" s="506">
        <v>2.7</v>
      </c>
      <c r="AM19" s="506">
        <v>4.0999999999999996</v>
      </c>
      <c r="AN19" s="247">
        <f>SUM(AJ19:AM19)</f>
        <v>12.200000000000001</v>
      </c>
      <c r="AO19" s="506">
        <v>5.3</v>
      </c>
      <c r="AP19" s="506">
        <v>3.3</v>
      </c>
      <c r="AQ19" s="506">
        <v>2.1</v>
      </c>
      <c r="AR19" s="506">
        <v>2.2999999999999998</v>
      </c>
      <c r="AS19" s="247">
        <f>SUM(AO19:AR19)</f>
        <v>13</v>
      </c>
      <c r="AT19" s="506">
        <v>0.9</v>
      </c>
      <c r="AU19" s="506">
        <v>1.2</v>
      </c>
      <c r="AV19" s="506">
        <v>2</v>
      </c>
      <c r="AW19" s="506">
        <v>1.2</v>
      </c>
      <c r="AX19" s="247">
        <f>+SUM(AT19:AW19)</f>
        <v>5.3</v>
      </c>
      <c r="AY19" s="506">
        <v>1.7</v>
      </c>
      <c r="AZ19" s="506">
        <v>0.5</v>
      </c>
      <c r="BA19" s="506">
        <v>2.2000000000000002</v>
      </c>
      <c r="BB19" s="506">
        <v>0.5</v>
      </c>
      <c r="BC19" s="247">
        <f>+SUM(AY19:BB19)</f>
        <v>4.9000000000000004</v>
      </c>
      <c r="BD19" s="506">
        <v>0.4</v>
      </c>
      <c r="BE19" s="506">
        <v>1.5</v>
      </c>
      <c r="BF19" s="506">
        <v>5.9</v>
      </c>
      <c r="BG19" s="506">
        <v>4.5999999999999996</v>
      </c>
      <c r="BH19" s="247">
        <f>+SUM(BD19:BG19)</f>
        <v>12.4</v>
      </c>
      <c r="BI19" s="506">
        <v>2.2999999999999998</v>
      </c>
      <c r="BJ19" s="506">
        <v>2.2999999999999998</v>
      </c>
      <c r="BK19" s="506">
        <v>1.4</v>
      </c>
      <c r="BL19" s="506">
        <v>4.5999999999999996</v>
      </c>
      <c r="BM19" s="247">
        <f>+SUM(BI19:BL19)</f>
        <v>10.6</v>
      </c>
      <c r="BN19" s="506">
        <v>1.6</v>
      </c>
      <c r="BO19" s="506">
        <v>1.1000000000000001</v>
      </c>
      <c r="BP19" s="506">
        <f>25.7-24.9</f>
        <v>0.80000000000000071</v>
      </c>
      <c r="BQ19" s="506">
        <f>13.5-11.6</f>
        <v>1.9000000000000004</v>
      </c>
      <c r="BR19" s="247">
        <f>+SUM(BN19:BQ19)</f>
        <v>5.4000000000000012</v>
      </c>
      <c r="BS19" s="506">
        <v>9.4</v>
      </c>
      <c r="BT19" s="506">
        <v>5.6</v>
      </c>
      <c r="BU19" s="506">
        <v>8.3000000000000007</v>
      </c>
      <c r="BV19" s="506">
        <v>4.7</v>
      </c>
      <c r="BW19" s="247">
        <f>+SUM(BS19:BV19)</f>
        <v>28</v>
      </c>
      <c r="BX19" s="506">
        <v>4.7</v>
      </c>
      <c r="BY19" s="506">
        <v>6</v>
      </c>
      <c r="BZ19" s="506">
        <v>7.8</v>
      </c>
      <c r="CA19" s="506">
        <v>5.7</v>
      </c>
      <c r="CB19" s="247">
        <f>+SUM(BX19:CA19)</f>
        <v>24.2</v>
      </c>
      <c r="CC19" s="506">
        <v>8.8000000000000007</v>
      </c>
      <c r="CD19" s="506">
        <v>10.3</v>
      </c>
      <c r="CE19" s="506">
        <v>8.3000000000000007</v>
      </c>
      <c r="CF19" s="506">
        <v>6.7</v>
      </c>
      <c r="CG19" s="247">
        <f>+SUM(CC19:CF19)</f>
        <v>34.1</v>
      </c>
      <c r="CH19" s="506">
        <v>6.3</v>
      </c>
      <c r="CI19" s="506">
        <v>8.8000000000000007</v>
      </c>
      <c r="CJ19" s="506">
        <v>13.6</v>
      </c>
      <c r="CK19" s="506">
        <v>14.2</v>
      </c>
      <c r="CL19" s="247">
        <f>+SUM(CH19:CK19)</f>
        <v>42.900000000000006</v>
      </c>
      <c r="CM19" s="183">
        <f ca="1">Debt!CM11</f>
        <v>4.5813491239354143</v>
      </c>
      <c r="CN19" s="183">
        <f ca="1">Debt!CN11</f>
        <v>4.8775404142591503</v>
      </c>
      <c r="CO19" s="183">
        <f ca="1">Debt!CO11</f>
        <v>8.1862506990000039</v>
      </c>
      <c r="CP19" s="183">
        <f ca="1">Debt!CP11</f>
        <v>11.720631308249436</v>
      </c>
      <c r="CQ19" s="247">
        <f ca="1">+SUM(CM19:CP19)</f>
        <v>29.365771545444005</v>
      </c>
      <c r="CR19" s="183">
        <f ca="1">Debt!CR11</f>
        <v>15.785450322854178</v>
      </c>
      <c r="CS19" s="183">
        <f ca="1">Debt!CS11</f>
        <v>17.998530483723211</v>
      </c>
      <c r="CT19" s="183">
        <f ca="1">Debt!CT11</f>
        <v>19.66197109906846</v>
      </c>
      <c r="CU19" s="183">
        <f ca="1">Debt!CU11</f>
        <v>22.886277479601048</v>
      </c>
      <c r="CV19" s="247">
        <f ca="1">+SUM(CR19:CU19)</f>
        <v>76.332229385246904</v>
      </c>
      <c r="CW19" s="183">
        <f ca="1">Debt!CW11</f>
        <v>25.556719009594183</v>
      </c>
      <c r="CX19" s="183">
        <f ca="1">Debt!CX11</f>
        <v>26.524316081585038</v>
      </c>
      <c r="CY19" s="183">
        <f ca="1">Debt!CY11</f>
        <v>27.894576260173846</v>
      </c>
      <c r="CZ19" s="183">
        <f ca="1">Debt!CZ11</f>
        <v>30.788826714436588</v>
      </c>
      <c r="DA19" s="247">
        <f ca="1">+SUM(CW19:CZ19)</f>
        <v>110.76443806578965</v>
      </c>
      <c r="DB19" s="183">
        <f ca="1">Debt!DB11</f>
        <v>33.05748347413077</v>
      </c>
      <c r="DC19" s="183">
        <f ca="1">Debt!DC11</f>
        <v>33.647757172905443</v>
      </c>
      <c r="DD19" s="183">
        <f ca="1">Debt!DD11</f>
        <v>34.715677487875276</v>
      </c>
      <c r="DE19" s="183">
        <f ca="1">Debt!DE11</f>
        <v>37.323844422987712</v>
      </c>
      <c r="DF19" s="247">
        <f ca="1">+SUM(DB19:DE19)</f>
        <v>138.74476255789921</v>
      </c>
    </row>
    <row r="20" spans="1:118" x14ac:dyDescent="0.2">
      <c r="A20" s="43"/>
      <c r="B20" s="1584" t="s">
        <v>75</v>
      </c>
      <c r="C20" s="1585"/>
      <c r="D20" s="400"/>
      <c r="E20" s="400">
        <f>-47.903-165.207</f>
        <v>-213.10999999999999</v>
      </c>
      <c r="F20" s="389">
        <v>-9.1440000000000001</v>
      </c>
      <c r="G20" s="389">
        <v>-8.6289999999999996</v>
      </c>
      <c r="H20" s="389">
        <v>-8.4169999999999998</v>
      </c>
      <c r="I20" s="419">
        <f>J20-SUM(F20:H20)</f>
        <v>-8.0100000000000051</v>
      </c>
      <c r="J20" s="400">
        <v>-34.200000000000003</v>
      </c>
      <c r="K20" s="389">
        <v>-8.1280000000000001</v>
      </c>
      <c r="L20" s="389">
        <v>-11.654</v>
      </c>
      <c r="M20" s="389">
        <v>-12.555400000000001</v>
      </c>
      <c r="N20" s="419">
        <f>O20-SUM(K20:M20)</f>
        <v>-11.562599999999996</v>
      </c>
      <c r="O20" s="400">
        <v>-43.9</v>
      </c>
      <c r="P20" s="389">
        <v>-10.702</v>
      </c>
      <c r="Q20" s="389">
        <v>-14.04</v>
      </c>
      <c r="R20" s="389">
        <v>-8.43</v>
      </c>
      <c r="S20" s="419">
        <f>T20-SUM(P20:R20)</f>
        <v>-8.2450000000000045</v>
      </c>
      <c r="T20" s="400">
        <v>-41.417000000000002</v>
      </c>
      <c r="U20" s="389">
        <f>-12.71+3.6</f>
        <v>-9.1100000000000012</v>
      </c>
      <c r="V20" s="389">
        <f>-20.16+12.3</f>
        <v>-7.8599999999999994</v>
      </c>
      <c r="W20" s="389">
        <v>-4.2480000000000002</v>
      </c>
      <c r="X20" s="392">
        <f>Y20-SUM(U20:W20)</f>
        <v>-4.782</v>
      </c>
      <c r="Y20" s="400">
        <f>-42+16</f>
        <v>-26</v>
      </c>
      <c r="Z20" s="389">
        <v>-4.7469999999999999</v>
      </c>
      <c r="AA20" s="389">
        <v>-4.6829999999999998</v>
      </c>
      <c r="AB20" s="389">
        <v>-5.0999999999999996</v>
      </c>
      <c r="AC20" s="392">
        <f>AD20-SUM(Z20:AB20)</f>
        <v>-18.870000000000005</v>
      </c>
      <c r="AD20" s="400">
        <f>-37.2+3.8</f>
        <v>-33.400000000000006</v>
      </c>
      <c r="AE20" s="389">
        <v>-20.5</v>
      </c>
      <c r="AF20" s="389">
        <v>-23.7</v>
      </c>
      <c r="AG20" s="389">
        <v>-26.4</v>
      </c>
      <c r="AH20" s="392">
        <f>AI20-SUM(AE20:AG20)</f>
        <v>-25.100000000000009</v>
      </c>
      <c r="AI20" s="400">
        <v>-95.7</v>
      </c>
      <c r="AJ20" s="389">
        <v>-22.2</v>
      </c>
      <c r="AK20" s="389">
        <v>-25.6</v>
      </c>
      <c r="AL20" s="389">
        <v>-31.3</v>
      </c>
      <c r="AM20" s="389">
        <v>-29.3</v>
      </c>
      <c r="AN20" s="393">
        <f>SUM(AJ20:AM20)</f>
        <v>-108.39999999999999</v>
      </c>
      <c r="AO20" s="389">
        <v>-23.3</v>
      </c>
      <c r="AP20" s="389">
        <v>-17</v>
      </c>
      <c r="AQ20" s="389">
        <v>-15.7</v>
      </c>
      <c r="AR20" s="389">
        <v>-21.6</v>
      </c>
      <c r="AS20" s="393">
        <f>SUM(AO20:AR20)</f>
        <v>-77.599999999999994</v>
      </c>
      <c r="AT20" s="389">
        <v>-17.100000000000001</v>
      </c>
      <c r="AU20" s="389">
        <f>-77.6+58.4</f>
        <v>-19.199999999999996</v>
      </c>
      <c r="AV20" s="389">
        <v>-48</v>
      </c>
      <c r="AW20" s="389">
        <f>-51.7+10</f>
        <v>-41.7</v>
      </c>
      <c r="AX20" s="393">
        <f>SUM(AT20:AW20)</f>
        <v>-126</v>
      </c>
      <c r="AY20" s="389">
        <v>-42.8</v>
      </c>
      <c r="AZ20" s="389">
        <v>-42</v>
      </c>
      <c r="BA20" s="389">
        <v>-42.2</v>
      </c>
      <c r="BB20" s="389">
        <v>-40.1</v>
      </c>
      <c r="BC20" s="393">
        <f>SUM(AY20:BB20)</f>
        <v>-167.1</v>
      </c>
      <c r="BD20" s="389">
        <v>-39.700000000000003</v>
      </c>
      <c r="BE20" s="389">
        <v>-50.3</v>
      </c>
      <c r="BF20" s="389">
        <f>-94.3+42</f>
        <v>-52.3</v>
      </c>
      <c r="BG20" s="389">
        <f>-115.4+63.1</f>
        <v>-52.300000000000004</v>
      </c>
      <c r="BH20" s="393">
        <f>SUM(BD20:BG20)</f>
        <v>-194.60000000000002</v>
      </c>
      <c r="BI20" s="389">
        <f>-132+79.5</f>
        <v>-52.5</v>
      </c>
      <c r="BJ20" s="389">
        <f>-175.2+5.7+0.8</f>
        <v>-168.7</v>
      </c>
      <c r="BK20" s="389">
        <f>-155.9+0.7</f>
        <v>-155.20000000000002</v>
      </c>
      <c r="BL20" s="389">
        <f>-157.4</f>
        <v>-157.4</v>
      </c>
      <c r="BM20" s="393">
        <f>SUM(BI20:BL20)</f>
        <v>-533.79999999999995</v>
      </c>
      <c r="BN20" s="389">
        <f>-215.4+68.5</f>
        <v>-146.9</v>
      </c>
      <c r="BO20" s="389">
        <v>-127.6</v>
      </c>
      <c r="BP20" s="389">
        <v>-127.4</v>
      </c>
      <c r="BQ20" s="389">
        <v>-125.7</v>
      </c>
      <c r="BR20" s="393">
        <f>SUM(BN20:BQ20)</f>
        <v>-527.6</v>
      </c>
      <c r="BS20" s="392">
        <v>-124.5</v>
      </c>
      <c r="BT20" s="392">
        <v>-134.69999999999999</v>
      </c>
      <c r="BU20" s="392">
        <v>-201.6</v>
      </c>
      <c r="BV20" s="389">
        <v>-122.1</v>
      </c>
      <c r="BW20" s="393">
        <f>SUM(BS20:BV20)</f>
        <v>-582.9</v>
      </c>
      <c r="BX20" s="392">
        <v>-122.1</v>
      </c>
      <c r="BY20" s="392">
        <v>-132.30000000000001</v>
      </c>
      <c r="BZ20" s="392">
        <f>-128.4</f>
        <v>-128.4</v>
      </c>
      <c r="CA20" s="392">
        <v>-123.2</v>
      </c>
      <c r="CB20" s="393">
        <f>SUM(BX20:CA20)</f>
        <v>-506</v>
      </c>
      <c r="CC20" s="392">
        <v>-138.6</v>
      </c>
      <c r="CD20" s="392">
        <v>-136.80000000000001</v>
      </c>
      <c r="CE20" s="392">
        <v>-147.5</v>
      </c>
      <c r="CF20" s="392">
        <v>-146</v>
      </c>
      <c r="CG20" s="393">
        <f>SUM(CC20:CF20)</f>
        <v>-568.9</v>
      </c>
      <c r="CH20" s="392">
        <v>-145.69999999999999</v>
      </c>
      <c r="CI20" s="392">
        <v>-146.5</v>
      </c>
      <c r="CJ20" s="392">
        <v>-147.69999999999999</v>
      </c>
      <c r="CK20" s="392">
        <f>-168+17.7</f>
        <v>-150.30000000000001</v>
      </c>
      <c r="CL20" s="393">
        <f>SUM(CH20:CK20)</f>
        <v>-590.20000000000005</v>
      </c>
      <c r="CM20" s="392">
        <f>Debt!CM17</f>
        <v>-136.873091875</v>
      </c>
      <c r="CN20" s="392">
        <f>Debt!CN17</f>
        <v>-129.13534187500002</v>
      </c>
      <c r="CO20" s="392">
        <f>Debt!CO17</f>
        <v>-129.13534187500002</v>
      </c>
      <c r="CP20" s="392">
        <f>Debt!CP17</f>
        <v>-129.13534187500002</v>
      </c>
      <c r="CQ20" s="393">
        <f>SUM(CM20:CP20)</f>
        <v>-524.27911749999998</v>
      </c>
      <c r="CR20" s="392">
        <f>Debt!CR17</f>
        <v>-129.13534187500002</v>
      </c>
      <c r="CS20" s="392">
        <f>Debt!CS17</f>
        <v>-123.28978343750001</v>
      </c>
      <c r="CT20" s="392">
        <f>Debt!CT17</f>
        <v>-117.44422500000002</v>
      </c>
      <c r="CU20" s="392">
        <f>Debt!CU17</f>
        <v>-117.44422500000002</v>
      </c>
      <c r="CV20" s="393">
        <f>SUM(CR20:CU20)</f>
        <v>-487.31357531250006</v>
      </c>
      <c r="CW20" s="392">
        <f>Debt!CW17</f>
        <v>-117.44422500000002</v>
      </c>
      <c r="CX20" s="392">
        <f>Debt!CX17</f>
        <v>-111.5986665625</v>
      </c>
      <c r="CY20" s="392">
        <f>Debt!CY17</f>
        <v>-105.75310812500001</v>
      </c>
      <c r="CZ20" s="392">
        <f>Debt!CZ17</f>
        <v>-105.75310812500001</v>
      </c>
      <c r="DA20" s="393">
        <f>SUM(CW20:CZ20)</f>
        <v>-440.5491078125001</v>
      </c>
      <c r="DB20" s="392">
        <f>Debt!DB17</f>
        <v>-105.75310812500001</v>
      </c>
      <c r="DC20" s="392">
        <f>Debt!DC17</f>
        <v>-99.907549687499994</v>
      </c>
      <c r="DD20" s="392">
        <f>Debt!DD17</f>
        <v>-94.061991250000005</v>
      </c>
      <c r="DE20" s="392">
        <f>Debt!DE17</f>
        <v>-94.061991250000005</v>
      </c>
      <c r="DF20" s="393">
        <f>SUM(DB20:DE20)</f>
        <v>-393.78464031250002</v>
      </c>
    </row>
    <row r="21" spans="1:118" x14ac:dyDescent="0.2">
      <c r="B21" s="721" t="s">
        <v>315</v>
      </c>
      <c r="C21" s="122"/>
      <c r="D21" s="247"/>
      <c r="E21" s="247">
        <f>E16+E17+E19+E20</f>
        <v>-4.4680000000003304</v>
      </c>
      <c r="F21" s="183">
        <f t="shared" ref="F21:AK21" si="22">SUM(F16:F20)</f>
        <v>47.366999999999884</v>
      </c>
      <c r="G21" s="183">
        <f t="shared" si="22"/>
        <v>50.680999999999649</v>
      </c>
      <c r="H21" s="183">
        <f t="shared" si="22"/>
        <v>53.21599999999998</v>
      </c>
      <c r="I21" s="408">
        <f t="shared" si="22"/>
        <v>56.999000000000009</v>
      </c>
      <c r="J21" s="247">
        <f t="shared" si="22"/>
        <v>208.26300000000043</v>
      </c>
      <c r="K21" s="183">
        <f t="shared" si="22"/>
        <v>70.164999999999694</v>
      </c>
      <c r="L21" s="183">
        <f t="shared" si="22"/>
        <v>79.424999999999358</v>
      </c>
      <c r="M21" s="183">
        <f t="shared" si="22"/>
        <v>86.911600000000433</v>
      </c>
      <c r="N21" s="408">
        <f t="shared" si="22"/>
        <v>91.491400000001533</v>
      </c>
      <c r="O21" s="247">
        <f t="shared" si="22"/>
        <v>327.99300000000153</v>
      </c>
      <c r="P21" s="183">
        <f t="shared" si="22"/>
        <v>96.454000000001187</v>
      </c>
      <c r="Q21" s="183">
        <f t="shared" si="22"/>
        <v>95.416000000000594</v>
      </c>
      <c r="R21" s="183">
        <f t="shared" si="22"/>
        <v>104.38100000000003</v>
      </c>
      <c r="S21" s="408">
        <f t="shared" si="22"/>
        <v>109.05099999999788</v>
      </c>
      <c r="T21" s="247">
        <f t="shared" si="22"/>
        <v>405.30199999999968</v>
      </c>
      <c r="U21" s="183">
        <f t="shared" si="22"/>
        <v>111.41700000000026</v>
      </c>
      <c r="V21" s="183">
        <f t="shared" si="22"/>
        <v>118.27999999999994</v>
      </c>
      <c r="W21" s="183">
        <f t="shared" si="22"/>
        <v>125.26899999999982</v>
      </c>
      <c r="X21" s="87">
        <f t="shared" ca="1" si="22"/>
        <v>130.03399999999905</v>
      </c>
      <c r="Y21" s="394">
        <f t="shared" ca="1" si="22"/>
        <v>485</v>
      </c>
      <c r="Z21" s="87">
        <f t="shared" si="22"/>
        <v>134.53299999999996</v>
      </c>
      <c r="AA21" s="87">
        <f t="shared" si="22"/>
        <v>145.52099999999939</v>
      </c>
      <c r="AB21" s="87">
        <f t="shared" si="22"/>
        <v>158.89999999999984</v>
      </c>
      <c r="AC21" s="87">
        <f t="shared" si="22"/>
        <v>179.54600000000065</v>
      </c>
      <c r="AD21" s="394">
        <f t="shared" si="22"/>
        <v>618.5000000000008</v>
      </c>
      <c r="AE21" s="87">
        <f t="shared" si="22"/>
        <v>167.50000000000037</v>
      </c>
      <c r="AF21" s="87">
        <f t="shared" si="22"/>
        <v>172.50000000000037</v>
      </c>
      <c r="AG21" s="87">
        <f t="shared" si="22"/>
        <v>181.20000000000019</v>
      </c>
      <c r="AH21" s="87">
        <f t="shared" si="22"/>
        <v>220.99999999999886</v>
      </c>
      <c r="AI21" s="394">
        <f t="shared" si="22"/>
        <v>742.20000000000073</v>
      </c>
      <c r="AJ21" s="183">
        <f t="shared" si="22"/>
        <v>223.49999999999929</v>
      </c>
      <c r="AK21" s="87">
        <f t="shared" si="22"/>
        <v>239.70000000000041</v>
      </c>
      <c r="AL21" s="87">
        <f t="shared" ref="AL21:BM21" si="23">SUM(AL16:AL20)</f>
        <v>255.29999999999944</v>
      </c>
      <c r="AM21" s="87">
        <f t="shared" si="23"/>
        <v>272.19999999999965</v>
      </c>
      <c r="AN21" s="394">
        <f t="shared" si="23"/>
        <v>990.70000000000152</v>
      </c>
      <c r="AO21" s="183">
        <f t="shared" si="23"/>
        <v>276.40000000000038</v>
      </c>
      <c r="AP21" s="183">
        <f t="shared" si="23"/>
        <v>302.90000000000038</v>
      </c>
      <c r="AQ21" s="87">
        <f t="shared" si="23"/>
        <v>315.09999999999968</v>
      </c>
      <c r="AR21" s="87">
        <f t="shared" si="23"/>
        <v>319.19999999999925</v>
      </c>
      <c r="AS21" s="394">
        <f t="shared" si="23"/>
        <v>1213.6000000000017</v>
      </c>
      <c r="AT21" s="183">
        <f t="shared" si="23"/>
        <v>348.00000000000034</v>
      </c>
      <c r="AU21" s="183">
        <f t="shared" si="23"/>
        <v>367.4</v>
      </c>
      <c r="AV21" s="87">
        <f t="shared" si="23"/>
        <v>365.79999999999944</v>
      </c>
      <c r="AW21" s="87">
        <f t="shared" si="23"/>
        <v>429.79999999999984</v>
      </c>
      <c r="AX21" s="394">
        <f t="shared" si="23"/>
        <v>1511.0000000000016</v>
      </c>
      <c r="AY21" s="87">
        <f t="shared" si="23"/>
        <v>483.69999999999965</v>
      </c>
      <c r="AZ21" s="87">
        <f t="shared" si="23"/>
        <v>523.50000000000068</v>
      </c>
      <c r="BA21" s="87">
        <f>SUM(BA16:BA20)</f>
        <v>554.09999999999889</v>
      </c>
      <c r="BB21" s="87">
        <f t="shared" si="23"/>
        <v>594.20000000000073</v>
      </c>
      <c r="BC21" s="394">
        <f t="shared" si="23"/>
        <v>2155.5</v>
      </c>
      <c r="BD21" s="87">
        <f t="shared" si="23"/>
        <v>551.79999999999995</v>
      </c>
      <c r="BE21" s="87">
        <f t="shared" si="23"/>
        <v>569.20000000000039</v>
      </c>
      <c r="BF21" s="87">
        <f t="shared" si="23"/>
        <v>618.69999999999925</v>
      </c>
      <c r="BG21" s="87">
        <f t="shared" si="23"/>
        <v>650.70000000000005</v>
      </c>
      <c r="BH21" s="394">
        <f t="shared" si="23"/>
        <v>2390.4000000000015</v>
      </c>
      <c r="BI21" s="87">
        <f>SUM(BI16:BI20)</f>
        <v>582.1</v>
      </c>
      <c r="BJ21" s="87">
        <f>SUM(BJ16:BJ20)</f>
        <v>1213.7</v>
      </c>
      <c r="BK21" s="87">
        <f t="shared" si="23"/>
        <v>1400.5</v>
      </c>
      <c r="BL21" s="87">
        <f>SUM(BL16:BL20)</f>
        <v>1415.6000000000013</v>
      </c>
      <c r="BM21" s="394">
        <f t="shared" si="23"/>
        <v>4611.8999999999942</v>
      </c>
      <c r="BN21" s="87">
        <f t="shared" ref="BN21:BW21" si="24">SUM(BN16:BN20)</f>
        <v>1362.3999999999983</v>
      </c>
      <c r="BO21" s="87">
        <f t="shared" si="24"/>
        <v>1518.299999999997</v>
      </c>
      <c r="BP21" s="87">
        <f t="shared" si="24"/>
        <v>1448.3999999999962</v>
      </c>
      <c r="BQ21" s="87">
        <f>SUM(BQ16:BQ20)</f>
        <v>1457.3000000000013</v>
      </c>
      <c r="BR21" s="394">
        <f t="shared" si="24"/>
        <v>5786.399999999996</v>
      </c>
      <c r="BS21" s="183">
        <f t="shared" si="24"/>
        <v>1267.0000000000009</v>
      </c>
      <c r="BT21" s="183">
        <f t="shared" si="24"/>
        <v>1522.1999999999994</v>
      </c>
      <c r="BU21" s="183">
        <f t="shared" si="24"/>
        <v>1534.2</v>
      </c>
      <c r="BV21" s="87">
        <f t="shared" si="24"/>
        <v>1648.9000000000003</v>
      </c>
      <c r="BW21" s="247">
        <f t="shared" si="24"/>
        <v>5972.300000000002</v>
      </c>
      <c r="BX21" s="183">
        <f>SUM(BX16:BX20)</f>
        <v>1302.7</v>
      </c>
      <c r="BY21" s="183">
        <f>SUM(BY16:BY20)</f>
        <v>1577.1</v>
      </c>
      <c r="BZ21" s="183">
        <f>SUM(BZ16:BZ20)</f>
        <v>1591.8</v>
      </c>
      <c r="CA21" s="183">
        <f>SUM(CA16:CA20)</f>
        <v>1707.9</v>
      </c>
      <c r="CB21" s="394">
        <f t="shared" ref="CB21:CG21" si="25">SUM(CB16:CB20)</f>
        <v>6179.5</v>
      </c>
      <c r="CC21" s="183">
        <f>SUM(CC16:CC20)</f>
        <v>1254.3</v>
      </c>
      <c r="CD21" s="183">
        <f>SUM(CD16:CD20)</f>
        <v>1593.5</v>
      </c>
      <c r="CE21" s="183">
        <f>SUM(CE16:CE20)</f>
        <v>1740.5</v>
      </c>
      <c r="CF21" s="87">
        <f t="shared" si="25"/>
        <v>1838.7</v>
      </c>
      <c r="CG21" s="394">
        <f t="shared" si="25"/>
        <v>6427.0000000000009</v>
      </c>
      <c r="CH21" s="87">
        <f t="shared" ref="CH21" si="26">SUM(CH16:CH20)</f>
        <v>1277.5999999999999</v>
      </c>
      <c r="CI21" s="87">
        <f t="shared" ref="CI21:CJ21" si="27">SUM(CI16:CI20)</f>
        <v>1604.9999999999998</v>
      </c>
      <c r="CJ21" s="87">
        <f t="shared" si="27"/>
        <v>1733.6999999999998</v>
      </c>
      <c r="CK21" s="87">
        <f t="shared" ref="CK21" si="28">SUM(CK16:CK20)</f>
        <v>1929.3</v>
      </c>
      <c r="CL21" s="394">
        <f t="shared" ref="CL21:CQ21" si="29">SUM(CL16:CL20)</f>
        <v>6545.599999999974</v>
      </c>
      <c r="CM21" s="87">
        <f t="shared" ca="1" si="29"/>
        <v>1331.4252427709673</v>
      </c>
      <c r="CN21" s="87">
        <f t="shared" ca="1" si="29"/>
        <v>1769.619497585081</v>
      </c>
      <c r="CO21" s="87">
        <f t="shared" ca="1" si="29"/>
        <v>1795.1349879378454</v>
      </c>
      <c r="CP21" s="87">
        <f t="shared" ca="1" si="29"/>
        <v>1955.8378317109023</v>
      </c>
      <c r="CQ21" s="394">
        <f t="shared" ca="1" si="29"/>
        <v>6852.017560004796</v>
      </c>
      <c r="CR21" s="87">
        <f t="shared" ref="CR21:CV21" ca="1" si="30">SUM(CR16:CR20)</f>
        <v>1347.3397714852354</v>
      </c>
      <c r="CS21" s="87">
        <f t="shared" ca="1" si="30"/>
        <v>1722.1284601081557</v>
      </c>
      <c r="CT21" s="87">
        <f t="shared" ca="1" si="30"/>
        <v>1728.1438353497113</v>
      </c>
      <c r="CU21" s="87">
        <f t="shared" ca="1" si="30"/>
        <v>1873.8650800334424</v>
      </c>
      <c r="CV21" s="394">
        <f t="shared" ca="1" si="30"/>
        <v>6671.4771469765374</v>
      </c>
      <c r="CW21" s="87">
        <f t="shared" ref="CW21:DF21" ca="1" si="31">SUM(CW16:CW20)</f>
        <v>1192.359453606369</v>
      </c>
      <c r="CX21" s="87">
        <f t="shared" ca="1" si="31"/>
        <v>1500.1805386412227</v>
      </c>
      <c r="CY21" s="87">
        <f t="shared" ca="1" si="31"/>
        <v>1492.0493542472936</v>
      </c>
      <c r="CZ21" s="87">
        <f t="shared" ca="1" si="31"/>
        <v>1611.5185563100722</v>
      </c>
      <c r="DA21" s="394">
        <f t="shared" ca="1" si="31"/>
        <v>5796.1079028049498</v>
      </c>
      <c r="DB21" s="87">
        <f t="shared" ca="1" si="31"/>
        <v>1030.332963039368</v>
      </c>
      <c r="DC21" s="87">
        <f t="shared" ca="1" si="31"/>
        <v>1274.3340022594721</v>
      </c>
      <c r="DD21" s="87">
        <f t="shared" ca="1" si="31"/>
        <v>1315.6334103391141</v>
      </c>
      <c r="DE21" s="87">
        <f t="shared" ca="1" si="31"/>
        <v>1397.551032245181</v>
      </c>
      <c r="DF21" s="394">
        <f t="shared" ca="1" si="31"/>
        <v>5017.8514078831377</v>
      </c>
    </row>
    <row r="22" spans="1:118" x14ac:dyDescent="0.2">
      <c r="B22" s="721" t="s">
        <v>555</v>
      </c>
      <c r="C22" s="122"/>
      <c r="D22" s="247"/>
      <c r="E22" s="247"/>
      <c r="F22" s="183"/>
      <c r="G22" s="183"/>
      <c r="H22" s="183"/>
      <c r="I22" s="408"/>
      <c r="J22" s="247"/>
      <c r="K22" s="183"/>
      <c r="L22" s="183"/>
      <c r="M22" s="183"/>
      <c r="N22" s="408"/>
      <c r="O22" s="247"/>
      <c r="P22" s="183"/>
      <c r="Q22" s="183"/>
      <c r="R22" s="183"/>
      <c r="S22" s="408"/>
      <c r="T22" s="247"/>
      <c r="U22" s="183"/>
      <c r="V22" s="183"/>
      <c r="W22" s="183"/>
      <c r="X22" s="87"/>
      <c r="Y22" s="394"/>
      <c r="Z22" s="87"/>
      <c r="AA22" s="87"/>
      <c r="AB22" s="87"/>
      <c r="AC22" s="87"/>
      <c r="AD22" s="394"/>
      <c r="AE22" s="87"/>
      <c r="AF22" s="87"/>
      <c r="AG22" s="87"/>
      <c r="AH22" s="87"/>
      <c r="AI22" s="394"/>
      <c r="AJ22" s="183"/>
      <c r="AK22" s="87"/>
      <c r="AL22" s="87"/>
      <c r="AM22" s="87"/>
      <c r="AN22" s="394"/>
      <c r="AO22" s="505">
        <f>AO35</f>
        <v>0</v>
      </c>
      <c r="AP22" s="506">
        <f>AP35</f>
        <v>0</v>
      </c>
      <c r="AQ22" s="505">
        <f>AQ35</f>
        <v>0</v>
      </c>
      <c r="AR22" s="505">
        <f>AR35</f>
        <v>0</v>
      </c>
      <c r="AS22" s="96">
        <f>+SUM(AO22:AR22)</f>
        <v>0</v>
      </c>
      <c r="AT22" s="505">
        <f>AT35</f>
        <v>0</v>
      </c>
      <c r="AU22" s="506">
        <f>AU35</f>
        <v>0</v>
      </c>
      <c r="AV22" s="505">
        <f>AV35</f>
        <v>0</v>
      </c>
      <c r="AW22" s="505">
        <f>AW35</f>
        <v>0</v>
      </c>
      <c r="AX22" s="96">
        <f>+SUM(AT22:AW22)</f>
        <v>0</v>
      </c>
      <c r="AY22" s="505">
        <f>AY35</f>
        <v>0</v>
      </c>
      <c r="AZ22" s="506">
        <f>AZ35</f>
        <v>0</v>
      </c>
      <c r="BA22" s="505">
        <f>BA35</f>
        <v>0</v>
      </c>
      <c r="BB22" s="505">
        <f>BB35</f>
        <v>0</v>
      </c>
      <c r="BC22" s="96">
        <f>+SUM(AY22:BB22)</f>
        <v>0</v>
      </c>
      <c r="BD22" s="505">
        <f>BD35</f>
        <v>0</v>
      </c>
      <c r="BE22" s="506">
        <f>BE35</f>
        <v>0</v>
      </c>
      <c r="BF22" s="505"/>
      <c r="BG22" s="505"/>
      <c r="BH22" s="96">
        <f>+SUM(BD22:BG22)</f>
        <v>0</v>
      </c>
      <c r="BI22" s="505">
        <f>BI35</f>
        <v>-2.4</v>
      </c>
      <c r="BJ22" s="506">
        <f>BJ35</f>
        <v>-3.4</v>
      </c>
      <c r="BK22" s="505">
        <f>BK35</f>
        <v>-4.5</v>
      </c>
      <c r="BL22" s="505">
        <f>BL35</f>
        <v>-6.9</v>
      </c>
      <c r="BM22" s="96">
        <f>+SUM(BI22:BL22)</f>
        <v>-17.200000000000003</v>
      </c>
      <c r="BN22" s="505">
        <f>BN35</f>
        <v>-9.9999999999999645E-2</v>
      </c>
      <c r="BO22" s="506">
        <f>BO35</f>
        <v>-2.5</v>
      </c>
      <c r="BP22" s="506">
        <f>BP35</f>
        <v>-6.4</v>
      </c>
      <c r="BQ22" s="506">
        <v>0</v>
      </c>
      <c r="BR22" s="96">
        <f>+SUM(BN22:BQ22)</f>
        <v>-9</v>
      </c>
      <c r="BS22" s="506">
        <v>-6.2</v>
      </c>
      <c r="BT22" s="506">
        <v>-7.5</v>
      </c>
      <c r="BU22" s="506">
        <v>-6.8</v>
      </c>
      <c r="BV22" s="506">
        <v>-6.9</v>
      </c>
      <c r="BW22" s="27">
        <f>+SUM(BS22:BV22)</f>
        <v>-27.4</v>
      </c>
      <c r="BX22" s="506">
        <v>-6.9</v>
      </c>
      <c r="BY22" s="506">
        <v>-6</v>
      </c>
      <c r="BZ22" s="506">
        <v>-5.7</v>
      </c>
      <c r="CA22" s="506">
        <v>-5.4</v>
      </c>
      <c r="CB22" s="96">
        <f>+SUM(BX22:CA22)</f>
        <v>-24</v>
      </c>
      <c r="CC22" s="506">
        <v>-6.1</v>
      </c>
      <c r="CD22" s="506">
        <v>-6.4</v>
      </c>
      <c r="CE22" s="506">
        <v>-5.6</v>
      </c>
      <c r="CF22" s="505">
        <v>-5.0999999999999996</v>
      </c>
      <c r="CG22" s="96">
        <f>+SUM(CC22:CF22)</f>
        <v>-23.200000000000003</v>
      </c>
      <c r="CH22" s="505">
        <v>-4</v>
      </c>
      <c r="CI22" s="505">
        <v>-3.7</v>
      </c>
      <c r="CJ22" s="505">
        <v>-3.3</v>
      </c>
      <c r="CK22" s="505">
        <v>-3.3</v>
      </c>
      <c r="CL22" s="96">
        <f>+SUM(CH22:CK22)</f>
        <v>-14.3</v>
      </c>
      <c r="CM22" s="505">
        <f>CK22</f>
        <v>-3.3</v>
      </c>
      <c r="CN22" s="506">
        <f>CM22</f>
        <v>-3.3</v>
      </c>
      <c r="CO22" s="505">
        <f>CN22</f>
        <v>-3.3</v>
      </c>
      <c r="CP22" s="505">
        <f>CO22</f>
        <v>-3.3</v>
      </c>
      <c r="CQ22" s="96">
        <f>+SUM(CM22:CP22)</f>
        <v>-13.2</v>
      </c>
      <c r="CR22" s="505">
        <f>CP22</f>
        <v>-3.3</v>
      </c>
      <c r="CS22" s="506">
        <f>CR22</f>
        <v>-3.3</v>
      </c>
      <c r="CT22" s="505">
        <f>CS22</f>
        <v>-3.3</v>
      </c>
      <c r="CU22" s="505">
        <f>CT22</f>
        <v>-3.3</v>
      </c>
      <c r="CV22" s="96">
        <f>+SUM(CR22:CU22)</f>
        <v>-13.2</v>
      </c>
      <c r="CW22" s="505">
        <f>CU22</f>
        <v>-3.3</v>
      </c>
      <c r="CX22" s="506">
        <f>CW22</f>
        <v>-3.3</v>
      </c>
      <c r="CY22" s="505">
        <f>CX22</f>
        <v>-3.3</v>
      </c>
      <c r="CZ22" s="505">
        <f>CY22</f>
        <v>-3.3</v>
      </c>
      <c r="DA22" s="96">
        <f>+SUM(CW22:CZ22)</f>
        <v>-13.2</v>
      </c>
      <c r="DB22" s="505">
        <f>CZ22</f>
        <v>-3.3</v>
      </c>
      <c r="DC22" s="506">
        <f>DB22</f>
        <v>-3.3</v>
      </c>
      <c r="DD22" s="505">
        <f>DC22</f>
        <v>-3.3</v>
      </c>
      <c r="DE22" s="505">
        <f>DD22</f>
        <v>-3.3</v>
      </c>
      <c r="DF22" s="96">
        <f>+SUM(DB22:DE22)</f>
        <v>-13.2</v>
      </c>
    </row>
    <row r="23" spans="1:118" x14ac:dyDescent="0.2">
      <c r="B23" s="1582" t="s">
        <v>77</v>
      </c>
      <c r="C23" s="1583"/>
      <c r="D23" s="400"/>
      <c r="E23" s="400">
        <v>3.5529999999999999</v>
      </c>
      <c r="F23" s="389">
        <v>19.288</v>
      </c>
      <c r="G23" s="389">
        <v>20.437000000000001</v>
      </c>
      <c r="H23" s="389">
        <v>20.652999999999999</v>
      </c>
      <c r="I23" s="419">
        <f>J23-SUM(F23:H23)</f>
        <v>22.793999999999997</v>
      </c>
      <c r="J23" s="400">
        <v>83.171999999999997</v>
      </c>
      <c r="K23" s="389">
        <f>26.196</f>
        <v>26.196000000000002</v>
      </c>
      <c r="L23" s="389">
        <v>30.725000000000001</v>
      </c>
      <c r="M23" s="389">
        <v>33.47</v>
      </c>
      <c r="N23" s="419">
        <f>O23-SUM(K23:M23)</f>
        <v>34.775999999999996</v>
      </c>
      <c r="O23" s="400">
        <f>125.167</f>
        <v>125.167</v>
      </c>
      <c r="P23" s="389">
        <v>36.805</v>
      </c>
      <c r="Q23" s="389">
        <v>36.409999999999997</v>
      </c>
      <c r="R23" s="389">
        <v>39.838999999999999</v>
      </c>
      <c r="S23" s="419">
        <f>T23-SUM(P23:R23)</f>
        <v>41.620000000000005</v>
      </c>
      <c r="T23" s="400">
        <v>154.67400000000001</v>
      </c>
      <c r="U23" s="389">
        <f>43.354-(43.354-42.268)</f>
        <v>42.268000000000001</v>
      </c>
      <c r="V23" s="389">
        <f>40.56+(45.267-40.56)</f>
        <v>45.267000000000003</v>
      </c>
      <c r="W23" s="389">
        <f>38.352+(47.914-38.352)</f>
        <v>47.914000000000001</v>
      </c>
      <c r="X23" s="392">
        <f>Y23-SUM(U23:W23)</f>
        <v>49.550999999999988</v>
      </c>
      <c r="Y23" s="401">
        <f>172+(185-172)</f>
        <v>185</v>
      </c>
      <c r="Z23" s="389">
        <f>49.257+2.3</f>
        <v>51.556999999999995</v>
      </c>
      <c r="AA23" s="389">
        <f>43.521+11</f>
        <v>54.521000000000001</v>
      </c>
      <c r="AB23" s="389">
        <f>57.2+1.52</f>
        <v>58.720000000000006</v>
      </c>
      <c r="AC23" s="392">
        <f>AD23-SUM(Z23:AB23)</f>
        <v>65.102000000000004</v>
      </c>
      <c r="AD23" s="401">
        <f>214.6+(10.2+3.8)+(215.9-214.6)</f>
        <v>229.9</v>
      </c>
      <c r="AE23" s="389">
        <v>62.8</v>
      </c>
      <c r="AF23" s="389">
        <v>64.7</v>
      </c>
      <c r="AG23" s="389">
        <v>66.5</v>
      </c>
      <c r="AH23" s="392">
        <f>AI23-SUM(AE23:AG23)</f>
        <v>80.100000000000023</v>
      </c>
      <c r="AI23" s="401">
        <f>266.8+7.3</f>
        <v>274.10000000000002</v>
      </c>
      <c r="AJ23" s="389">
        <f>76.6+(81.7-76.6)</f>
        <v>81.7</v>
      </c>
      <c r="AK23" s="389">
        <f>89.2-(89.2-87.7)</f>
        <v>87.7</v>
      </c>
      <c r="AL23" s="389">
        <f>90.3+(97.3-90.3)</f>
        <v>97.3</v>
      </c>
      <c r="AM23" s="389">
        <f>88+(94.3-88)</f>
        <v>94.3</v>
      </c>
      <c r="AN23" s="395">
        <f>SUM(AJ23:AM23)</f>
        <v>361</v>
      </c>
      <c r="AO23" s="389">
        <v>98.1</v>
      </c>
      <c r="AP23" s="389">
        <v>111</v>
      </c>
      <c r="AQ23" s="389">
        <v>112.1</v>
      </c>
      <c r="AR23" s="389">
        <v>112.8</v>
      </c>
      <c r="AS23" s="395">
        <f>SUM(AO23:AR23)</f>
        <v>434</v>
      </c>
      <c r="AT23" s="389">
        <f>124.6+AT36</f>
        <v>127.6</v>
      </c>
      <c r="AU23" s="389">
        <f>111.6+AU36</f>
        <v>134.9</v>
      </c>
      <c r="AV23" s="389">
        <f>115.6+AV36</f>
        <v>135</v>
      </c>
      <c r="AW23" s="389">
        <f>131+(39.8-25.1)+(7.5-4.7)+(9.5-6)+(0.5-0.3)+(10-6.3)--(8.6-5.6)</f>
        <v>158.89999999999998</v>
      </c>
      <c r="AX23" s="395">
        <f>SUM(AT23:AW23)</f>
        <v>556.4</v>
      </c>
      <c r="AY23" s="389">
        <f>152.8+(25.9-16.3)+(6-3.8)+(28.5-18)+(1.6-1)+(8.7-5.5)</f>
        <v>178.89999999999998</v>
      </c>
      <c r="AZ23" s="389">
        <f>181.5+(28.5-17.9)+(21.7-13.6)-(30-18.9)+(4.4-2.8)+(8.5-5.3)+(1.6-1)</f>
        <v>194.49999999999997</v>
      </c>
      <c r="BA23" s="389">
        <f>180.9+(28.5-17.9)+(15.1-9.5)+(12.3-7.7)+(8.6-5.4)+(1.6-1)</f>
        <v>205.49999999999997</v>
      </c>
      <c r="BB23" s="389">
        <f>188.7+(28.5-18.1)+(1.7-1.1)+(8.5-5.4)+(31.8-20.2)+(5.4-3.4)</f>
        <v>216.39999999999998</v>
      </c>
      <c r="BC23" s="395">
        <f>SUM(AY23:BB23)</f>
        <v>795.3</v>
      </c>
      <c r="BD23" s="389">
        <f>186.6+(28.5-18.1)+(1.6-1)+(8.6-5.5)</f>
        <v>200.7</v>
      </c>
      <c r="BE23" s="389">
        <f>196.3+(28.5-18)+(1.6-1)+(8.6-5.4)</f>
        <v>210.6</v>
      </c>
      <c r="BF23" s="389">
        <f>192+(28.5-17.9)+(1.6-1)+(8.5-5.3)+(20.3-12.8)+(42-26.4)</f>
        <v>229.49999999999997</v>
      </c>
      <c r="BG23" s="389">
        <f ca="1">173.7+(28.5-17.9)+1.7-1.1+8.5-5.3+42.2-26.4+63.1-39.5+30-18.9+11*(BG76)</f>
        <v>242.70286071596055</v>
      </c>
      <c r="BH23" s="395">
        <f ca="1">SUM(BD23:BG23)</f>
        <v>883.50286071596054</v>
      </c>
      <c r="BI23" s="389">
        <f>167+28.5-17.6+1.6-1+8.6-5.3+26.7-16.4+79.5-49+0.9</f>
        <v>223.49999999999997</v>
      </c>
      <c r="BJ23" s="389">
        <f>192.6+(28.5-16.5)+(10.2-5.9)+(11.9-6.9)+(343.9-199.1)+(481.9-279.1)+(5.7-3.3)-39.6+0.7-15.1</f>
        <v>509.9</v>
      </c>
      <c r="BK23" s="389">
        <f>257.7+(28.5-17.6)+(10.1-6.3)+(21.8-13.5)+(158.9-98.4)+(20.2-12.5)+(495.9-307)-(43.5-44.8)</f>
        <v>539.09999999999991</v>
      </c>
      <c r="BL23" s="389">
        <f>234.44+BL36</f>
        <v>541.4</v>
      </c>
      <c r="BM23" s="395">
        <f>SUM(BI23:BL23)</f>
        <v>1813.9</v>
      </c>
      <c r="BN23" s="389">
        <f>258.6+BN36</f>
        <v>538.70000000000005</v>
      </c>
      <c r="BO23" s="389">
        <f>305+BO36</f>
        <v>579.1</v>
      </c>
      <c r="BP23" s="389">
        <f>326.5+BP36</f>
        <v>544.6</v>
      </c>
      <c r="BQ23" s="389">
        <f>208+BQ36</f>
        <v>561.29999999999995</v>
      </c>
      <c r="BR23" s="395">
        <f>SUM(BN23:BQ23)</f>
        <v>2223.6999999999998</v>
      </c>
      <c r="BS23" s="389">
        <v>481.6</v>
      </c>
      <c r="BT23" s="389">
        <v>575.29999999999995</v>
      </c>
      <c r="BU23" s="389">
        <v>564.9</v>
      </c>
      <c r="BV23" s="389">
        <v>618.9</v>
      </c>
      <c r="BW23" s="393">
        <f>SUM(BS23:BV23)</f>
        <v>2240.7000000000003</v>
      </c>
      <c r="BX23" s="389">
        <v>486.8</v>
      </c>
      <c r="BY23" s="389">
        <v>592</v>
      </c>
      <c r="BZ23" s="389">
        <v>596.29999999999995</v>
      </c>
      <c r="CA23" s="389">
        <v>639.20000000000005</v>
      </c>
      <c r="CB23" s="395">
        <f>SUM(BX23:CA23)</f>
        <v>2314.3000000000002</v>
      </c>
      <c r="CC23" s="389">
        <v>466.5</v>
      </c>
      <c r="CD23" s="389">
        <v>588.4</v>
      </c>
      <c r="CE23" s="389">
        <v>643.29999999999995</v>
      </c>
      <c r="CF23" s="389">
        <v>680.6</v>
      </c>
      <c r="CG23" s="395">
        <f>SUM(CC23:CF23)</f>
        <v>2378.8000000000002</v>
      </c>
      <c r="CH23" s="389">
        <v>468.2</v>
      </c>
      <c r="CI23" s="389">
        <v>588.4</v>
      </c>
      <c r="CJ23" s="389">
        <v>636.79999999999995</v>
      </c>
      <c r="CK23" s="389">
        <v>697</v>
      </c>
      <c r="CL23" s="395">
        <f>SUM(CH23:CK23)</f>
        <v>2390.3999999999996</v>
      </c>
      <c r="CM23" s="392">
        <f ca="1">(CM21+CM22)*CM76</f>
        <v>332.03131069274184</v>
      </c>
      <c r="CN23" s="392">
        <f ca="1">(CN21+CN22)*CN76</f>
        <v>441.57987439627027</v>
      </c>
      <c r="CO23" s="392">
        <f ca="1">(CO21+CO22)*CO76</f>
        <v>447.95874698446136</v>
      </c>
      <c r="CP23" s="392">
        <f ca="1">(CP21+CP22)*CP76</f>
        <v>488.13445792772558</v>
      </c>
      <c r="CQ23" s="395">
        <f ca="1">SUM(CM23:CP23)</f>
        <v>1709.704390001199</v>
      </c>
      <c r="CR23" s="392">
        <f ca="1">(CR21+CR22)*CR76</f>
        <v>336.00994287130885</v>
      </c>
      <c r="CS23" s="392">
        <f ca="1">(CS21+CS22)*CS76</f>
        <v>429.70711502703892</v>
      </c>
      <c r="CT23" s="392">
        <f ca="1">(CT21+CT22)*CT76</f>
        <v>431.21095883742782</v>
      </c>
      <c r="CU23" s="392">
        <f ca="1">(CU21+CU22)*CU76</f>
        <v>467.64127000836061</v>
      </c>
      <c r="CV23" s="395">
        <f ca="1">SUM(CR23:CU23)</f>
        <v>1664.5692867441362</v>
      </c>
      <c r="CW23" s="392">
        <f ca="1">(CW21+CW22)*CW76</f>
        <v>297.26486340159227</v>
      </c>
      <c r="CX23" s="392">
        <f ca="1">(CX21+CX22)*CX76</f>
        <v>374.22013466030569</v>
      </c>
      <c r="CY23" s="392">
        <f ca="1">(CY21+CY22)*CY76</f>
        <v>372.18733856182342</v>
      </c>
      <c r="CZ23" s="392">
        <f ca="1">(CZ21+CZ22)*CZ76</f>
        <v>402.05463907751806</v>
      </c>
      <c r="DA23" s="395">
        <f ca="1">SUM(CW23:CZ23)</f>
        <v>1445.7269757012393</v>
      </c>
      <c r="DB23" s="392">
        <f ca="1">(DB21+DB22)*DB76</f>
        <v>256.75824075984201</v>
      </c>
      <c r="DC23" s="392">
        <f ca="1">(DC21+DC22)*DC76</f>
        <v>317.75850056486803</v>
      </c>
      <c r="DD23" s="392">
        <f ca="1">(DD21+DD22)*DD76</f>
        <v>328.08335258477854</v>
      </c>
      <c r="DE23" s="392">
        <f ca="1">(DE21+DE22)*DE76</f>
        <v>348.56275806129526</v>
      </c>
      <c r="DF23" s="395">
        <f ca="1">SUM(DB23:DE23)</f>
        <v>1251.1628519707838</v>
      </c>
    </row>
    <row r="24" spans="1:118" s="670" customFormat="1" ht="11.25" hidden="1" customHeight="1" outlineLevel="1" x14ac:dyDescent="0.2">
      <c r="B24" s="1269"/>
      <c r="C24" s="907"/>
      <c r="D24" s="1220"/>
      <c r="E24" s="1220"/>
      <c r="F24" s="1223"/>
      <c r="G24" s="1152"/>
      <c r="H24" s="1152"/>
      <c r="I24" s="1224"/>
      <c r="J24" s="1151"/>
      <c r="K24" s="1223"/>
      <c r="L24" s="1152"/>
      <c r="M24" s="1152"/>
      <c r="N24" s="1224"/>
      <c r="O24" s="1151"/>
      <c r="P24" s="1223"/>
      <c r="Q24" s="1152"/>
      <c r="R24" s="1152"/>
      <c r="S24" s="1224"/>
      <c r="T24" s="1151"/>
      <c r="U24" s="1152"/>
      <c r="V24" s="1152"/>
      <c r="W24" s="1152"/>
      <c r="X24" s="1152"/>
      <c r="Y24" s="1151"/>
      <c r="Z24" s="1152"/>
      <c r="AA24" s="1152"/>
      <c r="AB24" s="1185"/>
      <c r="AC24" s="1185"/>
      <c r="AD24" s="1151"/>
      <c r="AE24" s="1152"/>
      <c r="AF24" s="1185"/>
      <c r="AG24" s="1152"/>
      <c r="AH24" s="1152"/>
      <c r="AI24" s="1151"/>
      <c r="AJ24" s="1185"/>
      <c r="AK24" s="1152"/>
      <c r="AL24" s="1152"/>
      <c r="AM24" s="1152"/>
      <c r="AN24" s="1151"/>
      <c r="AO24" s="1152"/>
      <c r="AP24" s="1152"/>
      <c r="AQ24" s="1152"/>
      <c r="AR24" s="1152"/>
      <c r="AS24" s="1151"/>
      <c r="AT24" s="1185"/>
      <c r="AU24" s="1185"/>
      <c r="AV24" s="1185"/>
      <c r="AW24" s="1185"/>
      <c r="AX24" s="1151"/>
      <c r="AY24" s="1185"/>
      <c r="AZ24" s="1185"/>
      <c r="BA24" s="1185"/>
      <c r="BB24" s="1185"/>
      <c r="BC24" s="1151"/>
      <c r="BD24" s="1557"/>
      <c r="BE24" s="1557"/>
      <c r="BF24" s="1152"/>
      <c r="BG24" s="1152"/>
      <c r="BH24" s="1151"/>
      <c r="BI24" s="1152"/>
      <c r="BJ24" s="1152"/>
      <c r="BK24" s="1558"/>
      <c r="BL24" s="1185"/>
      <c r="BM24" s="1151"/>
      <c r="BN24" s="1558"/>
      <c r="BO24" s="1152"/>
      <c r="BP24" s="1152"/>
      <c r="BQ24" s="1152"/>
      <c r="BR24" s="1151">
        <f>SUM(BN24:BQ24)</f>
        <v>0</v>
      </c>
      <c r="BS24" s="1708"/>
      <c r="BT24" s="1708"/>
      <c r="BU24" s="1708"/>
      <c r="BV24" s="1152"/>
      <c r="BW24" s="247">
        <f>SUM(BS24:BV24)</f>
        <v>0</v>
      </c>
      <c r="BX24" s="1708"/>
      <c r="BY24" s="1708"/>
      <c r="BZ24" s="1708"/>
      <c r="CA24" s="1708"/>
      <c r="CB24" s="1151">
        <f>SUM(BX24:CA24)</f>
        <v>0</v>
      </c>
      <c r="CC24" s="1708"/>
      <c r="CD24" s="1708"/>
      <c r="CE24" s="1708"/>
      <c r="CF24" s="1558"/>
      <c r="CG24" s="1151">
        <f>SUM(CC24:CF24)</f>
        <v>0</v>
      </c>
      <c r="CH24" s="1558"/>
      <c r="CI24" s="1558"/>
      <c r="CJ24" s="1558"/>
      <c r="CK24" s="1558"/>
      <c r="CL24" s="1151">
        <f>SUM(CH24:CK24)</f>
        <v>0</v>
      </c>
      <c r="CM24" s="1558"/>
      <c r="CN24" s="1558"/>
      <c r="CO24" s="1558"/>
      <c r="CP24" s="1558"/>
      <c r="CQ24" s="1151">
        <f>SUM(CM24:CP24)</f>
        <v>0</v>
      </c>
      <c r="CR24" s="1558"/>
      <c r="CS24" s="1558"/>
      <c r="CT24" s="1558"/>
      <c r="CU24" s="1558"/>
      <c r="CV24" s="1151">
        <f>SUM(CR24:CU24)</f>
        <v>0</v>
      </c>
      <c r="CW24" s="1558"/>
      <c r="CX24" s="1558"/>
      <c r="CY24" s="1558"/>
      <c r="CZ24" s="1558"/>
      <c r="DA24" s="1151">
        <f>SUM(CW24:CZ24)</f>
        <v>0</v>
      </c>
      <c r="DB24" s="1558"/>
      <c r="DC24" s="1558"/>
      <c r="DD24" s="1558"/>
      <c r="DE24" s="1558"/>
      <c r="DF24" s="1151">
        <f>SUM(DB24:DE24)</f>
        <v>0</v>
      </c>
      <c r="DG24"/>
      <c r="DH24"/>
      <c r="DI24"/>
      <c r="DJ24"/>
      <c r="DK24"/>
      <c r="DL24"/>
      <c r="DM24"/>
      <c r="DN24"/>
    </row>
    <row r="25" spans="1:118" ht="13.5" collapsed="1" thickBot="1" x14ac:dyDescent="0.25">
      <c r="B25" s="723" t="s">
        <v>553</v>
      </c>
      <c r="C25" s="1445"/>
      <c r="D25" s="508"/>
      <c r="E25" s="508">
        <f t="shared" ref="E25:AJ25" si="32">+E21-E23</f>
        <v>-8.0210000000003312</v>
      </c>
      <c r="F25" s="188">
        <f t="shared" si="32"/>
        <v>28.078999999999883</v>
      </c>
      <c r="G25" s="188">
        <f t="shared" si="32"/>
        <v>30.243999999999648</v>
      </c>
      <c r="H25" s="188">
        <f t="shared" si="32"/>
        <v>32.562999999999981</v>
      </c>
      <c r="I25" s="188">
        <f t="shared" si="32"/>
        <v>34.205000000000013</v>
      </c>
      <c r="J25" s="508">
        <f t="shared" si="32"/>
        <v>125.09100000000043</v>
      </c>
      <c r="K25" s="188">
        <f t="shared" si="32"/>
        <v>43.968999999999696</v>
      </c>
      <c r="L25" s="188">
        <f t="shared" si="32"/>
        <v>48.699999999999356</v>
      </c>
      <c r="M25" s="188">
        <f t="shared" si="32"/>
        <v>53.441600000000435</v>
      </c>
      <c r="N25" s="188">
        <f t="shared" si="32"/>
        <v>56.715400000001537</v>
      </c>
      <c r="O25" s="508">
        <f t="shared" si="32"/>
        <v>202.82600000000153</v>
      </c>
      <c r="P25" s="188">
        <f t="shared" si="32"/>
        <v>59.649000000001188</v>
      </c>
      <c r="Q25" s="188">
        <f t="shared" si="32"/>
        <v>59.006000000000597</v>
      </c>
      <c r="R25" s="188">
        <f t="shared" si="32"/>
        <v>64.54200000000003</v>
      </c>
      <c r="S25" s="188">
        <f t="shared" si="32"/>
        <v>67.43099999999788</v>
      </c>
      <c r="T25" s="508">
        <f t="shared" si="32"/>
        <v>250.62799999999967</v>
      </c>
      <c r="U25" s="188">
        <f t="shared" si="32"/>
        <v>69.149000000000257</v>
      </c>
      <c r="V25" s="188">
        <f t="shared" si="32"/>
        <v>73.012999999999948</v>
      </c>
      <c r="W25" s="188">
        <f t="shared" si="32"/>
        <v>77.354999999999819</v>
      </c>
      <c r="X25" s="188">
        <f t="shared" ca="1" si="32"/>
        <v>80.482999999999066</v>
      </c>
      <c r="Y25" s="508">
        <f t="shared" ca="1" si="32"/>
        <v>300</v>
      </c>
      <c r="Z25" s="188">
        <f t="shared" si="32"/>
        <v>82.975999999999971</v>
      </c>
      <c r="AA25" s="188">
        <f t="shared" si="32"/>
        <v>90.999999999999389</v>
      </c>
      <c r="AB25" s="188">
        <f t="shared" si="32"/>
        <v>100.17999999999984</v>
      </c>
      <c r="AC25" s="188">
        <f t="shared" si="32"/>
        <v>114.44400000000064</v>
      </c>
      <c r="AD25" s="508">
        <f t="shared" si="32"/>
        <v>388.60000000000082</v>
      </c>
      <c r="AE25" s="188">
        <f t="shared" si="32"/>
        <v>104.70000000000037</v>
      </c>
      <c r="AF25" s="188">
        <f t="shared" si="32"/>
        <v>107.80000000000037</v>
      </c>
      <c r="AG25" s="188">
        <f t="shared" si="32"/>
        <v>114.70000000000019</v>
      </c>
      <c r="AH25" s="188">
        <f t="shared" si="32"/>
        <v>140.89999999999884</v>
      </c>
      <c r="AI25" s="508">
        <f t="shared" si="32"/>
        <v>468.1000000000007</v>
      </c>
      <c r="AJ25" s="188">
        <f t="shared" si="32"/>
        <v>141.79999999999927</v>
      </c>
      <c r="AK25" s="188">
        <f t="shared" ref="AK25:BH25" si="33">+AK21-AK23</f>
        <v>152.0000000000004</v>
      </c>
      <c r="AL25" s="188">
        <f t="shared" si="33"/>
        <v>157.99999999999943</v>
      </c>
      <c r="AM25" s="188">
        <f t="shared" si="33"/>
        <v>177.89999999999964</v>
      </c>
      <c r="AN25" s="508">
        <f t="shared" si="33"/>
        <v>629.70000000000152</v>
      </c>
      <c r="AO25" s="188">
        <f t="shared" si="33"/>
        <v>178.30000000000038</v>
      </c>
      <c r="AP25" s="188">
        <f t="shared" si="33"/>
        <v>191.90000000000038</v>
      </c>
      <c r="AQ25" s="188">
        <f t="shared" si="33"/>
        <v>202.99999999999969</v>
      </c>
      <c r="AR25" s="188">
        <f t="shared" si="33"/>
        <v>206.39999999999924</v>
      </c>
      <c r="AS25" s="508">
        <f t="shared" si="33"/>
        <v>779.60000000000173</v>
      </c>
      <c r="AT25" s="188">
        <f t="shared" si="33"/>
        <v>220.40000000000035</v>
      </c>
      <c r="AU25" s="188">
        <f t="shared" si="33"/>
        <v>232.49999999999997</v>
      </c>
      <c r="AV25" s="188">
        <f t="shared" si="33"/>
        <v>230.79999999999944</v>
      </c>
      <c r="AW25" s="188">
        <f t="shared" si="33"/>
        <v>270.89999999999986</v>
      </c>
      <c r="AX25" s="508">
        <f t="shared" si="33"/>
        <v>954.60000000000161</v>
      </c>
      <c r="AY25" s="188">
        <f t="shared" si="33"/>
        <v>304.79999999999967</v>
      </c>
      <c r="AZ25" s="188">
        <f t="shared" si="33"/>
        <v>329.00000000000068</v>
      </c>
      <c r="BA25" s="188">
        <f t="shared" si="33"/>
        <v>348.59999999999889</v>
      </c>
      <c r="BB25" s="188">
        <f t="shared" si="33"/>
        <v>377.80000000000075</v>
      </c>
      <c r="BC25" s="508">
        <f t="shared" si="33"/>
        <v>1360.2</v>
      </c>
      <c r="BD25" s="188">
        <f t="shared" si="33"/>
        <v>351.09999999999997</v>
      </c>
      <c r="BE25" s="188">
        <f t="shared" si="33"/>
        <v>358.60000000000036</v>
      </c>
      <c r="BF25" s="188">
        <f t="shared" si="33"/>
        <v>389.19999999999925</v>
      </c>
      <c r="BG25" s="188">
        <f t="shared" ca="1" si="33"/>
        <v>407.99713928403946</v>
      </c>
      <c r="BH25" s="508">
        <f t="shared" ca="1" si="33"/>
        <v>1506.8971392840408</v>
      </c>
      <c r="BI25" s="188">
        <f>+BI21-BI23</f>
        <v>358.6</v>
      </c>
      <c r="BJ25" s="188">
        <f>+BJ21-BJ23</f>
        <v>703.80000000000007</v>
      </c>
      <c r="BK25" s="188">
        <f>+BK21-BK23+BK24</f>
        <v>861.40000000000009</v>
      </c>
      <c r="BL25" s="188">
        <f>+BL21-BL23+BL24</f>
        <v>874.2000000000013</v>
      </c>
      <c r="BM25" s="508">
        <f>SUM(BI25:BL25)</f>
        <v>2798.0000000000014</v>
      </c>
      <c r="BN25" s="188">
        <f>+BN21-BN23+BN24</f>
        <v>823.69999999999823</v>
      </c>
      <c r="BO25" s="188">
        <f>+BO21-BO23+BO24</f>
        <v>939.19999999999698</v>
      </c>
      <c r="BP25" s="188">
        <f>+BP21-BP23+BP24</f>
        <v>903.7999999999962</v>
      </c>
      <c r="BQ25" s="188">
        <f>+BQ21-BQ23+BQ24</f>
        <v>896.00000000000136</v>
      </c>
      <c r="BR25" s="508">
        <f>SUM(BN25:BQ25)</f>
        <v>3562.6999999999925</v>
      </c>
      <c r="BS25" s="188">
        <f>+BS21+BS22-BS23</f>
        <v>779.20000000000084</v>
      </c>
      <c r="BT25" s="188">
        <f>+BT21+BT22-BT23</f>
        <v>939.39999999999941</v>
      </c>
      <c r="BU25" s="188">
        <f>+BU21+BU22-BU23</f>
        <v>962.50000000000011</v>
      </c>
      <c r="BV25" s="188">
        <f>+BV21+BV22-BV23</f>
        <v>1023.1000000000003</v>
      </c>
      <c r="BW25" s="508">
        <f>SUM(BS25:BV25)</f>
        <v>3704.2000000000007</v>
      </c>
      <c r="BX25" s="188">
        <f>+BX21+BX22-BX23</f>
        <v>809</v>
      </c>
      <c r="BY25" s="188">
        <f>+BY21+BY22-BY23</f>
        <v>979.09999999999991</v>
      </c>
      <c r="BZ25" s="188">
        <f>+BZ21+BZ22-BZ23</f>
        <v>989.8</v>
      </c>
      <c r="CA25" s="188">
        <f>+CA21+CA22-CA23</f>
        <v>1063.3</v>
      </c>
      <c r="CB25" s="508">
        <f>SUM(BX25:CA25)</f>
        <v>3841.2</v>
      </c>
      <c r="CC25" s="188">
        <f>+CC21+CC22-CC23</f>
        <v>781.7</v>
      </c>
      <c r="CD25" s="188">
        <f>+CD21+CD22-CD23</f>
        <v>998.69999999999993</v>
      </c>
      <c r="CE25" s="188">
        <f>+CE21+CE22-CE23</f>
        <v>1091.6000000000001</v>
      </c>
      <c r="CF25" s="188">
        <f>+CF21+CF22-CF23</f>
        <v>1153</v>
      </c>
      <c r="CG25" s="508">
        <f>SUM(CC25:CF25)</f>
        <v>4025</v>
      </c>
      <c r="CH25" s="188">
        <f>+CH21+CH22-CH23</f>
        <v>805.39999999999986</v>
      </c>
      <c r="CI25" s="188">
        <f>+CI21+CI22-CI23</f>
        <v>1012.8999999999997</v>
      </c>
      <c r="CJ25" s="188">
        <f>+CJ21+CJ22-CJ23</f>
        <v>1093.5999999999999</v>
      </c>
      <c r="CK25" s="188">
        <f>+CK21+CK22-CK23</f>
        <v>1229</v>
      </c>
      <c r="CL25" s="508">
        <f>SUM(CH25:CK25)</f>
        <v>4140.8999999999996</v>
      </c>
      <c r="CM25" s="188">
        <f ca="1">+CM21+CM22-CM23</f>
        <v>996.09393207822552</v>
      </c>
      <c r="CN25" s="188">
        <f ca="1">+CN21+CN22-CN23</f>
        <v>1324.7396231888108</v>
      </c>
      <c r="CO25" s="188">
        <f ca="1">+CO21+CO22-CO23</f>
        <v>1343.876240953384</v>
      </c>
      <c r="CP25" s="188">
        <f ca="1">+CP21+CP22-CP23</f>
        <v>1464.4033737831767</v>
      </c>
      <c r="CQ25" s="508">
        <f ca="1">SUM(CM25:CP25)</f>
        <v>5129.1131700035976</v>
      </c>
      <c r="CR25" s="188">
        <f ca="1">+CR21+CR22-CR23</f>
        <v>1008.0298286139266</v>
      </c>
      <c r="CS25" s="188">
        <f ca="1">+CS21+CS22-CS23</f>
        <v>1289.1213450811167</v>
      </c>
      <c r="CT25" s="188">
        <f ca="1">+CT21+CT22-CT23</f>
        <v>1293.6328765122835</v>
      </c>
      <c r="CU25" s="188">
        <f ca="1">+CU21+CU22-CU23</f>
        <v>1402.9238100250818</v>
      </c>
      <c r="CV25" s="508">
        <f ca="1">SUM(CR25:CU25)</f>
        <v>4993.7078602324091</v>
      </c>
      <c r="CW25" s="188">
        <f ca="1">+CW21+CW22-CW23</f>
        <v>891.7945902047768</v>
      </c>
      <c r="CX25" s="188">
        <f ca="1">+CX21+CX22-CX23</f>
        <v>1122.6604039809172</v>
      </c>
      <c r="CY25" s="188">
        <f ca="1">+CY21+CY22-CY23</f>
        <v>1116.5620156854702</v>
      </c>
      <c r="CZ25" s="188">
        <f ca="1">+CZ21+CZ22-CZ23</f>
        <v>1206.1639172325542</v>
      </c>
      <c r="DA25" s="508">
        <f ca="1">SUM(CW25:CZ25)</f>
        <v>4337.1809271037182</v>
      </c>
      <c r="DB25" s="188">
        <f ca="1">+DB21+DB22-DB23</f>
        <v>770.27472227952603</v>
      </c>
      <c r="DC25" s="188">
        <f ca="1">+DC21+DC22-DC23</f>
        <v>953.27550169460415</v>
      </c>
      <c r="DD25" s="188">
        <f ca="1">+DD21+DD22-DD23</f>
        <v>984.25005775433556</v>
      </c>
      <c r="DE25" s="188">
        <f ca="1">+DE21+DE22-DE23</f>
        <v>1045.6882741838858</v>
      </c>
      <c r="DF25" s="508">
        <f ca="1">SUM(DB25:DE25)</f>
        <v>3753.4885559123518</v>
      </c>
    </row>
    <row r="26" spans="1:118" s="10" customFormat="1" ht="13.5" thickBot="1" x14ac:dyDescent="0.25">
      <c r="B26" s="1559"/>
      <c r="C26" s="622"/>
      <c r="D26" s="1425"/>
      <c r="E26" s="1425"/>
      <c r="F26" s="1425"/>
      <c r="G26" s="1425"/>
      <c r="H26" s="1425"/>
      <c r="I26" s="1425"/>
      <c r="J26" s="1425"/>
      <c r="K26" s="1425"/>
      <c r="L26" s="1425"/>
      <c r="M26" s="1425"/>
      <c r="N26" s="1425"/>
      <c r="O26" s="1425"/>
      <c r="P26" s="1425"/>
      <c r="Q26" s="1425"/>
      <c r="R26" s="1425"/>
      <c r="S26" s="1425"/>
      <c r="T26" s="1425"/>
      <c r="U26" s="1425"/>
      <c r="V26" s="1425"/>
      <c r="W26" s="1425"/>
      <c r="X26" s="1426"/>
      <c r="Y26" s="1426"/>
      <c r="Z26" s="1427"/>
      <c r="AA26" s="1428"/>
      <c r="AB26" s="1428"/>
      <c r="AC26" s="1428"/>
      <c r="AD26" s="1428"/>
      <c r="AE26" s="1426"/>
      <c r="AF26" s="1426"/>
      <c r="AG26" s="1426"/>
      <c r="AH26" s="1429"/>
      <c r="AI26" s="1429"/>
      <c r="AJ26" s="1430"/>
      <c r="AK26" s="1426"/>
      <c r="AL26" s="1426"/>
      <c r="AM26" s="1426"/>
      <c r="AN26" s="1429"/>
      <c r="AO26" s="1425"/>
      <c r="AP26" s="1425"/>
      <c r="AQ26" s="1426"/>
      <c r="AR26" s="1426"/>
      <c r="AS26" s="1429"/>
      <c r="AT26" s="1425"/>
      <c r="AU26" s="1425"/>
      <c r="AV26" s="1429"/>
      <c r="AW26" s="1426"/>
      <c r="AX26" s="1429"/>
      <c r="AY26" s="1426"/>
      <c r="AZ26" s="1426"/>
      <c r="BA26" s="1426"/>
      <c r="BB26" s="1426"/>
      <c r="BC26" s="1429"/>
      <c r="BD26" s="1426"/>
      <c r="BE26" s="1426"/>
      <c r="BF26" s="1431"/>
      <c r="BG26" s="1426"/>
      <c r="BH26" s="1425"/>
      <c r="BI26" s="1426"/>
      <c r="BJ26" s="1426"/>
      <c r="BK26" s="1426"/>
      <c r="BL26" s="1426"/>
      <c r="BM26" s="1425"/>
      <c r="BN26" s="1426"/>
      <c r="BO26" s="1426"/>
      <c r="BP26" s="1426"/>
      <c r="BQ26" s="1426"/>
      <c r="BR26" s="1425"/>
      <c r="BS26" s="1425"/>
      <c r="BT26" s="1425"/>
      <c r="BU26" s="1425"/>
      <c r="BV26" s="1426"/>
      <c r="BW26" s="1425"/>
      <c r="BX26" s="1715"/>
      <c r="BY26" s="1754"/>
      <c r="BZ26" s="1780"/>
      <c r="CA26" s="1780"/>
      <c r="CB26" s="1425"/>
      <c r="CC26" s="1715"/>
      <c r="CD26" s="1715"/>
      <c r="CE26" s="1715"/>
      <c r="CF26" s="1426"/>
      <c r="CG26" s="1782"/>
      <c r="CH26" s="1426"/>
      <c r="CI26" s="1426"/>
      <c r="CJ26" s="1426"/>
      <c r="CK26" s="1426"/>
      <c r="CL26" s="1426"/>
      <c r="CM26" s="1985"/>
      <c r="CN26" s="1426"/>
      <c r="CO26" s="1426"/>
      <c r="CP26" s="1426"/>
      <c r="CQ26" s="1426"/>
      <c r="CR26" s="1962"/>
      <c r="CS26" s="1426"/>
      <c r="CT26" s="1426"/>
      <c r="CU26" s="1426"/>
      <c r="CV26" s="1426"/>
      <c r="CW26" s="1962"/>
      <c r="CX26" s="1426"/>
      <c r="CY26" s="1426"/>
      <c r="CZ26" s="1426"/>
      <c r="DA26" s="1426"/>
      <c r="DB26" s="1962"/>
      <c r="DC26" s="1426"/>
      <c r="DD26" s="1426"/>
      <c r="DE26" s="1426"/>
      <c r="DF26" s="1426"/>
      <c r="DG26" s="113"/>
      <c r="DH26"/>
      <c r="DI26"/>
      <c r="DJ26"/>
      <c r="DK26"/>
      <c r="DL26"/>
      <c r="DM26"/>
      <c r="DN26"/>
    </row>
    <row r="27" spans="1:118" s="1063" customFormat="1" ht="11.25" hidden="1" customHeight="1" outlineLevel="1" x14ac:dyDescent="0.2">
      <c r="A27" s="1057"/>
      <c r="B27" s="1058" t="s">
        <v>439</v>
      </c>
      <c r="C27" s="1446"/>
      <c r="D27" s="1059"/>
      <c r="E27" s="1059">
        <f>+(E41)/E47</f>
        <v>-1.4932846371348328E-2</v>
      </c>
      <c r="F27" s="1060">
        <f t="shared" ref="F27:BO27" si="34">+(F41)/F47</f>
        <v>4.4075080995554482E-2</v>
      </c>
      <c r="G27" s="1060">
        <f t="shared" si="34"/>
        <v>4.7180760782747057E-2</v>
      </c>
      <c r="H27" s="1060">
        <f t="shared" si="34"/>
        <v>4.9916575695926141E-2</v>
      </c>
      <c r="I27" s="1060">
        <f t="shared" si="34"/>
        <v>5.3995390541137861E-2</v>
      </c>
      <c r="J27" s="1059">
        <f t="shared" si="34"/>
        <v>0.19529576459092715</v>
      </c>
      <c r="K27" s="1060">
        <f t="shared" si="34"/>
        <v>6.9068488846999204E-2</v>
      </c>
      <c r="L27" s="1060">
        <f t="shared" si="34"/>
        <v>7.5831184523586073E-2</v>
      </c>
      <c r="M27" s="1060">
        <f t="shared" si="34"/>
        <v>8.4081612103362596E-2</v>
      </c>
      <c r="N27" s="1060">
        <f t="shared" si="34"/>
        <v>8.9450823291908302E-2</v>
      </c>
      <c r="O27" s="1059">
        <f t="shared" si="34"/>
        <v>0.31824030024979127</v>
      </c>
      <c r="P27" s="1060">
        <f t="shared" si="34"/>
        <v>9.2666772051851393E-2</v>
      </c>
      <c r="Q27" s="1060">
        <f t="shared" si="34"/>
        <v>9.217267967158714E-2</v>
      </c>
      <c r="R27" s="1060">
        <f t="shared" si="34"/>
        <v>0.10081788985666626</v>
      </c>
      <c r="S27" s="1060">
        <f t="shared" si="34"/>
        <v>0.10735642505062518</v>
      </c>
      <c r="T27" s="1059">
        <f t="shared" si="34"/>
        <v>0.39529697952564313</v>
      </c>
      <c r="U27" s="1060">
        <f t="shared" si="34"/>
        <v>0.11130537984752686</v>
      </c>
      <c r="V27" s="1060">
        <f t="shared" si="34"/>
        <v>0.10410301456360109</v>
      </c>
      <c r="W27" s="1060">
        <f t="shared" si="34"/>
        <v>0.10028408722805988</v>
      </c>
      <c r="X27" s="1060">
        <f t="shared" ca="1" si="34"/>
        <v>0.13283338381111495</v>
      </c>
      <c r="Y27" s="1059">
        <f t="shared" ca="1" si="34"/>
        <v>0.44838709677419353</v>
      </c>
      <c r="Z27" s="1060">
        <f t="shared" si="34"/>
        <v>0.14279303415941053</v>
      </c>
      <c r="AA27" s="1060">
        <f t="shared" si="34"/>
        <v>0.16943521594684283</v>
      </c>
      <c r="AB27" s="1060">
        <f t="shared" si="34"/>
        <v>0.17075218267293457</v>
      </c>
      <c r="AC27" s="1060">
        <f t="shared" si="34"/>
        <v>0.18720350404312777</v>
      </c>
      <c r="AD27" s="1059">
        <f t="shared" si="34"/>
        <v>0.66906354515050304</v>
      </c>
      <c r="AE27" s="1060">
        <f t="shared" si="34"/>
        <v>0.35110663983903545</v>
      </c>
      <c r="AF27" s="1060">
        <f t="shared" si="34"/>
        <v>0.18793584379358502</v>
      </c>
      <c r="AG27" s="1060">
        <f t="shared" si="34"/>
        <v>0.20748914616497866</v>
      </c>
      <c r="AH27" s="1060">
        <f t="shared" si="34"/>
        <v>0.26783114992721768</v>
      </c>
      <c r="AI27" s="1059">
        <f t="shared" si="34"/>
        <v>0.83521126760563502</v>
      </c>
      <c r="AJ27" s="1060">
        <f t="shared" si="34"/>
        <v>0.24273783587508954</v>
      </c>
      <c r="AK27" s="1060">
        <f t="shared" si="34"/>
        <v>0.28595505617977601</v>
      </c>
      <c r="AL27" s="1060">
        <f t="shared" si="34"/>
        <v>0.27769141080450721</v>
      </c>
      <c r="AM27" s="1099">
        <f t="shared" si="34"/>
        <v>0.27050781249999928</v>
      </c>
      <c r="AN27" s="1061">
        <f t="shared" si="34"/>
        <v>1.0753787878787908</v>
      </c>
      <c r="AO27" s="1062">
        <f t="shared" si="34"/>
        <v>0.34649980445835038</v>
      </c>
      <c r="AP27" s="1062">
        <f t="shared" si="34"/>
        <v>0.37738095238095315</v>
      </c>
      <c r="AQ27" s="1062">
        <f t="shared" si="34"/>
        <v>0.40331602077506928</v>
      </c>
      <c r="AR27" s="1062">
        <f t="shared" si="34"/>
        <v>0.41376550620247948</v>
      </c>
      <c r="AS27" s="1061">
        <f t="shared" si="34"/>
        <v>1.5411040508339946</v>
      </c>
      <c r="AT27" s="1060">
        <f t="shared" si="34"/>
        <v>0.43000401123144871</v>
      </c>
      <c r="AU27" s="1060">
        <f t="shared" si="34"/>
        <v>0.37152241112828432</v>
      </c>
      <c r="AV27" s="1060">
        <f t="shared" si="34"/>
        <v>0.35642135642135542</v>
      </c>
      <c r="AW27" s="1060">
        <f t="shared" si="34"/>
        <v>0.40075512405609465</v>
      </c>
      <c r="AX27" s="1059">
        <f t="shared" si="34"/>
        <v>1.5557645288696624</v>
      </c>
      <c r="AY27" s="1060">
        <f t="shared" si="34"/>
        <v>0.46815401223461617</v>
      </c>
      <c r="AZ27" s="1060">
        <f t="shared" si="34"/>
        <v>0.52699509180149195</v>
      </c>
      <c r="BA27" s="1060">
        <f t="shared" si="34"/>
        <v>0.56145251396647833</v>
      </c>
      <c r="BB27" s="1060">
        <f t="shared" si="34"/>
        <v>0.61850253330831451</v>
      </c>
      <c r="BC27" s="1059">
        <f t="shared" si="34"/>
        <v>2.1715231179336336</v>
      </c>
      <c r="BD27" s="1060">
        <f t="shared" si="34"/>
        <v>0.61153774115002801</v>
      </c>
      <c r="BE27" s="1060">
        <f t="shared" si="34"/>
        <v>0.65917159763313682</v>
      </c>
      <c r="BF27" s="1060">
        <f t="shared" si="34"/>
        <v>0.66157294213528783</v>
      </c>
      <c r="BG27" s="1060">
        <f t="shared" ca="1" si="34"/>
        <v>0.60796960998781069</v>
      </c>
      <c r="BH27" s="1059">
        <f t="shared" ca="1" si="34"/>
        <v>2.5391144440719331</v>
      </c>
      <c r="BI27" s="1060">
        <f t="shared" si="34"/>
        <v>0.54686542781294678</v>
      </c>
      <c r="BJ27" s="1060">
        <f t="shared" si="34"/>
        <v>0.18157543391188238</v>
      </c>
      <c r="BK27" s="1060">
        <f t="shared" si="34"/>
        <v>0.47179363548698178</v>
      </c>
      <c r="BL27" s="1060">
        <f>+(BL41)/BL47</f>
        <v>0.60555021624219274</v>
      </c>
      <c r="BM27" s="1059">
        <f t="shared" si="34"/>
        <v>1.7568044961862723</v>
      </c>
      <c r="BN27" s="1060">
        <f t="shared" si="34"/>
        <v>0.454174174174172</v>
      </c>
      <c r="BO27" s="1060">
        <f t="shared" si="34"/>
        <v>0.66453404152582951</v>
      </c>
      <c r="BP27" s="1060">
        <f>+(BP41)/BP47</f>
        <v>0.51768137076193499</v>
      </c>
      <c r="BQ27" s="1060">
        <f>+(BQ41)/BQ47</f>
        <v>0.62048342885621888</v>
      </c>
      <c r="BR27" s="1059">
        <f t="shared" ref="BR27:BW27" si="35">+(BR41)/BR47</f>
        <v>2.2548685491723384</v>
      </c>
      <c r="BS27" s="1060">
        <f t="shared" si="35"/>
        <v>0.41007501897743959</v>
      </c>
      <c r="BT27" s="1060">
        <f t="shared" si="35"/>
        <v>0.67214611872146035</v>
      </c>
      <c r="BU27" s="1060">
        <f t="shared" si="35"/>
        <v>0.78967828418230579</v>
      </c>
      <c r="BV27" s="1060">
        <f t="shared" si="35"/>
        <v>0.7708513345390906</v>
      </c>
      <c r="BW27" s="1059">
        <f t="shared" si="35"/>
        <v>2.628548728504021</v>
      </c>
      <c r="BX27" s="1060">
        <f>+(BX41)/BX47</f>
        <v>0.5998096274136524</v>
      </c>
      <c r="BY27" s="1060">
        <f>+(BY41)/BY47</f>
        <v>0.88068682125036679</v>
      </c>
      <c r="BZ27" s="1060">
        <f>+(BZ41)/BZ47</f>
        <v>0.97830548226326564</v>
      </c>
      <c r="CA27" s="1060">
        <f>+(CA41)/CA47</f>
        <v>1.1330013182950049</v>
      </c>
      <c r="CB27" s="1059">
        <f>SUM(BX27:CA27)</f>
        <v>3.5918032492222896</v>
      </c>
      <c r="CC27" s="1060">
        <f>+(CC41)/CC47</f>
        <v>0.63690934277358779</v>
      </c>
      <c r="CD27" s="1060">
        <f>+(CD41)/CD47</f>
        <v>0.99229196161711486</v>
      </c>
      <c r="CE27" s="1060">
        <f>+(CE41)/CE47</f>
        <v>1.1527667038749803</v>
      </c>
      <c r="CF27" s="1060">
        <f t="shared" ref="CF27" si="36">+(CF41)/CF47</f>
        <v>2.338549307253464</v>
      </c>
      <c r="CG27" s="1059">
        <f>SUM(CC27:CF27)</f>
        <v>5.1205173155191464</v>
      </c>
      <c r="CH27" s="1060">
        <f t="shared" ref="CH27" si="37">+(CH41)/CH47</f>
        <v>2.371013055693274</v>
      </c>
      <c r="CI27" s="1060">
        <f t="shared" ref="CI27:CJ27" si="38">+(CI41)/CI47</f>
        <v>2.4499658469945356</v>
      </c>
      <c r="CJ27" s="1060">
        <f t="shared" si="38"/>
        <v>2.4964329215242733</v>
      </c>
      <c r="CK27" s="1060">
        <f t="shared" ref="CK27" si="39">+(CK41)/CK47</f>
        <v>2.5241027445460946</v>
      </c>
      <c r="CL27" s="1059">
        <f>SUM(CH27:CK27)</f>
        <v>9.8415145687581767</v>
      </c>
      <c r="CM27" s="1060">
        <f ca="1">+(CM41)/CM47</f>
        <v>1.2267815825661148</v>
      </c>
      <c r="CN27" s="1060">
        <f ca="1">+(CN41)/CN47</f>
        <v>1.811157707690078</v>
      </c>
      <c r="CO27" s="1060">
        <f ca="1">+(CO41)/CO47</f>
        <v>1.8450200340506784</v>
      </c>
      <c r="CP27" s="1060">
        <f ca="1">+(CP41)/CP47</f>
        <v>2.0582933071755396</v>
      </c>
      <c r="CQ27" s="1059">
        <f ca="1">SUM(CM27:CP27)</f>
        <v>6.9412526314824117</v>
      </c>
      <c r="CR27" s="1060">
        <f ca="1">+(CR41)/CR47</f>
        <v>1.2507383819016227</v>
      </c>
      <c r="CS27" s="1060">
        <f ca="1">+(CS41)/CS47</f>
        <v>1.7481310133952164</v>
      </c>
      <c r="CT27" s="1060">
        <f ca="1">+(CT41)/CT47</f>
        <v>1.7561141874120532</v>
      </c>
      <c r="CU27" s="1060">
        <f ca="1">+(CU41)/CU47</f>
        <v>1.9495049581529669</v>
      </c>
      <c r="CV27" s="1059">
        <f ca="1">SUM(CR27:CU27)</f>
        <v>6.7044885408618589</v>
      </c>
      <c r="CW27" s="1060">
        <f ca="1">+(CW41)/CW47</f>
        <v>1.0450596341712175</v>
      </c>
      <c r="CX27" s="1060">
        <f ca="1">+(CX41)/CX47</f>
        <v>1.4535776715678668</v>
      </c>
      <c r="CY27" s="1060">
        <f ca="1">+(CY41)/CY47</f>
        <v>1.4427865475942048</v>
      </c>
      <c r="CZ27" s="1060">
        <f ca="1">+(CZ41)/CZ47</f>
        <v>1.6013374927008532</v>
      </c>
      <c r="DA27" s="1059">
        <f ca="1">SUM(CW27:CZ27)</f>
        <v>5.5427613460341423</v>
      </c>
      <c r="DB27" s="1060">
        <f ca="1">+(DB41)/DB47</f>
        <v>0.83002971208123688</v>
      </c>
      <c r="DC27" s="1060">
        <f ca="1">+(DC41)/DC47</f>
        <v>1.1538503680108116</v>
      </c>
      <c r="DD27" s="1060">
        <f ca="1">+(DD41)/DD47</f>
        <v>1.2086599764313273</v>
      </c>
      <c r="DE27" s="1060">
        <f ca="1">+(DE41)/DE47</f>
        <v>1.31737516118054</v>
      </c>
      <c r="DF27" s="1059">
        <f ca="1">SUM(DB27:DE27)</f>
        <v>4.5099152177039157</v>
      </c>
      <c r="DG27"/>
      <c r="DH27"/>
      <c r="DI27"/>
      <c r="DJ27"/>
      <c r="DK27"/>
      <c r="DL27"/>
      <c r="DM27"/>
      <c r="DN27"/>
    </row>
    <row r="28" spans="1:118" s="1063" customFormat="1" ht="13.5" collapsed="1" thickBot="1" x14ac:dyDescent="0.25">
      <c r="A28" s="1057"/>
      <c r="B28" s="1058" t="s">
        <v>554</v>
      </c>
      <c r="C28" s="1446"/>
      <c r="D28" s="1059"/>
      <c r="E28" s="1059">
        <f t="shared" ref="E28:AS28" si="40">+(E25)/E47</f>
        <v>-1.312473819248143E-2</v>
      </c>
      <c r="F28" s="1060">
        <f t="shared" si="40"/>
        <v>4.4075080995554482E-2</v>
      </c>
      <c r="G28" s="1060">
        <f t="shared" si="40"/>
        <v>4.7180760782747057E-2</v>
      </c>
      <c r="H28" s="1060">
        <f t="shared" si="40"/>
        <v>5.0493412891380908E-2</v>
      </c>
      <c r="I28" s="1060">
        <f t="shared" si="40"/>
        <v>5.3995390541137861E-2</v>
      </c>
      <c r="J28" s="1059">
        <f t="shared" si="40"/>
        <v>0.19587827426810547</v>
      </c>
      <c r="K28" s="1060">
        <f t="shared" si="40"/>
        <v>6.9068488846999204E-2</v>
      </c>
      <c r="L28" s="1060">
        <f t="shared" si="40"/>
        <v>7.5831184523586073E-2</v>
      </c>
      <c r="M28" s="1060">
        <f t="shared" si="40"/>
        <v>8.4081612103362596E-2</v>
      </c>
      <c r="N28" s="1060">
        <f t="shared" si="40"/>
        <v>8.9450823291908302E-2</v>
      </c>
      <c r="O28" s="1059">
        <f t="shared" si="40"/>
        <v>0.31824030024979216</v>
      </c>
      <c r="P28" s="1060">
        <f t="shared" si="40"/>
        <v>9.4291811571294945E-2</v>
      </c>
      <c r="Q28" s="1060">
        <f t="shared" si="40"/>
        <v>9.217267967158714E-2</v>
      </c>
      <c r="R28" s="1060">
        <f t="shared" si="40"/>
        <v>0.10081788985666626</v>
      </c>
      <c r="S28" s="1060">
        <f t="shared" si="40"/>
        <v>0.10735642505062518</v>
      </c>
      <c r="T28" s="1059">
        <f t="shared" si="40"/>
        <v>0.39692504561118946</v>
      </c>
      <c r="U28" s="1060">
        <f t="shared" si="40"/>
        <v>0.11001037278385196</v>
      </c>
      <c r="V28" s="1060">
        <f t="shared" si="40"/>
        <v>0.11618577502800684</v>
      </c>
      <c r="W28" s="1060">
        <f t="shared" si="40"/>
        <v>0.12528829832722155</v>
      </c>
      <c r="X28" s="1060">
        <f t="shared" ca="1" si="40"/>
        <v>0.13247619862788063</v>
      </c>
      <c r="Y28" s="1059">
        <f t="shared" ca="1" si="40"/>
        <v>0.4838709677419355</v>
      </c>
      <c r="Z28" s="1060">
        <f t="shared" si="40"/>
        <v>0.1389417280643</v>
      </c>
      <c r="AA28" s="1060">
        <f t="shared" si="40"/>
        <v>0.15116279069767341</v>
      </c>
      <c r="AB28" s="1060">
        <f t="shared" si="40"/>
        <v>0.16820013431833417</v>
      </c>
      <c r="AC28" s="1060">
        <f t="shared" si="40"/>
        <v>0.1927964959568744</v>
      </c>
      <c r="AD28" s="1059">
        <f t="shared" si="40"/>
        <v>0.64983277591973376</v>
      </c>
      <c r="AE28" s="1060">
        <f t="shared" si="40"/>
        <v>0.35110663983903545</v>
      </c>
      <c r="AF28" s="1060">
        <f t="shared" si="40"/>
        <v>0.18793584379358502</v>
      </c>
      <c r="AG28" s="1060">
        <f t="shared" si="40"/>
        <v>0.20748914616497866</v>
      </c>
      <c r="AH28" s="1060">
        <f t="shared" si="40"/>
        <v>0.2563682678311478</v>
      </c>
      <c r="AI28" s="1059">
        <f t="shared" si="40"/>
        <v>0.82411971830986042</v>
      </c>
      <c r="AJ28" s="1060">
        <f t="shared" si="40"/>
        <v>0.25744371822803064</v>
      </c>
      <c r="AK28" s="1060">
        <f t="shared" si="40"/>
        <v>0.28464419475655506</v>
      </c>
      <c r="AL28" s="1060">
        <f t="shared" si="40"/>
        <v>0.30703458997279326</v>
      </c>
      <c r="AM28" s="1099">
        <f t="shared" si="40"/>
        <v>0.34746093749999929</v>
      </c>
      <c r="AN28" s="1061">
        <f t="shared" si="40"/>
        <v>1.1926136363636393</v>
      </c>
      <c r="AO28" s="1062">
        <f t="shared" si="40"/>
        <v>0.34865076261243722</v>
      </c>
      <c r="AP28" s="1062">
        <f t="shared" si="40"/>
        <v>0.38075396825396901</v>
      </c>
      <c r="AQ28" s="1062">
        <f t="shared" si="40"/>
        <v>0.40551338393927222</v>
      </c>
      <c r="AR28" s="1062">
        <f t="shared" si="40"/>
        <v>0.41296518607442823</v>
      </c>
      <c r="AS28" s="1061">
        <f t="shared" si="40"/>
        <v>1.5480540111199399</v>
      </c>
      <c r="AT28" s="1060">
        <f t="shared" ref="AT28:BM28" si="41">AT25/AT47</f>
        <v>0.44203770557561239</v>
      </c>
      <c r="AU28" s="1060">
        <f t="shared" si="41"/>
        <v>0.44918856259659962</v>
      </c>
      <c r="AV28" s="1060">
        <f t="shared" si="41"/>
        <v>0.41630591630591529</v>
      </c>
      <c r="AW28" s="1060">
        <f t="shared" si="41"/>
        <v>0.48705501618122948</v>
      </c>
      <c r="AX28" s="1059">
        <f t="shared" si="41"/>
        <v>1.7953733308256565</v>
      </c>
      <c r="AY28" s="1060">
        <f t="shared" si="41"/>
        <v>0.54839870456998863</v>
      </c>
      <c r="AZ28" s="1060">
        <f t="shared" si="41"/>
        <v>0.5980730776222517</v>
      </c>
      <c r="BA28" s="1060">
        <f t="shared" si="41"/>
        <v>0.64916201117318229</v>
      </c>
      <c r="BB28" s="1060">
        <f t="shared" si="41"/>
        <v>0.70895102270595001</v>
      </c>
      <c r="BC28" s="1059">
        <f t="shared" si="41"/>
        <v>2.5005974813861567</v>
      </c>
      <c r="BD28" s="1060">
        <f t="shared" si="41"/>
        <v>0.65761378535306236</v>
      </c>
      <c r="BE28" s="1060">
        <f t="shared" si="41"/>
        <v>0.70729783037475413</v>
      </c>
      <c r="BF28" s="1060">
        <f t="shared" si="41"/>
        <v>0.79299103504482327</v>
      </c>
      <c r="BG28" s="1060">
        <f t="shared" ca="1" si="41"/>
        <v>0.83434997808597022</v>
      </c>
      <c r="BH28" s="1059">
        <f t="shared" ca="1" si="41"/>
        <v>2.9829210457446247</v>
      </c>
      <c r="BI28" s="1060">
        <f t="shared" si="41"/>
        <v>0.73228507249336339</v>
      </c>
      <c r="BJ28" s="1060">
        <f t="shared" si="41"/>
        <v>0.85422988226726559</v>
      </c>
      <c r="BK28" s="1060">
        <f t="shared" si="41"/>
        <v>1.0383317261330762</v>
      </c>
      <c r="BL28" s="1060">
        <f t="shared" si="41"/>
        <v>1.0502162421912558</v>
      </c>
      <c r="BM28" s="1059">
        <f t="shared" si="41"/>
        <v>3.7441455907935253</v>
      </c>
      <c r="BN28" s="1060">
        <f>BN25/BN47</f>
        <v>0.98942942942942735</v>
      </c>
      <c r="BO28" s="1060">
        <f>(BO25+BO22)/BO47</f>
        <v>1.1307339449541247</v>
      </c>
      <c r="BP28" s="1060">
        <f>(BP25+BP22)/BP47</f>
        <v>1.0905334791590671</v>
      </c>
      <c r="BQ28" s="1060">
        <f>(BQ25+BQ22)/BQ47</f>
        <v>1.1163717916770513</v>
      </c>
      <c r="BR28" s="1059">
        <f>(BR25+BR22)/BR47</f>
        <v>4.3253407984420553</v>
      </c>
      <c r="BS28" s="1060">
        <f>BS25/BS47</f>
        <v>0.99084435401831239</v>
      </c>
      <c r="BT28" s="1060">
        <f t="shared" ref="BT28:CF28" si="42">BT25/BT47</f>
        <v>1.2255707762557071</v>
      </c>
      <c r="BU28" s="1060">
        <f t="shared" si="42"/>
        <v>1.2902144772117965</v>
      </c>
      <c r="BV28" s="1060">
        <f t="shared" si="42"/>
        <v>1.3865022360753494</v>
      </c>
      <c r="BW28" s="1059">
        <f t="shared" si="42"/>
        <v>4.8790832455216027</v>
      </c>
      <c r="BX28" s="1060">
        <f>BX25/BX47</f>
        <v>1.1000815882512918</v>
      </c>
      <c r="BY28" s="1060">
        <f>BY25/BY47</f>
        <v>1.4368946287056059</v>
      </c>
      <c r="BZ28" s="1060">
        <f>BZ25/BZ47</f>
        <v>1.4508941659337435</v>
      </c>
      <c r="CA28" s="1060">
        <f>CA25/CA47</f>
        <v>1.5574923099458033</v>
      </c>
      <c r="CB28" s="1059">
        <f>SUM(BX28:CA28)</f>
        <v>5.545362692836445</v>
      </c>
      <c r="CC28" s="1060">
        <f>CC25/CC47</f>
        <v>1.2031706941665383</v>
      </c>
      <c r="CD28" s="1060">
        <f>CD25/CD47</f>
        <v>1.571024067956583</v>
      </c>
      <c r="CE28" s="1060">
        <f>CE25/CE47</f>
        <v>1.7407112103332802</v>
      </c>
      <c r="CF28" s="1060">
        <f t="shared" si="42"/>
        <v>1.8793806030969846</v>
      </c>
      <c r="CG28" s="1059">
        <f>SUM(CC28:CF28)</f>
        <v>6.3942865755533873</v>
      </c>
      <c r="CH28" s="1060">
        <f t="shared" ref="CH28" si="43">CH25/CH47</f>
        <v>1.3310196661708806</v>
      </c>
      <c r="CI28" s="1060">
        <f t="shared" ref="CI28:CJ28" si="44">CI25/CI47</f>
        <v>1.7296789617486334</v>
      </c>
      <c r="CJ28" s="1060">
        <f t="shared" si="44"/>
        <v>1.9029058639290062</v>
      </c>
      <c r="CK28" s="1060">
        <f t="shared" ref="CK28" si="45">CK25/CK47</f>
        <v>2.1622097114707954</v>
      </c>
      <c r="CL28" s="1059">
        <f>SUM(CH28:CK28)</f>
        <v>7.1258142033193153</v>
      </c>
      <c r="CM28" s="1060">
        <f ca="1">CM25/CM47</f>
        <v>1.7585269261523324</v>
      </c>
      <c r="CN28" s="1060">
        <f ca="1">CN25/CN47</f>
        <v>2.3441323861462924</v>
      </c>
      <c r="CO28" s="1060">
        <f ca="1">CO25/CO47</f>
        <v>2.3779947125068932</v>
      </c>
      <c r="CP28" s="1060">
        <f ca="1">CP25/CP47</f>
        <v>2.5912679856317542</v>
      </c>
      <c r="CQ28" s="1059">
        <f ca="1">SUM(CM28:CP28)</f>
        <v>9.0719220104372731</v>
      </c>
      <c r="CR28" s="1060">
        <f ca="1">CR25/CR47</f>
        <v>1.7837130603578375</v>
      </c>
      <c r="CS28" s="1060">
        <f ca="1">CS25/CS47</f>
        <v>2.281105691851431</v>
      </c>
      <c r="CT28" s="1060">
        <f ca="1">CT25/CT47</f>
        <v>2.2890888658682678</v>
      </c>
      <c r="CU28" s="1060">
        <f ca="1">CU25/CU47</f>
        <v>2.4824796366091815</v>
      </c>
      <c r="CV28" s="1059">
        <f ca="1">SUM(CR28:CU28)</f>
        <v>8.8363872546867164</v>
      </c>
      <c r="CW28" s="1060">
        <f ca="1">CW25/CW47</f>
        <v>1.5780343126274321</v>
      </c>
      <c r="CX28" s="1060">
        <f ca="1">CX25/CX47</f>
        <v>1.9865523500240814</v>
      </c>
      <c r="CY28" s="1060">
        <f ca="1">CY25/CY47</f>
        <v>1.9757612260504194</v>
      </c>
      <c r="CZ28" s="1060">
        <f ca="1">CZ25/CZ47</f>
        <v>2.1343121711570676</v>
      </c>
      <c r="DA28" s="1059">
        <f ca="1">SUM(CW28:CZ28)</f>
        <v>7.6746600598590007</v>
      </c>
      <c r="DB28" s="1060">
        <f ca="1">DB25/DB47</f>
        <v>1.3630043905374514</v>
      </c>
      <c r="DC28" s="1060">
        <f ca="1">DC25/DC47</f>
        <v>1.6868250464670262</v>
      </c>
      <c r="DD28" s="1060">
        <f ca="1">DD25/DD47</f>
        <v>1.7416346548875419</v>
      </c>
      <c r="DE28" s="1060">
        <f ca="1">DE25/DE47</f>
        <v>1.8503498396367546</v>
      </c>
      <c r="DF28" s="1059">
        <f ca="1">SUM(DB28:DE28)</f>
        <v>6.6418139315287741</v>
      </c>
      <c r="DG28" s="1927"/>
      <c r="DH28"/>
      <c r="DI28"/>
      <c r="DJ28"/>
      <c r="DK28"/>
      <c r="DL28"/>
      <c r="DM28"/>
      <c r="DN28"/>
    </row>
    <row r="29" spans="1:118" s="10" customFormat="1" ht="13.5" thickBot="1" x14ac:dyDescent="0.25">
      <c r="B29" s="1586"/>
      <c r="C29" s="1452"/>
      <c r="D29" s="1453"/>
      <c r="E29" s="1453"/>
      <c r="F29" s="1453"/>
      <c r="G29" s="1453"/>
      <c r="H29" s="1453"/>
      <c r="I29" s="1453"/>
      <c r="J29" s="1453"/>
      <c r="K29" s="1453"/>
      <c r="L29" s="1453"/>
      <c r="M29" s="1453"/>
      <c r="N29" s="1453"/>
      <c r="O29" s="1453"/>
      <c r="P29" s="1453"/>
      <c r="Q29" s="1453"/>
      <c r="R29" s="1453"/>
      <c r="S29" s="1453"/>
      <c r="T29" s="1453"/>
      <c r="U29" s="1453"/>
      <c r="V29" s="1453"/>
      <c r="W29" s="1453"/>
      <c r="X29" s="1453"/>
      <c r="Y29" s="1454"/>
      <c r="Z29" s="1453"/>
      <c r="AA29" s="1453"/>
      <c r="AB29" s="1453"/>
      <c r="AC29" s="1453"/>
      <c r="AD29" s="1454"/>
      <c r="AE29" s="1454"/>
      <c r="AF29" s="1454"/>
      <c r="AG29" s="1454"/>
      <c r="AH29" s="1454"/>
      <c r="AI29" s="1455"/>
      <c r="AJ29" s="1455"/>
      <c r="AK29" s="1455"/>
      <c r="AL29" s="1455"/>
      <c r="AM29" s="1455"/>
      <c r="AN29" s="1455"/>
      <c r="AO29" s="1455"/>
      <c r="AP29" s="1455"/>
      <c r="AQ29" s="1455"/>
      <c r="AR29" s="1455"/>
      <c r="AS29" s="1455"/>
      <c r="AT29" s="1455"/>
      <c r="AU29" s="1455"/>
      <c r="AV29" s="1455"/>
      <c r="AW29" s="1455"/>
      <c r="AX29" s="1455"/>
      <c r="AY29" s="1455"/>
      <c r="AZ29" s="1455"/>
      <c r="BA29" s="1455"/>
      <c r="BB29" s="1455"/>
      <c r="BC29" s="1455"/>
      <c r="BD29" s="1455"/>
      <c r="BE29" s="1455"/>
      <c r="BF29" s="1455"/>
      <c r="BG29" s="1455"/>
      <c r="BH29" s="1455"/>
      <c r="BI29" s="1461"/>
      <c r="BJ29" s="1455"/>
      <c r="BK29" s="1455"/>
      <c r="BL29" s="1461"/>
      <c r="BM29" s="1461"/>
      <c r="BN29" s="1843">
        <f>SUM(BN28:BO28)/BR28</f>
        <v>0.49017256054071245</v>
      </c>
      <c r="BO29" s="1843"/>
      <c r="BP29" s="1843">
        <f>SUM(BP28:BQ28)/BR28</f>
        <v>0.51022691012717969</v>
      </c>
      <c r="BQ29" s="1710"/>
      <c r="BR29" s="1455"/>
      <c r="BS29" s="1843">
        <f>SUM(BS28:BT28)/BW28</f>
        <v>0.45426876704930491</v>
      </c>
      <c r="BT29" s="1843"/>
      <c r="BU29" s="1843"/>
      <c r="BV29" s="1710"/>
      <c r="BW29" s="1455"/>
      <c r="BX29" s="1843"/>
      <c r="BY29" s="1843"/>
      <c r="BZ29" s="1843"/>
      <c r="CA29" s="1843"/>
      <c r="CB29" s="1589"/>
      <c r="CC29" s="1881"/>
      <c r="CD29" s="1881"/>
      <c r="CE29" s="1881"/>
      <c r="CF29" s="1881"/>
      <c r="CG29" s="1589"/>
      <c r="CH29" s="1881"/>
      <c r="CI29" s="1881"/>
      <c r="CJ29" s="1881"/>
      <c r="CK29" s="1881"/>
      <c r="CL29" s="1589"/>
      <c r="CM29" s="1881"/>
      <c r="CN29" s="1881"/>
      <c r="CO29" s="1881"/>
      <c r="CP29" s="1881"/>
      <c r="CQ29" s="1942"/>
      <c r="CR29" s="1589"/>
      <c r="CS29" s="1589"/>
      <c r="CT29" s="1589"/>
      <c r="CU29" s="1589"/>
      <c r="CV29" s="1589"/>
      <c r="CW29" s="1589"/>
      <c r="CX29" s="1589"/>
      <c r="CY29" s="1843"/>
      <c r="CZ29" s="1589"/>
      <c r="DA29" s="1942"/>
      <c r="DB29" s="1589"/>
      <c r="DC29" s="1589"/>
      <c r="DD29" s="1589"/>
      <c r="DE29" s="1589"/>
      <c r="DF29" s="1589"/>
      <c r="DG29"/>
      <c r="DH29"/>
      <c r="DI29"/>
      <c r="DJ29"/>
      <c r="DK29"/>
      <c r="DL29"/>
      <c r="DM29"/>
      <c r="DN29"/>
    </row>
    <row r="30" spans="1:118" s="10" customFormat="1" ht="11.25" hidden="1" customHeight="1" outlineLevel="1" x14ac:dyDescent="0.2">
      <c r="B30" s="726" t="s">
        <v>308</v>
      </c>
      <c r="C30" s="165"/>
      <c r="D30" s="521"/>
      <c r="E30" s="521"/>
      <c r="F30" s="422"/>
      <c r="G30" s="422"/>
      <c r="H30" s="422"/>
      <c r="I30" s="422"/>
      <c r="J30" s="504"/>
      <c r="K30" s="422"/>
      <c r="L30" s="422"/>
      <c r="M30" s="422"/>
      <c r="N30" s="422"/>
      <c r="O30" s="504"/>
      <c r="P30" s="422"/>
      <c r="Q30" s="422"/>
      <c r="R30" s="422"/>
      <c r="S30" s="422"/>
      <c r="T30" s="504"/>
      <c r="U30" s="422"/>
      <c r="V30" s="422"/>
      <c r="W30" s="422"/>
      <c r="X30" s="422"/>
      <c r="Y30" s="504"/>
      <c r="Z30" s="422"/>
      <c r="AA30" s="422"/>
      <c r="AB30" s="422"/>
      <c r="AC30" s="422"/>
      <c r="AD30" s="504"/>
      <c r="AE30" s="422"/>
      <c r="AF30" s="422"/>
      <c r="AG30" s="422"/>
      <c r="AH30" s="422"/>
      <c r="AI30" s="504"/>
      <c r="AJ30" s="422"/>
      <c r="AK30" s="422"/>
      <c r="AL30" s="422"/>
      <c r="AM30" s="422"/>
      <c r="AN30" s="504"/>
      <c r="AO30" s="245"/>
      <c r="AP30" s="245"/>
      <c r="AQ30" s="422"/>
      <c r="AR30" s="422"/>
      <c r="AS30" s="504"/>
      <c r="AT30" s="245"/>
      <c r="AU30" s="245"/>
      <c r="AV30" s="422"/>
      <c r="AW30" s="93"/>
      <c r="AX30" s="92"/>
      <c r="AY30" s="93"/>
      <c r="AZ30" s="93"/>
      <c r="BA30" s="93"/>
      <c r="BB30" s="93"/>
      <c r="BC30" s="92"/>
      <c r="BD30" s="93"/>
      <c r="BE30" s="93"/>
      <c r="BF30" s="93"/>
      <c r="BG30" s="93"/>
      <c r="BH30" s="92"/>
      <c r="BI30" s="93"/>
      <c r="BJ30" s="93"/>
      <c r="BK30" s="93"/>
      <c r="BL30" s="93"/>
      <c r="BM30" s="92"/>
      <c r="BN30" s="93"/>
      <c r="BO30" s="93"/>
      <c r="BP30" s="93"/>
      <c r="BQ30" s="93"/>
      <c r="BR30" s="92"/>
      <c r="BS30" s="94"/>
      <c r="BT30" s="94"/>
      <c r="BU30" s="94"/>
      <c r="BV30" s="93"/>
      <c r="BW30" s="90"/>
      <c r="BX30" s="94"/>
      <c r="BY30" s="94"/>
      <c r="BZ30" s="94"/>
      <c r="CA30" s="94"/>
      <c r="CB30" s="92"/>
      <c r="CC30" s="94"/>
      <c r="CD30" s="94"/>
      <c r="CE30" s="94"/>
      <c r="CF30" s="93"/>
      <c r="CG30" s="92"/>
      <c r="CH30" s="93"/>
      <c r="CI30" s="93"/>
      <c r="CJ30" s="93"/>
      <c r="CK30" s="93"/>
      <c r="CL30" s="92"/>
      <c r="CM30" s="93"/>
      <c r="CN30" s="93"/>
      <c r="CO30" s="93"/>
      <c r="CP30" s="93"/>
      <c r="CQ30" s="92"/>
      <c r="CR30" s="93"/>
      <c r="CS30" s="93"/>
      <c r="CT30" s="93"/>
      <c r="CU30" s="93"/>
      <c r="CV30" s="92"/>
      <c r="CW30" s="93"/>
      <c r="CX30" s="93"/>
      <c r="CY30" s="93"/>
      <c r="CZ30" s="93"/>
      <c r="DA30" s="92"/>
      <c r="DB30" s="93"/>
      <c r="DC30" s="93"/>
      <c r="DD30" s="93"/>
      <c r="DE30" s="93"/>
      <c r="DF30" s="92"/>
      <c r="DG30"/>
      <c r="DH30"/>
      <c r="DI30"/>
      <c r="DJ30"/>
      <c r="DK30"/>
      <c r="DL30"/>
      <c r="DM30"/>
      <c r="DN30"/>
    </row>
    <row r="31" spans="1:118" s="10" customFormat="1" ht="11.25" hidden="1" customHeight="1" outlineLevel="1" x14ac:dyDescent="0.2">
      <c r="B31" s="727" t="s">
        <v>652</v>
      </c>
      <c r="C31" s="30"/>
      <c r="D31" s="405"/>
      <c r="E31" s="405">
        <v>0</v>
      </c>
      <c r="F31" s="505">
        <v>0</v>
      </c>
      <c r="G31" s="505">
        <v>0</v>
      </c>
      <c r="H31" s="505">
        <v>0</v>
      </c>
      <c r="I31" s="505">
        <v>0</v>
      </c>
      <c r="J31" s="96">
        <f>SUM(F31:I31)</f>
        <v>0</v>
      </c>
      <c r="K31" s="505">
        <v>0</v>
      </c>
      <c r="L31" s="505">
        <v>0</v>
      </c>
      <c r="M31" s="505">
        <v>0</v>
      </c>
      <c r="N31" s="505">
        <v>0</v>
      </c>
      <c r="O31" s="96">
        <f>SUM(K31:N31)</f>
        <v>0</v>
      </c>
      <c r="P31" s="505">
        <v>0</v>
      </c>
      <c r="Q31" s="505">
        <v>0</v>
      </c>
      <c r="R31" s="505">
        <v>0</v>
      </c>
      <c r="S31" s="505">
        <v>0</v>
      </c>
      <c r="T31" s="96">
        <f>SUM(P31:S31)</f>
        <v>0</v>
      </c>
      <c r="U31" s="505">
        <v>0</v>
      </c>
      <c r="V31" s="505">
        <v>0</v>
      </c>
      <c r="W31" s="505">
        <v>0</v>
      </c>
      <c r="X31" s="87">
        <f t="shared" ref="X31:X36" si="46">Y31-SUM(U31:W31)</f>
        <v>0</v>
      </c>
      <c r="Y31" s="399">
        <v>0</v>
      </c>
      <c r="Z31" s="505">
        <v>0</v>
      </c>
      <c r="AA31" s="505">
        <v>0</v>
      </c>
      <c r="AB31" s="505">
        <v>0</v>
      </c>
      <c r="AC31" s="87">
        <f t="shared" ref="AC31:AC36" si="47">AD31-SUM(Z31:AB31)</f>
        <v>0</v>
      </c>
      <c r="AD31" s="399">
        <v>0</v>
      </c>
      <c r="AE31" s="505">
        <v>0</v>
      </c>
      <c r="AF31" s="505">
        <v>0</v>
      </c>
      <c r="AG31" s="505">
        <v>0</v>
      </c>
      <c r="AH31" s="87">
        <f t="shared" ref="AH31:AH36" si="48">AI31-SUM(AE31:AG31)</f>
        <v>0</v>
      </c>
      <c r="AI31" s="399">
        <v>0</v>
      </c>
      <c r="AJ31" s="505">
        <v>0</v>
      </c>
      <c r="AK31" s="505">
        <v>0</v>
      </c>
      <c r="AL31" s="505">
        <v>0</v>
      </c>
      <c r="AM31" s="505">
        <v>0</v>
      </c>
      <c r="AN31" s="96">
        <f t="shared" ref="AN31:AN36" si="49">SUM(AJ31:AM31)</f>
        <v>0</v>
      </c>
      <c r="AO31" s="505">
        <v>0</v>
      </c>
      <c r="AP31" s="505">
        <v>0</v>
      </c>
      <c r="AQ31" s="505">
        <v>0</v>
      </c>
      <c r="AR31" s="505">
        <v>0</v>
      </c>
      <c r="AS31" s="96">
        <f>SUM(AO31:AR31)</f>
        <v>0</v>
      </c>
      <c r="AT31" s="505">
        <v>-8.6999999999999993</v>
      </c>
      <c r="AU31" s="505">
        <v>-78.8</v>
      </c>
      <c r="AV31" s="505">
        <v>-18.3</v>
      </c>
      <c r="AW31" s="505">
        <v>-75.900000000000006</v>
      </c>
      <c r="AX31" s="96">
        <f>SUM(AT31:AW31)</f>
        <v>-181.7</v>
      </c>
      <c r="AY31" s="505">
        <f>-28.5-25.9-6-1.6-8.7</f>
        <v>-70.7</v>
      </c>
      <c r="AZ31" s="505">
        <f>-28.5-21.7+30-1.6-4.4-8.5</f>
        <v>-34.700000000000003</v>
      </c>
      <c r="BA31" s="505">
        <f>-28.5-15.1-8.6-1.6-12.3</f>
        <v>-66.100000000000009</v>
      </c>
      <c r="BB31" s="505">
        <f>(-28.5-1.7-8.5-31.8-5.4)</f>
        <v>-75.900000000000006</v>
      </c>
      <c r="BC31" s="96">
        <f>SUM(AY31:BB31)</f>
        <v>-247.4</v>
      </c>
      <c r="BD31" s="505">
        <f>-(28.5)-(1.6)-(8.6)</f>
        <v>-38.700000000000003</v>
      </c>
      <c r="BE31" s="505">
        <f>-28.5-1.6-8.6</f>
        <v>-38.700000000000003</v>
      </c>
      <c r="BF31" s="505">
        <f>-28.5-8.5-1.6</f>
        <v>-38.6</v>
      </c>
      <c r="BG31" s="505">
        <f>-28.5-1.7-8.5</f>
        <v>-38.700000000000003</v>
      </c>
      <c r="BH31" s="96">
        <f>SUM(BD31:BG31)</f>
        <v>-154.69999999999999</v>
      </c>
      <c r="BI31" s="505">
        <f>-28.5-8.6-1.6-26.7-79.5</f>
        <v>-144.9</v>
      </c>
      <c r="BJ31" s="505">
        <f>-(28.5)-(10.2)-(11.9)-(343.9)-(481.9)-(5.7)</f>
        <v>-882.1</v>
      </c>
      <c r="BK31" s="506">
        <f>-(28.5)-(10.2)-(21.8)-(158.9)-20.2-(495.9)</f>
        <v>-735.5</v>
      </c>
      <c r="BL31" s="505">
        <f>-(28.5)-(10.2)-16-131.3+0.5-472.9</f>
        <v>-658.4</v>
      </c>
      <c r="BM31" s="96">
        <f>SUM(BI31:BL31)</f>
        <v>-2420.9</v>
      </c>
      <c r="BN31" s="505">
        <f>-28.5-10.2-462.8-44.5-113.6+3.5-68.5+5.2</f>
        <v>-719.4</v>
      </c>
      <c r="BO31" s="505">
        <f>-28.5-10.2-466.9-36.6-105.3+5.7+1.8</f>
        <v>-639.99999999999989</v>
      </c>
      <c r="BP31" s="506">
        <f>-28.5-10.2-466.9-56.8-130.8+24.2</f>
        <v>-669</v>
      </c>
      <c r="BQ31" s="506">
        <f>-28.5-10.2-466.9-100.4-140.7</f>
        <v>-746.7</v>
      </c>
      <c r="BR31" s="96">
        <f>SUM(BN31:BQ31)</f>
        <v>-2775.1</v>
      </c>
      <c r="BS31" s="506">
        <f>BQ31</f>
        <v>-746.7</v>
      </c>
      <c r="BT31" s="506">
        <f>-28.5-108.6-409.3-129.8-11.9</f>
        <v>-688.1</v>
      </c>
      <c r="BU31" s="506">
        <f>-28.5-65-413.2-157.7-71.5</f>
        <v>-735.9</v>
      </c>
      <c r="BV31" s="506">
        <f>BU31</f>
        <v>-735.9</v>
      </c>
      <c r="BW31" s="27">
        <f t="shared" ref="BW31:BW38" si="50">SUM(BS31:BV31)</f>
        <v>-2906.6000000000004</v>
      </c>
      <c r="BX31" s="506">
        <v>-602.6</v>
      </c>
      <c r="BY31" s="506">
        <f>-23.8-40.7-408.9-88.1-9.2</f>
        <v>-570.70000000000005</v>
      </c>
      <c r="BZ31" s="506">
        <f>-23.8-45.2-409-68.2</f>
        <v>-546.20000000000005</v>
      </c>
      <c r="CA31" s="506">
        <f>-179-432.6</f>
        <v>-611.6</v>
      </c>
      <c r="CB31" s="96">
        <f t="shared" ref="CB31:CB38" si="51">SUM(BX31:CA31)</f>
        <v>-2331.1000000000004</v>
      </c>
      <c r="CC31" s="506">
        <v>-602.6</v>
      </c>
      <c r="CD31" s="506">
        <v>-602.6</v>
      </c>
      <c r="CE31" s="506">
        <v>-603</v>
      </c>
      <c r="CF31" s="505">
        <v>-406.7</v>
      </c>
      <c r="CG31" s="96">
        <f t="shared" ref="CG31:CG38" si="52">SUM(CC31:CF31)</f>
        <v>-2214.9</v>
      </c>
      <c r="CH31" s="1983">
        <v>-406.7</v>
      </c>
      <c r="CI31" s="1983">
        <v>-406.7</v>
      </c>
      <c r="CJ31" s="1983">
        <v>-406.7</v>
      </c>
      <c r="CK31" s="1983">
        <v>-406.7</v>
      </c>
      <c r="CL31" s="96">
        <f t="shared" ref="CL31:CL38" si="53">SUM(CH31:CK31)</f>
        <v>-1626.8</v>
      </c>
      <c r="CM31" s="505">
        <f>CK31</f>
        <v>-406.7</v>
      </c>
      <c r="CN31" s="505">
        <f>CM31</f>
        <v>-406.7</v>
      </c>
      <c r="CO31" s="505">
        <f>CN31</f>
        <v>-406.7</v>
      </c>
      <c r="CP31" s="505">
        <f>CO31</f>
        <v>-406.7</v>
      </c>
      <c r="CQ31" s="96">
        <f t="shared" ref="CQ31:CQ38" si="54">SUM(CM31:CP31)</f>
        <v>-1626.8</v>
      </c>
      <c r="CR31" s="505">
        <f>CP31</f>
        <v>-406.7</v>
      </c>
      <c r="CS31" s="505">
        <f>CR31</f>
        <v>-406.7</v>
      </c>
      <c r="CT31" s="505">
        <f>CS31</f>
        <v>-406.7</v>
      </c>
      <c r="CU31" s="505">
        <f>CT31</f>
        <v>-406.7</v>
      </c>
      <c r="CV31" s="96">
        <f t="shared" ref="CV31:CV38" si="55">SUM(CR31:CU31)</f>
        <v>-1626.8</v>
      </c>
      <c r="CW31" s="505">
        <f>CU31</f>
        <v>-406.7</v>
      </c>
      <c r="CX31" s="505">
        <f>CW31</f>
        <v>-406.7</v>
      </c>
      <c r="CY31" s="505">
        <f>CX31</f>
        <v>-406.7</v>
      </c>
      <c r="CZ31" s="505">
        <f>CY31</f>
        <v>-406.7</v>
      </c>
      <c r="DA31" s="96">
        <f t="shared" ref="DA31:DA38" si="56">SUM(CW31:CZ31)</f>
        <v>-1626.8</v>
      </c>
      <c r="DB31" s="505">
        <f>CZ31</f>
        <v>-406.7</v>
      </c>
      <c r="DC31" s="505">
        <f>DB31</f>
        <v>-406.7</v>
      </c>
      <c r="DD31" s="505">
        <f>DC31</f>
        <v>-406.7</v>
      </c>
      <c r="DE31" s="505">
        <f>DD31</f>
        <v>-406.7</v>
      </c>
      <c r="DF31" s="96">
        <f t="shared" ref="DF31:DF38" si="57">SUM(DB31:DE31)</f>
        <v>-1626.8</v>
      </c>
      <c r="DG31"/>
      <c r="DH31"/>
      <c r="DI31"/>
      <c r="DJ31"/>
      <c r="DK31"/>
      <c r="DL31"/>
      <c r="DM31"/>
      <c r="DN31"/>
    </row>
    <row r="32" spans="1:118" s="10" customFormat="1" ht="11.25" hidden="1" customHeight="1" outlineLevel="1" x14ac:dyDescent="0.2">
      <c r="B32" s="727" t="s">
        <v>311</v>
      </c>
      <c r="C32" s="30"/>
      <c r="D32" s="405"/>
      <c r="E32" s="405">
        <v>0</v>
      </c>
      <c r="F32" s="505">
        <v>0</v>
      </c>
      <c r="G32" s="505">
        <v>0</v>
      </c>
      <c r="H32" s="505">
        <v>0</v>
      </c>
      <c r="I32" s="505">
        <v>0</v>
      </c>
      <c r="J32" s="96">
        <f t="shared" ref="J32:J41" si="58">SUM(F32:I32)</f>
        <v>0</v>
      </c>
      <c r="K32" s="505">
        <v>0</v>
      </c>
      <c r="L32" s="505">
        <v>0</v>
      </c>
      <c r="M32" s="505">
        <v>0</v>
      </c>
      <c r="N32" s="505">
        <v>0</v>
      </c>
      <c r="O32" s="96">
        <f t="shared" ref="O32:O41" si="59">SUM(K32:N32)</f>
        <v>0</v>
      </c>
      <c r="P32" s="505">
        <v>0</v>
      </c>
      <c r="Q32" s="505">
        <v>0</v>
      </c>
      <c r="R32" s="505">
        <v>0</v>
      </c>
      <c r="S32" s="505">
        <v>0</v>
      </c>
      <c r="T32" s="96">
        <f t="shared" ref="T32:T41" si="60">SUM(P32:S32)</f>
        <v>0</v>
      </c>
      <c r="U32" s="505">
        <v>0</v>
      </c>
      <c r="V32" s="505">
        <v>0</v>
      </c>
      <c r="W32" s="505">
        <v>0</v>
      </c>
      <c r="X32" s="87">
        <f t="shared" si="46"/>
        <v>0</v>
      </c>
      <c r="Y32" s="399">
        <v>0</v>
      </c>
      <c r="Z32" s="505">
        <v>0</v>
      </c>
      <c r="AA32" s="505">
        <v>0</v>
      </c>
      <c r="AB32" s="505">
        <v>0</v>
      </c>
      <c r="AC32" s="87">
        <f t="shared" si="47"/>
        <v>0</v>
      </c>
      <c r="AD32" s="399">
        <v>0</v>
      </c>
      <c r="AE32" s="505">
        <v>0</v>
      </c>
      <c r="AF32" s="505">
        <v>0</v>
      </c>
      <c r="AG32" s="505">
        <v>0</v>
      </c>
      <c r="AH32" s="87">
        <f t="shared" si="48"/>
        <v>0</v>
      </c>
      <c r="AI32" s="399">
        <v>0</v>
      </c>
      <c r="AJ32" s="505">
        <v>0</v>
      </c>
      <c r="AK32" s="505">
        <v>0</v>
      </c>
      <c r="AL32" s="505">
        <v>0</v>
      </c>
      <c r="AM32" s="505">
        <v>-6</v>
      </c>
      <c r="AN32" s="96">
        <f t="shared" si="49"/>
        <v>-6</v>
      </c>
      <c r="AO32" s="505">
        <v>0</v>
      </c>
      <c r="AP32" s="505">
        <v>0</v>
      </c>
      <c r="AQ32" s="505">
        <v>0</v>
      </c>
      <c r="AR32" s="505">
        <v>0</v>
      </c>
      <c r="AS32" s="96">
        <f t="shared" ref="AS32:AS41" si="61">SUM(AO32:AR32)</f>
        <v>0</v>
      </c>
      <c r="AT32" s="505">
        <v>0</v>
      </c>
      <c r="AU32" s="505">
        <v>0</v>
      </c>
      <c r="AV32" s="505">
        <v>-35</v>
      </c>
      <c r="AW32" s="505"/>
      <c r="AX32" s="96">
        <f t="shared" ref="AX32:AX41" si="62">SUM(AT32:AW32)</f>
        <v>-35</v>
      </c>
      <c r="AY32" s="505">
        <v>0</v>
      </c>
      <c r="AZ32" s="505">
        <v>0</v>
      </c>
      <c r="BA32" s="505">
        <v>0</v>
      </c>
      <c r="BB32" s="505">
        <v>0</v>
      </c>
      <c r="BC32" s="96">
        <f t="shared" ref="BC32:BC41" si="63">SUM(AY32:BB32)</f>
        <v>0</v>
      </c>
      <c r="BD32" s="505">
        <v>0</v>
      </c>
      <c r="BE32" s="505">
        <v>0</v>
      </c>
      <c r="BF32" s="505">
        <v>0</v>
      </c>
      <c r="BG32" s="505">
        <v>0</v>
      </c>
      <c r="BH32" s="96">
        <f t="shared" ref="BH32:BH41" si="64">SUM(BD32:BG32)</f>
        <v>0</v>
      </c>
      <c r="BI32" s="505">
        <v>0</v>
      </c>
      <c r="BJ32" s="505">
        <v>0</v>
      </c>
      <c r="BK32" s="505">
        <v>0</v>
      </c>
      <c r="BL32" s="505">
        <v>0</v>
      </c>
      <c r="BM32" s="96">
        <f t="shared" ref="BM32:BM41" si="65">SUM(BI32:BL32)</f>
        <v>0</v>
      </c>
      <c r="BN32" s="505"/>
      <c r="BO32" s="505">
        <v>0</v>
      </c>
      <c r="BP32" s="505">
        <v>0</v>
      </c>
      <c r="BQ32" s="505">
        <v>0</v>
      </c>
      <c r="BR32" s="96">
        <f>SUM(BN32:BQ32)</f>
        <v>0</v>
      </c>
      <c r="BS32" s="506">
        <v>0</v>
      </c>
      <c r="BT32" s="506">
        <v>0</v>
      </c>
      <c r="BU32" s="506">
        <v>0</v>
      </c>
      <c r="BV32" s="505">
        <v>0</v>
      </c>
      <c r="BW32" s="27">
        <f t="shared" si="50"/>
        <v>0</v>
      </c>
      <c r="BX32" s="506">
        <v>0</v>
      </c>
      <c r="BY32" s="506">
        <v>0</v>
      </c>
      <c r="BZ32" s="506">
        <v>0</v>
      </c>
      <c r="CA32" s="506">
        <v>0</v>
      </c>
      <c r="CB32" s="96">
        <f t="shared" si="51"/>
        <v>0</v>
      </c>
      <c r="CC32" s="506">
        <v>0</v>
      </c>
      <c r="CD32" s="506">
        <v>0</v>
      </c>
      <c r="CE32" s="506">
        <v>0</v>
      </c>
      <c r="CF32" s="505">
        <v>0</v>
      </c>
      <c r="CG32" s="96">
        <f t="shared" si="52"/>
        <v>0</v>
      </c>
      <c r="CH32" s="1983">
        <v>0</v>
      </c>
      <c r="CI32" s="1983">
        <v>0</v>
      </c>
      <c r="CJ32" s="1983">
        <v>0</v>
      </c>
      <c r="CK32" s="1983">
        <v>0</v>
      </c>
      <c r="CL32" s="96">
        <f t="shared" si="53"/>
        <v>0</v>
      </c>
      <c r="CM32" s="505">
        <v>0</v>
      </c>
      <c r="CN32" s="505">
        <v>0</v>
      </c>
      <c r="CO32" s="505">
        <v>0</v>
      </c>
      <c r="CP32" s="505">
        <v>0</v>
      </c>
      <c r="CQ32" s="96">
        <f t="shared" si="54"/>
        <v>0</v>
      </c>
      <c r="CR32" s="505">
        <v>0</v>
      </c>
      <c r="CS32" s="505">
        <v>0</v>
      </c>
      <c r="CT32" s="505">
        <v>0</v>
      </c>
      <c r="CU32" s="505">
        <v>0</v>
      </c>
      <c r="CV32" s="96">
        <f t="shared" si="55"/>
        <v>0</v>
      </c>
      <c r="CW32" s="505">
        <v>0</v>
      </c>
      <c r="CX32" s="505">
        <v>0</v>
      </c>
      <c r="CY32" s="505">
        <v>0</v>
      </c>
      <c r="CZ32" s="505">
        <v>0</v>
      </c>
      <c r="DA32" s="96">
        <f t="shared" si="56"/>
        <v>0</v>
      </c>
      <c r="DB32" s="505">
        <v>0</v>
      </c>
      <c r="DC32" s="505">
        <v>0</v>
      </c>
      <c r="DD32" s="505">
        <v>0</v>
      </c>
      <c r="DE32" s="505">
        <v>0</v>
      </c>
      <c r="DF32" s="96">
        <f t="shared" si="57"/>
        <v>0</v>
      </c>
      <c r="DG32"/>
      <c r="DH32"/>
      <c r="DI32"/>
      <c r="DJ32"/>
      <c r="DK32"/>
      <c r="DL32"/>
      <c r="DM32"/>
      <c r="DN32"/>
    </row>
    <row r="33" spans="1:118" s="10" customFormat="1" ht="11.25" hidden="1" customHeight="1" outlineLevel="1" x14ac:dyDescent="0.2">
      <c r="B33" s="727" t="s">
        <v>312</v>
      </c>
      <c r="C33" s="30"/>
      <c r="D33" s="405"/>
      <c r="E33" s="405">
        <v>0</v>
      </c>
      <c r="F33" s="505">
        <v>0</v>
      </c>
      <c r="G33" s="505">
        <v>0</v>
      </c>
      <c r="H33" s="505">
        <v>0</v>
      </c>
      <c r="I33" s="505">
        <v>0</v>
      </c>
      <c r="J33" s="96">
        <f t="shared" si="58"/>
        <v>0</v>
      </c>
      <c r="K33" s="505">
        <v>0</v>
      </c>
      <c r="L33" s="505">
        <v>0</v>
      </c>
      <c r="M33" s="505">
        <v>0</v>
      </c>
      <c r="N33" s="505">
        <v>0</v>
      </c>
      <c r="O33" s="96">
        <f t="shared" si="59"/>
        <v>0</v>
      </c>
      <c r="P33" s="505">
        <v>0</v>
      </c>
      <c r="Q33" s="505">
        <v>0</v>
      </c>
      <c r="R33" s="505">
        <v>0</v>
      </c>
      <c r="S33" s="505">
        <v>0</v>
      </c>
      <c r="T33" s="96">
        <f t="shared" si="60"/>
        <v>0</v>
      </c>
      <c r="U33" s="505">
        <v>0</v>
      </c>
      <c r="V33" s="505">
        <v>0</v>
      </c>
      <c r="W33" s="505">
        <v>0</v>
      </c>
      <c r="X33" s="87">
        <f t="shared" si="46"/>
        <v>0</v>
      </c>
      <c r="Y33" s="399">
        <v>0</v>
      </c>
      <c r="Z33" s="505">
        <v>0</v>
      </c>
      <c r="AA33" s="505">
        <v>0</v>
      </c>
      <c r="AB33" s="505">
        <v>0</v>
      </c>
      <c r="AC33" s="87">
        <f t="shared" si="47"/>
        <v>0</v>
      </c>
      <c r="AD33" s="399">
        <v>0</v>
      </c>
      <c r="AE33" s="505">
        <v>0</v>
      </c>
      <c r="AF33" s="505">
        <v>0</v>
      </c>
      <c r="AG33" s="505">
        <v>0</v>
      </c>
      <c r="AH33" s="87">
        <f t="shared" si="48"/>
        <v>0</v>
      </c>
      <c r="AI33" s="399">
        <v>0</v>
      </c>
      <c r="AJ33" s="505">
        <v>0</v>
      </c>
      <c r="AK33" s="505">
        <v>0</v>
      </c>
      <c r="AL33" s="505">
        <v>0</v>
      </c>
      <c r="AM33" s="505">
        <v>0</v>
      </c>
      <c r="AN33" s="96">
        <f t="shared" si="49"/>
        <v>0</v>
      </c>
      <c r="AO33" s="505">
        <v>0</v>
      </c>
      <c r="AP33" s="505">
        <v>0</v>
      </c>
      <c r="AQ33" s="505">
        <v>0</v>
      </c>
      <c r="AR33" s="505">
        <v>0</v>
      </c>
      <c r="AS33" s="96">
        <f t="shared" si="61"/>
        <v>0</v>
      </c>
      <c r="AT33" s="505">
        <v>0</v>
      </c>
      <c r="AU33" s="505">
        <v>15</v>
      </c>
      <c r="AV33" s="505">
        <v>0</v>
      </c>
      <c r="AW33" s="505"/>
      <c r="AX33" s="96">
        <f t="shared" si="62"/>
        <v>15</v>
      </c>
      <c r="AY33" s="505">
        <v>0</v>
      </c>
      <c r="AZ33" s="505">
        <v>0</v>
      </c>
      <c r="BA33" s="505">
        <v>0</v>
      </c>
      <c r="BB33" s="505">
        <v>0</v>
      </c>
      <c r="BC33" s="96">
        <f t="shared" si="63"/>
        <v>0</v>
      </c>
      <c r="BD33" s="505">
        <v>0</v>
      </c>
      <c r="BE33" s="505">
        <v>0</v>
      </c>
      <c r="BF33" s="505">
        <v>0</v>
      </c>
      <c r="BG33" s="505">
        <v>0</v>
      </c>
      <c r="BH33" s="96">
        <f t="shared" si="64"/>
        <v>0</v>
      </c>
      <c r="BI33" s="505">
        <v>0</v>
      </c>
      <c r="BJ33" s="505">
        <v>0</v>
      </c>
      <c r="BK33" s="505">
        <v>0</v>
      </c>
      <c r="BL33" s="505">
        <v>0</v>
      </c>
      <c r="BM33" s="96">
        <f t="shared" si="65"/>
        <v>0</v>
      </c>
      <c r="BN33" s="505">
        <v>0</v>
      </c>
      <c r="BO33" s="505">
        <v>0</v>
      </c>
      <c r="BP33" s="505">
        <v>0</v>
      </c>
      <c r="BQ33" s="505">
        <v>0</v>
      </c>
      <c r="BR33" s="96">
        <f>SUM(BN33:BQ33)</f>
        <v>0</v>
      </c>
      <c r="BS33" s="506">
        <v>0</v>
      </c>
      <c r="BT33" s="506">
        <v>0</v>
      </c>
      <c r="BU33" s="506">
        <v>0</v>
      </c>
      <c r="BV33" s="505">
        <v>0</v>
      </c>
      <c r="BW33" s="27">
        <f t="shared" si="50"/>
        <v>0</v>
      </c>
      <c r="BX33" s="506">
        <v>0</v>
      </c>
      <c r="BY33" s="506">
        <v>0</v>
      </c>
      <c r="BZ33" s="506">
        <v>0</v>
      </c>
      <c r="CA33" s="506">
        <v>0</v>
      </c>
      <c r="CB33" s="96">
        <f t="shared" si="51"/>
        <v>0</v>
      </c>
      <c r="CC33" s="506">
        <v>0</v>
      </c>
      <c r="CD33" s="506">
        <v>0</v>
      </c>
      <c r="CE33" s="506">
        <v>0</v>
      </c>
      <c r="CF33" s="505">
        <v>-41.2</v>
      </c>
      <c r="CG33" s="96">
        <f t="shared" si="52"/>
        <v>-41.2</v>
      </c>
      <c r="CH33" s="1983"/>
      <c r="CI33" s="1983"/>
      <c r="CJ33" s="1983"/>
      <c r="CK33" s="1983"/>
      <c r="CL33" s="96">
        <f t="shared" si="53"/>
        <v>0</v>
      </c>
      <c r="CM33" s="505">
        <v>0</v>
      </c>
      <c r="CN33" s="505">
        <v>0</v>
      </c>
      <c r="CO33" s="505">
        <v>0</v>
      </c>
      <c r="CP33" s="505">
        <v>0</v>
      </c>
      <c r="CQ33" s="96">
        <f t="shared" si="54"/>
        <v>0</v>
      </c>
      <c r="CR33" s="505">
        <v>0</v>
      </c>
      <c r="CS33" s="505">
        <v>0</v>
      </c>
      <c r="CT33" s="505">
        <v>0</v>
      </c>
      <c r="CU33" s="505">
        <v>0</v>
      </c>
      <c r="CV33" s="96">
        <f t="shared" si="55"/>
        <v>0</v>
      </c>
      <c r="CW33" s="505">
        <v>0</v>
      </c>
      <c r="CX33" s="505">
        <v>0</v>
      </c>
      <c r="CY33" s="505">
        <v>0</v>
      </c>
      <c r="CZ33" s="505">
        <v>0</v>
      </c>
      <c r="DA33" s="96">
        <f t="shared" si="56"/>
        <v>0</v>
      </c>
      <c r="DB33" s="505">
        <v>0</v>
      </c>
      <c r="DC33" s="505">
        <v>0</v>
      </c>
      <c r="DD33" s="505">
        <v>0</v>
      </c>
      <c r="DE33" s="505">
        <v>0</v>
      </c>
      <c r="DF33" s="96">
        <f t="shared" si="57"/>
        <v>0</v>
      </c>
      <c r="DG33"/>
      <c r="DH33"/>
      <c r="DI33"/>
      <c r="DJ33"/>
      <c r="DK33"/>
      <c r="DL33"/>
      <c r="DM33"/>
      <c r="DN33"/>
    </row>
    <row r="34" spans="1:118" s="10" customFormat="1" ht="11.25" hidden="1" customHeight="1" outlineLevel="1" x14ac:dyDescent="0.2">
      <c r="B34" s="727" t="s">
        <v>320</v>
      </c>
      <c r="C34" s="30"/>
      <c r="D34" s="405"/>
      <c r="E34" s="405">
        <v>0</v>
      </c>
      <c r="F34" s="505">
        <v>0</v>
      </c>
      <c r="G34" s="505">
        <v>0</v>
      </c>
      <c r="H34" s="505">
        <v>0</v>
      </c>
      <c r="I34" s="505">
        <v>0</v>
      </c>
      <c r="J34" s="96">
        <f>SUM(F34:I34)</f>
        <v>0</v>
      </c>
      <c r="K34" s="505">
        <v>0</v>
      </c>
      <c r="L34" s="505">
        <v>0</v>
      </c>
      <c r="M34" s="505">
        <v>0</v>
      </c>
      <c r="N34" s="505">
        <v>0</v>
      </c>
      <c r="O34" s="96">
        <f>SUM(K34:N34)</f>
        <v>0</v>
      </c>
      <c r="P34" s="505">
        <v>0</v>
      </c>
      <c r="Q34" s="505">
        <v>0</v>
      </c>
      <c r="R34" s="505">
        <v>0</v>
      </c>
      <c r="S34" s="505">
        <v>0</v>
      </c>
      <c r="T34" s="96">
        <f>SUM(P34:S34)</f>
        <v>0</v>
      </c>
      <c r="U34" s="505">
        <v>0</v>
      </c>
      <c r="V34" s="505">
        <v>0</v>
      </c>
      <c r="W34" s="505">
        <v>0</v>
      </c>
      <c r="X34" s="87">
        <f t="shared" si="46"/>
        <v>0</v>
      </c>
      <c r="Y34" s="399">
        <v>0</v>
      </c>
      <c r="Z34" s="505">
        <v>0</v>
      </c>
      <c r="AA34" s="505">
        <v>0</v>
      </c>
      <c r="AB34" s="505">
        <v>0</v>
      </c>
      <c r="AC34" s="87">
        <f t="shared" si="47"/>
        <v>0</v>
      </c>
      <c r="AD34" s="399">
        <v>0</v>
      </c>
      <c r="AE34" s="505">
        <v>0</v>
      </c>
      <c r="AF34" s="505">
        <v>0</v>
      </c>
      <c r="AG34" s="505">
        <v>0</v>
      </c>
      <c r="AH34" s="87">
        <f t="shared" si="48"/>
        <v>0</v>
      </c>
      <c r="AI34" s="399">
        <v>0</v>
      </c>
      <c r="AJ34" s="505">
        <v>0</v>
      </c>
      <c r="AK34" s="505">
        <v>0</v>
      </c>
      <c r="AL34" s="505">
        <v>0</v>
      </c>
      <c r="AM34" s="505">
        <f>-9.1-3</f>
        <v>-12.1</v>
      </c>
      <c r="AN34" s="96">
        <f t="shared" si="49"/>
        <v>-12.1</v>
      </c>
      <c r="AO34" s="505">
        <v>0</v>
      </c>
      <c r="AP34" s="505">
        <v>0</v>
      </c>
      <c r="AQ34" s="505">
        <v>0</v>
      </c>
      <c r="AR34" s="505">
        <v>0</v>
      </c>
      <c r="AS34" s="96">
        <f>SUM(AO34:AR34)</f>
        <v>0</v>
      </c>
      <c r="AT34" s="505">
        <v>0</v>
      </c>
      <c r="AU34" s="505">
        <v>0</v>
      </c>
      <c r="AV34" s="505">
        <v>0</v>
      </c>
      <c r="AW34" s="505"/>
      <c r="AX34" s="96">
        <f>SUM(AT34:AW34)</f>
        <v>0</v>
      </c>
      <c r="AY34" s="505">
        <v>0</v>
      </c>
      <c r="AZ34" s="505">
        <v>0</v>
      </c>
      <c r="BA34" s="505">
        <v>0</v>
      </c>
      <c r="BB34" s="505">
        <v>0</v>
      </c>
      <c r="BC34" s="96">
        <f>SUM(AY34:BB34)</f>
        <v>0</v>
      </c>
      <c r="BD34" s="505">
        <v>0</v>
      </c>
      <c r="BE34" s="505">
        <v>0</v>
      </c>
      <c r="BF34" s="505">
        <v>0</v>
      </c>
      <c r="BG34" s="505">
        <v>0</v>
      </c>
      <c r="BH34" s="96">
        <f>SUM(BD34:BG34)</f>
        <v>0</v>
      </c>
      <c r="BI34" s="505">
        <v>0</v>
      </c>
      <c r="BJ34" s="505">
        <v>0</v>
      </c>
      <c r="BK34" s="505">
        <v>0</v>
      </c>
      <c r="BL34" s="505">
        <v>0</v>
      </c>
      <c r="BM34" s="96">
        <f>SUM(BI34:BL34)</f>
        <v>0</v>
      </c>
      <c r="BN34" s="505">
        <v>0</v>
      </c>
      <c r="BO34" s="505">
        <v>0</v>
      </c>
      <c r="BP34" s="505">
        <v>0</v>
      </c>
      <c r="BQ34" s="505">
        <v>0</v>
      </c>
      <c r="BR34" s="96">
        <f>SUM(BN34:BQ34)</f>
        <v>0</v>
      </c>
      <c r="BS34" s="506">
        <v>0</v>
      </c>
      <c r="BT34" s="506">
        <v>0</v>
      </c>
      <c r="BU34" s="506">
        <v>0</v>
      </c>
      <c r="BV34" s="505">
        <v>0</v>
      </c>
      <c r="BW34" s="27">
        <f t="shared" si="50"/>
        <v>0</v>
      </c>
      <c r="BX34" s="506">
        <v>0</v>
      </c>
      <c r="BY34" s="506">
        <v>0</v>
      </c>
      <c r="BZ34" s="506">
        <v>0</v>
      </c>
      <c r="CA34" s="506">
        <v>0</v>
      </c>
      <c r="CB34" s="96">
        <f t="shared" si="51"/>
        <v>0</v>
      </c>
      <c r="CC34" s="506">
        <v>0</v>
      </c>
      <c r="CD34" s="506">
        <v>0</v>
      </c>
      <c r="CE34" s="506">
        <v>0</v>
      </c>
      <c r="CF34" s="505">
        <v>0</v>
      </c>
      <c r="CG34" s="96">
        <f t="shared" si="52"/>
        <v>0</v>
      </c>
      <c r="CH34" s="1983">
        <v>0</v>
      </c>
      <c r="CI34" s="1983">
        <v>0</v>
      </c>
      <c r="CJ34" s="1983">
        <v>0</v>
      </c>
      <c r="CK34" s="1983">
        <v>0</v>
      </c>
      <c r="CL34" s="96">
        <f t="shared" si="53"/>
        <v>0</v>
      </c>
      <c r="CM34" s="505">
        <v>0</v>
      </c>
      <c r="CN34" s="505">
        <v>0</v>
      </c>
      <c r="CO34" s="505">
        <v>0</v>
      </c>
      <c r="CP34" s="505">
        <v>0</v>
      </c>
      <c r="CQ34" s="96">
        <f t="shared" si="54"/>
        <v>0</v>
      </c>
      <c r="CR34" s="505">
        <v>0</v>
      </c>
      <c r="CS34" s="505">
        <v>0</v>
      </c>
      <c r="CT34" s="505">
        <v>0</v>
      </c>
      <c r="CU34" s="505">
        <v>0</v>
      </c>
      <c r="CV34" s="96">
        <f t="shared" si="55"/>
        <v>0</v>
      </c>
      <c r="CW34" s="505">
        <v>0</v>
      </c>
      <c r="CX34" s="505">
        <v>0</v>
      </c>
      <c r="CY34" s="505">
        <v>0</v>
      </c>
      <c r="CZ34" s="505">
        <v>0</v>
      </c>
      <c r="DA34" s="96">
        <f t="shared" si="56"/>
        <v>0</v>
      </c>
      <c r="DB34" s="505">
        <v>0</v>
      </c>
      <c r="DC34" s="505">
        <v>0</v>
      </c>
      <c r="DD34" s="505">
        <v>0</v>
      </c>
      <c r="DE34" s="505">
        <v>0</v>
      </c>
      <c r="DF34" s="96">
        <f t="shared" si="57"/>
        <v>0</v>
      </c>
      <c r="DG34"/>
      <c r="DH34"/>
      <c r="DI34"/>
      <c r="DJ34"/>
      <c r="DK34"/>
      <c r="DL34"/>
      <c r="DM34"/>
      <c r="DN34"/>
    </row>
    <row r="35" spans="1:118" s="10" customFormat="1" ht="11.25" hidden="1" customHeight="1" outlineLevel="1" x14ac:dyDescent="0.2">
      <c r="B35" s="727" t="s">
        <v>535</v>
      </c>
      <c r="C35" s="32"/>
      <c r="D35" s="405"/>
      <c r="E35" s="405">
        <v>0</v>
      </c>
      <c r="F35" s="505">
        <v>0</v>
      </c>
      <c r="G35" s="505">
        <v>0</v>
      </c>
      <c r="H35" s="505">
        <v>0</v>
      </c>
      <c r="I35" s="505">
        <v>0</v>
      </c>
      <c r="J35" s="96">
        <f t="shared" si="58"/>
        <v>0</v>
      </c>
      <c r="K35" s="505">
        <v>0</v>
      </c>
      <c r="L35" s="505">
        <v>0</v>
      </c>
      <c r="M35" s="505">
        <v>0</v>
      </c>
      <c r="N35" s="505">
        <v>0</v>
      </c>
      <c r="O35" s="96">
        <f t="shared" si="59"/>
        <v>0</v>
      </c>
      <c r="P35" s="505">
        <v>0</v>
      </c>
      <c r="Q35" s="505">
        <v>0</v>
      </c>
      <c r="R35" s="505">
        <v>0</v>
      </c>
      <c r="S35" s="505">
        <v>0</v>
      </c>
      <c r="T35" s="96">
        <f t="shared" si="60"/>
        <v>0</v>
      </c>
      <c r="U35" s="505">
        <f>-3.6+5.5</f>
        <v>1.9</v>
      </c>
      <c r="V35" s="505">
        <v>-12.3</v>
      </c>
      <c r="W35" s="505">
        <v>-25</v>
      </c>
      <c r="X35" s="87">
        <f t="shared" si="46"/>
        <v>0.39999999999999858</v>
      </c>
      <c r="Y35" s="399">
        <f>6-25-16</f>
        <v>-35</v>
      </c>
      <c r="Z35" s="505">
        <v>0</v>
      </c>
      <c r="AA35" s="505">
        <v>0</v>
      </c>
      <c r="AB35" s="505">
        <v>0</v>
      </c>
      <c r="AC35" s="87">
        <f t="shared" si="47"/>
        <v>-3.8</v>
      </c>
      <c r="AD35" s="399">
        <v>-3.8</v>
      </c>
      <c r="AE35" s="505">
        <v>0</v>
      </c>
      <c r="AF35" s="505">
        <v>0</v>
      </c>
      <c r="AG35" s="505">
        <v>0</v>
      </c>
      <c r="AH35" s="87">
        <f t="shared" si="48"/>
        <v>0</v>
      </c>
      <c r="AI35" s="399">
        <v>0</v>
      </c>
      <c r="AJ35" s="505">
        <f>-23+9</f>
        <v>-14</v>
      </c>
      <c r="AK35" s="505">
        <v>4.2</v>
      </c>
      <c r="AL35" s="505">
        <f>-18.5+0.2</f>
        <v>-18.3</v>
      </c>
      <c r="AM35" s="505">
        <v>0</v>
      </c>
      <c r="AN35" s="96">
        <f t="shared" si="49"/>
        <v>-28.1</v>
      </c>
      <c r="AO35" s="505">
        <v>0</v>
      </c>
      <c r="AP35" s="505">
        <v>0</v>
      </c>
      <c r="AQ35" s="505">
        <v>0</v>
      </c>
      <c r="AR35" s="505">
        <v>0</v>
      </c>
      <c r="AS35" s="96">
        <f t="shared" si="61"/>
        <v>0</v>
      </c>
      <c r="AT35" s="505">
        <v>0</v>
      </c>
      <c r="AU35" s="505">
        <v>0</v>
      </c>
      <c r="AV35" s="505">
        <v>0</v>
      </c>
      <c r="AW35" s="505"/>
      <c r="AX35" s="96">
        <f t="shared" si="62"/>
        <v>0</v>
      </c>
      <c r="AY35" s="505">
        <v>0</v>
      </c>
      <c r="AZ35" s="505">
        <v>0</v>
      </c>
      <c r="BA35" s="505">
        <v>0</v>
      </c>
      <c r="BB35" s="505">
        <v>0</v>
      </c>
      <c r="BC35" s="96">
        <f t="shared" si="63"/>
        <v>0</v>
      </c>
      <c r="BD35" s="505">
        <v>0</v>
      </c>
      <c r="BE35" s="505">
        <v>0</v>
      </c>
      <c r="BF35" s="505">
        <f>-20.3-42-1.1</f>
        <v>-63.4</v>
      </c>
      <c r="BG35" s="505">
        <f>-42.2-30-63.1-1.6</f>
        <v>-136.9</v>
      </c>
      <c r="BH35" s="96">
        <f t="shared" si="64"/>
        <v>-200.3</v>
      </c>
      <c r="BI35" s="505">
        <v>-2.4</v>
      </c>
      <c r="BJ35" s="505">
        <v>-3.4</v>
      </c>
      <c r="BK35" s="505">
        <v>-4.5</v>
      </c>
      <c r="BL35" s="505">
        <v>-6.9</v>
      </c>
      <c r="BM35" s="96">
        <f t="shared" si="65"/>
        <v>-17.200000000000003</v>
      </c>
      <c r="BN35" s="505">
        <f>-5.1+5</f>
        <v>-9.9999999999999645E-2</v>
      </c>
      <c r="BO35" s="505">
        <f>-7.5+5</f>
        <v>-2.5</v>
      </c>
      <c r="BP35" s="505">
        <f>-11.4+5</f>
        <v>-6.4</v>
      </c>
      <c r="BQ35" s="505">
        <f>-4+11.7</f>
        <v>7.6999999999999993</v>
      </c>
      <c r="BR35" s="96">
        <f t="shared" ref="BR35:BR41" si="66">SUM(BN35:BQ35)</f>
        <v>-1.3000000000000007</v>
      </c>
      <c r="BS35" s="506">
        <f>BQ35</f>
        <v>7.6999999999999993</v>
      </c>
      <c r="BT35" s="506">
        <v>7.5</v>
      </c>
      <c r="BU35" s="506">
        <v>6.8</v>
      </c>
      <c r="BV35" s="505">
        <f>BU35</f>
        <v>6.8</v>
      </c>
      <c r="BW35" s="27">
        <f t="shared" si="50"/>
        <v>28.8</v>
      </c>
      <c r="BX35" s="506">
        <v>6</v>
      </c>
      <c r="BY35" s="506">
        <v>0</v>
      </c>
      <c r="BZ35" s="506">
        <v>5.7</v>
      </c>
      <c r="CA35" s="506">
        <v>0</v>
      </c>
      <c r="CB35" s="96">
        <f t="shared" si="51"/>
        <v>11.7</v>
      </c>
      <c r="CC35" s="506">
        <v>6</v>
      </c>
      <c r="CD35" s="506">
        <v>6</v>
      </c>
      <c r="CE35" s="506">
        <v>5.6</v>
      </c>
      <c r="CF35" s="505">
        <v>5.0999999999999996</v>
      </c>
      <c r="CG35" s="96">
        <f t="shared" si="52"/>
        <v>22.700000000000003</v>
      </c>
      <c r="CH35" s="1983">
        <v>5.0999999999999996</v>
      </c>
      <c r="CI35" s="1983">
        <v>5.0999999999999996</v>
      </c>
      <c r="CJ35" s="1983">
        <v>5.0999999999999996</v>
      </c>
      <c r="CK35" s="1983">
        <v>5.0999999999999996</v>
      </c>
      <c r="CL35" s="96">
        <f t="shared" si="53"/>
        <v>20.399999999999999</v>
      </c>
      <c r="CM35" s="505">
        <f>CK35</f>
        <v>5.0999999999999996</v>
      </c>
      <c r="CN35" s="505">
        <f>CM35</f>
        <v>5.0999999999999996</v>
      </c>
      <c r="CO35" s="505">
        <f>CN35</f>
        <v>5.0999999999999996</v>
      </c>
      <c r="CP35" s="505">
        <f>CO35</f>
        <v>5.0999999999999996</v>
      </c>
      <c r="CQ35" s="96">
        <f t="shared" si="54"/>
        <v>20.399999999999999</v>
      </c>
      <c r="CR35" s="505">
        <f>CP35</f>
        <v>5.0999999999999996</v>
      </c>
      <c r="CS35" s="505">
        <f>CR35</f>
        <v>5.0999999999999996</v>
      </c>
      <c r="CT35" s="505">
        <f>CS35</f>
        <v>5.0999999999999996</v>
      </c>
      <c r="CU35" s="505">
        <f>CT35</f>
        <v>5.0999999999999996</v>
      </c>
      <c r="CV35" s="96">
        <f t="shared" si="55"/>
        <v>20.399999999999999</v>
      </c>
      <c r="CW35" s="505">
        <f>CU35</f>
        <v>5.0999999999999996</v>
      </c>
      <c r="CX35" s="505">
        <f>CW35</f>
        <v>5.0999999999999996</v>
      </c>
      <c r="CY35" s="505">
        <f>CX35</f>
        <v>5.0999999999999996</v>
      </c>
      <c r="CZ35" s="505">
        <f>CY35</f>
        <v>5.0999999999999996</v>
      </c>
      <c r="DA35" s="96">
        <f t="shared" si="56"/>
        <v>20.399999999999999</v>
      </c>
      <c r="DB35" s="505">
        <f>CZ35</f>
        <v>5.0999999999999996</v>
      </c>
      <c r="DC35" s="505">
        <f>DB35</f>
        <v>5.0999999999999996</v>
      </c>
      <c r="DD35" s="505">
        <f>DC35</f>
        <v>5.0999999999999996</v>
      </c>
      <c r="DE35" s="505">
        <f>DD35</f>
        <v>5.0999999999999996</v>
      </c>
      <c r="DF35" s="96">
        <f t="shared" si="57"/>
        <v>20.399999999999999</v>
      </c>
      <c r="DG35"/>
      <c r="DH35"/>
      <c r="DI35"/>
      <c r="DJ35"/>
      <c r="DK35"/>
      <c r="DL35"/>
      <c r="DM35"/>
      <c r="DN35"/>
    </row>
    <row r="36" spans="1:118" s="10" customFormat="1" ht="11.25" hidden="1" customHeight="1" outlineLevel="1" x14ac:dyDescent="0.2">
      <c r="B36" s="728" t="s">
        <v>309</v>
      </c>
      <c r="C36" s="32"/>
      <c r="D36" s="405"/>
      <c r="E36" s="405">
        <v>0</v>
      </c>
      <c r="F36" s="505">
        <v>0</v>
      </c>
      <c r="G36" s="505">
        <v>0</v>
      </c>
      <c r="H36" s="505">
        <v>0</v>
      </c>
      <c r="I36" s="505">
        <v>0</v>
      </c>
      <c r="J36" s="96">
        <f t="shared" si="58"/>
        <v>0</v>
      </c>
      <c r="K36" s="505">
        <v>0</v>
      </c>
      <c r="L36" s="505">
        <v>0</v>
      </c>
      <c r="M36" s="505">
        <v>0</v>
      </c>
      <c r="N36" s="505">
        <v>0</v>
      </c>
      <c r="O36" s="96">
        <f t="shared" si="59"/>
        <v>0</v>
      </c>
      <c r="P36" s="505">
        <v>0</v>
      </c>
      <c r="Q36" s="505">
        <v>0</v>
      </c>
      <c r="R36" s="505">
        <v>0</v>
      </c>
      <c r="S36" s="505">
        <v>0</v>
      </c>
      <c r="T36" s="96">
        <f t="shared" si="60"/>
        <v>0</v>
      </c>
      <c r="U36" s="505">
        <f>-(43.354-42.268)</f>
        <v>-1.0859999999999985</v>
      </c>
      <c r="V36" s="505">
        <f>(45.267-40.56)</f>
        <v>4.7070000000000007</v>
      </c>
      <c r="W36" s="505">
        <f>(47.914-38.352)</f>
        <v>9.5620000000000047</v>
      </c>
      <c r="X36" s="87">
        <f t="shared" si="46"/>
        <v>-0.18300000000000693</v>
      </c>
      <c r="Y36" s="399">
        <f>185-172</f>
        <v>13</v>
      </c>
      <c r="Z36" s="505">
        <v>2.2999999999999998</v>
      </c>
      <c r="AA36" s="505">
        <v>11</v>
      </c>
      <c r="AB36" s="505">
        <f>1.52</f>
        <v>1.52</v>
      </c>
      <c r="AC36" s="87">
        <f t="shared" si="47"/>
        <v>0.48000000000001108</v>
      </c>
      <c r="AD36" s="399">
        <f>(10.2+3.8)+(215.9-214.6)</f>
        <v>15.300000000000011</v>
      </c>
      <c r="AE36" s="505">
        <v>0</v>
      </c>
      <c r="AF36" s="505">
        <v>0</v>
      </c>
      <c r="AG36" s="505">
        <v>0</v>
      </c>
      <c r="AH36" s="87">
        <f t="shared" si="48"/>
        <v>7.3</v>
      </c>
      <c r="AI36" s="399">
        <v>7.3</v>
      </c>
      <c r="AJ36" s="505">
        <f>(81.7-76.6)</f>
        <v>5.1000000000000085</v>
      </c>
      <c r="AK36" s="505">
        <f>-(89.2-87.7)</f>
        <v>-1.5</v>
      </c>
      <c r="AL36" s="505">
        <f>+(97.3-90.3)</f>
        <v>7</v>
      </c>
      <c r="AM36" s="505">
        <f>94.3-88</f>
        <v>6.2999999999999972</v>
      </c>
      <c r="AN36" s="96">
        <f t="shared" si="49"/>
        <v>16.900000000000006</v>
      </c>
      <c r="AO36" s="505">
        <v>0</v>
      </c>
      <c r="AP36" s="505">
        <v>0</v>
      </c>
      <c r="AQ36" s="505">
        <v>0</v>
      </c>
      <c r="AR36" s="505">
        <v>0</v>
      </c>
      <c r="AS36" s="96">
        <f t="shared" si="61"/>
        <v>0</v>
      </c>
      <c r="AT36" s="505">
        <v>3</v>
      </c>
      <c r="AU36" s="505">
        <v>23.3</v>
      </c>
      <c r="AV36" s="505">
        <v>19.399999999999999</v>
      </c>
      <c r="AW36" s="505">
        <v>27.9</v>
      </c>
      <c r="AX36" s="96">
        <f t="shared" si="62"/>
        <v>73.599999999999994</v>
      </c>
      <c r="AY36" s="505">
        <f>(25.9-16.3)+(6-3.8)+(28.5-18)+(1.6-1)+(8.7-5.5)</f>
        <v>26.099999999999998</v>
      </c>
      <c r="AZ36" s="505">
        <f>((28.5-17.9)+(21.7-13.6)-(30-18.9)+(4.4-2.8)+(1.6-1)+(8.5-5.3))</f>
        <v>13.000000000000004</v>
      </c>
      <c r="BA36" s="505">
        <f>((28.5-17.9)+(15.1-9.5)+(12.3-7.7)+(8.6-5.4)+(1.6-1))</f>
        <v>24.600000000000005</v>
      </c>
      <c r="BB36" s="505">
        <f>(28.5-18.1)+(1.7-1.1)+(8.5-5.4)+(31.8-20.2)+(5.4-3.4)</f>
        <v>27.7</v>
      </c>
      <c r="BC36" s="96">
        <f t="shared" si="63"/>
        <v>91.4</v>
      </c>
      <c r="BD36" s="505">
        <f>(28.5-18.1)+(1.6-1)+(8.6-5.5)</f>
        <v>14.099999999999998</v>
      </c>
      <c r="BE36" s="505">
        <f>(28.5-18)+(1.6-1)+(8.6-5.4)</f>
        <v>14.299999999999999</v>
      </c>
      <c r="BF36" s="505">
        <f>((28.5-17.9)+(8.5-5.3)+(1.6-1))+(20.3-12.8)+(42-26.4)</f>
        <v>37.5</v>
      </c>
      <c r="BG36" s="505">
        <f>(28.5-17.9)+1.7-1.1+8.5-5.3+42.2-26.4+63.1-39.5+30-18.9</f>
        <v>64.900000000000006</v>
      </c>
      <c r="BH36" s="96">
        <f t="shared" si="64"/>
        <v>130.80000000000001</v>
      </c>
      <c r="BI36" s="505">
        <f>28.5-17.6+1.6-1+8.6-5.3+26.7-16.4+79.5-49+0.9</f>
        <v>56.499999999999993</v>
      </c>
      <c r="BJ36" s="505">
        <f>(28.5-16.5)+(10.2-5.9)+(11.9-6.9)+(343.9-199.1)+(481.9-279.1)+(5.7-3.3)-39.6</f>
        <v>331.69999999999987</v>
      </c>
      <c r="BK36" s="505">
        <f>(28.5-17.6)+(10.1-6.3)+(21.8-13.5)+(158.9-98.4)+(20.2-12.5)+(495.9-307)-(43.5-44.8)+4</f>
        <v>285.39999999999998</v>
      </c>
      <c r="BL36" s="505">
        <f>(28.54-17.1)+(10.24-6.1)+(16-10.4)+(131.34-85)-(0.54-0.4)+(472.94-289.6)+51.74+(8.1-5)+(3.7-2.3)</f>
        <v>306.95999999999998</v>
      </c>
      <c r="BM36" s="96">
        <f t="shared" si="65"/>
        <v>980.56</v>
      </c>
      <c r="BN36" s="505">
        <f>(28.5-17.3)+(10.1-6.1)+(462.8-280.9)+(44.5-27)+(113.6-68.9)+(3.5-2.1)+(68.5-41.6)-10.6+(8-4.9)</f>
        <v>280.09999999999997</v>
      </c>
      <c r="BO36" s="505">
        <f>(28.5-17.3)+(10.2-6.2)+(466.9-283.4)+(36.6-22.2)+(105.3-63.9)+19.6</f>
        <v>274.10000000000002</v>
      </c>
      <c r="BP36" s="505">
        <f>544.6-326.5</f>
        <v>218.10000000000002</v>
      </c>
      <c r="BQ36" s="505">
        <f>561.3-208</f>
        <v>353.29999999999995</v>
      </c>
      <c r="BR36" s="96">
        <f t="shared" si="66"/>
        <v>1125.5999999999999</v>
      </c>
      <c r="BS36" s="505">
        <f>-SUM(BS31:BS35)*BS76</f>
        <v>282.28299492385764</v>
      </c>
      <c r="BT36" s="505">
        <f>575.3-318.9</f>
        <v>256.39999999999998</v>
      </c>
      <c r="BU36" s="505">
        <f>564.9-209.2</f>
        <v>355.7</v>
      </c>
      <c r="BV36" s="505">
        <f>-SUM(BV31:BV35)*BV76</f>
        <v>274.81119975639461</v>
      </c>
      <c r="BW36" s="96">
        <f t="shared" si="50"/>
        <v>1169.1941946802524</v>
      </c>
      <c r="BX36" s="505">
        <f>715.5-486.8</f>
        <v>228.7</v>
      </c>
      <c r="BY36" s="505">
        <f>592-400.3</f>
        <v>191.7</v>
      </c>
      <c r="BZ36" s="505">
        <f>596.3-378.2</f>
        <v>218.09999999999997</v>
      </c>
      <c r="CA36" s="505">
        <f>639.2-317.4</f>
        <v>321.80000000000007</v>
      </c>
      <c r="CB36" s="96">
        <f t="shared" si="51"/>
        <v>960.30000000000007</v>
      </c>
      <c r="CC36" s="505">
        <f>715.5-486.8</f>
        <v>228.7</v>
      </c>
      <c r="CD36" s="505">
        <f>715.5-486.8</f>
        <v>228.7</v>
      </c>
      <c r="CE36" s="505">
        <f>715.5-486.8</f>
        <v>228.7</v>
      </c>
      <c r="CF36" s="505">
        <f>1434.7-CF25-CF31-CF33-CF35</f>
        <v>724.50000000000011</v>
      </c>
      <c r="CG36" s="96">
        <f t="shared" si="52"/>
        <v>1410.6</v>
      </c>
      <c r="CH36" s="1983">
        <f>1434.7-CH25-CH31-CH33-CH35</f>
        <v>1030.9000000000003</v>
      </c>
      <c r="CI36" s="1983">
        <f>1434.7-CI25-CI31-CI33-CI35</f>
        <v>823.4000000000002</v>
      </c>
      <c r="CJ36" s="1983">
        <f>1434.7-CJ25-CJ31-CJ33-CJ35</f>
        <v>742.70000000000016</v>
      </c>
      <c r="CK36" s="1983">
        <f>1434.7-CK25-CK31-CK33-CK35</f>
        <v>607.30000000000007</v>
      </c>
      <c r="CL36" s="96">
        <f t="shared" si="53"/>
        <v>3204.3000000000011</v>
      </c>
      <c r="CM36" s="505">
        <f>-SUM(CM31:CM35)*CM76</f>
        <v>100.39999999999999</v>
      </c>
      <c r="CN36" s="505">
        <f>-SUM(CN31:CN35)*CN76</f>
        <v>100.39999999999999</v>
      </c>
      <c r="CO36" s="505">
        <f>-SUM(CO31:CO35)*CO76</f>
        <v>100.39999999999999</v>
      </c>
      <c r="CP36" s="505">
        <f>-SUM(CP31:CP35)*CP76</f>
        <v>100.39999999999999</v>
      </c>
      <c r="CQ36" s="96">
        <f t="shared" si="54"/>
        <v>401.59999999999997</v>
      </c>
      <c r="CR36" s="505">
        <f>-SUM(CR31:CR35)*CR76</f>
        <v>100.39999999999999</v>
      </c>
      <c r="CS36" s="505">
        <f>-SUM(CS31:CS35)*CS76</f>
        <v>100.39999999999999</v>
      </c>
      <c r="CT36" s="505">
        <f>-SUM(CT31:CT35)*CT76</f>
        <v>100.39999999999999</v>
      </c>
      <c r="CU36" s="505">
        <f>-SUM(CU31:CU35)*CU76</f>
        <v>100.39999999999999</v>
      </c>
      <c r="CV36" s="96">
        <f t="shared" si="55"/>
        <v>401.59999999999997</v>
      </c>
      <c r="CW36" s="505">
        <f>-SUM(CW31:CW35)*CW76</f>
        <v>100.39999999999999</v>
      </c>
      <c r="CX36" s="505">
        <f>-SUM(CX31:CX35)*CX76</f>
        <v>100.39999999999999</v>
      </c>
      <c r="CY36" s="505">
        <f>-SUM(CY31:CY35)*CY76</f>
        <v>100.39999999999999</v>
      </c>
      <c r="CZ36" s="505">
        <f>-SUM(CZ31:CZ35)*CZ76</f>
        <v>100.39999999999999</v>
      </c>
      <c r="DA36" s="96">
        <f t="shared" si="56"/>
        <v>401.59999999999997</v>
      </c>
      <c r="DB36" s="505">
        <f>-SUM(DB31:DB35)*DB76</f>
        <v>100.39999999999999</v>
      </c>
      <c r="DC36" s="505">
        <f>-SUM(DC31:DC35)*DC76</f>
        <v>100.39999999999999</v>
      </c>
      <c r="DD36" s="505">
        <f>-SUM(DD31:DD35)*DD76</f>
        <v>100.39999999999999</v>
      </c>
      <c r="DE36" s="505">
        <f>-SUM(DE31:DE35)*DE76</f>
        <v>100.39999999999999</v>
      </c>
      <c r="DF36" s="96">
        <f t="shared" si="57"/>
        <v>401.59999999999997</v>
      </c>
      <c r="DG36"/>
      <c r="DH36"/>
      <c r="DI36"/>
      <c r="DJ36"/>
      <c r="DK36"/>
      <c r="DL36"/>
      <c r="DM36"/>
      <c r="DN36"/>
    </row>
    <row r="37" spans="1:118" s="10" customFormat="1" ht="11.25" hidden="1" customHeight="1" outlineLevel="1" x14ac:dyDescent="0.2">
      <c r="B37" s="729" t="s">
        <v>310</v>
      </c>
      <c r="C37" s="32"/>
      <c r="D37" s="394"/>
      <c r="E37" s="394">
        <f>SUM(E31:E36)</f>
        <v>0</v>
      </c>
      <c r="F37" s="87">
        <f>SUM(F31:F36)</f>
        <v>0</v>
      </c>
      <c r="G37" s="87">
        <f>SUM(G31:G36)</f>
        <v>0</v>
      </c>
      <c r="H37" s="87">
        <f>SUM(H31:H36)</f>
        <v>0</v>
      </c>
      <c r="I37" s="87">
        <f>SUM(I31:I36)</f>
        <v>0</v>
      </c>
      <c r="J37" s="96">
        <f t="shared" si="58"/>
        <v>0</v>
      </c>
      <c r="K37" s="87">
        <f>SUM(K31:K36)</f>
        <v>0</v>
      </c>
      <c r="L37" s="87">
        <f>SUM(L31:L36)</f>
        <v>0</v>
      </c>
      <c r="M37" s="87">
        <f>SUM(M31:M36)</f>
        <v>0</v>
      </c>
      <c r="N37" s="87">
        <f>SUM(N31:N36)</f>
        <v>0</v>
      </c>
      <c r="O37" s="96">
        <f t="shared" si="59"/>
        <v>0</v>
      </c>
      <c r="P37" s="87">
        <f>SUM(P31:P36)</f>
        <v>0</v>
      </c>
      <c r="Q37" s="87">
        <f>SUM(Q31:Q36)</f>
        <v>0</v>
      </c>
      <c r="R37" s="87">
        <f>SUM(R31:R36)</f>
        <v>0</v>
      </c>
      <c r="S37" s="87">
        <f>SUM(S31:S36)</f>
        <v>0</v>
      </c>
      <c r="T37" s="96">
        <f t="shared" si="60"/>
        <v>0</v>
      </c>
      <c r="U37" s="87">
        <f t="shared" ref="U37:AC37" si="67">SUM(U31:U36)</f>
        <v>0.81400000000000139</v>
      </c>
      <c r="V37" s="87">
        <f t="shared" si="67"/>
        <v>-7.593</v>
      </c>
      <c r="W37" s="87">
        <f t="shared" si="67"/>
        <v>-15.437999999999995</v>
      </c>
      <c r="X37" s="87">
        <f t="shared" si="67"/>
        <v>0.21699999999999164</v>
      </c>
      <c r="Y37" s="96">
        <f t="shared" si="67"/>
        <v>-22</v>
      </c>
      <c r="Z37" s="87">
        <f t="shared" si="67"/>
        <v>2.2999999999999998</v>
      </c>
      <c r="AA37" s="87">
        <f t="shared" si="67"/>
        <v>11</v>
      </c>
      <c r="AB37" s="87">
        <f t="shared" si="67"/>
        <v>1.52</v>
      </c>
      <c r="AC37" s="87">
        <f t="shared" si="67"/>
        <v>-3.3199999999999887</v>
      </c>
      <c r="AD37" s="96">
        <f>SUM(Z37:AC37)</f>
        <v>11.500000000000011</v>
      </c>
      <c r="AE37" s="87">
        <f>SUM(AE31:AE36)</f>
        <v>0</v>
      </c>
      <c r="AF37" s="87">
        <f>SUM(AF31:AF36)</f>
        <v>0</v>
      </c>
      <c r="AG37" s="87">
        <f>SUM(AG31:AG36)</f>
        <v>0</v>
      </c>
      <c r="AH37" s="87">
        <f>SUM(AH31:AH36)</f>
        <v>7.3</v>
      </c>
      <c r="AI37" s="96">
        <f>SUM(AI31:AI36)</f>
        <v>7.3</v>
      </c>
      <c r="AJ37" s="87">
        <f t="shared" ref="AJ37:AR37" si="68">SUM(AJ31:AJ36)</f>
        <v>-8.8999999999999915</v>
      </c>
      <c r="AK37" s="87">
        <f t="shared" si="68"/>
        <v>2.7</v>
      </c>
      <c r="AL37" s="87">
        <f t="shared" si="68"/>
        <v>-11.3</v>
      </c>
      <c r="AM37" s="87">
        <f t="shared" si="68"/>
        <v>-11.800000000000004</v>
      </c>
      <c r="AN37" s="96">
        <f t="shared" si="68"/>
        <v>-29.299999999999997</v>
      </c>
      <c r="AO37" s="87">
        <f t="shared" si="68"/>
        <v>0</v>
      </c>
      <c r="AP37" s="87">
        <f t="shared" si="68"/>
        <v>0</v>
      </c>
      <c r="AQ37" s="87">
        <f t="shared" si="68"/>
        <v>0</v>
      </c>
      <c r="AR37" s="87">
        <f t="shared" si="68"/>
        <v>0</v>
      </c>
      <c r="AS37" s="96">
        <f t="shared" si="61"/>
        <v>0</v>
      </c>
      <c r="AT37" s="87">
        <f>SUM(AT31:AT36)</f>
        <v>-5.6999999999999993</v>
      </c>
      <c r="AU37" s="87">
        <f>SUM(AU31:AU36)</f>
        <v>-40.5</v>
      </c>
      <c r="AV37" s="87">
        <f>SUM(AV31:AV36)</f>
        <v>-33.9</v>
      </c>
      <c r="AW37" s="87">
        <f>SUM(AW31:AW36)</f>
        <v>-48.000000000000007</v>
      </c>
      <c r="AX37" s="96">
        <f t="shared" si="62"/>
        <v>-128.1</v>
      </c>
      <c r="AY37" s="87">
        <f>SUM(AY31:AY36)</f>
        <v>-44.600000000000009</v>
      </c>
      <c r="AZ37" s="87">
        <f>SUM(AZ31:AZ36)</f>
        <v>-21.7</v>
      </c>
      <c r="BA37" s="87">
        <f>SUM(BA31:BA36)</f>
        <v>-41.5</v>
      </c>
      <c r="BB37" s="87">
        <f>SUM(BB31:BB36)</f>
        <v>-48.2</v>
      </c>
      <c r="BC37" s="96">
        <f t="shared" si="63"/>
        <v>-156</v>
      </c>
      <c r="BD37" s="87">
        <f>SUM(BD31:BD36)</f>
        <v>-24.600000000000005</v>
      </c>
      <c r="BE37" s="87">
        <f>SUM(BE31:BE36)</f>
        <v>-24.400000000000006</v>
      </c>
      <c r="BF37" s="87">
        <f>SUM(BF31:BF36)</f>
        <v>-64.5</v>
      </c>
      <c r="BG37" s="87">
        <f>SUM(BG31:BG36)</f>
        <v>-110.70000000000002</v>
      </c>
      <c r="BH37" s="96">
        <f t="shared" si="64"/>
        <v>-224.20000000000005</v>
      </c>
      <c r="BI37" s="87">
        <f>SUM(BI31:BI36)</f>
        <v>-90.800000000000011</v>
      </c>
      <c r="BJ37" s="87">
        <f>SUM(BJ31:BJ36)</f>
        <v>-553.80000000000018</v>
      </c>
      <c r="BK37" s="87">
        <f>SUM(BK31:BK36)</f>
        <v>-454.6</v>
      </c>
      <c r="BL37" s="87">
        <f>SUM(BL31:BL36)</f>
        <v>-358.34</v>
      </c>
      <c r="BM37" s="96">
        <f t="shared" si="65"/>
        <v>-1457.5400000000002</v>
      </c>
      <c r="BN37" s="87">
        <f>SUM(BN31:BN36)</f>
        <v>-439.40000000000003</v>
      </c>
      <c r="BO37" s="87">
        <f>SUM(BO31:BO36)</f>
        <v>-368.39999999999986</v>
      </c>
      <c r="BP37" s="87">
        <f>SUM(BP31:BP36)</f>
        <v>-457.29999999999995</v>
      </c>
      <c r="BQ37" s="87">
        <f>SUM(BQ31:BQ36)</f>
        <v>-385.70000000000005</v>
      </c>
      <c r="BR37" s="96">
        <f t="shared" si="66"/>
        <v>-1650.8</v>
      </c>
      <c r="BS37" s="87">
        <f>SUM(BS31:BS36)</f>
        <v>-456.71700507614236</v>
      </c>
      <c r="BT37" s="87">
        <f>SUM(BT31:BT36)</f>
        <v>-424.20000000000005</v>
      </c>
      <c r="BU37" s="87">
        <f>SUM(BU31:BU36)</f>
        <v>-373.40000000000003</v>
      </c>
      <c r="BV37" s="87">
        <f>SUM(BV31:BV36)</f>
        <v>-454.28880024360541</v>
      </c>
      <c r="BW37" s="96">
        <f t="shared" si="50"/>
        <v>-1708.605805319748</v>
      </c>
      <c r="BX37" s="87">
        <f>SUM(BX31:BX36)</f>
        <v>-367.90000000000003</v>
      </c>
      <c r="BY37" s="87">
        <f>SUM(BY31:BY36)</f>
        <v>-379.00000000000006</v>
      </c>
      <c r="BZ37" s="87">
        <f>SUM(BZ31:BZ36)</f>
        <v>-322.40000000000003</v>
      </c>
      <c r="CA37" s="87">
        <f>SUM(CA31:CA36)</f>
        <v>-289.79999999999995</v>
      </c>
      <c r="CB37" s="96">
        <f t="shared" si="51"/>
        <v>-1359.1000000000001</v>
      </c>
      <c r="CC37" s="87">
        <f>SUM(CC31:CC36)</f>
        <v>-367.90000000000003</v>
      </c>
      <c r="CD37" s="87">
        <f>SUM(CD31:CD36)</f>
        <v>-367.90000000000003</v>
      </c>
      <c r="CE37" s="87">
        <f>SUM(CE31:CE36)</f>
        <v>-368.7</v>
      </c>
      <c r="CF37" s="87">
        <f>SUM(CF31:CF36)</f>
        <v>281.70000000000016</v>
      </c>
      <c r="CG37" s="96">
        <f t="shared" si="52"/>
        <v>-822.79999999999984</v>
      </c>
      <c r="CH37" s="87">
        <f>SUM(CH31:CH36)</f>
        <v>629.30000000000041</v>
      </c>
      <c r="CI37" s="87">
        <f>SUM(CI31:CI36)</f>
        <v>421.80000000000024</v>
      </c>
      <c r="CJ37" s="87">
        <f>SUM(CJ31:CJ36)</f>
        <v>341.10000000000019</v>
      </c>
      <c r="CK37" s="87">
        <f>SUM(CK31:CK36)</f>
        <v>205.7000000000001</v>
      </c>
      <c r="CL37" s="96">
        <f t="shared" si="53"/>
        <v>1597.9000000000008</v>
      </c>
      <c r="CM37" s="87">
        <f>SUM(CM31:CM36)</f>
        <v>-301.2</v>
      </c>
      <c r="CN37" s="87">
        <f>SUM(CN31:CN36)</f>
        <v>-301.2</v>
      </c>
      <c r="CO37" s="87">
        <f>SUM(CO31:CO36)</f>
        <v>-301.2</v>
      </c>
      <c r="CP37" s="87">
        <f>SUM(CP31:CP36)</f>
        <v>-301.2</v>
      </c>
      <c r="CQ37" s="96">
        <f t="shared" si="54"/>
        <v>-1204.8</v>
      </c>
      <c r="CR37" s="87">
        <f>SUM(CR31:CR36)</f>
        <v>-301.2</v>
      </c>
      <c r="CS37" s="87">
        <f>SUM(CS31:CS36)</f>
        <v>-301.2</v>
      </c>
      <c r="CT37" s="87">
        <f>SUM(CT31:CT36)</f>
        <v>-301.2</v>
      </c>
      <c r="CU37" s="87">
        <f>SUM(CU31:CU36)</f>
        <v>-301.2</v>
      </c>
      <c r="CV37" s="96">
        <f t="shared" si="55"/>
        <v>-1204.8</v>
      </c>
      <c r="CW37" s="87">
        <f>SUM(CW31:CW36)</f>
        <v>-301.2</v>
      </c>
      <c r="CX37" s="87">
        <f>SUM(CX31:CX36)</f>
        <v>-301.2</v>
      </c>
      <c r="CY37" s="87">
        <f>SUM(CY31:CY36)</f>
        <v>-301.2</v>
      </c>
      <c r="CZ37" s="87">
        <f>SUM(CZ31:CZ36)</f>
        <v>-301.2</v>
      </c>
      <c r="DA37" s="96">
        <f t="shared" si="56"/>
        <v>-1204.8</v>
      </c>
      <c r="DB37" s="87">
        <f>SUM(DB31:DB36)</f>
        <v>-301.2</v>
      </c>
      <c r="DC37" s="87">
        <f>SUM(DC31:DC36)</f>
        <v>-301.2</v>
      </c>
      <c r="DD37" s="87">
        <f>SUM(DD31:DD36)</f>
        <v>-301.2</v>
      </c>
      <c r="DE37" s="87">
        <f>SUM(DE31:DE36)</f>
        <v>-301.2</v>
      </c>
      <c r="DF37" s="96">
        <f t="shared" si="57"/>
        <v>-1204.8</v>
      </c>
      <c r="DG37"/>
      <c r="DH37"/>
      <c r="DI37"/>
      <c r="DJ37"/>
      <c r="DK37"/>
      <c r="DL37"/>
      <c r="DM37"/>
      <c r="DN37"/>
    </row>
    <row r="38" spans="1:118" s="10" customFormat="1" ht="22.5" hidden="1" customHeight="1" outlineLevel="1" x14ac:dyDescent="0.2">
      <c r="B38" s="729" t="s">
        <v>332</v>
      </c>
      <c r="C38" s="32"/>
      <c r="D38" s="405"/>
      <c r="E38" s="405">
        <v>-1.105</v>
      </c>
      <c r="F38" s="505">
        <v>0</v>
      </c>
      <c r="G38" s="505">
        <v>0</v>
      </c>
      <c r="H38" s="505">
        <v>0</v>
      </c>
      <c r="I38" s="505">
        <v>0</v>
      </c>
      <c r="J38" s="96">
        <f t="shared" si="58"/>
        <v>0</v>
      </c>
      <c r="K38" s="505">
        <v>0</v>
      </c>
      <c r="L38" s="505">
        <v>0</v>
      </c>
      <c r="M38" s="505">
        <v>0</v>
      </c>
      <c r="N38" s="505">
        <v>0</v>
      </c>
      <c r="O38" s="96">
        <f t="shared" si="59"/>
        <v>0</v>
      </c>
      <c r="P38" s="643">
        <v>-1.028</v>
      </c>
      <c r="Q38" s="505">
        <v>0</v>
      </c>
      <c r="R38" s="505">
        <v>0</v>
      </c>
      <c r="S38" s="505">
        <v>0</v>
      </c>
      <c r="T38" s="398">
        <v>-1.028</v>
      </c>
      <c r="U38" s="505">
        <v>0</v>
      </c>
      <c r="V38" s="505">
        <v>0</v>
      </c>
      <c r="W38" s="505">
        <v>0</v>
      </c>
      <c r="X38" s="505">
        <v>0</v>
      </c>
      <c r="Y38" s="96">
        <f>SUM(U38:X38)</f>
        <v>0</v>
      </c>
      <c r="Z38" s="505">
        <v>0</v>
      </c>
      <c r="AA38" s="505">
        <v>0</v>
      </c>
      <c r="AB38" s="505">
        <v>0</v>
      </c>
      <c r="AC38" s="505">
        <v>0</v>
      </c>
      <c r="AD38" s="96">
        <f>SUM(Z38:AC38)</f>
        <v>0</v>
      </c>
      <c r="AE38" s="505">
        <v>0</v>
      </c>
      <c r="AF38" s="505">
        <v>0</v>
      </c>
      <c r="AG38" s="505">
        <v>0</v>
      </c>
      <c r="AH38" s="505">
        <v>0</v>
      </c>
      <c r="AI38" s="96">
        <f>SUM(AE38:AH38)</f>
        <v>0</v>
      </c>
      <c r="AJ38" s="505">
        <v>0</v>
      </c>
      <c r="AK38" s="505">
        <v>0</v>
      </c>
      <c r="AL38" s="505">
        <v>0</v>
      </c>
      <c r="AM38" s="505">
        <v>0</v>
      </c>
      <c r="AN38" s="96">
        <f>SUM(AJ38:AM38)</f>
        <v>0</v>
      </c>
      <c r="AO38" s="505">
        <v>0</v>
      </c>
      <c r="AP38" s="505">
        <v>0</v>
      </c>
      <c r="AQ38" s="505">
        <v>0</v>
      </c>
      <c r="AR38" s="505">
        <v>0</v>
      </c>
      <c r="AS38" s="96">
        <f t="shared" si="61"/>
        <v>0</v>
      </c>
      <c r="AT38" s="505">
        <v>0</v>
      </c>
      <c r="AU38" s="505">
        <v>0</v>
      </c>
      <c r="AV38" s="505">
        <v>0</v>
      </c>
      <c r="AW38" s="505">
        <v>0</v>
      </c>
      <c r="AX38" s="96">
        <f t="shared" si="62"/>
        <v>0</v>
      </c>
      <c r="AY38" s="505">
        <v>0</v>
      </c>
      <c r="AZ38" s="505">
        <v>0</v>
      </c>
      <c r="BA38" s="505">
        <v>0</v>
      </c>
      <c r="BB38" s="505">
        <v>0</v>
      </c>
      <c r="BC38" s="96">
        <f t="shared" si="63"/>
        <v>0</v>
      </c>
      <c r="BD38" s="505">
        <v>0</v>
      </c>
      <c r="BE38" s="505">
        <v>0</v>
      </c>
      <c r="BF38" s="505">
        <v>0</v>
      </c>
      <c r="BG38" s="505">
        <v>0</v>
      </c>
      <c r="BH38" s="96">
        <f t="shared" si="64"/>
        <v>0</v>
      </c>
      <c r="BI38" s="505">
        <v>0</v>
      </c>
      <c r="BJ38" s="505">
        <v>0</v>
      </c>
      <c r="BK38" s="505">
        <v>0</v>
      </c>
      <c r="BL38" s="505">
        <v>0</v>
      </c>
      <c r="BM38" s="96">
        <f t="shared" si="65"/>
        <v>0</v>
      </c>
      <c r="BN38" s="505"/>
      <c r="BO38" s="505">
        <v>0</v>
      </c>
      <c r="BP38" s="505"/>
      <c r="BQ38" s="505"/>
      <c r="BR38" s="96">
        <f t="shared" si="66"/>
        <v>0</v>
      </c>
      <c r="BS38" s="505">
        <v>0</v>
      </c>
      <c r="BT38" s="505">
        <v>0</v>
      </c>
      <c r="BU38" s="505">
        <v>0</v>
      </c>
      <c r="BV38" s="505">
        <v>0</v>
      </c>
      <c r="BW38" s="96">
        <f t="shared" si="50"/>
        <v>0</v>
      </c>
      <c r="BX38" s="505">
        <v>0</v>
      </c>
      <c r="BY38" s="505">
        <v>0</v>
      </c>
      <c r="BZ38" s="505">
        <v>0</v>
      </c>
      <c r="CA38" s="505">
        <v>0</v>
      </c>
      <c r="CB38" s="96">
        <f t="shared" si="51"/>
        <v>0</v>
      </c>
      <c r="CC38" s="505">
        <v>0</v>
      </c>
      <c r="CD38" s="505">
        <v>0</v>
      </c>
      <c r="CE38" s="505">
        <v>0</v>
      </c>
      <c r="CF38" s="505">
        <v>0</v>
      </c>
      <c r="CG38" s="96">
        <f t="shared" si="52"/>
        <v>0</v>
      </c>
      <c r="CH38" s="505">
        <v>0</v>
      </c>
      <c r="CI38" s="505">
        <v>0</v>
      </c>
      <c r="CJ38" s="505">
        <v>0</v>
      </c>
      <c r="CK38" s="505">
        <v>0</v>
      </c>
      <c r="CL38" s="96">
        <f t="shared" si="53"/>
        <v>0</v>
      </c>
      <c r="CM38" s="505">
        <v>0</v>
      </c>
      <c r="CN38" s="505">
        <v>0</v>
      </c>
      <c r="CO38" s="505">
        <v>0</v>
      </c>
      <c r="CP38" s="505">
        <v>0</v>
      </c>
      <c r="CQ38" s="96">
        <f t="shared" si="54"/>
        <v>0</v>
      </c>
      <c r="CR38" s="505">
        <v>0</v>
      </c>
      <c r="CS38" s="505">
        <v>0</v>
      </c>
      <c r="CT38" s="505">
        <v>0</v>
      </c>
      <c r="CU38" s="505">
        <v>0</v>
      </c>
      <c r="CV38" s="96">
        <f t="shared" si="55"/>
        <v>0</v>
      </c>
      <c r="CW38" s="505">
        <v>0</v>
      </c>
      <c r="CX38" s="505">
        <v>0</v>
      </c>
      <c r="CY38" s="505">
        <v>0</v>
      </c>
      <c r="CZ38" s="505">
        <v>0</v>
      </c>
      <c r="DA38" s="96">
        <f t="shared" si="56"/>
        <v>0</v>
      </c>
      <c r="DB38" s="505">
        <v>0</v>
      </c>
      <c r="DC38" s="505">
        <v>0</v>
      </c>
      <c r="DD38" s="505">
        <v>0</v>
      </c>
      <c r="DE38" s="505">
        <v>0</v>
      </c>
      <c r="DF38" s="96">
        <f t="shared" si="57"/>
        <v>0</v>
      </c>
      <c r="DG38"/>
      <c r="DH38"/>
      <c r="DI38"/>
      <c r="DJ38"/>
      <c r="DK38"/>
      <c r="DL38"/>
      <c r="DM38"/>
      <c r="DN38"/>
    </row>
    <row r="39" spans="1:118" s="10" customFormat="1" ht="11.25" hidden="1" customHeight="1" outlineLevel="1" x14ac:dyDescent="0.2">
      <c r="B39" s="721" t="s">
        <v>536</v>
      </c>
      <c r="D39" s="394"/>
      <c r="E39" s="394">
        <f t="shared" ref="E39:AJ39" si="69">E37+E25+E38</f>
        <v>-9.1260000000003316</v>
      </c>
      <c r="F39" s="87">
        <f t="shared" si="69"/>
        <v>28.078999999999883</v>
      </c>
      <c r="G39" s="87">
        <f t="shared" si="69"/>
        <v>30.243999999999648</v>
      </c>
      <c r="H39" s="87">
        <f t="shared" si="69"/>
        <v>32.562999999999981</v>
      </c>
      <c r="I39" s="87">
        <f t="shared" si="69"/>
        <v>34.205000000000013</v>
      </c>
      <c r="J39" s="96">
        <f t="shared" si="69"/>
        <v>125.09100000000043</v>
      </c>
      <c r="K39" s="87">
        <f t="shared" si="69"/>
        <v>43.968999999999696</v>
      </c>
      <c r="L39" s="87">
        <f t="shared" si="69"/>
        <v>48.699999999999356</v>
      </c>
      <c r="M39" s="87">
        <f t="shared" si="69"/>
        <v>53.441600000000435</v>
      </c>
      <c r="N39" s="87">
        <f t="shared" si="69"/>
        <v>56.715400000001537</v>
      </c>
      <c r="O39" s="96">
        <f t="shared" si="69"/>
        <v>202.82600000000153</v>
      </c>
      <c r="P39" s="87">
        <f t="shared" si="69"/>
        <v>58.621000000001189</v>
      </c>
      <c r="Q39" s="87">
        <f t="shared" si="69"/>
        <v>59.006000000000597</v>
      </c>
      <c r="R39" s="87">
        <f t="shared" si="69"/>
        <v>64.54200000000003</v>
      </c>
      <c r="S39" s="87">
        <f t="shared" si="69"/>
        <v>67.43099999999788</v>
      </c>
      <c r="T39" s="96">
        <f t="shared" si="69"/>
        <v>249.59999999999968</v>
      </c>
      <c r="U39" s="87">
        <f t="shared" si="69"/>
        <v>69.963000000000264</v>
      </c>
      <c r="V39" s="87">
        <f t="shared" si="69"/>
        <v>65.419999999999945</v>
      </c>
      <c r="W39" s="87">
        <f t="shared" si="69"/>
        <v>61.916999999999824</v>
      </c>
      <c r="X39" s="87">
        <f t="shared" ca="1" si="69"/>
        <v>80.699999999999051</v>
      </c>
      <c r="Y39" s="96">
        <f t="shared" ca="1" si="69"/>
        <v>278</v>
      </c>
      <c r="Z39" s="87">
        <f t="shared" si="69"/>
        <v>85.275999999999968</v>
      </c>
      <c r="AA39" s="87">
        <f t="shared" si="69"/>
        <v>101.99999999999939</v>
      </c>
      <c r="AB39" s="87">
        <f t="shared" si="69"/>
        <v>101.69999999999983</v>
      </c>
      <c r="AC39" s="87">
        <f t="shared" si="69"/>
        <v>111.12400000000065</v>
      </c>
      <c r="AD39" s="96">
        <f t="shared" si="69"/>
        <v>400.10000000000082</v>
      </c>
      <c r="AE39" s="87">
        <f t="shared" si="69"/>
        <v>104.70000000000037</v>
      </c>
      <c r="AF39" s="87">
        <f t="shared" si="69"/>
        <v>107.80000000000037</v>
      </c>
      <c r="AG39" s="87">
        <f t="shared" si="69"/>
        <v>114.70000000000019</v>
      </c>
      <c r="AH39" s="87">
        <f t="shared" si="69"/>
        <v>148.19999999999885</v>
      </c>
      <c r="AI39" s="96">
        <f t="shared" si="69"/>
        <v>475.40000000000072</v>
      </c>
      <c r="AJ39" s="87">
        <f t="shared" si="69"/>
        <v>132.8999999999993</v>
      </c>
      <c r="AK39" s="87">
        <f t="shared" ref="AK39:BO39" si="70">AK37+AK25+AK38</f>
        <v>154.70000000000039</v>
      </c>
      <c r="AL39" s="87">
        <f t="shared" si="70"/>
        <v>146.69999999999942</v>
      </c>
      <c r="AM39" s="87">
        <f t="shared" si="70"/>
        <v>166.09999999999962</v>
      </c>
      <c r="AN39" s="96">
        <f t="shared" si="70"/>
        <v>600.40000000000157</v>
      </c>
      <c r="AO39" s="87">
        <f t="shared" si="70"/>
        <v>178.30000000000038</v>
      </c>
      <c r="AP39" s="87">
        <f t="shared" si="70"/>
        <v>191.90000000000038</v>
      </c>
      <c r="AQ39" s="87">
        <f t="shared" si="70"/>
        <v>202.99999999999969</v>
      </c>
      <c r="AR39" s="87">
        <f t="shared" si="70"/>
        <v>206.39999999999924</v>
      </c>
      <c r="AS39" s="96">
        <f t="shared" si="70"/>
        <v>779.60000000000173</v>
      </c>
      <c r="AT39" s="87">
        <f t="shared" si="70"/>
        <v>214.70000000000036</v>
      </c>
      <c r="AU39" s="87">
        <f t="shared" si="70"/>
        <v>191.99999999999997</v>
      </c>
      <c r="AV39" s="87">
        <f t="shared" si="70"/>
        <v>196.89999999999944</v>
      </c>
      <c r="AW39" s="87">
        <f t="shared" si="70"/>
        <v>222.89999999999986</v>
      </c>
      <c r="AX39" s="96">
        <f t="shared" si="70"/>
        <v>826.50000000000159</v>
      </c>
      <c r="AY39" s="87">
        <f t="shared" si="70"/>
        <v>260.19999999999965</v>
      </c>
      <c r="AZ39" s="87">
        <f t="shared" si="70"/>
        <v>307.30000000000069</v>
      </c>
      <c r="BA39" s="87">
        <f t="shared" si="70"/>
        <v>307.09999999999889</v>
      </c>
      <c r="BB39" s="87">
        <f t="shared" si="70"/>
        <v>329.60000000000076</v>
      </c>
      <c r="BC39" s="96">
        <f t="shared" si="70"/>
        <v>1204.2</v>
      </c>
      <c r="BD39" s="87">
        <f t="shared" si="70"/>
        <v>326.49999999999994</v>
      </c>
      <c r="BE39" s="87">
        <f t="shared" si="70"/>
        <v>334.20000000000039</v>
      </c>
      <c r="BF39" s="87">
        <f t="shared" si="70"/>
        <v>324.69999999999925</v>
      </c>
      <c r="BG39" s="87">
        <f t="shared" ca="1" si="70"/>
        <v>297.29713928403942</v>
      </c>
      <c r="BH39" s="96">
        <f t="shared" ca="1" si="70"/>
        <v>1282.6971392840408</v>
      </c>
      <c r="BI39" s="87">
        <f t="shared" si="70"/>
        <v>267.8</v>
      </c>
      <c r="BJ39" s="87">
        <f>BJ37+BJ25+BJ38</f>
        <v>149.99999999999989</v>
      </c>
      <c r="BK39" s="87">
        <f t="shared" si="70"/>
        <v>406.80000000000007</v>
      </c>
      <c r="BL39" s="87">
        <f t="shared" si="70"/>
        <v>515.86000000000126</v>
      </c>
      <c r="BM39" s="96">
        <f t="shared" si="70"/>
        <v>1340.4600000000012</v>
      </c>
      <c r="BN39" s="87">
        <f>BN37+BN25+BN38</f>
        <v>384.29999999999819</v>
      </c>
      <c r="BO39" s="87">
        <f t="shared" si="70"/>
        <v>570.79999999999711</v>
      </c>
      <c r="BP39" s="87">
        <f>BP37+BP25+BP38</f>
        <v>446.49999999999625</v>
      </c>
      <c r="BQ39" s="87">
        <f>BQ37+BQ25+BQ38</f>
        <v>510.30000000000132</v>
      </c>
      <c r="BR39" s="96">
        <f t="shared" ref="BR39:CB39" si="71">BR37+BR25+BR38</f>
        <v>1911.8999999999926</v>
      </c>
      <c r="BS39" s="87">
        <f t="shared" si="71"/>
        <v>322.48299492385848</v>
      </c>
      <c r="BT39" s="87">
        <f t="shared" si="71"/>
        <v>515.19999999999936</v>
      </c>
      <c r="BU39" s="87">
        <f t="shared" si="71"/>
        <v>589.10000000000014</v>
      </c>
      <c r="BV39" s="87">
        <f t="shared" si="71"/>
        <v>568.8111997563949</v>
      </c>
      <c r="BW39" s="96">
        <f t="shared" si="71"/>
        <v>1995.5941946802527</v>
      </c>
      <c r="BX39" s="87">
        <f>BX37+BX25+BX38</f>
        <v>441.09999999999997</v>
      </c>
      <c r="BY39" s="87">
        <f>BY37+BY25+BY38</f>
        <v>600.09999999999991</v>
      </c>
      <c r="BZ39" s="87">
        <f>BZ37+BZ25+BZ38</f>
        <v>667.39999999999986</v>
      </c>
      <c r="CA39" s="87">
        <f>CA37+CA25+CA38</f>
        <v>773.5</v>
      </c>
      <c r="CB39" s="96">
        <f t="shared" si="71"/>
        <v>2482.0999999999995</v>
      </c>
      <c r="CC39" s="87">
        <f>CC37+CC25+CC38</f>
        <v>413.8</v>
      </c>
      <c r="CD39" s="87">
        <f>CD37+CD25+CD38</f>
        <v>630.79999999999995</v>
      </c>
      <c r="CE39" s="87">
        <f>CE37+CE25+CE38</f>
        <v>722.90000000000009</v>
      </c>
      <c r="CF39" s="87">
        <f t="shared" ref="CF39:CL39" si="72">CF37+CF25+CF38</f>
        <v>1434.7000000000003</v>
      </c>
      <c r="CG39" s="96">
        <f t="shared" si="72"/>
        <v>3202.2000000000003</v>
      </c>
      <c r="CH39" s="87">
        <f t="shared" ref="CH39" si="73">CH37+CH25+CH38</f>
        <v>1434.7000000000003</v>
      </c>
      <c r="CI39" s="87">
        <f t="shared" ref="CI39:CJ39" si="74">CI37+CI25+CI38</f>
        <v>1434.7</v>
      </c>
      <c r="CJ39" s="87">
        <f t="shared" si="74"/>
        <v>1434.7</v>
      </c>
      <c r="CK39" s="87">
        <f t="shared" ref="CK39" si="75">CK37+CK25+CK38</f>
        <v>1434.7</v>
      </c>
      <c r="CL39" s="96">
        <f t="shared" si="72"/>
        <v>5738.8</v>
      </c>
      <c r="CM39" s="87">
        <f t="shared" ref="CM39:CV39" ca="1" si="76">CM37+CM25+CM38</f>
        <v>694.89393207822559</v>
      </c>
      <c r="CN39" s="87">
        <f t="shared" ca="1" si="76"/>
        <v>1023.5396231888108</v>
      </c>
      <c r="CO39" s="87">
        <f t="shared" ca="1" si="76"/>
        <v>1042.676240953384</v>
      </c>
      <c r="CP39" s="87">
        <f t="shared" ca="1" si="76"/>
        <v>1163.2033737831766</v>
      </c>
      <c r="CQ39" s="96">
        <f t="shared" ca="1" si="76"/>
        <v>3924.3131700035974</v>
      </c>
      <c r="CR39" s="87">
        <f t="shared" ca="1" si="76"/>
        <v>706.82982861392657</v>
      </c>
      <c r="CS39" s="87">
        <f t="shared" ca="1" si="76"/>
        <v>987.92134508111667</v>
      </c>
      <c r="CT39" s="87">
        <f t="shared" ca="1" si="76"/>
        <v>992.43287651228343</v>
      </c>
      <c r="CU39" s="87">
        <f t="shared" ca="1" si="76"/>
        <v>1101.7238100250818</v>
      </c>
      <c r="CV39" s="96">
        <f t="shared" ca="1" si="76"/>
        <v>3788.9078602324089</v>
      </c>
      <c r="CW39" s="87">
        <f t="shared" ref="CW39:DF39" ca="1" si="77">CW37+CW25+CW38</f>
        <v>590.59459020477675</v>
      </c>
      <c r="CX39" s="87">
        <f t="shared" ca="1" si="77"/>
        <v>821.46040398091714</v>
      </c>
      <c r="CY39" s="87">
        <f t="shared" ca="1" si="77"/>
        <v>815.36201568547017</v>
      </c>
      <c r="CZ39" s="87">
        <f t="shared" ca="1" si="77"/>
        <v>904.96391723255419</v>
      </c>
      <c r="DA39" s="96">
        <f t="shared" ca="1" si="77"/>
        <v>3132.380927103718</v>
      </c>
      <c r="DB39" s="87">
        <f t="shared" ca="1" si="77"/>
        <v>469.07472227952604</v>
      </c>
      <c r="DC39" s="87">
        <f t="shared" ca="1" si="77"/>
        <v>652.0755016946041</v>
      </c>
      <c r="DD39" s="87">
        <f t="shared" ca="1" si="77"/>
        <v>683.05005775433551</v>
      </c>
      <c r="DE39" s="87">
        <f t="shared" ca="1" si="77"/>
        <v>744.48827418388578</v>
      </c>
      <c r="DF39" s="96">
        <f t="shared" ca="1" si="77"/>
        <v>2548.6885559123521</v>
      </c>
      <c r="DG39"/>
      <c r="DH39"/>
      <c r="DI39"/>
      <c r="DJ39"/>
      <c r="DK39"/>
      <c r="DL39"/>
      <c r="DM39"/>
      <c r="DN39"/>
    </row>
    <row r="40" spans="1:118" ht="11.25" hidden="1" customHeight="1" outlineLevel="1" x14ac:dyDescent="0.2">
      <c r="B40" s="722" t="s">
        <v>240</v>
      </c>
      <c r="D40" s="400"/>
      <c r="E40" s="400">
        <v>0</v>
      </c>
      <c r="F40" s="389">
        <v>0</v>
      </c>
      <c r="G40" s="389">
        <v>0</v>
      </c>
      <c r="H40" s="389">
        <v>-0.372</v>
      </c>
      <c r="I40" s="419">
        <f>J40-SUM(F40:H40)</f>
        <v>0</v>
      </c>
      <c r="J40" s="400">
        <v>-0.372</v>
      </c>
      <c r="K40" s="389">
        <v>0</v>
      </c>
      <c r="L40" s="389">
        <v>0</v>
      </c>
      <c r="M40" s="389">
        <v>0</v>
      </c>
      <c r="N40" s="419">
        <f>O40-SUM(K40:M40)</f>
        <v>0</v>
      </c>
      <c r="O40" s="400">
        <v>0</v>
      </c>
      <c r="P40" s="389">
        <v>0</v>
      </c>
      <c r="Q40" s="389">
        <v>0</v>
      </c>
      <c r="R40" s="389">
        <v>0</v>
      </c>
      <c r="S40" s="419">
        <f>T40-SUM(P40:R40)</f>
        <v>0</v>
      </c>
      <c r="T40" s="400">
        <v>0</v>
      </c>
      <c r="U40" s="389">
        <v>0</v>
      </c>
      <c r="V40" s="389">
        <v>0</v>
      </c>
      <c r="W40" s="389">
        <v>0</v>
      </c>
      <c r="X40" s="402">
        <f>Y40-SUM(U40:W40)</f>
        <v>0</v>
      </c>
      <c r="Y40" s="401">
        <v>0</v>
      </c>
      <c r="Z40" s="403">
        <v>0</v>
      </c>
      <c r="AA40" s="403">
        <v>0</v>
      </c>
      <c r="AB40" s="402">
        <v>0</v>
      </c>
      <c r="AC40" s="402">
        <f>AD40-SUM(Z40:AB40)</f>
        <v>0</v>
      </c>
      <c r="AD40" s="395">
        <v>0</v>
      </c>
      <c r="AE40" s="402">
        <v>0</v>
      </c>
      <c r="AF40" s="403">
        <v>0</v>
      </c>
      <c r="AG40" s="403">
        <v>0</v>
      </c>
      <c r="AH40" s="402">
        <f>AI40-SUM(AE40:AG40)</f>
        <v>-1</v>
      </c>
      <c r="AI40" s="401">
        <v>-1</v>
      </c>
      <c r="AJ40" s="144">
        <v>0.8</v>
      </c>
      <c r="AK40" s="144">
        <v>-2</v>
      </c>
      <c r="AL40" s="144">
        <v>-3.8</v>
      </c>
      <c r="AM40" s="144">
        <v>-27.6</v>
      </c>
      <c r="AN40" s="421">
        <f>SUM(AJ40:AM40)</f>
        <v>-32.6</v>
      </c>
      <c r="AO40" s="359">
        <f>-1.1</f>
        <v>-1.1000000000000001</v>
      </c>
      <c r="AP40" s="359">
        <v>-1.7</v>
      </c>
      <c r="AQ40" s="144">
        <v>-1.1000000000000001</v>
      </c>
      <c r="AR40" s="144">
        <v>0.4</v>
      </c>
      <c r="AS40" s="421">
        <f>SUM(AO40:AR40)</f>
        <v>-3.5</v>
      </c>
      <c r="AT40" s="359">
        <v>-0.3</v>
      </c>
      <c r="AU40" s="359">
        <v>0.3</v>
      </c>
      <c r="AV40" s="144">
        <v>0.7</v>
      </c>
      <c r="AW40" s="420">
        <v>0</v>
      </c>
      <c r="AX40" s="421">
        <f>AT40+AU40+AV40+AW40</f>
        <v>0.7</v>
      </c>
      <c r="AY40" s="420">
        <v>0</v>
      </c>
      <c r="AZ40" s="144">
        <v>-17.399999999999999</v>
      </c>
      <c r="BA40" s="144">
        <v>-5.6</v>
      </c>
      <c r="BB40" s="420">
        <v>0</v>
      </c>
      <c r="BC40" s="421">
        <f>AY40+AZ40+BA40+BB40</f>
        <v>-23</v>
      </c>
      <c r="BD40" s="420">
        <v>0</v>
      </c>
      <c r="BE40" s="420">
        <v>0</v>
      </c>
      <c r="BF40" s="420">
        <v>0</v>
      </c>
      <c r="BG40" s="420">
        <v>0</v>
      </c>
      <c r="BH40" s="421">
        <f>BD40+BE40+BF40+BG40</f>
        <v>0</v>
      </c>
      <c r="BI40" s="420">
        <v>0</v>
      </c>
      <c r="BJ40" s="144">
        <v>-0.4</v>
      </c>
      <c r="BK40" s="144">
        <v>-15.4</v>
      </c>
      <c r="BL40" s="144">
        <v>-11.8</v>
      </c>
      <c r="BM40" s="421">
        <f>BI40+BJ40+BK40+BL40</f>
        <v>-27.6</v>
      </c>
      <c r="BN40" s="144">
        <f>-1.2-5</f>
        <v>-6.2</v>
      </c>
      <c r="BO40" s="144">
        <f>-15.3-5</f>
        <v>-20.3</v>
      </c>
      <c r="BP40" s="144">
        <v>-20.5</v>
      </c>
      <c r="BQ40" s="144">
        <v>-12.3</v>
      </c>
      <c r="BR40" s="421">
        <f>BN40+BO40+BP40+BQ40</f>
        <v>-59.3</v>
      </c>
      <c r="BS40" s="420">
        <v>0</v>
      </c>
      <c r="BT40" s="420">
        <v>0</v>
      </c>
      <c r="BU40" s="420">
        <v>0</v>
      </c>
      <c r="BV40" s="144">
        <v>0</v>
      </c>
      <c r="BW40" s="421">
        <f>BS40+BT40+BU40+BV40</f>
        <v>0</v>
      </c>
      <c r="BX40" s="420">
        <v>0</v>
      </c>
      <c r="BY40" s="420">
        <v>0</v>
      </c>
      <c r="BZ40" s="420">
        <v>0</v>
      </c>
      <c r="CA40" s="420">
        <v>0</v>
      </c>
      <c r="CB40" s="421">
        <f>BX40+BY40+BZ40+CA40</f>
        <v>0</v>
      </c>
      <c r="CC40" s="420">
        <v>0</v>
      </c>
      <c r="CD40" s="420">
        <v>0</v>
      </c>
      <c r="CE40" s="420">
        <v>0</v>
      </c>
      <c r="CF40" s="420">
        <v>0</v>
      </c>
      <c r="CG40" s="421">
        <f>CC40+CD40+CE40+CF40</f>
        <v>0</v>
      </c>
      <c r="CH40" s="420">
        <v>0</v>
      </c>
      <c r="CI40" s="420">
        <v>0</v>
      </c>
      <c r="CJ40" s="420">
        <v>0</v>
      </c>
      <c r="CK40" s="420">
        <v>0</v>
      </c>
      <c r="CL40" s="421">
        <f>CH40+CI40+CJ40+CK40</f>
        <v>0</v>
      </c>
      <c r="CM40" s="420">
        <v>0</v>
      </c>
      <c r="CN40" s="420">
        <v>0</v>
      </c>
      <c r="CO40" s="420">
        <v>0</v>
      </c>
      <c r="CP40" s="420">
        <v>0</v>
      </c>
      <c r="CQ40" s="421">
        <f>CM40+CN40+CO40+CP40</f>
        <v>0</v>
      </c>
      <c r="CR40" s="420">
        <v>0</v>
      </c>
      <c r="CS40" s="420">
        <v>0</v>
      </c>
      <c r="CT40" s="420">
        <v>0</v>
      </c>
      <c r="CU40" s="420">
        <v>0</v>
      </c>
      <c r="CV40" s="421">
        <f>CR40+CS40+CT40+CU40</f>
        <v>0</v>
      </c>
      <c r="CW40" s="420">
        <v>0</v>
      </c>
      <c r="CX40" s="420">
        <v>0</v>
      </c>
      <c r="CY40" s="420">
        <v>0</v>
      </c>
      <c r="CZ40" s="420">
        <v>0</v>
      </c>
      <c r="DA40" s="421">
        <f>CW40+CX40+CY40+CZ40</f>
        <v>0</v>
      </c>
      <c r="DB40" s="420">
        <v>0</v>
      </c>
      <c r="DC40" s="420">
        <v>0</v>
      </c>
      <c r="DD40" s="420">
        <v>0</v>
      </c>
      <c r="DE40" s="420">
        <v>0</v>
      </c>
      <c r="DF40" s="421">
        <f>DB40+DC40+DD40+DE40</f>
        <v>0</v>
      </c>
    </row>
    <row r="41" spans="1:118" s="10" customFormat="1" ht="12" hidden="1" customHeight="1" outlineLevel="1" thickBot="1" x14ac:dyDescent="0.25">
      <c r="B41" s="730" t="s">
        <v>537</v>
      </c>
      <c r="C41" s="486"/>
      <c r="D41" s="522"/>
      <c r="E41" s="522">
        <f>E39+E40</f>
        <v>-9.1260000000003316</v>
      </c>
      <c r="F41" s="492">
        <f>F39+F40</f>
        <v>28.078999999999883</v>
      </c>
      <c r="G41" s="492">
        <f>G39+G40</f>
        <v>30.243999999999648</v>
      </c>
      <c r="H41" s="492">
        <f>H39+H40</f>
        <v>32.190999999999981</v>
      </c>
      <c r="I41" s="492">
        <f>I39+I40</f>
        <v>34.205000000000013</v>
      </c>
      <c r="J41" s="109">
        <f t="shared" si="58"/>
        <v>124.71899999999953</v>
      </c>
      <c r="K41" s="492">
        <f>K39+K40</f>
        <v>43.968999999999696</v>
      </c>
      <c r="L41" s="492">
        <f>L39+L40</f>
        <v>48.699999999999356</v>
      </c>
      <c r="M41" s="492">
        <f>M39+M40</f>
        <v>53.441600000000435</v>
      </c>
      <c r="N41" s="492">
        <f>N39+N40</f>
        <v>56.715400000001537</v>
      </c>
      <c r="O41" s="109">
        <f t="shared" si="59"/>
        <v>202.82600000000099</v>
      </c>
      <c r="P41" s="492">
        <f>P39+P40</f>
        <v>58.621000000001189</v>
      </c>
      <c r="Q41" s="492">
        <f>Q39+Q40</f>
        <v>59.006000000000597</v>
      </c>
      <c r="R41" s="492">
        <f>R39+R40</f>
        <v>64.54200000000003</v>
      </c>
      <c r="S41" s="492">
        <f>S39+S40</f>
        <v>67.43099999999788</v>
      </c>
      <c r="T41" s="109">
        <f t="shared" si="60"/>
        <v>249.59999999999968</v>
      </c>
      <c r="U41" s="492">
        <f t="shared" ref="U41:AR41" si="78">U39+U40</f>
        <v>69.963000000000264</v>
      </c>
      <c r="V41" s="492">
        <f t="shared" si="78"/>
        <v>65.419999999999945</v>
      </c>
      <c r="W41" s="492">
        <f t="shared" si="78"/>
        <v>61.916999999999824</v>
      </c>
      <c r="X41" s="492">
        <f t="shared" ca="1" si="78"/>
        <v>80.699999999999051</v>
      </c>
      <c r="Y41" s="109">
        <f t="shared" ca="1" si="78"/>
        <v>278</v>
      </c>
      <c r="Z41" s="492">
        <f t="shared" si="78"/>
        <v>85.275999999999968</v>
      </c>
      <c r="AA41" s="492">
        <f t="shared" si="78"/>
        <v>101.99999999999939</v>
      </c>
      <c r="AB41" s="492">
        <f t="shared" si="78"/>
        <v>101.69999999999983</v>
      </c>
      <c r="AC41" s="492">
        <f t="shared" si="78"/>
        <v>111.12400000000065</v>
      </c>
      <c r="AD41" s="109">
        <f t="shared" si="78"/>
        <v>400.10000000000082</v>
      </c>
      <c r="AE41" s="492">
        <f t="shared" si="78"/>
        <v>104.70000000000037</v>
      </c>
      <c r="AF41" s="492">
        <f t="shared" si="78"/>
        <v>107.80000000000037</v>
      </c>
      <c r="AG41" s="492">
        <f t="shared" si="78"/>
        <v>114.70000000000019</v>
      </c>
      <c r="AH41" s="492">
        <f t="shared" si="78"/>
        <v>147.19999999999885</v>
      </c>
      <c r="AI41" s="109">
        <f t="shared" si="78"/>
        <v>474.40000000000072</v>
      </c>
      <c r="AJ41" s="492">
        <f t="shared" si="78"/>
        <v>133.69999999999931</v>
      </c>
      <c r="AK41" s="492">
        <f t="shared" si="78"/>
        <v>152.70000000000039</v>
      </c>
      <c r="AL41" s="492">
        <f t="shared" si="78"/>
        <v>142.89999999999941</v>
      </c>
      <c r="AM41" s="492">
        <f t="shared" si="78"/>
        <v>138.49999999999963</v>
      </c>
      <c r="AN41" s="109">
        <f t="shared" si="78"/>
        <v>567.80000000000155</v>
      </c>
      <c r="AO41" s="188">
        <f t="shared" si="78"/>
        <v>177.20000000000039</v>
      </c>
      <c r="AP41" s="188">
        <f t="shared" si="78"/>
        <v>190.20000000000039</v>
      </c>
      <c r="AQ41" s="188">
        <f t="shared" si="78"/>
        <v>201.89999999999969</v>
      </c>
      <c r="AR41" s="188">
        <f t="shared" si="78"/>
        <v>206.79999999999924</v>
      </c>
      <c r="AS41" s="106">
        <f t="shared" si="61"/>
        <v>776.09999999999968</v>
      </c>
      <c r="AT41" s="188">
        <f>AT39+AT40</f>
        <v>214.40000000000035</v>
      </c>
      <c r="AU41" s="188">
        <f>AU39+AU40</f>
        <v>192.29999999999998</v>
      </c>
      <c r="AV41" s="188">
        <f>AV39+AV40</f>
        <v>197.59999999999943</v>
      </c>
      <c r="AW41" s="492">
        <f>AW39+AW40</f>
        <v>222.89999999999986</v>
      </c>
      <c r="AX41" s="109">
        <f t="shared" si="62"/>
        <v>827.19999999999959</v>
      </c>
      <c r="AY41" s="492">
        <f>AY39+AY40</f>
        <v>260.19999999999965</v>
      </c>
      <c r="AZ41" s="492">
        <f>AZ39+AZ40</f>
        <v>289.90000000000072</v>
      </c>
      <c r="BA41" s="492">
        <f>BA39+BA40</f>
        <v>301.49999999999886</v>
      </c>
      <c r="BB41" s="492">
        <f>BB39+BB40</f>
        <v>329.60000000000076</v>
      </c>
      <c r="BC41" s="109">
        <f t="shared" si="63"/>
        <v>1181.2</v>
      </c>
      <c r="BD41" s="492">
        <f>BD39+BD40</f>
        <v>326.49999999999994</v>
      </c>
      <c r="BE41" s="492">
        <f>BE39+BE40</f>
        <v>334.20000000000039</v>
      </c>
      <c r="BF41" s="492">
        <f>BF39+BF40</f>
        <v>324.69999999999925</v>
      </c>
      <c r="BG41" s="492">
        <f ca="1">BG39+BG40</f>
        <v>297.29713928403942</v>
      </c>
      <c r="BH41" s="109">
        <f t="shared" ca="1" si="64"/>
        <v>1282.6971392840389</v>
      </c>
      <c r="BI41" s="492">
        <f>BI39+BI40</f>
        <v>267.8</v>
      </c>
      <c r="BJ41" s="492">
        <f>BJ39+BJ40</f>
        <v>149.59999999999988</v>
      </c>
      <c r="BK41" s="492">
        <f>BK39+BK40</f>
        <v>391.40000000000009</v>
      </c>
      <c r="BL41" s="492">
        <f>BL39+BL40</f>
        <v>504.06000000000125</v>
      </c>
      <c r="BM41" s="109">
        <f t="shared" si="65"/>
        <v>1312.8600000000013</v>
      </c>
      <c r="BN41" s="492">
        <f>BN39+BN40</f>
        <v>378.0999999999982</v>
      </c>
      <c r="BO41" s="492">
        <f>BO39+BO40</f>
        <v>550.49999999999716</v>
      </c>
      <c r="BP41" s="492">
        <f>BP39+BP40</f>
        <v>425.99999999999625</v>
      </c>
      <c r="BQ41" s="492">
        <f>BQ39+BQ40</f>
        <v>498.00000000000131</v>
      </c>
      <c r="BR41" s="109">
        <f t="shared" si="66"/>
        <v>1852.5999999999931</v>
      </c>
      <c r="BS41" s="492">
        <f>BS39+BS40</f>
        <v>322.48299492385848</v>
      </c>
      <c r="BT41" s="492">
        <f>BT39+BT40</f>
        <v>515.19999999999936</v>
      </c>
      <c r="BU41" s="492">
        <f>BU39+BU40</f>
        <v>589.10000000000014</v>
      </c>
      <c r="BV41" s="492">
        <f>BV39+BV40</f>
        <v>568.8111997563949</v>
      </c>
      <c r="BW41" s="109">
        <f>SUM(BS41:BV41)</f>
        <v>1995.5941946802529</v>
      </c>
      <c r="BX41" s="492">
        <f>BX39+BX40</f>
        <v>441.09999999999997</v>
      </c>
      <c r="BY41" s="188">
        <f>BY39+BY40</f>
        <v>600.09999999999991</v>
      </c>
      <c r="BZ41" s="188">
        <f>BZ39+BZ40</f>
        <v>667.39999999999986</v>
      </c>
      <c r="CA41" s="188">
        <f>CA39+CA40</f>
        <v>773.5</v>
      </c>
      <c r="CB41" s="109">
        <f>SUM(BX41:CA41)</f>
        <v>2482.0999999999995</v>
      </c>
      <c r="CC41" s="492">
        <f>CC39+CC40</f>
        <v>413.8</v>
      </c>
      <c r="CD41" s="492">
        <f>CD39+CD40</f>
        <v>630.79999999999995</v>
      </c>
      <c r="CE41" s="492">
        <f>CE39+CE40</f>
        <v>722.90000000000009</v>
      </c>
      <c r="CF41" s="492">
        <f>CF39+CF40</f>
        <v>1434.7000000000003</v>
      </c>
      <c r="CG41" s="109">
        <f>SUM(CC41:CF41)</f>
        <v>3202.2000000000003</v>
      </c>
      <c r="CH41" s="492">
        <f>CH39+CH40</f>
        <v>1434.7000000000003</v>
      </c>
      <c r="CI41" s="492">
        <f>CI39+CI40</f>
        <v>1434.7</v>
      </c>
      <c r="CJ41" s="492">
        <f>CJ39+CJ40</f>
        <v>1434.7</v>
      </c>
      <c r="CK41" s="492">
        <f>CK39+CK40</f>
        <v>1434.7</v>
      </c>
      <c r="CL41" s="109">
        <f>SUM(CH41:CK41)</f>
        <v>5738.8</v>
      </c>
      <c r="CM41" s="492">
        <f ca="1">CM39+CM40</f>
        <v>694.89393207822559</v>
      </c>
      <c r="CN41" s="492">
        <f ca="1">CN39+CN40</f>
        <v>1023.5396231888108</v>
      </c>
      <c r="CO41" s="492">
        <f ca="1">CO39+CO40</f>
        <v>1042.676240953384</v>
      </c>
      <c r="CP41" s="492">
        <f ca="1">CP39+CP40</f>
        <v>1163.2033737831766</v>
      </c>
      <c r="CQ41" s="109">
        <f ca="1">SUM(CM41:CP41)</f>
        <v>3924.313170003597</v>
      </c>
      <c r="CR41" s="492">
        <f ca="1">CR39+CR40</f>
        <v>706.82982861392657</v>
      </c>
      <c r="CS41" s="492">
        <f ca="1">CS39+CS40</f>
        <v>987.92134508111667</v>
      </c>
      <c r="CT41" s="492">
        <f ca="1">CT39+CT40</f>
        <v>992.43287651228343</v>
      </c>
      <c r="CU41" s="492">
        <f ca="1">CU39+CU40</f>
        <v>1101.7238100250818</v>
      </c>
      <c r="CV41" s="109">
        <f ca="1">SUM(CR41:CU41)</f>
        <v>3788.907860232408</v>
      </c>
      <c r="CW41" s="492">
        <f ca="1">CW39+CW40</f>
        <v>590.59459020477675</v>
      </c>
      <c r="CX41" s="492">
        <f ca="1">CX39+CX40</f>
        <v>821.46040398091714</v>
      </c>
      <c r="CY41" s="492">
        <f ca="1">CY39+CY40</f>
        <v>815.36201568547017</v>
      </c>
      <c r="CZ41" s="492">
        <f ca="1">CZ39+CZ40</f>
        <v>904.96391723255419</v>
      </c>
      <c r="DA41" s="109">
        <f ca="1">SUM(CW41:CZ41)</f>
        <v>3132.380927103718</v>
      </c>
      <c r="DB41" s="492">
        <f ca="1">DB39+DB40</f>
        <v>469.07472227952604</v>
      </c>
      <c r="DC41" s="492">
        <f ca="1">DC39+DC40</f>
        <v>652.0755016946041</v>
      </c>
      <c r="DD41" s="492">
        <f ca="1">DD39+DD40</f>
        <v>683.05005775433551</v>
      </c>
      <c r="DE41" s="492">
        <f ca="1">DE39+DE40</f>
        <v>744.48827418388578</v>
      </c>
      <c r="DF41" s="109">
        <f ca="1">SUM(DB41:DE41)</f>
        <v>2548.6885559123511</v>
      </c>
      <c r="DG41"/>
      <c r="DH41"/>
      <c r="DI41"/>
      <c r="DJ41"/>
      <c r="DK41"/>
      <c r="DL41"/>
      <c r="DM41"/>
      <c r="DN41"/>
    </row>
    <row r="42" spans="1:118" s="10" customFormat="1" ht="12" hidden="1" customHeight="1" outlineLevel="1" thickBot="1" x14ac:dyDescent="0.25">
      <c r="B42" s="724"/>
      <c r="C42" s="161"/>
      <c r="D42" s="87"/>
      <c r="E42" s="87"/>
      <c r="F42" s="87"/>
      <c r="G42" s="87"/>
      <c r="H42" s="87"/>
      <c r="I42" s="87"/>
      <c r="J42" s="26"/>
      <c r="K42" s="87"/>
      <c r="L42" s="87"/>
      <c r="M42" s="87"/>
      <c r="N42" s="87"/>
      <c r="O42" s="26"/>
      <c r="P42" s="87"/>
      <c r="Q42" s="87"/>
      <c r="R42" s="87"/>
      <c r="S42" s="87"/>
      <c r="T42" s="26"/>
      <c r="U42" s="87"/>
      <c r="V42" s="87"/>
      <c r="W42" s="87"/>
      <c r="X42" s="87"/>
      <c r="Y42" s="26"/>
      <c r="Z42" s="87"/>
      <c r="AA42" s="87"/>
      <c r="AB42" s="87"/>
      <c r="AC42" s="87"/>
      <c r="AD42" s="26"/>
      <c r="AE42" s="87"/>
      <c r="AF42" s="87"/>
      <c r="AG42" s="87"/>
      <c r="AH42" s="87"/>
      <c r="AI42" s="26"/>
      <c r="AJ42" s="87"/>
      <c r="AK42" s="87"/>
      <c r="AL42" s="87"/>
      <c r="AM42" s="87"/>
      <c r="AN42" s="26"/>
      <c r="AO42" s="183"/>
      <c r="AP42" s="183"/>
      <c r="AQ42" s="183"/>
      <c r="AR42" s="183"/>
      <c r="AS42" s="19"/>
      <c r="AT42" s="183"/>
      <c r="AU42" s="183"/>
      <c r="AV42" s="183"/>
      <c r="AW42" s="87"/>
      <c r="AX42" s="26"/>
      <c r="AY42" s="87"/>
      <c r="AZ42" s="87"/>
      <c r="BA42" s="87"/>
      <c r="BB42" s="87"/>
      <c r="BC42" s="26"/>
      <c r="BD42" s="87"/>
      <c r="BE42" s="87"/>
      <c r="BF42" s="87"/>
      <c r="BG42" s="87"/>
      <c r="BH42" s="26"/>
      <c r="BI42" s="87"/>
      <c r="BJ42" s="87"/>
      <c r="BK42" s="87"/>
      <c r="BL42" s="87"/>
      <c r="BM42" s="26"/>
      <c r="BN42" s="87"/>
      <c r="BO42" s="87"/>
      <c r="BP42" s="87"/>
      <c r="BQ42" s="87"/>
      <c r="BR42" s="26"/>
      <c r="BS42" s="87"/>
      <c r="BT42" s="87"/>
      <c r="BU42" s="87"/>
      <c r="BV42" s="87"/>
      <c r="BW42" s="26"/>
      <c r="BX42" s="87"/>
      <c r="BY42" s="87"/>
      <c r="BZ42" s="87"/>
      <c r="CA42" s="87"/>
      <c r="CB42" s="26"/>
      <c r="CC42" s="87"/>
      <c r="CD42" s="87"/>
      <c r="CE42" s="87"/>
      <c r="CF42" s="87"/>
      <c r="CG42" s="26"/>
      <c r="CH42" s="87"/>
      <c r="CI42" s="87"/>
      <c r="CJ42" s="87"/>
      <c r="CK42" s="87"/>
      <c r="CL42" s="26"/>
      <c r="CM42" s="87"/>
      <c r="CN42" s="87"/>
      <c r="CO42" s="87"/>
      <c r="CP42" s="87"/>
      <c r="CQ42" s="26"/>
      <c r="CR42" s="87"/>
      <c r="CS42" s="87"/>
      <c r="CT42" s="87"/>
      <c r="CU42" s="87"/>
      <c r="CV42" s="26"/>
      <c r="CW42" s="87"/>
      <c r="CX42" s="87"/>
      <c r="CY42" s="87"/>
      <c r="CZ42" s="87"/>
      <c r="DA42" s="26"/>
      <c r="DB42" s="87"/>
      <c r="DC42" s="87"/>
      <c r="DD42" s="87"/>
      <c r="DE42" s="87"/>
      <c r="DF42" s="26"/>
      <c r="DG42"/>
      <c r="DH42"/>
      <c r="DI42"/>
      <c r="DJ42"/>
      <c r="DK42"/>
      <c r="DL42"/>
      <c r="DM42"/>
      <c r="DN42"/>
    </row>
    <row r="43" spans="1:118" s="10" customFormat="1" ht="11.25" hidden="1" customHeight="1" outlineLevel="1" x14ac:dyDescent="0.2">
      <c r="A43" s="1"/>
      <c r="B43" s="725" t="s">
        <v>80</v>
      </c>
      <c r="C43" s="60"/>
      <c r="D43" s="61"/>
      <c r="E43" s="61"/>
      <c r="F43" s="62"/>
      <c r="G43" s="62"/>
      <c r="H43" s="62"/>
      <c r="I43" s="62"/>
      <c r="J43" s="61"/>
      <c r="K43" s="62"/>
      <c r="L43" s="62"/>
      <c r="M43" s="62"/>
      <c r="N43" s="62"/>
      <c r="O43" s="61"/>
      <c r="P43" s="62"/>
      <c r="Q43" s="62"/>
      <c r="R43" s="62"/>
      <c r="S43" s="62"/>
      <c r="T43" s="61"/>
      <c r="U43" s="62"/>
      <c r="V43" s="62"/>
      <c r="W43" s="62"/>
      <c r="X43" s="62"/>
      <c r="Y43" s="61"/>
      <c r="Z43" s="69"/>
      <c r="AA43" s="60"/>
      <c r="AB43" s="60"/>
      <c r="AC43" s="60"/>
      <c r="AD43" s="70"/>
      <c r="AE43" s="60"/>
      <c r="AF43" s="60"/>
      <c r="AG43" s="60"/>
      <c r="AH43" s="71"/>
      <c r="AI43" s="61"/>
      <c r="AJ43" s="686"/>
      <c r="AK43" s="60"/>
      <c r="AL43" s="60"/>
      <c r="AM43" s="60"/>
      <c r="AN43" s="61"/>
      <c r="AO43" s="60"/>
      <c r="AP43" s="60"/>
      <c r="AQ43" s="60"/>
      <c r="AR43" s="60"/>
      <c r="AS43" s="72"/>
      <c r="AT43" s="60"/>
      <c r="AU43" s="60"/>
      <c r="AV43" s="60"/>
      <c r="AW43" s="62"/>
      <c r="AX43" s="72"/>
      <c r="AY43" s="60"/>
      <c r="AZ43" s="60"/>
      <c r="BA43" s="60"/>
      <c r="BB43" s="60"/>
      <c r="BC43" s="72"/>
      <c r="BD43" s="60"/>
      <c r="BE43" s="60"/>
      <c r="BF43" s="60"/>
      <c r="BG43" s="60"/>
      <c r="BH43" s="72"/>
      <c r="BI43" s="60"/>
      <c r="BJ43" s="60"/>
      <c r="BK43" s="1551"/>
      <c r="BL43" s="60"/>
      <c r="BM43" s="72" t="s">
        <v>517</v>
      </c>
      <c r="BN43" s="60"/>
      <c r="BO43" s="60"/>
      <c r="BP43" s="60"/>
      <c r="BQ43" s="60"/>
      <c r="BR43" s="72" t="s">
        <v>557</v>
      </c>
      <c r="BS43" s="60"/>
      <c r="BT43" s="60"/>
      <c r="BU43" s="60"/>
      <c r="BV43" s="60"/>
      <c r="BW43" s="72" t="s">
        <v>591</v>
      </c>
      <c r="BX43" s="60"/>
      <c r="BY43" s="60"/>
      <c r="BZ43" s="60"/>
      <c r="CA43" s="60"/>
      <c r="CB43" s="72"/>
      <c r="CC43" s="60"/>
      <c r="CD43" s="60"/>
      <c r="CE43" s="60"/>
      <c r="CF43" s="60"/>
      <c r="CG43" s="72"/>
      <c r="CH43" s="60"/>
      <c r="CI43" s="60"/>
      <c r="CJ43" s="60"/>
      <c r="CK43" s="60"/>
      <c r="CL43" s="72"/>
      <c r="CM43" s="60"/>
      <c r="CN43" s="60"/>
      <c r="CO43" s="60"/>
      <c r="CP43" s="60"/>
      <c r="CQ43" s="72"/>
      <c r="CR43" s="60"/>
      <c r="CS43" s="60"/>
      <c r="CT43" s="60"/>
      <c r="CU43" s="60"/>
      <c r="CV43" s="72"/>
      <c r="CW43" s="60"/>
      <c r="CX43" s="60"/>
      <c r="CY43" s="60"/>
      <c r="CZ43" s="60"/>
      <c r="DA43" s="72"/>
      <c r="DB43" s="60"/>
      <c r="DC43" s="60"/>
      <c r="DD43" s="60"/>
      <c r="DE43" s="60"/>
      <c r="DF43" s="72"/>
      <c r="DG43"/>
      <c r="DH43"/>
      <c r="DI43"/>
      <c r="DJ43"/>
      <c r="DK43"/>
      <c r="DL43"/>
      <c r="DM43"/>
      <c r="DN43"/>
    </row>
    <row r="44" spans="1:118" s="10" customFormat="1" ht="12" hidden="1" customHeight="1" outlineLevel="1" thickBot="1" x14ac:dyDescent="0.25">
      <c r="A44" s="1"/>
      <c r="B44" s="731" t="s">
        <v>369</v>
      </c>
      <c r="C44" s="63"/>
      <c r="D44" s="64"/>
      <c r="E44" s="64"/>
      <c r="F44" s="73"/>
      <c r="G44" s="73"/>
      <c r="H44" s="73"/>
      <c r="I44" s="73"/>
      <c r="J44" s="74"/>
      <c r="K44" s="73"/>
      <c r="L44" s="73"/>
      <c r="M44" s="73"/>
      <c r="N44" s="73"/>
      <c r="O44" s="74"/>
      <c r="P44" s="65"/>
      <c r="Q44" s="65"/>
      <c r="R44" s="65"/>
      <c r="S44" s="65"/>
      <c r="T44" s="64"/>
      <c r="U44" s="65"/>
      <c r="V44" s="65"/>
      <c r="W44" s="65"/>
      <c r="X44" s="65"/>
      <c r="Y44" s="64"/>
      <c r="Z44" s="73"/>
      <c r="AA44" s="73"/>
      <c r="AB44" s="73"/>
      <c r="AC44" s="73"/>
      <c r="AD44" s="75"/>
      <c r="AE44" s="73"/>
      <c r="AF44" s="73"/>
      <c r="AG44" s="73"/>
      <c r="AH44" s="73"/>
      <c r="AI44" s="687"/>
      <c r="AJ44" s="65"/>
      <c r="AK44" s="65"/>
      <c r="AL44" s="65"/>
      <c r="AM44" s="65"/>
      <c r="AN44" s="64"/>
      <c r="AO44" s="65"/>
      <c r="AP44" s="65"/>
      <c r="AQ44" s="65"/>
      <c r="AR44" s="65"/>
      <c r="AS44" s="64"/>
      <c r="AT44" s="65"/>
      <c r="AU44" s="65"/>
      <c r="AV44" s="65"/>
      <c r="AW44" s="65"/>
      <c r="AX44" s="64"/>
      <c r="AY44" s="63"/>
      <c r="AZ44" s="63"/>
      <c r="BA44" s="63"/>
      <c r="BB44" s="63"/>
      <c r="BC44" s="64"/>
      <c r="BD44" s="63"/>
      <c r="BE44" s="63"/>
      <c r="BF44" s="63"/>
      <c r="BG44" s="63"/>
      <c r="BH44" s="64"/>
      <c r="BI44" s="63"/>
      <c r="BJ44" s="63"/>
      <c r="BK44" s="63"/>
      <c r="BL44" s="63"/>
      <c r="BM44" s="64"/>
      <c r="BN44" s="63"/>
      <c r="BO44" s="63"/>
      <c r="BP44" s="63"/>
      <c r="BQ44" s="63"/>
      <c r="BR44" s="64"/>
      <c r="BS44" s="63"/>
      <c r="BT44" s="63"/>
      <c r="BU44" s="63"/>
      <c r="BV44" s="63"/>
      <c r="BW44" s="64"/>
      <c r="BX44" s="63"/>
      <c r="BY44" s="63"/>
      <c r="BZ44" s="63"/>
      <c r="CA44" s="63"/>
      <c r="CB44" s="64"/>
      <c r="CC44" s="63"/>
      <c r="CD44" s="63"/>
      <c r="CE44" s="63"/>
      <c r="CF44" s="63"/>
      <c r="CG44" s="64"/>
      <c r="CH44" s="63"/>
      <c r="CI44" s="63"/>
      <c r="CJ44" s="63"/>
      <c r="CK44" s="63"/>
      <c r="CL44" s="64"/>
      <c r="CM44" s="63"/>
      <c r="CN44" s="63"/>
      <c r="CO44" s="63"/>
      <c r="CP44" s="63"/>
      <c r="CQ44" s="64"/>
      <c r="CR44" s="63"/>
      <c r="CS44" s="63"/>
      <c r="CT44" s="63"/>
      <c r="CU44" s="63"/>
      <c r="CV44" s="64"/>
      <c r="CW44" s="63"/>
      <c r="CX44" s="63"/>
      <c r="CY44" s="63"/>
      <c r="CZ44" s="63"/>
      <c r="DA44" s="64"/>
      <c r="DB44" s="63"/>
      <c r="DC44" s="63"/>
      <c r="DD44" s="63"/>
      <c r="DE44" s="63"/>
      <c r="DF44" s="64"/>
      <c r="DG44"/>
      <c r="DH44"/>
      <c r="DI44"/>
      <c r="DJ44"/>
      <c r="DK44"/>
      <c r="DL44"/>
      <c r="DM44"/>
      <c r="DN44"/>
    </row>
    <row r="45" spans="1:118" ht="12" hidden="1" customHeight="1" outlineLevel="2" thickBot="1" x14ac:dyDescent="0.25">
      <c r="A45" s="43"/>
      <c r="B45" s="732"/>
      <c r="C45" s="77"/>
      <c r="D45" s="406"/>
      <c r="E45" s="406"/>
      <c r="F45" s="57"/>
      <c r="G45" s="57"/>
      <c r="H45" s="57"/>
      <c r="I45" s="57"/>
      <c r="J45" s="57"/>
      <c r="K45" s="57"/>
      <c r="L45" s="57"/>
      <c r="M45" s="57"/>
      <c r="N45" s="57"/>
      <c r="O45" s="57"/>
      <c r="P45" s="57"/>
      <c r="Q45" s="57"/>
      <c r="R45" s="57"/>
      <c r="S45" s="57"/>
      <c r="T45" s="57"/>
      <c r="U45" s="57"/>
      <c r="V45" s="57"/>
      <c r="W45" s="57"/>
      <c r="X45" s="57"/>
      <c r="Y45" s="57"/>
      <c r="Z45" s="52"/>
      <c r="AA45" s="57"/>
      <c r="AB45" s="57"/>
      <c r="AC45" s="57"/>
      <c r="AD45" s="78"/>
      <c r="AE45" s="79"/>
      <c r="AF45" s="79"/>
      <c r="AG45" s="79"/>
      <c r="AH45" s="79"/>
      <c r="AI45" s="80"/>
      <c r="AJ45" s="80"/>
      <c r="AK45" s="77"/>
      <c r="AL45" s="77"/>
      <c r="AM45" s="77"/>
      <c r="AN45" s="442"/>
      <c r="AO45" s="80"/>
      <c r="AP45" s="77"/>
      <c r="AQ45" s="77"/>
      <c r="AR45" s="77"/>
      <c r="AS45" s="76"/>
      <c r="AT45" s="80"/>
      <c r="AU45" s="77"/>
      <c r="AV45" s="77"/>
      <c r="AW45" s="77"/>
      <c r="AX45" s="76"/>
      <c r="AY45" s="146"/>
      <c r="AZ45" s="77"/>
      <c r="BA45" s="77"/>
      <c r="BB45" s="77"/>
      <c r="BC45" s="76"/>
      <c r="BD45" s="80"/>
      <c r="BE45" s="77"/>
      <c r="BF45" s="77"/>
      <c r="BG45" s="77"/>
      <c r="BH45" s="76"/>
      <c r="BI45" s="80"/>
      <c r="BJ45" s="77"/>
      <c r="BK45" s="77"/>
      <c r="BL45" s="77"/>
      <c r="BM45" s="76"/>
      <c r="BN45" s="80"/>
      <c r="BO45" s="77"/>
      <c r="BP45" s="77"/>
      <c r="BQ45" s="77"/>
      <c r="BR45" s="76"/>
      <c r="BS45" s="80"/>
      <c r="BT45" s="77"/>
      <c r="BU45" s="77"/>
      <c r="BV45" s="77"/>
      <c r="BW45" s="76"/>
      <c r="BX45" s="80"/>
      <c r="BY45" s="80"/>
      <c r="BZ45" s="80"/>
      <c r="CA45" s="80"/>
      <c r="CB45" s="76"/>
      <c r="CC45" s="1864"/>
      <c r="CD45" s="1864"/>
      <c r="CE45" s="1864"/>
      <c r="CF45" s="77"/>
      <c r="CG45" s="76"/>
      <c r="CH45" s="77"/>
      <c r="CI45" s="77"/>
      <c r="CJ45" s="77"/>
      <c r="CK45" s="77"/>
      <c r="CL45" s="76"/>
      <c r="CM45" s="80"/>
      <c r="CN45" s="77"/>
      <c r="CO45" s="77"/>
      <c r="CP45" s="77"/>
      <c r="CQ45" s="76"/>
      <c r="CR45" s="80"/>
      <c r="CS45" s="77"/>
      <c r="CT45" s="77"/>
      <c r="CU45" s="77"/>
      <c r="CV45" s="76"/>
      <c r="CW45" s="80"/>
      <c r="CX45" s="77"/>
      <c r="CY45" s="77"/>
      <c r="CZ45" s="77"/>
      <c r="DA45" s="76"/>
      <c r="DB45" s="80"/>
      <c r="DC45" s="77"/>
      <c r="DD45" s="77"/>
      <c r="DE45" s="77"/>
      <c r="DF45" s="76"/>
    </row>
    <row r="46" spans="1:118" ht="12" hidden="1" customHeight="1" outlineLevel="1" thickBot="1" x14ac:dyDescent="0.25">
      <c r="A46" s="77"/>
      <c r="B46" s="733" t="s">
        <v>329</v>
      </c>
      <c r="C46" s="81"/>
      <c r="D46" s="385"/>
      <c r="E46" s="385">
        <f>76.392*4*2</f>
        <v>611.13599999999997</v>
      </c>
      <c r="F46" s="83">
        <f>77.54*4*2</f>
        <v>620.32000000000005</v>
      </c>
      <c r="G46" s="83">
        <f>78.01*4*2</f>
        <v>624.08000000000004</v>
      </c>
      <c r="H46" s="83">
        <f>78.382*4*2</f>
        <v>627.05600000000004</v>
      </c>
      <c r="I46" s="83">
        <f>77.478*4*2</f>
        <v>619.82399999999996</v>
      </c>
      <c r="J46" s="385">
        <f>77.857*4*2</f>
        <v>622.85599999999999</v>
      </c>
      <c r="K46" s="83">
        <f>77.686*4*2</f>
        <v>621.48800000000006</v>
      </c>
      <c r="L46" s="83">
        <f>78.367*4*2</f>
        <v>626.93600000000004</v>
      </c>
      <c r="M46" s="83">
        <f>77.829*4*2</f>
        <v>622.63199999999995</v>
      </c>
      <c r="N46" s="83">
        <f>77.584*4*2</f>
        <v>620.67200000000003</v>
      </c>
      <c r="O46" s="385">
        <f>77.866*4*2</f>
        <v>622.928</v>
      </c>
      <c r="P46" s="83">
        <f>77.547*4*2</f>
        <v>620.37599999999998</v>
      </c>
      <c r="Q46" s="83">
        <f>78.366*4*2</f>
        <v>626.928</v>
      </c>
      <c r="R46" s="83">
        <f>78.666*4*2</f>
        <v>629.32799999999997</v>
      </c>
      <c r="S46" s="83">
        <f>77.365*4*2</f>
        <v>618.91999999999996</v>
      </c>
      <c r="T46" s="385">
        <f>77.83*4*2</f>
        <v>622.64</v>
      </c>
      <c r="U46" s="83">
        <f>77.333*4*2</f>
        <v>618.66399999999999</v>
      </c>
      <c r="V46" s="83">
        <f>154.508*2*2</f>
        <v>618.03200000000004</v>
      </c>
      <c r="W46" s="83">
        <f>152.252*2*2</f>
        <v>609.00800000000004</v>
      </c>
      <c r="X46" s="83">
        <f>150*2*2</f>
        <v>600</v>
      </c>
      <c r="Y46" s="385">
        <f>153*2*2</f>
        <v>612</v>
      </c>
      <c r="Z46" s="83">
        <f>147.3*2*2</f>
        <v>589.20000000000005</v>
      </c>
      <c r="AA46" s="83">
        <f>148.2*2*2</f>
        <v>592.79999999999995</v>
      </c>
      <c r="AB46" s="83">
        <f>146.3*2*2</f>
        <v>585.20000000000005</v>
      </c>
      <c r="AC46" s="83">
        <f>145.5*2*2</f>
        <v>582</v>
      </c>
      <c r="AD46" s="385">
        <f>146.8*2*2</f>
        <v>587.20000000000005</v>
      </c>
      <c r="AE46" s="83">
        <f>146.5*2</f>
        <v>293</v>
      </c>
      <c r="AF46" s="83">
        <f>282.4*2</f>
        <v>564.79999999999995</v>
      </c>
      <c r="AG46" s="83">
        <f>272.2*2</f>
        <v>544.4</v>
      </c>
      <c r="AH46" s="83">
        <f>271*2</f>
        <v>542</v>
      </c>
      <c r="AI46" s="385">
        <f>279.6*2</f>
        <v>559.20000000000005</v>
      </c>
      <c r="AJ46" s="83">
        <f>271.6*2</f>
        <v>543.20000000000005</v>
      </c>
      <c r="AK46" s="83">
        <f>263.6*2</f>
        <v>527.20000000000005</v>
      </c>
      <c r="AL46" s="83">
        <f>254.2*2</f>
        <v>508.4</v>
      </c>
      <c r="AM46" s="83">
        <f>252.3*2</f>
        <v>504.6</v>
      </c>
      <c r="AN46" s="385">
        <f>260.4*2</f>
        <v>520.79999999999995</v>
      </c>
      <c r="AO46" s="373">
        <f>252.3*2</f>
        <v>504.6</v>
      </c>
      <c r="AP46" s="373">
        <f>248.7*2</f>
        <v>497.4</v>
      </c>
      <c r="AQ46" s="83">
        <f>247.1*2</f>
        <v>494.2</v>
      </c>
      <c r="AR46" s="83">
        <f>247.6*2</f>
        <v>495.2</v>
      </c>
      <c r="AS46" s="385">
        <f>248.9*2</f>
        <v>497.8</v>
      </c>
      <c r="AT46" s="373">
        <f>247.6*2</f>
        <v>495.2</v>
      </c>
      <c r="AU46" s="373">
        <f>256.6*2</f>
        <v>513.20000000000005</v>
      </c>
      <c r="AV46" s="83">
        <f>274.5*2</f>
        <v>549</v>
      </c>
      <c r="AW46" s="83">
        <f>274.9*2</f>
        <v>549.79999999999995</v>
      </c>
      <c r="AX46" s="82">
        <f>+AVERAGE(AT46:AW46)</f>
        <v>526.79999999999995</v>
      </c>
      <c r="AY46" s="83">
        <f>274.9*2</f>
        <v>549.79999999999995</v>
      </c>
      <c r="AZ46" s="83">
        <v>544.5</v>
      </c>
      <c r="BA46" s="373">
        <v>531.70000000000005</v>
      </c>
      <c r="BB46" s="83">
        <v>527.5</v>
      </c>
      <c r="BC46" s="82">
        <f>+AVERAGE(AY46:BB46)</f>
        <v>538.375</v>
      </c>
      <c r="BD46" s="83">
        <v>529</v>
      </c>
      <c r="BE46" s="83">
        <v>502.6</v>
      </c>
      <c r="BF46" s="83">
        <v>487.2</v>
      </c>
      <c r="BG46" s="83">
        <v>485.3</v>
      </c>
      <c r="BH46" s="82">
        <f>+AVERAGE(BD46:BG46)</f>
        <v>501.02499999999998</v>
      </c>
      <c r="BI46" s="83">
        <v>485.3</v>
      </c>
      <c r="BJ46" s="83">
        <v>807.8</v>
      </c>
      <c r="BK46" s="83">
        <v>812.9</v>
      </c>
      <c r="BL46" s="83">
        <v>817.3</v>
      </c>
      <c r="BM46" s="385">
        <v>731.3</v>
      </c>
      <c r="BN46" s="83">
        <v>818.7</v>
      </c>
      <c r="BO46" s="83">
        <v>815.2</v>
      </c>
      <c r="BP46" s="83">
        <v>810.2</v>
      </c>
      <c r="BQ46" s="83">
        <v>790.7</v>
      </c>
      <c r="BR46" s="82">
        <f>+AVERAGE(BN46:BQ46)</f>
        <v>808.7</v>
      </c>
      <c r="BS46" s="83">
        <v>775.4</v>
      </c>
      <c r="BT46" s="83">
        <v>758.1</v>
      </c>
      <c r="BU46" s="83">
        <v>738.1</v>
      </c>
      <c r="BV46" s="83">
        <f>AVERAGE(BU48:BV48)</f>
        <v>728.8599999999999</v>
      </c>
      <c r="BW46" s="82">
        <f>+AVERAGE(BS46:BV46)</f>
        <v>750.11500000000001</v>
      </c>
      <c r="BX46" s="83">
        <v>728.4</v>
      </c>
      <c r="BY46" s="83">
        <v>675.4</v>
      </c>
      <c r="BZ46" s="83">
        <v>676.3</v>
      </c>
      <c r="CA46" s="83">
        <v>676.8</v>
      </c>
      <c r="CB46" s="82">
        <v>689</v>
      </c>
      <c r="CC46" s="83">
        <v>645</v>
      </c>
      <c r="CD46" s="83">
        <v>631.29999999999995</v>
      </c>
      <c r="CE46" s="83">
        <v>631.29999999999995</v>
      </c>
      <c r="CF46" s="83">
        <v>609.1</v>
      </c>
      <c r="CG46" s="82">
        <f>+AVERAGE(CC46:CF46)</f>
        <v>629.17499999999995</v>
      </c>
      <c r="CH46" s="83">
        <v>601</v>
      </c>
      <c r="CI46" s="83">
        <v>582.9</v>
      </c>
      <c r="CJ46" s="83">
        <v>571.79999999999995</v>
      </c>
      <c r="CK46" s="83">
        <v>565</v>
      </c>
      <c r="CL46" s="82">
        <f>+AVERAGE(CH46:CK46)</f>
        <v>580.17499999999995</v>
      </c>
      <c r="CM46" s="84">
        <f>AVERAGE(CL48:CM48)</f>
        <v>563.04829870129868</v>
      </c>
      <c r="CN46" s="84">
        <f>AVERAGE(CM48:CN48)</f>
        <v>561.74959740259737</v>
      </c>
      <c r="CO46" s="84">
        <f>AVERAGE(CN48:CO48)</f>
        <v>561.74959740259737</v>
      </c>
      <c r="CP46" s="84">
        <f>AVERAGE(CO48:CP48)</f>
        <v>561.74959740259737</v>
      </c>
      <c r="CQ46" s="82">
        <f>+AVERAGE(CM46:CP46)</f>
        <v>562.07427272727273</v>
      </c>
      <c r="CR46" s="84">
        <f>AVERAGE(CQ48:CR48)</f>
        <v>561.74959740259737</v>
      </c>
      <c r="CS46" s="84">
        <f>AVERAGE(CR48:CS48)</f>
        <v>561.74959740259737</v>
      </c>
      <c r="CT46" s="84">
        <f>AVERAGE(CS48:CT48)</f>
        <v>561.74959740259737</v>
      </c>
      <c r="CU46" s="84">
        <f>AVERAGE(CT48:CU48)</f>
        <v>561.74959740259737</v>
      </c>
      <c r="CV46" s="82">
        <f>+AVERAGE(CR46:CU46)</f>
        <v>561.74959740259737</v>
      </c>
      <c r="CW46" s="84">
        <f>AVERAGE(CV48:CW48)</f>
        <v>561.74959740259737</v>
      </c>
      <c r="CX46" s="84">
        <f>AVERAGE(CW48:CX48)</f>
        <v>561.74959740259737</v>
      </c>
      <c r="CY46" s="84">
        <f>AVERAGE(CX48:CY48)</f>
        <v>561.74959740259737</v>
      </c>
      <c r="CZ46" s="84">
        <f>AVERAGE(CY48:CZ48)</f>
        <v>561.74959740259737</v>
      </c>
      <c r="DA46" s="82">
        <f>+AVERAGE(CW46:CZ46)</f>
        <v>561.74959740259737</v>
      </c>
      <c r="DB46" s="84">
        <f>AVERAGE(DA48:DB48)</f>
        <v>561.74959740259737</v>
      </c>
      <c r="DC46" s="84">
        <f>AVERAGE(DB48:DC48)</f>
        <v>561.74959740259737</v>
      </c>
      <c r="DD46" s="84">
        <f>AVERAGE(DC48:DD48)</f>
        <v>561.74959740259737</v>
      </c>
      <c r="DE46" s="84">
        <f>AVERAGE(DD48:DE48)</f>
        <v>561.74959740259737</v>
      </c>
      <c r="DF46" s="82">
        <f>+AVERAGE(DB46:DE46)</f>
        <v>561.74959740259737</v>
      </c>
    </row>
    <row r="47" spans="1:118" ht="13.5" customHeight="1" collapsed="1" thickBot="1" x14ac:dyDescent="0.25">
      <c r="A47" s="77"/>
      <c r="B47" s="733" t="s">
        <v>330</v>
      </c>
      <c r="C47" s="1447"/>
      <c r="D47" s="385"/>
      <c r="E47" s="385">
        <f>76.392*4*2</f>
        <v>611.13599999999997</v>
      </c>
      <c r="F47" s="83">
        <f>79.634*4*2</f>
        <v>637.072</v>
      </c>
      <c r="G47" s="83">
        <f>80.128*4*2</f>
        <v>641.024</v>
      </c>
      <c r="H47" s="83">
        <f>80.612*4*2</f>
        <v>644.89599999999996</v>
      </c>
      <c r="I47" s="83">
        <f>79.185*4*2</f>
        <v>633.48</v>
      </c>
      <c r="J47" s="385">
        <f>79.827*4*2</f>
        <v>638.61599999999999</v>
      </c>
      <c r="K47" s="83">
        <f>79.575*4*2</f>
        <v>636.6</v>
      </c>
      <c r="L47" s="83">
        <f>80.277*4*2</f>
        <v>642.21600000000001</v>
      </c>
      <c r="M47" s="83">
        <f>79.449*4*2</f>
        <v>635.59199999999998</v>
      </c>
      <c r="N47" s="83">
        <f>79.255*4*2</f>
        <v>634.04</v>
      </c>
      <c r="O47" s="385">
        <f>79.667*4*2</f>
        <v>637.33600000000001</v>
      </c>
      <c r="P47" s="83">
        <f>79.075*4*2</f>
        <v>632.6</v>
      </c>
      <c r="Q47" s="83">
        <f>320.084*2</f>
        <v>640.16800000000001</v>
      </c>
      <c r="R47" s="83">
        <f>80.023*4*2</f>
        <v>640.18399999999997</v>
      </c>
      <c r="S47" s="83">
        <f>78.513*4*2</f>
        <v>628.10400000000004</v>
      </c>
      <c r="T47" s="385">
        <f>78.928*4*2</f>
        <v>631.42399999999998</v>
      </c>
      <c r="U47" s="83">
        <f>78.571*4*2</f>
        <v>628.56799999999998</v>
      </c>
      <c r="V47" s="83">
        <f>157.104*2*2</f>
        <v>628.41600000000005</v>
      </c>
      <c r="W47" s="83">
        <f>154.354*2*2</f>
        <v>617.41600000000005</v>
      </c>
      <c r="X47" s="83">
        <f>303.764*2</f>
        <v>607.52800000000002</v>
      </c>
      <c r="Y47" s="385">
        <f>155*2*2</f>
        <v>620</v>
      </c>
      <c r="Z47" s="83">
        <f>149.3*2*2</f>
        <v>597.20000000000005</v>
      </c>
      <c r="AA47" s="83">
        <f>150.5*2*2</f>
        <v>602</v>
      </c>
      <c r="AB47" s="83">
        <f>148.9*2*2</f>
        <v>595.6</v>
      </c>
      <c r="AC47" s="83">
        <f>148.4*2*2</f>
        <v>593.6</v>
      </c>
      <c r="AD47" s="385">
        <f>149.5*2*2</f>
        <v>598</v>
      </c>
      <c r="AE47" s="83">
        <f>149.1*2</f>
        <v>298.2</v>
      </c>
      <c r="AF47" s="83">
        <f>286.8*2</f>
        <v>573.6</v>
      </c>
      <c r="AG47" s="83">
        <f>276.4*2</f>
        <v>552.79999999999995</v>
      </c>
      <c r="AH47" s="83">
        <f>274.8*2</f>
        <v>549.6</v>
      </c>
      <c r="AI47" s="385">
        <f>284*2</f>
        <v>568</v>
      </c>
      <c r="AJ47" s="83">
        <f>275.4*2</f>
        <v>550.79999999999995</v>
      </c>
      <c r="AK47" s="83">
        <f>267*2</f>
        <v>534</v>
      </c>
      <c r="AL47" s="83">
        <f>257.3*2</f>
        <v>514.6</v>
      </c>
      <c r="AM47" s="83">
        <f>256*2</f>
        <v>512</v>
      </c>
      <c r="AN47" s="385">
        <f>264*2</f>
        <v>528</v>
      </c>
      <c r="AO47" s="373">
        <f>255.7*2</f>
        <v>511.4</v>
      </c>
      <c r="AP47" s="373">
        <f>252*2</f>
        <v>504</v>
      </c>
      <c r="AQ47" s="83">
        <f>250.3*2</f>
        <v>500.6</v>
      </c>
      <c r="AR47" s="83">
        <f>249.9*2</f>
        <v>499.8</v>
      </c>
      <c r="AS47" s="385">
        <f>251.8*2</f>
        <v>503.6</v>
      </c>
      <c r="AT47" s="373">
        <f>249.3*2</f>
        <v>498.6</v>
      </c>
      <c r="AU47" s="373">
        <f>258.8*2</f>
        <v>517.6</v>
      </c>
      <c r="AV47" s="83">
        <f>277.2*2</f>
        <v>554.4</v>
      </c>
      <c r="AW47" s="83">
        <f>278.1*2</f>
        <v>556.20000000000005</v>
      </c>
      <c r="AX47" s="82">
        <f>+AVERAGE(AT47:AW47)</f>
        <v>531.70000000000005</v>
      </c>
      <c r="AY47" s="83">
        <f>277.9*2</f>
        <v>555.79999999999995</v>
      </c>
      <c r="AZ47" s="83">
        <v>550.1</v>
      </c>
      <c r="BA47" s="373">
        <v>537</v>
      </c>
      <c r="BB47" s="83">
        <v>532.9</v>
      </c>
      <c r="BC47" s="82">
        <f>+AVERAGE(AY47:BB47)</f>
        <v>543.95000000000005</v>
      </c>
      <c r="BD47" s="83">
        <v>533.9</v>
      </c>
      <c r="BE47" s="83">
        <v>507</v>
      </c>
      <c r="BF47" s="83">
        <v>490.8</v>
      </c>
      <c r="BG47" s="83">
        <v>489</v>
      </c>
      <c r="BH47" s="82">
        <f>+AVERAGE(BD47:BG47)</f>
        <v>505.17500000000001</v>
      </c>
      <c r="BI47" s="83">
        <v>489.7</v>
      </c>
      <c r="BJ47" s="83">
        <v>823.9</v>
      </c>
      <c r="BK47" s="83">
        <v>829.6</v>
      </c>
      <c r="BL47" s="83">
        <v>832.4</v>
      </c>
      <c r="BM47" s="385">
        <v>747.3</v>
      </c>
      <c r="BN47" s="83">
        <v>832.5</v>
      </c>
      <c r="BO47" s="83">
        <v>828.4</v>
      </c>
      <c r="BP47" s="83">
        <v>822.9</v>
      </c>
      <c r="BQ47" s="83">
        <v>802.6</v>
      </c>
      <c r="BR47" s="82">
        <f>+AVERAGE(BN47:BQ47)</f>
        <v>821.6</v>
      </c>
      <c r="BS47" s="83">
        <v>786.4</v>
      </c>
      <c r="BT47" s="83">
        <v>766.5</v>
      </c>
      <c r="BU47" s="83">
        <v>746</v>
      </c>
      <c r="BV47" s="83">
        <v>737.9</v>
      </c>
      <c r="BW47" s="82">
        <f>+AVERAGE(BS47:BV47)</f>
        <v>759.2</v>
      </c>
      <c r="BX47" s="83">
        <v>735.4</v>
      </c>
      <c r="BY47" s="83">
        <v>681.4</v>
      </c>
      <c r="BZ47" s="83">
        <v>682.2</v>
      </c>
      <c r="CA47" s="83">
        <v>682.7</v>
      </c>
      <c r="CB47" s="82">
        <v>695.3</v>
      </c>
      <c r="CC47" s="83">
        <v>649.70000000000005</v>
      </c>
      <c r="CD47" s="83">
        <v>635.70000000000005</v>
      </c>
      <c r="CE47" s="83">
        <v>627.1</v>
      </c>
      <c r="CF47" s="83">
        <v>613.5</v>
      </c>
      <c r="CG47" s="82">
        <f>+AVERAGE(CC47:CF47)</f>
        <v>631.5</v>
      </c>
      <c r="CH47" s="83">
        <v>605.1</v>
      </c>
      <c r="CI47" s="83">
        <v>585.6</v>
      </c>
      <c r="CJ47" s="83">
        <v>574.70000000000005</v>
      </c>
      <c r="CK47" s="83">
        <v>568.4</v>
      </c>
      <c r="CL47" s="82">
        <f>+AVERAGE(CH47:CK47)</f>
        <v>583.45000000000005</v>
      </c>
      <c r="CM47" s="84">
        <f>CK47/CK46*CM46</f>
        <v>566.4365539501207</v>
      </c>
      <c r="CN47" s="84">
        <f>CM47/CM46*CN46</f>
        <v>565.13003745776348</v>
      </c>
      <c r="CO47" s="84">
        <f>CN47/CN46*CO46</f>
        <v>565.13003745776348</v>
      </c>
      <c r="CP47" s="84">
        <f>CO47/CO46*CP46</f>
        <v>565.13003745776348</v>
      </c>
      <c r="CQ47" s="82">
        <f>+AVERAGE(CM47:CP47)</f>
        <v>565.45666658085281</v>
      </c>
      <c r="CR47" s="84">
        <f>CP47/CP46*CR46</f>
        <v>565.13003745776348</v>
      </c>
      <c r="CS47" s="84">
        <f>CR47/CR46*CS46</f>
        <v>565.13003745776348</v>
      </c>
      <c r="CT47" s="84">
        <f>CS47/CS46*CT46</f>
        <v>565.13003745776348</v>
      </c>
      <c r="CU47" s="84">
        <f>CT47/CT46*CU46</f>
        <v>565.13003745776348</v>
      </c>
      <c r="CV47" s="82">
        <f>+AVERAGE(CR47:CU47)</f>
        <v>565.13003745776348</v>
      </c>
      <c r="CW47" s="84">
        <f>CU47/CU46*CW46</f>
        <v>565.13003745776348</v>
      </c>
      <c r="CX47" s="84">
        <f>CW47/CW46*CX46</f>
        <v>565.13003745776348</v>
      </c>
      <c r="CY47" s="84">
        <f>CX47/CX46*CY46</f>
        <v>565.13003745776348</v>
      </c>
      <c r="CZ47" s="84">
        <f>CY47/CY46*CZ46</f>
        <v>565.13003745776348</v>
      </c>
      <c r="DA47" s="82">
        <f>+AVERAGE(CW47:CZ47)</f>
        <v>565.13003745776348</v>
      </c>
      <c r="DB47" s="84">
        <f>CZ47/CZ46*DB46</f>
        <v>565.13003745776348</v>
      </c>
      <c r="DC47" s="84">
        <f>DB47/DB46*DC46</f>
        <v>565.13003745776348</v>
      </c>
      <c r="DD47" s="84">
        <f>DC47/DC46*DD46</f>
        <v>565.13003745776348</v>
      </c>
      <c r="DE47" s="84">
        <f>DD47/DD46*DE46</f>
        <v>565.13003745776348</v>
      </c>
      <c r="DF47" s="82">
        <f>+AVERAGE(DB47:DE47)</f>
        <v>565.13003745776348</v>
      </c>
    </row>
    <row r="48" spans="1:118" s="77" customFormat="1" ht="12" hidden="1" customHeight="1" outlineLevel="1" thickBot="1" x14ac:dyDescent="0.25">
      <c r="A48" s="1"/>
      <c r="B48" s="738" t="s">
        <v>241</v>
      </c>
      <c r="C48" s="105"/>
      <c r="D48" s="1432"/>
      <c r="E48" s="1432">
        <f>312.352*2</f>
        <v>624.70399999999995</v>
      </c>
      <c r="F48" s="1433">
        <f>313.096*2</f>
        <v>626.19200000000001</v>
      </c>
      <c r="G48" s="1434">
        <f>78.748*4*2</f>
        <v>629.98400000000004</v>
      </c>
      <c r="H48" s="1434">
        <f>79.26*4*2</f>
        <v>634.08000000000004</v>
      </c>
      <c r="I48" s="1435">
        <f>79.23*4*2</f>
        <v>633.84</v>
      </c>
      <c r="J48" s="1436">
        <f>I48</f>
        <v>633.84</v>
      </c>
      <c r="K48" s="1433">
        <f>79.25*4*2</f>
        <v>634</v>
      </c>
      <c r="L48" s="1434">
        <f>79.796*4*2</f>
        <v>638.36800000000005</v>
      </c>
      <c r="M48" s="1434">
        <f>79.817*4*2</f>
        <v>638.53599999999994</v>
      </c>
      <c r="N48" s="1435">
        <f>79.834*4*2</f>
        <v>638.67200000000003</v>
      </c>
      <c r="O48" s="1437">
        <f>N48</f>
        <v>638.67200000000003</v>
      </c>
      <c r="P48" s="1434">
        <f>79.784*4*2</f>
        <v>638.27200000000005</v>
      </c>
      <c r="Q48" s="1434">
        <f>79.798*4*2</f>
        <v>638.38400000000001</v>
      </c>
      <c r="R48" s="1434">
        <f>79.777*4*2</f>
        <v>638.21600000000001</v>
      </c>
      <c r="S48" s="1434">
        <f>79.795*4*2</f>
        <v>638.36</v>
      </c>
      <c r="T48" s="109">
        <f>S48</f>
        <v>638.36</v>
      </c>
      <c r="U48" s="1434">
        <f>7978600*4/100000*2</f>
        <v>638.28800000000001</v>
      </c>
      <c r="V48" s="1434">
        <f>79.782*4*2</f>
        <v>638.25599999999997</v>
      </c>
      <c r="W48" s="1434">
        <f>79.77*4*2</f>
        <v>638.16</v>
      </c>
      <c r="X48" s="1434">
        <f>79.787*4*2</f>
        <v>638.29600000000005</v>
      </c>
      <c r="Y48" s="109">
        <f>X48</f>
        <v>638.29600000000005</v>
      </c>
      <c r="Z48" s="1434">
        <f>74.179*4*2</f>
        <v>593.43200000000002</v>
      </c>
      <c r="AA48" s="1434">
        <f>148.629*2*2</f>
        <v>594.51599999999996</v>
      </c>
      <c r="AB48" s="1434">
        <f>145.634*2*2</f>
        <v>582.53599999999994</v>
      </c>
      <c r="AC48" s="1434">
        <f>145.993*2*2</f>
        <v>583.97199999999998</v>
      </c>
      <c r="AD48" s="109">
        <f>AC48</f>
        <v>583.97199999999998</v>
      </c>
      <c r="AE48" s="1434">
        <f>147.028*2</f>
        <v>294.05599999999998</v>
      </c>
      <c r="AF48" s="1434">
        <f>137.749*2*2</f>
        <v>550.99599999999998</v>
      </c>
      <c r="AG48" s="1434">
        <f>135.437*2*2</f>
        <v>541.74800000000005</v>
      </c>
      <c r="AH48" s="1434">
        <f>135.65*2*2</f>
        <v>542.6</v>
      </c>
      <c r="AI48" s="109">
        <f>AH48</f>
        <v>542.6</v>
      </c>
      <c r="AJ48" s="1434">
        <f>136.215*2*2</f>
        <v>544.86</v>
      </c>
      <c r="AK48" s="1434">
        <f>257.851*2</f>
        <v>515.702</v>
      </c>
      <c r="AL48" s="1434">
        <f>252.044*2</f>
        <v>504.08800000000002</v>
      </c>
      <c r="AM48" s="1434">
        <f>252.371*2</f>
        <v>504.74200000000002</v>
      </c>
      <c r="AN48" s="109">
        <f>AM48</f>
        <v>504.74200000000002</v>
      </c>
      <c r="AO48" s="1438">
        <f>251.145*2</f>
        <v>502.29</v>
      </c>
      <c r="AP48" s="1438">
        <f>246.627*2</f>
        <v>493.25400000000002</v>
      </c>
      <c r="AQ48" s="1434">
        <f>247.459*2</f>
        <v>494.91800000000001</v>
      </c>
      <c r="AR48" s="1434">
        <f>247.649*2</f>
        <v>495.298</v>
      </c>
      <c r="AS48" s="109">
        <f>AR48</f>
        <v>495.298</v>
      </c>
      <c r="AT48" s="1438">
        <f>247.829*2</f>
        <v>495.65800000000002</v>
      </c>
      <c r="AU48" s="1438">
        <f>274.415*2</f>
        <v>548.83000000000004</v>
      </c>
      <c r="AV48" s="1438">
        <f>274.72*2</f>
        <v>549.44000000000005</v>
      </c>
      <c r="AW48" s="1434">
        <f>275.007*2</f>
        <v>550.01400000000001</v>
      </c>
      <c r="AX48" s="109">
        <f>AW48</f>
        <v>550.01400000000001</v>
      </c>
      <c r="AY48" s="1434">
        <f>274.048*2</f>
        <v>548.096</v>
      </c>
      <c r="AZ48" s="1434">
        <v>542.41200000000003</v>
      </c>
      <c r="BA48" s="1438">
        <v>526.21100000000001</v>
      </c>
      <c r="BB48" s="1438">
        <f>528.069</f>
        <v>528.06899999999996</v>
      </c>
      <c r="BC48" s="109">
        <f>BB48</f>
        <v>528.06899999999996</v>
      </c>
      <c r="BD48" s="1434">
        <v>529.45399999999995</v>
      </c>
      <c r="BE48" s="1434">
        <v>488.20499999999998</v>
      </c>
      <c r="BF48" s="83">
        <v>486.50799999999998</v>
      </c>
      <c r="BG48" s="83">
        <v>484.58199999999999</v>
      </c>
      <c r="BH48" s="109">
        <f>BG48</f>
        <v>484.58199999999999</v>
      </c>
      <c r="BI48" s="1434">
        <v>485.7</v>
      </c>
      <c r="BJ48" s="1434">
        <v>809.6</v>
      </c>
      <c r="BK48" s="1438">
        <v>809.6</v>
      </c>
      <c r="BL48" s="1434">
        <v>818.49900000000002</v>
      </c>
      <c r="BM48" s="1432">
        <f>BL48</f>
        <v>818.49900000000002</v>
      </c>
      <c r="BN48" s="1434">
        <v>817.529</v>
      </c>
      <c r="BO48" s="1434">
        <v>814.19799999999998</v>
      </c>
      <c r="BP48" s="1438">
        <v>805.8</v>
      </c>
      <c r="BQ48" s="1438">
        <v>773.6</v>
      </c>
      <c r="BR48" s="109">
        <f>BQ48</f>
        <v>773.6</v>
      </c>
      <c r="BS48" s="1434">
        <v>773.58</v>
      </c>
      <c r="BT48" s="1434">
        <v>745.4</v>
      </c>
      <c r="BU48" s="1434">
        <v>733.91</v>
      </c>
      <c r="BV48" s="492">
        <f>BU48-BV53</f>
        <v>723.81</v>
      </c>
      <c r="BW48" s="109">
        <f>BV48</f>
        <v>723.81</v>
      </c>
      <c r="BX48" s="1434">
        <v>729.3</v>
      </c>
      <c r="BY48" s="1434">
        <v>675.73099999999999</v>
      </c>
      <c r="BZ48" s="1434">
        <v>676.27599999999995</v>
      </c>
      <c r="CA48" s="1848">
        <v>674.47013200000004</v>
      </c>
      <c r="CB48" s="109">
        <f>CA48</f>
        <v>674.47013200000004</v>
      </c>
      <c r="CC48" s="1434">
        <v>632.53599999999994</v>
      </c>
      <c r="CD48" s="1434">
        <v>630.21900000000005</v>
      </c>
      <c r="CE48" s="1434">
        <v>630.21900000000005</v>
      </c>
      <c r="CF48" s="1434">
        <f>CE48-CF53</f>
        <v>618.51763013698633</v>
      </c>
      <c r="CG48" s="109">
        <f>CF48</f>
        <v>618.51763013698633</v>
      </c>
      <c r="CH48" s="1434">
        <v>593.52700000000004</v>
      </c>
      <c r="CI48" s="1434">
        <v>577.54899999999998</v>
      </c>
      <c r="CJ48" s="1434">
        <v>566.37300000000005</v>
      </c>
      <c r="CK48" s="1434">
        <v>564.34699999999998</v>
      </c>
      <c r="CL48" s="109">
        <f>CK48</f>
        <v>564.34699999999998</v>
      </c>
      <c r="CM48" s="492">
        <f>CK48-CM53</f>
        <v>561.74959740259737</v>
      </c>
      <c r="CN48" s="492">
        <f>CM48-CN53</f>
        <v>561.74959740259737</v>
      </c>
      <c r="CO48" s="492">
        <f>CN48-CO53</f>
        <v>561.74959740259737</v>
      </c>
      <c r="CP48" s="492">
        <f>CO48-CP53</f>
        <v>561.74959740259737</v>
      </c>
      <c r="CQ48" s="109">
        <f>CP48</f>
        <v>561.74959740259737</v>
      </c>
      <c r="CR48" s="492">
        <f>CP48-CR53</f>
        <v>561.74959740259737</v>
      </c>
      <c r="CS48" s="492">
        <f>CR48-CS53</f>
        <v>561.74959740259737</v>
      </c>
      <c r="CT48" s="492">
        <f>CS48-CT53</f>
        <v>561.74959740259737</v>
      </c>
      <c r="CU48" s="492">
        <f>CT48-CU53</f>
        <v>561.74959740259737</v>
      </c>
      <c r="CV48" s="109">
        <f>CU48</f>
        <v>561.74959740259737</v>
      </c>
      <c r="CW48" s="492">
        <f>CU48-CW53</f>
        <v>561.74959740259737</v>
      </c>
      <c r="CX48" s="492">
        <f>CW48-CX53</f>
        <v>561.74959740259737</v>
      </c>
      <c r="CY48" s="492">
        <f>CX48-CY53</f>
        <v>561.74959740259737</v>
      </c>
      <c r="CZ48" s="492">
        <f>CY48-CZ53</f>
        <v>561.74959740259737</v>
      </c>
      <c r="DA48" s="109">
        <f>CZ48</f>
        <v>561.74959740259737</v>
      </c>
      <c r="DB48" s="492">
        <f>CZ48-DB53</f>
        <v>561.74959740259737</v>
      </c>
      <c r="DC48" s="492">
        <f>DB48-DC53</f>
        <v>561.74959740259737</v>
      </c>
      <c r="DD48" s="492">
        <f>DC48-DD53</f>
        <v>561.74959740259737</v>
      </c>
      <c r="DE48" s="492">
        <f>DD48-DE53</f>
        <v>561.74959740259737</v>
      </c>
      <c r="DF48" s="109">
        <f>DE48</f>
        <v>561.74959740259737</v>
      </c>
      <c r="DG48"/>
      <c r="DH48"/>
      <c r="DI48"/>
      <c r="DJ48"/>
      <c r="DK48"/>
      <c r="DL48"/>
      <c r="DM48"/>
      <c r="DN48"/>
    </row>
    <row r="49" spans="1:122" s="77" customFormat="1" ht="13.5" collapsed="1" thickBot="1" x14ac:dyDescent="0.25">
      <c r="A49" s="1"/>
      <c r="B49" s="734"/>
      <c r="C49" s="85"/>
      <c r="D49" s="19"/>
      <c r="E49" s="19"/>
      <c r="F49" s="19"/>
      <c r="G49" s="19"/>
      <c r="H49" s="19"/>
      <c r="I49" s="19"/>
      <c r="J49" s="19"/>
      <c r="K49" s="19"/>
      <c r="L49" s="19"/>
      <c r="M49" s="19"/>
      <c r="N49" s="19"/>
      <c r="O49" s="19"/>
      <c r="P49" s="19"/>
      <c r="Q49" s="19"/>
      <c r="R49" s="19"/>
      <c r="S49" s="19"/>
      <c r="T49" s="19"/>
      <c r="U49" s="19"/>
      <c r="V49" s="19"/>
      <c r="W49" s="19"/>
      <c r="X49" s="26"/>
      <c r="Y49" s="26"/>
      <c r="Z49" s="86"/>
      <c r="AA49" s="86"/>
      <c r="AB49" s="86"/>
      <c r="AC49" s="86"/>
      <c r="AD49" s="26"/>
      <c r="AE49" s="87"/>
      <c r="AF49" s="87"/>
      <c r="AG49" s="87"/>
      <c r="AH49" s="87"/>
      <c r="AI49" s="26"/>
      <c r="AJ49" s="87"/>
      <c r="AK49" s="87"/>
      <c r="AL49" s="87"/>
      <c r="AM49" s="87"/>
      <c r="AN49" s="26"/>
      <c r="AO49" s="183"/>
      <c r="AP49" s="183"/>
      <c r="AQ49" s="87"/>
      <c r="AR49" s="87"/>
      <c r="AS49" s="26"/>
      <c r="AT49" s="183"/>
      <c r="AU49" s="183"/>
      <c r="AV49" s="87"/>
      <c r="AW49" s="87"/>
      <c r="AX49" s="26"/>
      <c r="AY49" s="87"/>
      <c r="AZ49" s="87"/>
      <c r="BA49" s="87"/>
      <c r="BB49" s="87"/>
      <c r="BC49" s="26"/>
      <c r="BD49" s="47"/>
      <c r="BE49" s="87"/>
      <c r="BF49" s="87"/>
      <c r="BG49" s="87"/>
      <c r="BH49" s="26"/>
      <c r="BI49" s="87"/>
      <c r="BJ49" s="87"/>
      <c r="BK49" s="87"/>
      <c r="BL49" s="87"/>
      <c r="BM49" s="26"/>
      <c r="BN49" s="87"/>
      <c r="BO49" s="87"/>
      <c r="BP49" s="87"/>
      <c r="BQ49" s="87"/>
      <c r="BR49" s="42"/>
      <c r="BS49" s="87"/>
      <c r="BT49" s="87"/>
      <c r="BU49" s="87"/>
      <c r="BV49" s="87"/>
      <c r="BW49" s="26"/>
      <c r="BX49" s="1779"/>
      <c r="BY49" s="1779"/>
      <c r="BZ49" s="1779"/>
      <c r="CA49" s="1779"/>
      <c r="CB49" s="1779"/>
      <c r="CC49" s="1779"/>
      <c r="CD49" s="1779"/>
      <c r="CE49" s="1779"/>
      <c r="CF49" s="87"/>
      <c r="CG49" s="1779"/>
      <c r="CH49" s="87"/>
      <c r="CI49" s="87"/>
      <c r="CJ49" s="87"/>
      <c r="CK49" s="87">
        <f>CK25-1229</f>
        <v>0</v>
      </c>
      <c r="CL49" s="26"/>
      <c r="CM49" s="1838"/>
      <c r="CN49" s="87"/>
      <c r="CO49" s="87"/>
      <c r="CP49" s="87"/>
      <c r="CQ49" s="26"/>
      <c r="CR49" s="1838"/>
      <c r="CS49" s="87"/>
      <c r="CT49" s="87"/>
      <c r="CU49" s="87"/>
      <c r="CV49" s="26" t="s">
        <v>23</v>
      </c>
      <c r="CW49" s="1838"/>
      <c r="CX49" s="87"/>
      <c r="CY49" s="87"/>
      <c r="CZ49" s="87"/>
      <c r="DA49" s="26"/>
      <c r="DB49" s="1838"/>
      <c r="DC49" s="87"/>
      <c r="DD49" s="87"/>
      <c r="DE49" s="87"/>
      <c r="DF49" s="26"/>
      <c r="DG49"/>
      <c r="DH49"/>
      <c r="DI49"/>
      <c r="DJ49"/>
      <c r="DK49"/>
      <c r="DL49"/>
      <c r="DM49"/>
      <c r="DN49"/>
    </row>
    <row r="50" spans="1:122" ht="12.75" hidden="1" customHeight="1" outlineLevel="1" x14ac:dyDescent="0.2">
      <c r="A50" s="10"/>
      <c r="B50" s="726" t="s">
        <v>81</v>
      </c>
      <c r="C50" s="89"/>
      <c r="D50" s="90"/>
      <c r="E50" s="90"/>
      <c r="F50" s="91"/>
      <c r="G50" s="91"/>
      <c r="H50" s="91"/>
      <c r="I50" s="91"/>
      <c r="J50" s="90"/>
      <c r="K50" s="91"/>
      <c r="L50" s="91"/>
      <c r="M50" s="91"/>
      <c r="N50" s="91"/>
      <c r="O50" s="90"/>
      <c r="P50" s="91"/>
      <c r="Q50" s="91"/>
      <c r="R50" s="91"/>
      <c r="S50" s="91"/>
      <c r="T50" s="90"/>
      <c r="U50" s="91"/>
      <c r="V50" s="91"/>
      <c r="W50" s="91"/>
      <c r="X50" s="91"/>
      <c r="Y50" s="92"/>
      <c r="Z50" s="93"/>
      <c r="AA50" s="93"/>
      <c r="AB50" s="93"/>
      <c r="AC50" s="93"/>
      <c r="AD50" s="92"/>
      <c r="AE50" s="93"/>
      <c r="AF50" s="93"/>
      <c r="AG50" s="93"/>
      <c r="AH50" s="94"/>
      <c r="AI50" s="92"/>
      <c r="AJ50" s="93"/>
      <c r="AK50" s="93"/>
      <c r="AL50" s="93"/>
      <c r="AM50" s="93"/>
      <c r="AN50" s="92"/>
      <c r="AO50" s="94"/>
      <c r="AP50" s="94"/>
      <c r="AQ50" s="93"/>
      <c r="AR50" s="93"/>
      <c r="AS50" s="92"/>
      <c r="AT50" s="94"/>
      <c r="AU50" s="94"/>
      <c r="AV50" s="93"/>
      <c r="AW50" s="93"/>
      <c r="AX50" s="92"/>
      <c r="AY50" s="93"/>
      <c r="AZ50" s="93"/>
      <c r="BA50" s="93"/>
      <c r="BB50" s="93"/>
      <c r="BC50" s="92"/>
      <c r="BD50" s="93"/>
      <c r="BE50" s="93"/>
      <c r="BF50" s="93"/>
      <c r="BG50" s="93"/>
      <c r="BH50" s="92"/>
      <c r="BI50" s="93"/>
      <c r="BJ50" s="93"/>
      <c r="BK50" s="93"/>
      <c r="BL50" s="93"/>
      <c r="BM50" s="92"/>
      <c r="BN50" s="93"/>
      <c r="BO50" s="93"/>
      <c r="BP50" s="93"/>
      <c r="BQ50" s="93"/>
      <c r="BR50" s="92"/>
      <c r="BS50" s="93"/>
      <c r="BT50" s="93"/>
      <c r="BU50" s="93"/>
      <c r="BV50" s="93"/>
      <c r="BW50" s="92"/>
      <c r="BX50" s="93"/>
      <c r="BY50" s="93"/>
      <c r="BZ50" s="93"/>
      <c r="CA50" s="93"/>
      <c r="CB50" s="92"/>
      <c r="CC50" s="93"/>
      <c r="CD50" s="93"/>
      <c r="CE50" s="93"/>
      <c r="CF50" s="93"/>
      <c r="CG50" s="92">
        <f>CG49/0.63</f>
        <v>0</v>
      </c>
      <c r="CH50" s="93"/>
      <c r="CI50" s="93"/>
      <c r="CJ50" s="93"/>
      <c r="CK50" s="93"/>
      <c r="CL50" s="92"/>
      <c r="CM50" s="93"/>
      <c r="CN50" s="93"/>
      <c r="CO50" s="93"/>
      <c r="CP50" s="93"/>
      <c r="CQ50" s="92"/>
      <c r="CR50" s="93"/>
      <c r="CS50" s="93"/>
      <c r="CT50" s="93"/>
      <c r="CU50" s="93"/>
      <c r="CV50" s="92"/>
      <c r="CW50" s="93"/>
      <c r="CX50" s="93"/>
      <c r="CY50" s="93"/>
      <c r="CZ50" s="93"/>
      <c r="DA50" s="92"/>
      <c r="DB50" s="93"/>
      <c r="DC50" s="93"/>
      <c r="DD50" s="93"/>
      <c r="DE50" s="93"/>
      <c r="DF50" s="92"/>
    </row>
    <row r="51" spans="1:122" ht="12.75" hidden="1" customHeight="1" outlineLevel="1" x14ac:dyDescent="0.2">
      <c r="B51" s="735" t="s">
        <v>82</v>
      </c>
      <c r="C51" s="85"/>
      <c r="D51" s="27"/>
      <c r="E51" s="27"/>
      <c r="F51" s="19"/>
      <c r="G51" s="19"/>
      <c r="H51" s="19"/>
      <c r="I51" s="19"/>
      <c r="J51" s="27"/>
      <c r="K51" s="19"/>
      <c r="L51" s="19"/>
      <c r="M51" s="19"/>
      <c r="N51" s="19"/>
      <c r="O51" s="27"/>
      <c r="P51" s="19"/>
      <c r="Q51" s="19"/>
      <c r="R51" s="19"/>
      <c r="S51" s="19"/>
      <c r="T51" s="27"/>
      <c r="U51" s="19"/>
      <c r="V51" s="19"/>
      <c r="W51" s="19"/>
      <c r="X51" s="26"/>
      <c r="Y51" s="96"/>
      <c r="Z51" s="47"/>
      <c r="AA51" s="86">
        <v>24.207999999999998</v>
      </c>
      <c r="AB51" s="86">
        <v>24.207999999999998</v>
      </c>
      <c r="AC51" s="47">
        <f>AB54</f>
        <v>16.299999999999997</v>
      </c>
      <c r="AD51" s="97"/>
      <c r="AE51" s="86">
        <v>16.2</v>
      </c>
      <c r="AF51" s="86">
        <f>AE54+20</f>
        <v>36.200000000000003</v>
      </c>
      <c r="AG51" s="47">
        <f>AF54</f>
        <v>17.200000000000003</v>
      </c>
      <c r="AH51" s="52">
        <f>AG54</f>
        <v>12.200000000000003</v>
      </c>
      <c r="AI51" s="97"/>
      <c r="AJ51" s="86">
        <v>28.3</v>
      </c>
      <c r="AK51" s="47">
        <f>AJ54</f>
        <v>28.3</v>
      </c>
      <c r="AL51" s="47">
        <f>AK54</f>
        <v>11.3</v>
      </c>
      <c r="AM51" s="86">
        <v>13.2</v>
      </c>
      <c r="AN51" s="97"/>
      <c r="AO51" s="102">
        <v>13.2</v>
      </c>
      <c r="AP51" s="52">
        <f>AO54</f>
        <v>11.2</v>
      </c>
      <c r="AQ51" s="86">
        <f>AP54+15</f>
        <v>21</v>
      </c>
      <c r="AR51" s="47">
        <f>AQ54</f>
        <v>21</v>
      </c>
      <c r="AS51" s="97">
        <f>13.2+15</f>
        <v>28.2</v>
      </c>
      <c r="AT51" s="52">
        <v>21</v>
      </c>
      <c r="AU51" s="52">
        <f>AT54</f>
        <v>21</v>
      </c>
      <c r="AV51" s="47">
        <f>AU54</f>
        <v>21</v>
      </c>
      <c r="AW51" s="47">
        <f>AV54</f>
        <v>21</v>
      </c>
      <c r="AX51" s="97"/>
      <c r="AY51" s="47">
        <f>AW54+10</f>
        <v>31</v>
      </c>
      <c r="AZ51" s="47">
        <f>AY54</f>
        <v>28.8</v>
      </c>
      <c r="BA51" s="47">
        <f>AZ54</f>
        <v>22.700000000000003</v>
      </c>
      <c r="BB51" s="47">
        <v>15.1</v>
      </c>
      <c r="BC51" s="97"/>
      <c r="BD51" s="47">
        <f>BB54</f>
        <v>15.1</v>
      </c>
      <c r="BE51" s="47">
        <f>BD54+50</f>
        <v>65.099999999999994</v>
      </c>
      <c r="BF51" s="47">
        <f>BE54</f>
        <v>23.851000000000028</v>
      </c>
      <c r="BG51" s="47">
        <f>BF54+30</f>
        <v>51.951000000000029</v>
      </c>
      <c r="BH51" s="97"/>
      <c r="BI51" s="47">
        <f>BG54</f>
        <v>50.151000000000032</v>
      </c>
      <c r="BJ51" s="47">
        <f>BI54</f>
        <v>50.151000000000032</v>
      </c>
      <c r="BK51" s="47">
        <f>BJ54</f>
        <v>50.151000000000032</v>
      </c>
      <c r="BL51" s="47">
        <f>BK54+30</f>
        <v>80.151000000000039</v>
      </c>
      <c r="BM51" s="97"/>
      <c r="BN51" s="47">
        <f>BL54</f>
        <v>80.151000000000039</v>
      </c>
      <c r="BO51" s="47">
        <f>BN54</f>
        <v>75.051000000000045</v>
      </c>
      <c r="BP51" s="47">
        <f>BO54</f>
        <v>66.851000000000042</v>
      </c>
      <c r="BQ51" s="47">
        <f>BP54</f>
        <v>55.25100000000004</v>
      </c>
      <c r="BR51" s="97"/>
      <c r="BS51" s="47">
        <f>BQ54</f>
        <v>19.75100000000004</v>
      </c>
      <c r="BT51" s="47">
        <f>BT53+BT54</f>
        <v>72.8</v>
      </c>
      <c r="BU51" s="47">
        <f>BT54</f>
        <v>42.9</v>
      </c>
      <c r="BV51" s="47">
        <f>BU54</f>
        <v>28.8</v>
      </c>
      <c r="BW51" s="97"/>
      <c r="BX51" s="47"/>
      <c r="BY51" s="52">
        <v>0</v>
      </c>
      <c r="BZ51" s="52">
        <v>0</v>
      </c>
      <c r="CA51" s="52">
        <v>0</v>
      </c>
      <c r="CB51" s="97"/>
      <c r="CC51" s="47"/>
      <c r="CD51" s="47"/>
      <c r="CE51" s="47"/>
      <c r="CF51" s="47">
        <f>CE54</f>
        <v>-14.1</v>
      </c>
      <c r="CG51" s="97"/>
      <c r="CH51" s="47">
        <f>CG54</f>
        <v>0</v>
      </c>
      <c r="CI51" s="47">
        <f>CH54</f>
        <v>-11.554794520547945</v>
      </c>
      <c r="CJ51" s="47">
        <f>CI54</f>
        <v>-27.894520547945206</v>
      </c>
      <c r="CK51" s="47">
        <f>CJ54</f>
        <v>-37.783561643835611</v>
      </c>
      <c r="CL51" s="97"/>
      <c r="CM51" s="47">
        <f>CK54+30</f>
        <v>-10.861643835616434</v>
      </c>
      <c r="CN51" s="47">
        <f>CM54</f>
        <v>-13.459046433019031</v>
      </c>
      <c r="CO51" s="47">
        <f>CN54</f>
        <v>-13.459046433019031</v>
      </c>
      <c r="CP51" s="47">
        <f>CO54</f>
        <v>-13.459046433019031</v>
      </c>
      <c r="CQ51" s="97"/>
      <c r="CR51" s="47">
        <f>CP54+30</f>
        <v>16.540953566980967</v>
      </c>
      <c r="CS51" s="47">
        <f>CR54</f>
        <v>16.540953566980967</v>
      </c>
      <c r="CT51" s="47">
        <f>CS54</f>
        <v>16.540953566980967</v>
      </c>
      <c r="CU51" s="47">
        <f>CT54</f>
        <v>16.540953566980967</v>
      </c>
      <c r="CV51" s="97"/>
      <c r="CW51" s="47">
        <f>CU54+30</f>
        <v>46.540953566980967</v>
      </c>
      <c r="CX51" s="47">
        <f>CW54</f>
        <v>46.540953566980967</v>
      </c>
      <c r="CY51" s="47">
        <f>CX54</f>
        <v>46.540953566980967</v>
      </c>
      <c r="CZ51" s="47">
        <f>CY54</f>
        <v>46.540953566980967</v>
      </c>
      <c r="DA51" s="97"/>
      <c r="DB51" s="47">
        <f>CZ54+30</f>
        <v>76.54095356698096</v>
      </c>
      <c r="DC51" s="47">
        <f>DB54</f>
        <v>76.54095356698096</v>
      </c>
      <c r="DD51" s="47">
        <f>DC54</f>
        <v>76.54095356698096</v>
      </c>
      <c r="DE51" s="47">
        <f>DD54</f>
        <v>76.54095356698096</v>
      </c>
      <c r="DF51" s="97"/>
    </row>
    <row r="52" spans="1:122" s="10" customFormat="1" ht="11.25" hidden="1" customHeight="1" outlineLevel="1" x14ac:dyDescent="0.2">
      <c r="A52" s="1"/>
      <c r="B52" s="722" t="s">
        <v>375</v>
      </c>
      <c r="C52" s="85"/>
      <c r="D52" s="27"/>
      <c r="E52" s="27"/>
      <c r="F52" s="19"/>
      <c r="G52" s="19"/>
      <c r="H52" s="19"/>
      <c r="I52" s="19"/>
      <c r="J52" s="27"/>
      <c r="K52" s="19"/>
      <c r="L52" s="19"/>
      <c r="M52" s="19"/>
      <c r="N52" s="19"/>
      <c r="O52" s="27"/>
      <c r="P52" s="19"/>
      <c r="Q52" s="19"/>
      <c r="R52" s="19"/>
      <c r="S52" s="19"/>
      <c r="T52" s="27"/>
      <c r="U52" s="19"/>
      <c r="V52" s="19"/>
      <c r="W52" s="19"/>
      <c r="X52" s="19"/>
      <c r="Y52" s="27"/>
      <c r="Z52" s="100">
        <v>0</v>
      </c>
      <c r="AA52" s="100">
        <v>0</v>
      </c>
      <c r="AB52" s="100"/>
      <c r="AC52" s="100">
        <v>0</v>
      </c>
      <c r="AD52" s="101"/>
      <c r="AE52" s="100">
        <v>0</v>
      </c>
      <c r="AF52" s="100">
        <v>0</v>
      </c>
      <c r="AG52" s="100">
        <v>0</v>
      </c>
      <c r="AH52" s="100">
        <v>0</v>
      </c>
      <c r="AI52" s="101"/>
      <c r="AJ52" s="100">
        <v>0</v>
      </c>
      <c r="AK52" s="100">
        <v>0</v>
      </c>
      <c r="AL52" s="100">
        <v>8</v>
      </c>
      <c r="AM52" s="100">
        <v>0</v>
      </c>
      <c r="AN52" s="101"/>
      <c r="AO52" s="100">
        <v>0</v>
      </c>
      <c r="AP52" s="100">
        <v>0</v>
      </c>
      <c r="AQ52" s="100">
        <v>0</v>
      </c>
      <c r="AR52" s="100">
        <v>0</v>
      </c>
      <c r="AS52" s="101"/>
      <c r="AT52" s="100">
        <v>0</v>
      </c>
      <c r="AU52" s="100">
        <v>0</v>
      </c>
      <c r="AV52" s="100">
        <v>0</v>
      </c>
      <c r="AW52" s="100">
        <v>0</v>
      </c>
      <c r="AX52" s="101"/>
      <c r="AY52" s="100">
        <v>0</v>
      </c>
      <c r="AZ52" s="100">
        <v>0</v>
      </c>
      <c r="BA52" s="100">
        <v>0</v>
      </c>
      <c r="BB52" s="100">
        <v>0</v>
      </c>
      <c r="BC52" s="101"/>
      <c r="BD52" s="100">
        <v>0</v>
      </c>
      <c r="BE52" s="100">
        <v>0</v>
      </c>
      <c r="BF52" s="100">
        <v>0</v>
      </c>
      <c r="BG52" s="100">
        <v>0</v>
      </c>
      <c r="BH52" s="101"/>
      <c r="BI52" s="100">
        <v>0</v>
      </c>
      <c r="BJ52" s="100">
        <v>0</v>
      </c>
      <c r="BK52" s="100">
        <v>0</v>
      </c>
      <c r="BL52" s="100">
        <v>0</v>
      </c>
      <c r="BM52" s="101"/>
      <c r="BN52" s="100">
        <v>0</v>
      </c>
      <c r="BO52" s="100">
        <v>0</v>
      </c>
      <c r="BP52" s="100">
        <v>0</v>
      </c>
      <c r="BQ52" s="100">
        <v>0</v>
      </c>
      <c r="BR52" s="101"/>
      <c r="BS52" s="100">
        <v>0</v>
      </c>
      <c r="BT52" s="100">
        <v>0</v>
      </c>
      <c r="BU52" s="100">
        <v>0</v>
      </c>
      <c r="BV52" s="100">
        <v>0</v>
      </c>
      <c r="BW52" s="101"/>
      <c r="BX52" s="100">
        <v>0</v>
      </c>
      <c r="BY52" s="100">
        <v>0</v>
      </c>
      <c r="BZ52" s="100">
        <v>0</v>
      </c>
      <c r="CA52" s="100">
        <v>0</v>
      </c>
      <c r="CB52" s="101"/>
      <c r="CC52" s="100">
        <v>0</v>
      </c>
      <c r="CD52" s="100">
        <v>0</v>
      </c>
      <c r="CE52" s="100">
        <v>0</v>
      </c>
      <c r="CF52" s="100">
        <v>0</v>
      </c>
      <c r="CG52" s="101"/>
      <c r="CH52" s="100">
        <v>0</v>
      </c>
      <c r="CI52" s="100">
        <v>0</v>
      </c>
      <c r="CJ52" s="100">
        <v>0</v>
      </c>
      <c r="CK52" s="100">
        <v>0</v>
      </c>
      <c r="CL52" s="101"/>
      <c r="CM52" s="100">
        <v>0</v>
      </c>
      <c r="CN52" s="100">
        <v>0</v>
      </c>
      <c r="CO52" s="100">
        <v>0</v>
      </c>
      <c r="CP52" s="100">
        <v>0</v>
      </c>
      <c r="CQ52" s="101"/>
      <c r="CR52" s="100">
        <v>0</v>
      </c>
      <c r="CS52" s="100">
        <v>0</v>
      </c>
      <c r="CT52" s="100">
        <v>0</v>
      </c>
      <c r="CU52" s="100">
        <v>0</v>
      </c>
      <c r="CV52" s="101"/>
      <c r="CW52" s="100">
        <v>0</v>
      </c>
      <c r="CX52" s="100">
        <v>0</v>
      </c>
      <c r="CY52" s="100">
        <v>0</v>
      </c>
      <c r="CZ52" s="100">
        <v>0</v>
      </c>
      <c r="DA52" s="101"/>
      <c r="DB52" s="100">
        <v>0</v>
      </c>
      <c r="DC52" s="100">
        <v>0</v>
      </c>
      <c r="DD52" s="100">
        <v>0</v>
      </c>
      <c r="DE52" s="100">
        <v>0</v>
      </c>
      <c r="DF52" s="101"/>
      <c r="DG52"/>
      <c r="DH52"/>
      <c r="DI52"/>
      <c r="DJ52"/>
      <c r="DK52"/>
      <c r="DL52"/>
      <c r="DM52"/>
      <c r="DN52"/>
    </row>
    <row r="53" spans="1:122" ht="11.25" hidden="1" customHeight="1" outlineLevel="1" x14ac:dyDescent="0.2">
      <c r="B53" s="722" t="s">
        <v>83</v>
      </c>
      <c r="C53" s="85"/>
      <c r="D53" s="27"/>
      <c r="E53" s="27"/>
      <c r="F53" s="19"/>
      <c r="G53" s="19"/>
      <c r="H53" s="19"/>
      <c r="I53" s="19"/>
      <c r="J53" s="27"/>
      <c r="K53" s="19"/>
      <c r="L53" s="19"/>
      <c r="M53" s="19"/>
      <c r="N53" s="19"/>
      <c r="O53" s="27"/>
      <c r="P53" s="19"/>
      <c r="Q53" s="19"/>
      <c r="R53" s="19"/>
      <c r="S53" s="19"/>
      <c r="T53" s="27"/>
      <c r="U53" s="19"/>
      <c r="V53" s="19"/>
      <c r="W53" s="19"/>
      <c r="X53" s="19"/>
      <c r="Y53" s="27"/>
      <c r="Z53" s="102">
        <v>0</v>
      </c>
      <c r="AA53" s="86">
        <v>0</v>
      </c>
      <c r="AB53" s="86">
        <v>7.9080000000000004</v>
      </c>
      <c r="AC53" s="102">
        <v>0</v>
      </c>
      <c r="AD53" s="103"/>
      <c r="AE53" s="102">
        <v>0</v>
      </c>
      <c r="AF53" s="86">
        <v>19</v>
      </c>
      <c r="AG53" s="86">
        <v>5</v>
      </c>
      <c r="AH53" s="102">
        <v>0</v>
      </c>
      <c r="AI53" s="103"/>
      <c r="AJ53" s="102">
        <v>0</v>
      </c>
      <c r="AK53" s="102">
        <v>17</v>
      </c>
      <c r="AL53" s="102">
        <v>6.1</v>
      </c>
      <c r="AM53" s="102">
        <v>0</v>
      </c>
      <c r="AN53" s="101">
        <v>23.1</v>
      </c>
      <c r="AO53" s="102">
        <v>2</v>
      </c>
      <c r="AP53" s="102">
        <v>5.2</v>
      </c>
      <c r="AQ53" s="102">
        <v>0</v>
      </c>
      <c r="AR53" s="102">
        <v>0</v>
      </c>
      <c r="AS53" s="101">
        <v>7.2</v>
      </c>
      <c r="AT53" s="102">
        <v>0</v>
      </c>
      <c r="AU53" s="102">
        <v>0</v>
      </c>
      <c r="AV53" s="102"/>
      <c r="AW53" s="102"/>
      <c r="AX53" s="101"/>
      <c r="AY53" s="102">
        <v>2.2000000000000002</v>
      </c>
      <c r="AZ53" s="102">
        <v>6.1</v>
      </c>
      <c r="BA53" s="102">
        <v>16.399999999999999</v>
      </c>
      <c r="BB53" s="102">
        <v>0</v>
      </c>
      <c r="BC53" s="101"/>
      <c r="BD53" s="52">
        <f>BD56/BD55</f>
        <v>0</v>
      </c>
      <c r="BE53" s="102">
        <f>BD48-BE48</f>
        <v>41.248999999999967</v>
      </c>
      <c r="BF53" s="102">
        <v>1.9</v>
      </c>
      <c r="BG53" s="102">
        <v>1.8</v>
      </c>
      <c r="BH53" s="101"/>
      <c r="BI53" s="52">
        <f>BI56/BI55</f>
        <v>0</v>
      </c>
      <c r="BJ53" s="52">
        <f>BJ56/BJ55</f>
        <v>0</v>
      </c>
      <c r="BK53" s="52">
        <f>BK56/BK55</f>
        <v>0</v>
      </c>
      <c r="BL53" s="52">
        <f>BL56/BL55</f>
        <v>0</v>
      </c>
      <c r="BM53" s="101"/>
      <c r="BN53" s="102">
        <v>5.0999999999999996</v>
      </c>
      <c r="BO53" s="102">
        <v>8.1999999999999993</v>
      </c>
      <c r="BP53" s="102">
        <v>11.6</v>
      </c>
      <c r="BQ53" s="102">
        <v>35.5</v>
      </c>
      <c r="BR53" s="101"/>
      <c r="BS53" s="52">
        <v>8</v>
      </c>
      <c r="BT53" s="52">
        <v>29.9</v>
      </c>
      <c r="BU53" s="52">
        <v>14.1</v>
      </c>
      <c r="BV53" s="102">
        <v>10.1</v>
      </c>
      <c r="BW53" s="101"/>
      <c r="BX53" s="52">
        <f>BX56/BX55</f>
        <v>0</v>
      </c>
      <c r="BY53" s="40">
        <v>55.1</v>
      </c>
      <c r="BZ53" s="52">
        <v>8.5</v>
      </c>
      <c r="CA53" s="52">
        <v>8.5</v>
      </c>
      <c r="CB53" s="101"/>
      <c r="CC53" s="52">
        <v>45.7</v>
      </c>
      <c r="CD53" s="52">
        <v>2.8</v>
      </c>
      <c r="CE53" s="52">
        <v>14.1</v>
      </c>
      <c r="CF53" s="52">
        <f>CF56/CF55</f>
        <v>11.701369863013696</v>
      </c>
      <c r="CG53" s="101"/>
      <c r="CH53" s="52">
        <f>CH56/CH55</f>
        <v>11.554794520547945</v>
      </c>
      <c r="CI53" s="52">
        <f>CI56/CI55</f>
        <v>16.339726027397258</v>
      </c>
      <c r="CJ53" s="52">
        <f>CJ56/CJ55</f>
        <v>9.8890410958904091</v>
      </c>
      <c r="CK53" s="52">
        <f>CK56/CK55</f>
        <v>3.0780821917808256</v>
      </c>
      <c r="CL53" s="27">
        <f>+CK53+CJ53+CI53+CH53</f>
        <v>40.861643835616441</v>
      </c>
      <c r="CM53" s="52">
        <f>CM56/CM55</f>
        <v>2.5974025974025974</v>
      </c>
      <c r="CN53" s="52">
        <f>CN56/CN55</f>
        <v>0</v>
      </c>
      <c r="CO53" s="52">
        <f>CO56/CO55</f>
        <v>0</v>
      </c>
      <c r="CP53" s="52">
        <f>CP56/CP55</f>
        <v>0</v>
      </c>
      <c r="CQ53" s="101"/>
      <c r="CR53" s="52">
        <f>CR56/CR55</f>
        <v>0</v>
      </c>
      <c r="CS53" s="52">
        <f>CS56/CS55</f>
        <v>0</v>
      </c>
      <c r="CT53" s="52">
        <f>CT56/CT55</f>
        <v>0</v>
      </c>
      <c r="CU53" s="52">
        <f>CU56/CU55</f>
        <v>0</v>
      </c>
      <c r="CV53" s="101"/>
      <c r="CW53" s="52">
        <f>CW56/CW55</f>
        <v>0</v>
      </c>
      <c r="CX53" s="52">
        <f>CX56/CX55</f>
        <v>0</v>
      </c>
      <c r="CY53" s="52">
        <f>CY56/CY55</f>
        <v>0</v>
      </c>
      <c r="CZ53" s="52">
        <f>CZ56/CZ55</f>
        <v>0</v>
      </c>
      <c r="DA53" s="101"/>
      <c r="DB53" s="52">
        <f>DB56/DB55</f>
        <v>0</v>
      </c>
      <c r="DC53" s="52">
        <f>DC56/DC55</f>
        <v>0</v>
      </c>
      <c r="DD53" s="52">
        <f>DD56/DD55</f>
        <v>0</v>
      </c>
      <c r="DE53" s="52">
        <f>DE56/DE55</f>
        <v>0</v>
      </c>
      <c r="DF53" s="101"/>
    </row>
    <row r="54" spans="1:122" ht="11.25" hidden="1" customHeight="1" outlineLevel="1" x14ac:dyDescent="0.2">
      <c r="B54" s="722" t="s">
        <v>84</v>
      </c>
      <c r="C54" s="85"/>
      <c r="D54" s="27"/>
      <c r="E54" s="27"/>
      <c r="F54" s="19"/>
      <c r="G54" s="19"/>
      <c r="H54" s="19"/>
      <c r="I54" s="19"/>
      <c r="J54" s="27"/>
      <c r="K54" s="19"/>
      <c r="L54" s="19"/>
      <c r="M54" s="19"/>
      <c r="N54" s="19"/>
      <c r="O54" s="27"/>
      <c r="P54" s="19"/>
      <c r="Q54" s="19"/>
      <c r="R54" s="19"/>
      <c r="S54" s="19"/>
      <c r="T54" s="27"/>
      <c r="U54" s="19"/>
      <c r="V54" s="19"/>
      <c r="W54" s="19"/>
      <c r="X54" s="19"/>
      <c r="Y54" s="27"/>
      <c r="Z54" s="40">
        <v>0</v>
      </c>
      <c r="AA54" s="40">
        <f>AA51-AA53</f>
        <v>24.207999999999998</v>
      </c>
      <c r="AB54" s="40">
        <f>AB51-AB53</f>
        <v>16.299999999999997</v>
      </c>
      <c r="AC54" s="40"/>
      <c r="AD54" s="101"/>
      <c r="AE54" s="40">
        <f>AE51+AE52-AE53</f>
        <v>16.2</v>
      </c>
      <c r="AF54" s="40">
        <f>AF51+AF52-AF53</f>
        <v>17.200000000000003</v>
      </c>
      <c r="AG54" s="40">
        <f>AG51+AG52-AG53</f>
        <v>12.200000000000003</v>
      </c>
      <c r="AH54" s="40">
        <f>AH51+AH52-AH53</f>
        <v>12.200000000000003</v>
      </c>
      <c r="AI54" s="101"/>
      <c r="AJ54" s="40">
        <f>AJ51+AJ52-AJ53</f>
        <v>28.3</v>
      </c>
      <c r="AK54" s="40">
        <f>AK51+AK52-AK53</f>
        <v>11.3</v>
      </c>
      <c r="AL54" s="40">
        <f>AL51+AL52-AL53</f>
        <v>13.200000000000001</v>
      </c>
      <c r="AM54" s="40">
        <f>AM51+AM52-AM53</f>
        <v>13.2</v>
      </c>
      <c r="AN54" s="97">
        <v>13.2</v>
      </c>
      <c r="AO54" s="40">
        <f>AO51+AO52-AO53</f>
        <v>11.2</v>
      </c>
      <c r="AP54" s="40">
        <f>AP51+AP52-AP53</f>
        <v>5.9999999999999991</v>
      </c>
      <c r="AQ54" s="40">
        <f>AQ51+AQ52-AQ53</f>
        <v>21</v>
      </c>
      <c r="AR54" s="40">
        <f>AR51+AR52-AR53</f>
        <v>21</v>
      </c>
      <c r="AS54" s="101">
        <v>21</v>
      </c>
      <c r="AT54" s="40">
        <f>AT51+AT52-AT53</f>
        <v>21</v>
      </c>
      <c r="AU54" s="40">
        <f>AU51+AU52-AU53</f>
        <v>21</v>
      </c>
      <c r="AV54" s="40">
        <f>AV51+AV52-AV53</f>
        <v>21</v>
      </c>
      <c r="AW54" s="40">
        <f>AW51+AW52-AW53</f>
        <v>21</v>
      </c>
      <c r="AX54" s="97"/>
      <c r="AY54" s="40">
        <f>AY51+AY52-AY53</f>
        <v>28.8</v>
      </c>
      <c r="AZ54" s="40">
        <f>AZ51+AZ52-AZ53</f>
        <v>22.700000000000003</v>
      </c>
      <c r="BA54" s="40">
        <f>BA51+BA52-BA53</f>
        <v>6.3000000000000043</v>
      </c>
      <c r="BB54" s="40">
        <f>BB51+BB52-BB53</f>
        <v>15.1</v>
      </c>
      <c r="BC54" s="97"/>
      <c r="BD54" s="40">
        <f>BD51+BD52-BD53</f>
        <v>15.1</v>
      </c>
      <c r="BE54" s="40">
        <f>BE51+BE52-BE53</f>
        <v>23.851000000000028</v>
      </c>
      <c r="BF54" s="40">
        <f>BF51+BF52-BF53</f>
        <v>21.951000000000029</v>
      </c>
      <c r="BG54" s="40">
        <f>BG51+BG52-BG53</f>
        <v>50.151000000000032</v>
      </c>
      <c r="BH54" s="97"/>
      <c r="BI54" s="40">
        <f>BI51+BI52-BI53</f>
        <v>50.151000000000032</v>
      </c>
      <c r="BJ54" s="40">
        <f>BJ51+BJ52-BJ53</f>
        <v>50.151000000000032</v>
      </c>
      <c r="BK54" s="40">
        <f>BK51+BK52-BK53</f>
        <v>50.151000000000032</v>
      </c>
      <c r="BL54" s="40">
        <f>BL51+BL52-BL53</f>
        <v>80.151000000000039</v>
      </c>
      <c r="BM54" s="97"/>
      <c r="BN54" s="40">
        <f>BN51+BN52-BN53</f>
        <v>75.051000000000045</v>
      </c>
      <c r="BO54" s="40">
        <f>BO51+BO52-BO53</f>
        <v>66.851000000000042</v>
      </c>
      <c r="BP54" s="40">
        <f>BP51+BP52-BP53</f>
        <v>55.25100000000004</v>
      </c>
      <c r="BQ54" s="40">
        <f>BQ51+BQ52-BQ53</f>
        <v>19.75100000000004</v>
      </c>
      <c r="BR54" s="97"/>
      <c r="BS54" s="40">
        <f>BS51+BS52-BS53</f>
        <v>11.75100000000004</v>
      </c>
      <c r="BT54" s="40">
        <v>42.9</v>
      </c>
      <c r="BU54" s="40">
        <v>28.8</v>
      </c>
      <c r="BV54" s="40">
        <f>BV51+BV52-BV53</f>
        <v>18.700000000000003</v>
      </c>
      <c r="BW54" s="97"/>
      <c r="BX54" s="40">
        <f>BX51+BX52-BX53</f>
        <v>0</v>
      </c>
      <c r="BY54" s="43"/>
      <c r="BZ54" s="40">
        <v>28.6</v>
      </c>
      <c r="CA54" s="40">
        <v>28.6</v>
      </c>
      <c r="CB54" s="97"/>
      <c r="CC54" s="40">
        <f>CC51+CC52-CC53</f>
        <v>-45.7</v>
      </c>
      <c r="CD54" s="40">
        <f>CD51+CD52-CD53</f>
        <v>-2.8</v>
      </c>
      <c r="CE54" s="40">
        <f>CE51+CE52-CE53</f>
        <v>-14.1</v>
      </c>
      <c r="CF54" s="40">
        <f>CF51+CF52-CF53</f>
        <v>-25.801369863013697</v>
      </c>
      <c r="CG54" s="97"/>
      <c r="CH54" s="40">
        <f>CH51+CH52-CH53</f>
        <v>-11.554794520547945</v>
      </c>
      <c r="CI54" s="40">
        <f>CI51+CI52-CI53</f>
        <v>-27.894520547945206</v>
      </c>
      <c r="CJ54" s="40">
        <f>CJ51+CJ52-CJ53</f>
        <v>-37.783561643835611</v>
      </c>
      <c r="CK54" s="40">
        <f>CK51+CK52-CK53</f>
        <v>-40.861643835616434</v>
      </c>
      <c r="CL54" s="97"/>
      <c r="CM54" s="40">
        <f>CM51+CM52-CM53</f>
        <v>-13.459046433019031</v>
      </c>
      <c r="CN54" s="40">
        <f>CN51+CN52-CN53</f>
        <v>-13.459046433019031</v>
      </c>
      <c r="CO54" s="40">
        <f>CO51+CO52-CO53</f>
        <v>-13.459046433019031</v>
      </c>
      <c r="CP54" s="40">
        <f>CP51+CP52-CP53</f>
        <v>-13.459046433019031</v>
      </c>
      <c r="CQ54" s="97"/>
      <c r="CR54" s="40">
        <f>CR51+CR52-CR53</f>
        <v>16.540953566980967</v>
      </c>
      <c r="CS54" s="40">
        <f>CS51+CS52-CS53</f>
        <v>16.540953566980967</v>
      </c>
      <c r="CT54" s="40">
        <f>CT51+CT52-CT53</f>
        <v>16.540953566980967</v>
      </c>
      <c r="CU54" s="40">
        <f>CU51+CU52-CU53</f>
        <v>16.540953566980967</v>
      </c>
      <c r="CV54" s="97"/>
      <c r="CW54" s="40">
        <f>CW51+CW52-CW53</f>
        <v>46.540953566980967</v>
      </c>
      <c r="CX54" s="40">
        <f>CX51+CX52-CX53</f>
        <v>46.540953566980967</v>
      </c>
      <c r="CY54" s="40">
        <f>CY51+CY52-CY53</f>
        <v>46.540953566980967</v>
      </c>
      <c r="CZ54" s="40">
        <f>CZ51+CZ52-CZ53</f>
        <v>46.540953566980967</v>
      </c>
      <c r="DA54" s="97"/>
      <c r="DB54" s="40">
        <f>DB51+DB52-DB53</f>
        <v>76.54095356698096</v>
      </c>
      <c r="DC54" s="40">
        <f>DC51+DC52-DC53</f>
        <v>76.54095356698096</v>
      </c>
      <c r="DD54" s="40">
        <f>DD51+DD52-DD53</f>
        <v>76.54095356698096</v>
      </c>
      <c r="DE54" s="40">
        <f>DE51+DE52-DE53</f>
        <v>76.54095356698096</v>
      </c>
      <c r="DF54" s="97"/>
    </row>
    <row r="55" spans="1:122" s="796" customFormat="1" ht="11.25" hidden="1" customHeight="1" outlineLevel="1" x14ac:dyDescent="0.2">
      <c r="A55" s="6"/>
      <c r="B55" s="722" t="s">
        <v>85</v>
      </c>
      <c r="C55" s="42"/>
      <c r="D55" s="139"/>
      <c r="E55" s="139"/>
      <c r="F55" s="79"/>
      <c r="G55" s="79"/>
      <c r="H55" s="79"/>
      <c r="I55" s="79"/>
      <c r="J55" s="139"/>
      <c r="K55" s="79"/>
      <c r="L55" s="79"/>
      <c r="M55" s="79"/>
      <c r="N55" s="79"/>
      <c r="O55" s="139"/>
      <c r="P55" s="79"/>
      <c r="Q55" s="79"/>
      <c r="R55" s="79"/>
      <c r="S55" s="79"/>
      <c r="T55" s="139"/>
      <c r="U55" s="79"/>
      <c r="V55" s="79"/>
      <c r="W55" s="79"/>
      <c r="X55" s="79"/>
      <c r="Y55" s="139"/>
      <c r="Z55" s="99">
        <v>0</v>
      </c>
      <c r="AA55" s="99"/>
      <c r="AB55" s="653">
        <v>27.815000000000001</v>
      </c>
      <c r="AC55" s="99"/>
      <c r="AD55" s="139"/>
      <c r="AE55" s="99">
        <v>40</v>
      </c>
      <c r="AF55" s="99">
        <f>707.7/AF53</f>
        <v>37.247368421052634</v>
      </c>
      <c r="AG55" s="653">
        <f>AG56/AG53</f>
        <v>39.82</v>
      </c>
      <c r="AH55" s="99">
        <f>AG55-2.5</f>
        <v>37.32</v>
      </c>
      <c r="AI55" s="139"/>
      <c r="AJ55" s="99">
        <v>40</v>
      </c>
      <c r="AK55" s="42">
        <f>+AK56/AK53</f>
        <v>48.629411764705885</v>
      </c>
      <c r="AL55" s="99">
        <f>AL56/AL53</f>
        <v>51.409836065573778</v>
      </c>
      <c r="AM55" s="99">
        <v>60</v>
      </c>
      <c r="AN55" s="139">
        <f>AN56/AN53</f>
        <v>49.363636363636367</v>
      </c>
      <c r="AO55" s="99">
        <v>62.1</v>
      </c>
      <c r="AP55" s="322">
        <f>AP56/AP53</f>
        <v>71.788461538461533</v>
      </c>
      <c r="AQ55" s="99"/>
      <c r="AR55" s="99"/>
      <c r="AS55" s="1022">
        <f>AS56/AS53</f>
        <v>68.666666666666657</v>
      </c>
      <c r="AT55" s="99">
        <v>0</v>
      </c>
      <c r="AU55" s="99">
        <v>0</v>
      </c>
      <c r="AV55" s="99"/>
      <c r="AW55" s="99"/>
      <c r="AX55" s="139"/>
      <c r="AY55" s="79">
        <f>AY56/AY53</f>
        <v>99.181818181818173</v>
      </c>
      <c r="AZ55" s="79">
        <f>AZ56/AZ53</f>
        <v>50.9016393442623</v>
      </c>
      <c r="BA55" s="79">
        <f>BA56/BA53</f>
        <v>45.579268292682933</v>
      </c>
      <c r="BB55" s="1135"/>
      <c r="BC55" s="139"/>
      <c r="BD55" s="99">
        <v>53</v>
      </c>
      <c r="BE55" s="79">
        <f>BE56/BE53</f>
        <v>60.988145167155615</v>
      </c>
      <c r="BF55" s="99">
        <v>1.0000000000000001E-5</v>
      </c>
      <c r="BG55" s="99">
        <v>1.0000000000000001E-5</v>
      </c>
      <c r="BH55" s="139"/>
      <c r="BI55" s="99">
        <v>1.0000000000000001E-5</v>
      </c>
      <c r="BJ55" s="99">
        <v>1.0000000000000001E-5</v>
      </c>
      <c r="BK55" s="99">
        <v>1.0000000000000001E-5</v>
      </c>
      <c r="BL55" s="99">
        <v>1.0000000000000001E-5</v>
      </c>
      <c r="BM55" s="139"/>
      <c r="BN55" s="99">
        <f>BN56/BN53</f>
        <v>58.82352941176471</v>
      </c>
      <c r="BO55" s="99">
        <f>BO56/BO53</f>
        <v>61.09756097560976</v>
      </c>
      <c r="BP55" s="99">
        <f>BP56/BP53</f>
        <v>64.784482758620697</v>
      </c>
      <c r="BQ55" s="99">
        <f>BQ56/BQ53</f>
        <v>70.422535211267601</v>
      </c>
      <c r="BR55" s="139"/>
      <c r="BS55" s="79">
        <f>BQ55*(1+0.1/4)</f>
        <v>72.183098591549282</v>
      </c>
      <c r="BT55" s="79">
        <f>BT56/BT53</f>
        <v>73.297658862876261</v>
      </c>
      <c r="BU55" s="79">
        <v>73.17</v>
      </c>
      <c r="BV55" s="99">
        <f>BV56/BV53</f>
        <v>81.138613861386148</v>
      </c>
      <c r="BW55" s="139"/>
      <c r="BX55" s="79">
        <f>BV55*(1+0.1/4)</f>
        <v>83.167079207920793</v>
      </c>
      <c r="BY55" s="79">
        <v>84.79</v>
      </c>
      <c r="BZ55" s="79">
        <f>BZ56/BZ53</f>
        <v>84.478941176470585</v>
      </c>
      <c r="CA55" s="79">
        <f>CA56/CA53</f>
        <v>12.941176470588236</v>
      </c>
      <c r="CB55" s="139"/>
      <c r="CC55" s="79">
        <f>CC56/CC53</f>
        <v>73.833698030634565</v>
      </c>
      <c r="CD55" s="79">
        <f>CD56/CD53</f>
        <v>75.357142857142861</v>
      </c>
      <c r="CE55" s="79">
        <f>CE56/CE53</f>
        <v>80.319148936170208</v>
      </c>
      <c r="CF55" s="79">
        <v>73</v>
      </c>
      <c r="CG55" s="139"/>
      <c r="CH55" s="79">
        <v>73</v>
      </c>
      <c r="CI55" s="79">
        <v>73</v>
      </c>
      <c r="CJ55" s="79">
        <v>73</v>
      </c>
      <c r="CK55" s="79">
        <v>73</v>
      </c>
      <c r="CL55" s="139"/>
      <c r="CM55" s="79">
        <v>77</v>
      </c>
      <c r="CN55" s="79">
        <v>77</v>
      </c>
      <c r="CO55" s="79">
        <v>77</v>
      </c>
      <c r="CP55" s="79">
        <v>77</v>
      </c>
      <c r="CQ55" s="139"/>
      <c r="CR55" s="79">
        <f>CM55</f>
        <v>77</v>
      </c>
      <c r="CS55" s="79">
        <f t="shared" ref="CS55" si="79">CN55</f>
        <v>77</v>
      </c>
      <c r="CT55" s="79">
        <f t="shared" ref="CS55:CT56" si="80">CO55</f>
        <v>77</v>
      </c>
      <c r="CU55" s="79">
        <f t="shared" ref="CU55:CU56" si="81">CP55</f>
        <v>77</v>
      </c>
      <c r="CV55" s="139"/>
      <c r="CW55" s="79">
        <f>CR55</f>
        <v>77</v>
      </c>
      <c r="CX55" s="79">
        <f t="shared" ref="CX55:CX56" si="82">CS55</f>
        <v>77</v>
      </c>
      <c r="CY55" s="79">
        <f t="shared" ref="CY55:CY56" si="83">CT55</f>
        <v>77</v>
      </c>
      <c r="CZ55" s="79">
        <f t="shared" ref="CZ55:CZ56" si="84">CU55</f>
        <v>77</v>
      </c>
      <c r="DA55" s="139"/>
      <c r="DB55" s="79">
        <f>CW55</f>
        <v>77</v>
      </c>
      <c r="DC55" s="79">
        <f t="shared" ref="DC55:DC56" si="85">CX55</f>
        <v>77</v>
      </c>
      <c r="DD55" s="79">
        <f t="shared" ref="DD55:DD56" si="86">CY55</f>
        <v>77</v>
      </c>
      <c r="DE55" s="79">
        <f t="shared" ref="DE55:DE56" si="87">CZ55</f>
        <v>77</v>
      </c>
      <c r="DF55" s="139"/>
      <c r="DG55"/>
      <c r="DH55"/>
      <c r="DI55"/>
      <c r="DJ55"/>
      <c r="DK55"/>
      <c r="DL55"/>
      <c r="DM55"/>
      <c r="DN55"/>
      <c r="DO55"/>
      <c r="DP55"/>
      <c r="DQ55"/>
      <c r="DR55"/>
    </row>
    <row r="56" spans="1:122" s="796" customFormat="1" ht="12" hidden="1" customHeight="1" outlineLevel="1" thickBot="1" x14ac:dyDescent="0.25">
      <c r="A56" s="6"/>
      <c r="B56" s="1132" t="s">
        <v>86</v>
      </c>
      <c r="C56" s="650"/>
      <c r="D56" s="237"/>
      <c r="E56" s="237"/>
      <c r="F56" s="236"/>
      <c r="G56" s="236"/>
      <c r="H56" s="236"/>
      <c r="I56" s="236"/>
      <c r="J56" s="237"/>
      <c r="K56" s="236"/>
      <c r="L56" s="236"/>
      <c r="M56" s="236"/>
      <c r="N56" s="236"/>
      <c r="O56" s="237"/>
      <c r="P56" s="236"/>
      <c r="Q56" s="236"/>
      <c r="R56" s="236"/>
      <c r="S56" s="236"/>
      <c r="T56" s="237"/>
      <c r="U56" s="236"/>
      <c r="V56" s="236"/>
      <c r="W56" s="236"/>
      <c r="X56" s="650"/>
      <c r="Y56" s="654"/>
      <c r="Z56" s="236"/>
      <c r="AA56" s="236"/>
      <c r="AB56" s="1023">
        <f>AB55*AB53</f>
        <v>219.96102000000002</v>
      </c>
      <c r="AC56" s="236"/>
      <c r="AD56" s="654"/>
      <c r="AE56" s="236">
        <f>AE55*AE53</f>
        <v>0</v>
      </c>
      <c r="AF56" s="236">
        <f>AF55*AF53</f>
        <v>707.7</v>
      </c>
      <c r="AG56" s="236">
        <v>199.1</v>
      </c>
      <c r="AH56" s="236">
        <f>AH55*AH53</f>
        <v>0</v>
      </c>
      <c r="AI56" s="654">
        <f>SUM(AE56:AH56)</f>
        <v>906.80000000000007</v>
      </c>
      <c r="AJ56" s="236">
        <f>AJ55*AJ53</f>
        <v>0</v>
      </c>
      <c r="AK56" s="1023">
        <v>826.7</v>
      </c>
      <c r="AL56" s="1023">
        <v>313.60000000000002</v>
      </c>
      <c r="AM56" s="236">
        <f>AM55*AM53</f>
        <v>0</v>
      </c>
      <c r="AN56" s="654">
        <f>SUM(AJ56:AM56)</f>
        <v>1140.3000000000002</v>
      </c>
      <c r="AO56" s="1023">
        <v>121.1</v>
      </c>
      <c r="AP56" s="1023">
        <v>373.3</v>
      </c>
      <c r="AQ56" s="236">
        <f>AQ55*AQ53</f>
        <v>0</v>
      </c>
      <c r="AR56" s="236">
        <f>AR55*AR53</f>
        <v>0</v>
      </c>
      <c r="AS56" s="654">
        <f>SUM(AO56:AR56)</f>
        <v>494.4</v>
      </c>
      <c r="AT56" s="236">
        <f>AT55*AT53</f>
        <v>0</v>
      </c>
      <c r="AU56" s="236">
        <f>AU55*AU53</f>
        <v>0</v>
      </c>
      <c r="AV56" s="236">
        <f>AV55*AV53</f>
        <v>0</v>
      </c>
      <c r="AW56" s="236">
        <f>AW55*AW53</f>
        <v>0</v>
      </c>
      <c r="AX56" s="654">
        <f>SUM(AT56:AW56)</f>
        <v>0</v>
      </c>
      <c r="AY56" s="1023">
        <v>218.2</v>
      </c>
      <c r="AZ56" s="1023">
        <v>310.5</v>
      </c>
      <c r="BA56" s="1023">
        <v>747.5</v>
      </c>
      <c r="BB56" s="236">
        <f>BB55*BB53</f>
        <v>0</v>
      </c>
      <c r="BC56" s="654">
        <f>SUM(AY56:BB56)</f>
        <v>1276.2</v>
      </c>
      <c r="BD56" s="1023">
        <v>0</v>
      </c>
      <c r="BE56" s="1023">
        <f>-BE152</f>
        <v>2515.6999999999998</v>
      </c>
      <c r="BF56" s="1023">
        <v>0</v>
      </c>
      <c r="BG56" s="1023">
        <v>0</v>
      </c>
      <c r="BH56" s="654">
        <f>SUM(BD56:BG56)</f>
        <v>2515.6999999999998</v>
      </c>
      <c r="BI56" s="1023">
        <v>0</v>
      </c>
      <c r="BJ56" s="1023">
        <v>0</v>
      </c>
      <c r="BK56" s="1023">
        <v>0</v>
      </c>
      <c r="BL56" s="1023">
        <v>0</v>
      </c>
      <c r="BM56" s="654">
        <f>SUM(BI56:BL56)</f>
        <v>0</v>
      </c>
      <c r="BN56" s="1023">
        <v>300</v>
      </c>
      <c r="BO56" s="1023">
        <v>501</v>
      </c>
      <c r="BP56" s="1023">
        <v>751.5</v>
      </c>
      <c r="BQ56" s="1023">
        <v>2500</v>
      </c>
      <c r="BR56" s="237">
        <f>SUM(BN56:BQ56)</f>
        <v>4052.5</v>
      </c>
      <c r="BS56" s="1023">
        <v>618.20000000000005</v>
      </c>
      <c r="BT56" s="1023">
        <v>2191.6</v>
      </c>
      <c r="BU56" s="1023">
        <v>1013.6</v>
      </c>
      <c r="BV56" s="1023">
        <v>819.5</v>
      </c>
      <c r="BW56" s="237">
        <f>SUM(BS56:BV56)</f>
        <v>4642.8999999999996</v>
      </c>
      <c r="BX56" s="1023">
        <v>0</v>
      </c>
      <c r="BY56" s="1023">
        <f>BY53*BY55</f>
        <v>4671.9290000000001</v>
      </c>
      <c r="BZ56" s="1023">
        <f>(5500*0.98)-BY56</f>
        <v>718.07099999999991</v>
      </c>
      <c r="CA56" s="1023">
        <f>CB56-SUM(BX56:BZ56)</f>
        <v>110</v>
      </c>
      <c r="CB56" s="237">
        <v>5500</v>
      </c>
      <c r="CC56" s="1023">
        <v>3374.2</v>
      </c>
      <c r="CD56" s="1023">
        <v>211</v>
      </c>
      <c r="CE56" s="1023">
        <v>1132.5</v>
      </c>
      <c r="CF56" s="205">
        <f>5571.9-CE56-CD56-CC56</f>
        <v>854.19999999999982</v>
      </c>
      <c r="CG56" s="237">
        <f>SUM(CC56:CF56)</f>
        <v>5571.9</v>
      </c>
      <c r="CH56" s="205">
        <f>-CH152</f>
        <v>843.5</v>
      </c>
      <c r="CI56" s="205">
        <f>-CI152</f>
        <v>1192.8</v>
      </c>
      <c r="CJ56" s="205">
        <f>-CJ152</f>
        <v>721.89999999999986</v>
      </c>
      <c r="CK56" s="205">
        <f>-CK152</f>
        <v>224.70000000000027</v>
      </c>
      <c r="CL56" s="237">
        <f>SUM(CH56:CK56)</f>
        <v>2982.9</v>
      </c>
      <c r="CM56" s="1023">
        <v>200</v>
      </c>
      <c r="CN56" s="1023">
        <v>0</v>
      </c>
      <c r="CO56" s="1023">
        <v>0</v>
      </c>
      <c r="CP56" s="1023">
        <v>0</v>
      </c>
      <c r="CQ56" s="237">
        <f>SUM(CM56:CP56)</f>
        <v>200</v>
      </c>
      <c r="CR56" s="1023">
        <v>0</v>
      </c>
      <c r="CS56" s="1023">
        <f t="shared" si="80"/>
        <v>0</v>
      </c>
      <c r="CT56" s="1023">
        <f t="shared" si="80"/>
        <v>0</v>
      </c>
      <c r="CU56" s="1023">
        <f t="shared" si="81"/>
        <v>0</v>
      </c>
      <c r="CV56" s="237">
        <f>SUM(CR56:CU56)</f>
        <v>0</v>
      </c>
      <c r="CW56" s="1023">
        <f>CR56</f>
        <v>0</v>
      </c>
      <c r="CX56" s="1023">
        <f t="shared" si="82"/>
        <v>0</v>
      </c>
      <c r="CY56" s="1023">
        <f t="shared" si="83"/>
        <v>0</v>
      </c>
      <c r="CZ56" s="1023">
        <f t="shared" si="84"/>
        <v>0</v>
      </c>
      <c r="DA56" s="237">
        <f>SUM(CW56:CZ56)</f>
        <v>0</v>
      </c>
      <c r="DB56" s="1023">
        <f>CW56</f>
        <v>0</v>
      </c>
      <c r="DC56" s="1023">
        <f t="shared" si="85"/>
        <v>0</v>
      </c>
      <c r="DD56" s="1023">
        <f t="shared" si="86"/>
        <v>0</v>
      </c>
      <c r="DE56" s="1023">
        <f t="shared" si="87"/>
        <v>0</v>
      </c>
      <c r="DF56" s="237">
        <f>SUM(DB56:DE56)</f>
        <v>0</v>
      </c>
      <c r="DG56"/>
      <c r="DH56"/>
      <c r="DI56"/>
      <c r="DJ56"/>
      <c r="DK56"/>
      <c r="DL56"/>
      <c r="DM56"/>
      <c r="DN56"/>
      <c r="DO56"/>
      <c r="DP56"/>
      <c r="DQ56"/>
      <c r="DR56"/>
    </row>
    <row r="57" spans="1:122" ht="12" hidden="1" customHeight="1" outlineLevel="1" thickBot="1" x14ac:dyDescent="0.25">
      <c r="B57" s="734"/>
      <c r="C57" s="85"/>
      <c r="D57" s="19"/>
      <c r="E57" s="19"/>
      <c r="F57" s="19"/>
      <c r="G57" s="19"/>
      <c r="H57" s="19"/>
      <c r="I57" s="19"/>
      <c r="J57" s="19"/>
      <c r="K57" s="19"/>
      <c r="L57" s="19"/>
      <c r="M57" s="19"/>
      <c r="N57" s="19"/>
      <c r="O57" s="19"/>
      <c r="P57" s="19"/>
      <c r="Q57" s="19"/>
      <c r="R57" s="19"/>
      <c r="S57" s="19"/>
      <c r="T57" s="19"/>
      <c r="U57" s="19"/>
      <c r="V57" s="19"/>
      <c r="W57" s="19"/>
      <c r="X57" s="26"/>
      <c r="Y57" s="26"/>
      <c r="Z57" s="87"/>
      <c r="AA57" s="87"/>
      <c r="AB57" s="87"/>
      <c r="AC57" s="87"/>
      <c r="AD57" s="26"/>
      <c r="AE57" s="87"/>
      <c r="AF57" s="87"/>
      <c r="AG57" s="87"/>
      <c r="AH57" s="87"/>
      <c r="AI57" s="26"/>
      <c r="AJ57" s="87"/>
      <c r="AK57" s="87"/>
      <c r="AL57" s="87"/>
      <c r="AM57" s="87"/>
      <c r="AN57" s="26"/>
      <c r="AO57" s="183"/>
      <c r="AP57" s="183"/>
      <c r="AQ57" s="87"/>
      <c r="AR57" s="87"/>
      <c r="AS57" s="26"/>
      <c r="AT57" s="183"/>
      <c r="AU57" s="183"/>
      <c r="AV57" s="87"/>
      <c r="AW57" s="87"/>
      <c r="AX57" s="26"/>
      <c r="AY57" s="87"/>
      <c r="AZ57" s="87"/>
      <c r="BA57" s="87"/>
      <c r="BB57" s="87"/>
      <c r="BC57" s="26"/>
      <c r="BD57" s="683"/>
      <c r="BE57" s="683"/>
      <c r="BF57" s="683"/>
      <c r="BG57" s="683"/>
      <c r="BH57" s="684"/>
      <c r="BI57" s="683"/>
      <c r="BJ57" s="683"/>
      <c r="BK57" s="683"/>
      <c r="BL57" s="683"/>
      <c r="BM57" s="684"/>
      <c r="BN57" s="683"/>
      <c r="BO57" s="683"/>
      <c r="BP57" s="683"/>
      <c r="BQ57" s="683"/>
      <c r="BR57" s="684"/>
      <c r="BS57" s="683"/>
      <c r="BT57" s="683"/>
      <c r="BU57" s="683"/>
      <c r="BV57" s="683"/>
      <c r="BW57" s="684"/>
      <c r="BX57" s="683"/>
      <c r="BY57" s="683"/>
      <c r="BZ57" s="683"/>
      <c r="CA57" s="683"/>
      <c r="CB57" s="684"/>
      <c r="CC57" s="683"/>
      <c r="CD57" s="683"/>
      <c r="CE57" s="683"/>
      <c r="CF57" s="683"/>
      <c r="CG57" s="684"/>
      <c r="CH57" s="683"/>
      <c r="CI57" s="683"/>
      <c r="CJ57" s="683"/>
      <c r="CK57" s="683"/>
      <c r="CL57" s="684"/>
      <c r="CM57" s="683"/>
      <c r="CN57" s="683"/>
      <c r="CO57" s="683"/>
      <c r="CP57" s="683"/>
      <c r="CQ57" s="684"/>
      <c r="CR57" s="1940"/>
      <c r="CS57" s="683"/>
      <c r="CT57" s="683"/>
      <c r="CU57" s="683"/>
      <c r="CV57" s="684"/>
      <c r="CW57" s="1940"/>
      <c r="CX57" s="683"/>
      <c r="CY57" s="683"/>
      <c r="CZ57" s="683"/>
      <c r="DA57" s="684"/>
      <c r="DB57" s="1940"/>
      <c r="DC57" s="683"/>
      <c r="DD57" s="683"/>
      <c r="DE57" s="683"/>
      <c r="DF57" s="684"/>
      <c r="DG57" s="1941"/>
      <c r="DO57"/>
      <c r="DP57"/>
      <c r="DQ57"/>
      <c r="DR57"/>
    </row>
    <row r="58" spans="1:122" ht="13.5" collapsed="1" thickBot="1" x14ac:dyDescent="0.25">
      <c r="B58" s="814" t="s">
        <v>319</v>
      </c>
      <c r="C58" s="815"/>
      <c r="D58" s="816"/>
      <c r="E58" s="816"/>
      <c r="F58" s="816"/>
      <c r="G58" s="816"/>
      <c r="H58" s="816"/>
      <c r="I58" s="816"/>
      <c r="J58" s="816"/>
      <c r="K58" s="816"/>
      <c r="L58" s="816"/>
      <c r="M58" s="816"/>
      <c r="N58" s="816"/>
      <c r="O58" s="816"/>
      <c r="P58" s="816"/>
      <c r="Q58" s="816"/>
      <c r="R58" s="816"/>
      <c r="S58" s="816"/>
      <c r="T58" s="816"/>
      <c r="U58" s="816"/>
      <c r="V58" s="816"/>
      <c r="W58" s="816"/>
      <c r="X58" s="816"/>
      <c r="Y58" s="816"/>
      <c r="Z58" s="817"/>
      <c r="AA58" s="817"/>
      <c r="AB58" s="817"/>
      <c r="AC58" s="817"/>
      <c r="AD58" s="816"/>
      <c r="AE58" s="817"/>
      <c r="AF58" s="817"/>
      <c r="AG58" s="817"/>
      <c r="AH58" s="817"/>
      <c r="AI58" s="816"/>
      <c r="AJ58" s="817"/>
      <c r="AK58" s="817"/>
      <c r="AL58" s="817"/>
      <c r="AM58" s="817"/>
      <c r="AN58" s="816"/>
      <c r="AO58" s="817"/>
      <c r="AP58" s="817"/>
      <c r="AQ58" s="817"/>
      <c r="AR58" s="817"/>
      <c r="AS58" s="816"/>
      <c r="AT58" s="817"/>
      <c r="AU58" s="817"/>
      <c r="AV58" s="817"/>
      <c r="AW58" s="817"/>
      <c r="AX58" s="816"/>
      <c r="AY58" s="817">
        <v>38.825000000000003</v>
      </c>
      <c r="AZ58" s="817"/>
      <c r="BA58" s="817"/>
      <c r="BB58" s="817"/>
      <c r="BC58" s="816"/>
      <c r="BD58" s="817"/>
      <c r="BE58" s="817"/>
      <c r="BF58" s="817"/>
      <c r="BG58" s="817"/>
      <c r="BH58" s="816"/>
      <c r="BI58" s="817"/>
      <c r="BJ58" s="817"/>
      <c r="BK58" s="817"/>
      <c r="BL58" s="817"/>
      <c r="BM58" s="816"/>
      <c r="BN58" s="817"/>
      <c r="BO58" s="817"/>
      <c r="BP58" s="817"/>
      <c r="BQ58" s="817"/>
      <c r="BR58" s="816"/>
      <c r="BS58" s="817"/>
      <c r="BT58" s="817"/>
      <c r="BU58" s="817"/>
      <c r="BV58" s="817"/>
      <c r="BW58" s="816"/>
      <c r="BX58" s="817"/>
      <c r="BY58" s="817"/>
      <c r="BZ58" s="817"/>
      <c r="CA58" s="817"/>
      <c r="CB58" s="818"/>
      <c r="CC58" s="817"/>
      <c r="CD58" s="817"/>
      <c r="CE58" s="817"/>
      <c r="CF58" s="817"/>
      <c r="CG58" s="818"/>
      <c r="CH58" s="817"/>
      <c r="CI58" s="817"/>
      <c r="CJ58" s="817"/>
      <c r="CK58" s="817"/>
      <c r="CL58" s="818"/>
      <c r="CM58" s="817"/>
      <c r="CN58" s="817"/>
      <c r="CO58" s="817"/>
      <c r="CP58" s="817"/>
      <c r="CQ58" s="818"/>
      <c r="CR58" s="817"/>
      <c r="CS58" s="817"/>
      <c r="CT58" s="817"/>
      <c r="CU58" s="817"/>
      <c r="CV58" s="818"/>
      <c r="CW58" s="817"/>
      <c r="CX58" s="817"/>
      <c r="CY58" s="817"/>
      <c r="CZ58" s="817"/>
      <c r="DA58" s="818"/>
      <c r="DB58" s="817"/>
      <c r="DC58" s="817"/>
      <c r="DD58" s="817"/>
      <c r="DE58" s="817"/>
      <c r="DF58" s="818"/>
      <c r="DO58"/>
      <c r="DP58"/>
      <c r="DQ58"/>
      <c r="DR58"/>
    </row>
    <row r="59" spans="1:122" x14ac:dyDescent="0.2">
      <c r="A59" s="10"/>
      <c r="B59" s="737" t="s">
        <v>314</v>
      </c>
      <c r="C59" s="1448"/>
      <c r="D59" s="90"/>
      <c r="E59" s="90">
        <f t="shared" ref="E59:AM59" si="88">+E16</f>
        <v>200.21199999999965</v>
      </c>
      <c r="F59" s="91">
        <f t="shared" si="88"/>
        <v>55.100999999999885</v>
      </c>
      <c r="G59" s="91">
        <f t="shared" si="88"/>
        <v>57.693999999999647</v>
      </c>
      <c r="H59" s="91">
        <f t="shared" si="88"/>
        <v>60.23099999999998</v>
      </c>
      <c r="I59" s="91">
        <f t="shared" si="88"/>
        <v>64.15100000000001</v>
      </c>
      <c r="J59" s="90">
        <f t="shared" si="88"/>
        <v>237.17700000000042</v>
      </c>
      <c r="K59" s="91">
        <f>+K16</f>
        <v>78.269999999999698</v>
      </c>
      <c r="L59" s="91">
        <f t="shared" si="88"/>
        <v>90.792999999999353</v>
      </c>
      <c r="M59" s="91">
        <f t="shared" si="88"/>
        <v>99.300000000000438</v>
      </c>
      <c r="N59" s="91">
        <f t="shared" si="88"/>
        <v>103.36300000000153</v>
      </c>
      <c r="O59" s="90">
        <f t="shared" si="88"/>
        <v>371.72600000000148</v>
      </c>
      <c r="P59" s="91">
        <f t="shared" si="88"/>
        <v>107.82700000000119</v>
      </c>
      <c r="Q59" s="91">
        <f t="shared" si="88"/>
        <v>110.28000000000058</v>
      </c>
      <c r="R59" s="91">
        <f t="shared" si="88"/>
        <v>113.49100000000004</v>
      </c>
      <c r="S59" s="91">
        <f t="shared" si="88"/>
        <v>117.52699999999788</v>
      </c>
      <c r="T59" s="90">
        <f t="shared" si="88"/>
        <v>449.12499999999972</v>
      </c>
      <c r="U59" s="91">
        <f t="shared" si="88"/>
        <v>121.04300000000026</v>
      </c>
      <c r="V59" s="91">
        <f t="shared" si="88"/>
        <v>126.79899999999994</v>
      </c>
      <c r="W59" s="91">
        <f t="shared" si="88"/>
        <v>129.60399999999984</v>
      </c>
      <c r="X59" s="772">
        <f t="shared" si="88"/>
        <v>134.55399999999906</v>
      </c>
      <c r="Y59" s="92">
        <f>+Y16</f>
        <v>512</v>
      </c>
      <c r="Z59" s="772">
        <f t="shared" si="88"/>
        <v>138.33299999999994</v>
      </c>
      <c r="AA59" s="772">
        <f t="shared" si="88"/>
        <v>148.39399999999938</v>
      </c>
      <c r="AB59" s="772">
        <f t="shared" si="88"/>
        <v>161.09999999999982</v>
      </c>
      <c r="AC59" s="772">
        <f t="shared" si="88"/>
        <v>195.27300000000065</v>
      </c>
      <c r="AD59" s="92">
        <f t="shared" si="88"/>
        <v>643.1000000000007</v>
      </c>
      <c r="AE59" s="772">
        <f t="shared" si="88"/>
        <v>183.50000000000037</v>
      </c>
      <c r="AF59" s="772">
        <f t="shared" si="88"/>
        <v>192.50000000000037</v>
      </c>
      <c r="AG59" s="772">
        <f t="shared" si="88"/>
        <v>205.70000000000019</v>
      </c>
      <c r="AH59" s="772">
        <f t="shared" si="88"/>
        <v>244.09999999999889</v>
      </c>
      <c r="AI59" s="92">
        <f t="shared" si="88"/>
        <v>825.80000000000075</v>
      </c>
      <c r="AJ59" s="772">
        <f t="shared" si="88"/>
        <v>243.29999999999927</v>
      </c>
      <c r="AK59" s="772">
        <f t="shared" si="88"/>
        <v>263.10000000000036</v>
      </c>
      <c r="AL59" s="772">
        <f t="shared" si="88"/>
        <v>284.19999999999948</v>
      </c>
      <c r="AM59" s="772">
        <f t="shared" si="88"/>
        <v>297.59999999999962</v>
      </c>
      <c r="AN59" s="92">
        <f t="shared" ref="AN59:BM59" si="89">+AN16</f>
        <v>1088.2000000000014</v>
      </c>
      <c r="AO59" s="91">
        <f t="shared" si="89"/>
        <v>294.60000000000036</v>
      </c>
      <c r="AP59" s="91">
        <f t="shared" si="89"/>
        <v>316.70000000000039</v>
      </c>
      <c r="AQ59" s="772">
        <f t="shared" si="89"/>
        <v>330.69999999999965</v>
      </c>
      <c r="AR59" s="772">
        <f t="shared" si="89"/>
        <v>338.49999999999926</v>
      </c>
      <c r="AS59" s="92">
        <f t="shared" si="89"/>
        <v>1280.5000000000016</v>
      </c>
      <c r="AT59" s="91">
        <f t="shared" si="89"/>
        <v>364.20000000000039</v>
      </c>
      <c r="AU59" s="91">
        <f t="shared" si="89"/>
        <v>385.4</v>
      </c>
      <c r="AV59" s="772">
        <f>+AV16</f>
        <v>411.79999999999944</v>
      </c>
      <c r="AW59" s="772">
        <f>+AW16</f>
        <v>470.29999999999984</v>
      </c>
      <c r="AX59" s="92">
        <f t="shared" si="89"/>
        <v>1631.7000000000016</v>
      </c>
      <c r="AY59" s="772">
        <f t="shared" si="89"/>
        <v>524.79999999999961</v>
      </c>
      <c r="AZ59" s="772">
        <f t="shared" si="89"/>
        <v>565.00000000000068</v>
      </c>
      <c r="BA59" s="772">
        <f>+BA16</f>
        <v>594.09999999999889</v>
      </c>
      <c r="BB59" s="772">
        <f t="shared" si="89"/>
        <v>633.80000000000075</v>
      </c>
      <c r="BC59" s="92">
        <f t="shared" si="89"/>
        <v>2317.6999999999998</v>
      </c>
      <c r="BD59" s="772">
        <f t="shared" si="89"/>
        <v>591.1</v>
      </c>
      <c r="BE59" s="772">
        <f t="shared" si="89"/>
        <v>618.00000000000034</v>
      </c>
      <c r="BF59" s="772">
        <f t="shared" si="89"/>
        <v>665.09999999999923</v>
      </c>
      <c r="BG59" s="772">
        <f t="shared" si="89"/>
        <v>698.4</v>
      </c>
      <c r="BH59" s="92">
        <f t="shared" si="89"/>
        <v>2572.6000000000013</v>
      </c>
      <c r="BI59" s="772">
        <f t="shared" si="89"/>
        <v>632.30000000000007</v>
      </c>
      <c r="BJ59" s="772">
        <f t="shared" si="89"/>
        <v>1375.8000000000002</v>
      </c>
      <c r="BK59" s="772">
        <f t="shared" si="89"/>
        <v>1549.2</v>
      </c>
      <c r="BL59" s="772">
        <f t="shared" si="89"/>
        <v>1562.9000000000015</v>
      </c>
      <c r="BM59" s="92">
        <f t="shared" si="89"/>
        <v>5120.1999999999944</v>
      </c>
      <c r="BN59" s="772">
        <f t="shared" ref="BN59:BW59" si="90">+BN16</f>
        <v>1497.8999999999985</v>
      </c>
      <c r="BO59" s="772">
        <f t="shared" si="90"/>
        <v>1637.799999999997</v>
      </c>
      <c r="BP59" s="772">
        <f>+BP16</f>
        <v>1568.6999999999964</v>
      </c>
      <c r="BQ59" s="772">
        <f t="shared" si="90"/>
        <v>1575.5000000000014</v>
      </c>
      <c r="BR59" s="92">
        <f t="shared" si="90"/>
        <v>6279.8999999999969</v>
      </c>
      <c r="BS59" s="772">
        <f t="shared" si="90"/>
        <v>1380.4000000000008</v>
      </c>
      <c r="BT59" s="772">
        <f t="shared" si="90"/>
        <v>1642.1999999999994</v>
      </c>
      <c r="BU59" s="772">
        <f t="shared" si="90"/>
        <v>1648.8</v>
      </c>
      <c r="BV59" s="772">
        <f t="shared" si="90"/>
        <v>1761.2000000000003</v>
      </c>
      <c r="BW59" s="92">
        <f t="shared" si="90"/>
        <v>6432.6000000000022</v>
      </c>
      <c r="BX59" s="772">
        <f t="shared" ref="BX59:CG59" si="91">+BX16</f>
        <v>1415</v>
      </c>
      <c r="BY59" s="772">
        <f t="shared" si="91"/>
        <v>1694.1999999999998</v>
      </c>
      <c r="BZ59" s="772">
        <f>+BZ16</f>
        <v>1712.4</v>
      </c>
      <c r="CA59" s="772">
        <f>+CA16</f>
        <v>1825.4</v>
      </c>
      <c r="CB59" s="92">
        <f t="shared" si="91"/>
        <v>6647</v>
      </c>
      <c r="CC59" s="772">
        <f>+CC16</f>
        <v>1384.1</v>
      </c>
      <c r="CD59" s="772">
        <f>+CD16</f>
        <v>1720</v>
      </c>
      <c r="CE59" s="772">
        <f>+CE16</f>
        <v>1879.7</v>
      </c>
      <c r="CF59" s="772">
        <f t="shared" si="91"/>
        <v>1978</v>
      </c>
      <c r="CG59" s="92">
        <f t="shared" si="91"/>
        <v>6961.8</v>
      </c>
      <c r="CH59" s="772">
        <f t="shared" ref="CH59" si="92">+CH16</f>
        <v>1417</v>
      </c>
      <c r="CI59" s="772">
        <f t="shared" ref="CI59:CJ59" si="93">+CI16</f>
        <v>1742.6999999999998</v>
      </c>
      <c r="CJ59" s="772">
        <f t="shared" si="93"/>
        <v>1867.8</v>
      </c>
      <c r="CK59" s="772">
        <f t="shared" ref="CK59" si="94">+CK16</f>
        <v>2065.4</v>
      </c>
      <c r="CL59" s="92">
        <f t="shared" ref="CL59:CQ59" si="95">+CL16</f>
        <v>7092.8999999999742</v>
      </c>
      <c r="CM59" s="772">
        <f t="shared" ca="1" si="95"/>
        <v>1463.7169855220318</v>
      </c>
      <c r="CN59" s="772">
        <f t="shared" ca="1" si="95"/>
        <v>1893.8772990458219</v>
      </c>
      <c r="CO59" s="772">
        <f t="shared" ca="1" si="95"/>
        <v>1916.0840791138453</v>
      </c>
      <c r="CP59" s="772">
        <f t="shared" ca="1" si="95"/>
        <v>2073.252542277653</v>
      </c>
      <c r="CQ59" s="92">
        <f t="shared" ca="1" si="95"/>
        <v>7346.9309059593525</v>
      </c>
      <c r="CR59" s="772">
        <f t="shared" ref="CR59:CV59" ca="1" si="96">+CR16</f>
        <v>1460.6896630373813</v>
      </c>
      <c r="CS59" s="772">
        <f t="shared" ca="1" si="96"/>
        <v>1827.4197130619325</v>
      </c>
      <c r="CT59" s="772">
        <f t="shared" ca="1" si="96"/>
        <v>1825.9260892506427</v>
      </c>
      <c r="CU59" s="772">
        <f t="shared" ca="1" si="96"/>
        <v>1968.4230275538414</v>
      </c>
      <c r="CV59" s="92">
        <f t="shared" ca="1" si="96"/>
        <v>7082.4584929037901</v>
      </c>
      <c r="CW59" s="772">
        <f t="shared" ref="CW59:DF59" ca="1" si="97">+CW16</f>
        <v>1284.2469595967748</v>
      </c>
      <c r="CX59" s="772">
        <f t="shared" ca="1" si="97"/>
        <v>1585.2548891221377</v>
      </c>
      <c r="CY59" s="772">
        <f t="shared" ca="1" si="97"/>
        <v>1569.9078861121197</v>
      </c>
      <c r="CZ59" s="772">
        <f t="shared" ca="1" si="97"/>
        <v>1686.4828377206356</v>
      </c>
      <c r="DA59" s="92">
        <f t="shared" ca="1" si="97"/>
        <v>6125.8925725516601</v>
      </c>
      <c r="DB59" s="772">
        <f t="shared" ca="1" si="97"/>
        <v>1103.0285876902371</v>
      </c>
      <c r="DC59" s="772">
        <f t="shared" ca="1" si="97"/>
        <v>1340.5937947740667</v>
      </c>
      <c r="DD59" s="772">
        <f t="shared" ca="1" si="97"/>
        <v>1374.9797241012388</v>
      </c>
      <c r="DE59" s="772">
        <f t="shared" ca="1" si="97"/>
        <v>1454.2891790721931</v>
      </c>
      <c r="DF59" s="92">
        <f t="shared" ca="1" si="97"/>
        <v>5272.8912856377392</v>
      </c>
      <c r="DG59" s="1969"/>
      <c r="DO59"/>
      <c r="DP59"/>
      <c r="DQ59"/>
      <c r="DR59"/>
    </row>
    <row r="60" spans="1:122" x14ac:dyDescent="0.2">
      <c r="A60" s="77"/>
      <c r="B60" s="1581" t="s">
        <v>556</v>
      </c>
      <c r="C60" s="1709"/>
      <c r="D60" s="27"/>
      <c r="E60" s="27"/>
      <c r="F60" s="19"/>
      <c r="G60" s="19"/>
      <c r="H60" s="19"/>
      <c r="I60" s="19"/>
      <c r="J60" s="27"/>
      <c r="K60" s="19"/>
      <c r="L60" s="19"/>
      <c r="M60" s="19"/>
      <c r="N60" s="19"/>
      <c r="O60" s="27"/>
      <c r="P60" s="19"/>
      <c r="Q60" s="19"/>
      <c r="R60" s="19"/>
      <c r="S60" s="19"/>
      <c r="T60" s="27"/>
      <c r="U60" s="19"/>
      <c r="V60" s="19"/>
      <c r="W60" s="19"/>
      <c r="X60" s="19"/>
      <c r="Y60" s="27"/>
      <c r="Z60" s="19"/>
      <c r="AA60" s="19"/>
      <c r="AB60" s="19"/>
      <c r="AC60" s="19"/>
      <c r="AD60" s="27"/>
      <c r="AE60" s="19"/>
      <c r="AF60" s="19"/>
      <c r="AG60" s="19"/>
      <c r="AH60" s="19"/>
      <c r="AI60" s="27"/>
      <c r="AJ60" s="19"/>
      <c r="AK60" s="19"/>
      <c r="AL60" s="19"/>
      <c r="AM60" s="19"/>
      <c r="AN60" s="27"/>
      <c r="AO60" s="19">
        <f>AO22</f>
        <v>0</v>
      </c>
      <c r="AP60" s="19">
        <f>AP22</f>
        <v>0</v>
      </c>
      <c r="AQ60" s="19">
        <f>AQ22</f>
        <v>0</v>
      </c>
      <c r="AR60" s="19">
        <f>AR22</f>
        <v>0</v>
      </c>
      <c r="AS60" s="27">
        <f>SUM(AO60:AR60)</f>
        <v>0</v>
      </c>
      <c r="AT60" s="19">
        <f>AT22</f>
        <v>0</v>
      </c>
      <c r="AU60" s="19">
        <f>AU22</f>
        <v>0</v>
      </c>
      <c r="AV60" s="19">
        <f>AV22</f>
        <v>0</v>
      </c>
      <c r="AW60" s="19">
        <f>AW22</f>
        <v>0</v>
      </c>
      <c r="AX60" s="27">
        <f>SUM(AT60:AW60)</f>
        <v>0</v>
      </c>
      <c r="AY60" s="19">
        <f>AY22</f>
        <v>0</v>
      </c>
      <c r="AZ60" s="19">
        <f>AZ22</f>
        <v>0</v>
      </c>
      <c r="BA60" s="19">
        <f>BA22</f>
        <v>0</v>
      </c>
      <c r="BB60" s="19">
        <f>BB22</f>
        <v>0</v>
      </c>
      <c r="BC60" s="27">
        <f>SUM(AY60:BB60)</f>
        <v>0</v>
      </c>
      <c r="BD60" s="19">
        <f>BD22</f>
        <v>0</v>
      </c>
      <c r="BE60" s="19">
        <f>BE22</f>
        <v>0</v>
      </c>
      <c r="BF60" s="19">
        <v>0</v>
      </c>
      <c r="BG60" s="19">
        <v>0</v>
      </c>
      <c r="BH60" s="27">
        <f>SUM(BD60:BG60)</f>
        <v>0</v>
      </c>
      <c r="BI60" s="19">
        <f>BI22+0.8</f>
        <v>-1.5999999999999999</v>
      </c>
      <c r="BJ60" s="19">
        <f>BJ22</f>
        <v>-3.4</v>
      </c>
      <c r="BK60" s="19">
        <f>BK22</f>
        <v>-4.5</v>
      </c>
      <c r="BL60" s="19">
        <f>BL22</f>
        <v>-6.9</v>
      </c>
      <c r="BM60" s="27">
        <f>SUM(BI60:BL60)</f>
        <v>-16.399999999999999</v>
      </c>
      <c r="BN60" s="19">
        <f>BN22</f>
        <v>-9.9999999999999645E-2</v>
      </c>
      <c r="BO60" s="19">
        <f>BO22-2</f>
        <v>-4.5</v>
      </c>
      <c r="BP60" s="19">
        <f>BP22-2-7.1</f>
        <v>-15.5</v>
      </c>
      <c r="BQ60" s="19">
        <v>-9.9</v>
      </c>
      <c r="BR60" s="27">
        <f>SUM(BN60:BQ60)</f>
        <v>-30</v>
      </c>
      <c r="BS60" s="19">
        <f>BS22</f>
        <v>-6.2</v>
      </c>
      <c r="BT60" s="19">
        <f>BT22</f>
        <v>-7.5</v>
      </c>
      <c r="BU60" s="19">
        <f>BU22</f>
        <v>-6.8</v>
      </c>
      <c r="BV60" s="19">
        <f>BV22</f>
        <v>-6.9</v>
      </c>
      <c r="BW60" s="27">
        <f>SUM(BS60:BV60)</f>
        <v>-27.4</v>
      </c>
      <c r="BX60" s="19">
        <f>BX22</f>
        <v>-6.9</v>
      </c>
      <c r="BY60" s="19">
        <f>BY22</f>
        <v>-6</v>
      </c>
      <c r="BZ60" s="19">
        <f>BZ22</f>
        <v>-5.7</v>
      </c>
      <c r="CA60" s="19">
        <f>CA22</f>
        <v>-5.4</v>
      </c>
      <c r="CB60" s="27">
        <f>SUM(BX60:CA60)</f>
        <v>-24</v>
      </c>
      <c r="CC60" s="19">
        <f>CC22</f>
        <v>-6.1</v>
      </c>
      <c r="CD60" s="19">
        <f>CD22</f>
        <v>-6.4</v>
      </c>
      <c r="CE60" s="19">
        <f>CE22</f>
        <v>-5.6</v>
      </c>
      <c r="CF60" s="19">
        <f>CF22</f>
        <v>-5.0999999999999996</v>
      </c>
      <c r="CG60" s="27">
        <f>SUM(CC60:CF60)</f>
        <v>-23.200000000000003</v>
      </c>
      <c r="CH60" s="19">
        <f>CH22</f>
        <v>-4</v>
      </c>
      <c r="CI60" s="19">
        <f>CI22</f>
        <v>-3.7</v>
      </c>
      <c r="CJ60" s="19">
        <f>CJ22</f>
        <v>-3.3</v>
      </c>
      <c r="CK60" s="19">
        <f>CK22</f>
        <v>-3.3</v>
      </c>
      <c r="CL60" s="27">
        <f>SUM(CH60:CK60)</f>
        <v>-14.3</v>
      </c>
      <c r="CM60" s="19">
        <f>CM22</f>
        <v>-3.3</v>
      </c>
      <c r="CN60" s="19">
        <f>CN22</f>
        <v>-3.3</v>
      </c>
      <c r="CO60" s="19">
        <f>CO22</f>
        <v>-3.3</v>
      </c>
      <c r="CP60" s="19">
        <f>CP22</f>
        <v>-3.3</v>
      </c>
      <c r="CQ60" s="27">
        <f>SUM(CM60:CP60)</f>
        <v>-13.2</v>
      </c>
      <c r="CR60" s="19">
        <f>CR22</f>
        <v>-3.3</v>
      </c>
      <c r="CS60" s="19">
        <f>CS22</f>
        <v>-3.3</v>
      </c>
      <c r="CT60" s="19">
        <f>CT22</f>
        <v>-3.3</v>
      </c>
      <c r="CU60" s="19">
        <f>CU22</f>
        <v>-3.3</v>
      </c>
      <c r="CV60" s="27">
        <f>SUM(CR60:CU60)</f>
        <v>-13.2</v>
      </c>
      <c r="CW60" s="19">
        <f>CW22</f>
        <v>-3.3</v>
      </c>
      <c r="CX60" s="19">
        <f>CX22</f>
        <v>-3.3</v>
      </c>
      <c r="CY60" s="19">
        <f>CY22</f>
        <v>-3.3</v>
      </c>
      <c r="CZ60" s="19">
        <f>CZ22</f>
        <v>-3.3</v>
      </c>
      <c r="DA60" s="27">
        <f>SUM(CW60:CZ60)</f>
        <v>-13.2</v>
      </c>
      <c r="DB60" s="19">
        <f>DB22</f>
        <v>-3.3</v>
      </c>
      <c r="DC60" s="19">
        <f>DC22</f>
        <v>-3.3</v>
      </c>
      <c r="DD60" s="19">
        <f>DD22</f>
        <v>-3.3</v>
      </c>
      <c r="DE60" s="19">
        <f>DE22</f>
        <v>-3.3</v>
      </c>
      <c r="DF60" s="27">
        <f>SUM(DB60:DE60)</f>
        <v>-13.2</v>
      </c>
      <c r="DG60" s="1980"/>
      <c r="DO60"/>
      <c r="DP60"/>
      <c r="DQ60"/>
      <c r="DR60"/>
    </row>
    <row r="61" spans="1:122" x14ac:dyDescent="0.2">
      <c r="B61" s="1587" t="s">
        <v>87</v>
      </c>
      <c r="C61" s="1588"/>
      <c r="D61" s="421"/>
      <c r="E61" s="421">
        <f>E140</f>
        <v>78.037999999999997</v>
      </c>
      <c r="F61" s="420">
        <f>F140</f>
        <v>19.001000000000001</v>
      </c>
      <c r="G61" s="420">
        <f>G140</f>
        <v>19.199000000000002</v>
      </c>
      <c r="H61" s="420">
        <f>H140</f>
        <v>20.638000000000002</v>
      </c>
      <c r="I61" s="420">
        <f>3.947+16.471</f>
        <v>20.417999999999999</v>
      </c>
      <c r="J61" s="421">
        <f>SUM(F61:I61)</f>
        <v>79.256</v>
      </c>
      <c r="K61" s="420">
        <v>28.152999999999999</v>
      </c>
      <c r="L61" s="420">
        <v>22.81</v>
      </c>
      <c r="M61" s="420">
        <v>12.012</v>
      </c>
      <c r="N61" s="420">
        <f>6.233+12.829</f>
        <v>19.062000000000001</v>
      </c>
      <c r="O61" s="421">
        <f>SUM(K61:N61)</f>
        <v>82.036999999999992</v>
      </c>
      <c r="P61" s="420">
        <f>P140</f>
        <v>13.163</v>
      </c>
      <c r="Q61" s="420">
        <f>Q140</f>
        <v>13.230999999999998</v>
      </c>
      <c r="R61" s="420">
        <f>R140</f>
        <v>13.292999999999999</v>
      </c>
      <c r="S61" s="420">
        <f>S140</f>
        <v>14.343000000000007</v>
      </c>
      <c r="T61" s="421">
        <f>SUM(P61:S61)</f>
        <v>54.03</v>
      </c>
      <c r="U61" s="420">
        <f>U140</f>
        <v>15.705</v>
      </c>
      <c r="V61" s="420">
        <f>V140</f>
        <v>17.120000000000005</v>
      </c>
      <c r="W61" s="420">
        <f>W140</f>
        <v>17.651999999999994</v>
      </c>
      <c r="X61" s="420">
        <f>X140</f>
        <v>19.563000000000009</v>
      </c>
      <c r="Y61" s="421">
        <f>SUM(U61:X61)</f>
        <v>70.040000000000006</v>
      </c>
      <c r="Z61" s="420">
        <f>Z140</f>
        <v>19.777000000000001</v>
      </c>
      <c r="AA61" s="420">
        <f>AA140</f>
        <v>19.525999999999996</v>
      </c>
      <c r="AB61" s="420">
        <f>AB140</f>
        <v>20.322000000000003</v>
      </c>
      <c r="AC61" s="420">
        <f>AC140+0.6</f>
        <v>25.375000000000007</v>
      </c>
      <c r="AD61" s="421">
        <f>SUM(Z61:AC61)</f>
        <v>85</v>
      </c>
      <c r="AE61" s="420">
        <f>AE140</f>
        <v>25.8</v>
      </c>
      <c r="AF61" s="420">
        <f>AF140</f>
        <v>26.099999999999998</v>
      </c>
      <c r="AG61" s="420">
        <f>AG140</f>
        <v>23.800000000000008</v>
      </c>
      <c r="AH61" s="420">
        <f>AH140</f>
        <v>24.099999999999991</v>
      </c>
      <c r="AI61" s="421">
        <f>SUM(AE61:AH61)</f>
        <v>99.8</v>
      </c>
      <c r="AJ61" s="420">
        <f>AJ140</f>
        <v>25.6</v>
      </c>
      <c r="AK61" s="420">
        <f>AK140</f>
        <v>25.9</v>
      </c>
      <c r="AL61" s="420">
        <f>AL140</f>
        <v>22.799999999999997</v>
      </c>
      <c r="AM61" s="420">
        <f>AM140</f>
        <v>23.200000000000003</v>
      </c>
      <c r="AN61" s="421">
        <f>SUM(AJ61:AM61)</f>
        <v>97.5</v>
      </c>
      <c r="AO61" s="773">
        <f>AO140</f>
        <v>24.5</v>
      </c>
      <c r="AP61" s="773">
        <f>AP140</f>
        <v>25.1</v>
      </c>
      <c r="AQ61" s="420">
        <f>AQ140</f>
        <v>23.300000000000004</v>
      </c>
      <c r="AR61" s="420">
        <f>AR140</f>
        <v>24.799999999999997</v>
      </c>
      <c r="AS61" s="421">
        <f>SUM(AO61:AR61)</f>
        <v>97.7</v>
      </c>
      <c r="AT61" s="773">
        <f>AT140</f>
        <v>24.6</v>
      </c>
      <c r="AU61" s="773">
        <f>AU140</f>
        <v>25.1</v>
      </c>
      <c r="AV61" s="420">
        <f>AV140</f>
        <v>23.799999999999997</v>
      </c>
      <c r="AW61" s="420">
        <f>AW62-AW59</f>
        <v>17.800000000000182</v>
      </c>
      <c r="AX61" s="421">
        <f>SUM(AT61:AW61)</f>
        <v>91.300000000000182</v>
      </c>
      <c r="AY61" s="420">
        <f>AY140-(30.125+8.7)</f>
        <v>20.875</v>
      </c>
      <c r="AZ61" s="420">
        <f>AZ140-(28.5+8.5+1.6)</f>
        <v>20.9</v>
      </c>
      <c r="BA61" s="420">
        <f>BA140-(28.5+8.5+1.6)</f>
        <v>23.1</v>
      </c>
      <c r="BB61" s="420">
        <f>BB140-(28.5+8.5+1.6)</f>
        <v>25.199999999999982</v>
      </c>
      <c r="BC61" s="421">
        <f>SUM(AY61:BB61)</f>
        <v>90.074999999999989</v>
      </c>
      <c r="BD61" s="420">
        <f>BD140-(28.5+8.6+1.6)</f>
        <v>24.199999999999996</v>
      </c>
      <c r="BE61" s="420">
        <f>BE140-(28.5+8.6+1.6)</f>
        <v>24.6</v>
      </c>
      <c r="BF61" s="420">
        <f>BF140-(28.5+8.5+1.6)</f>
        <v>22.699999999999996</v>
      </c>
      <c r="BG61" s="420">
        <f>BG140-(28.5+8.5+1.6)</f>
        <v>27.300000000000004</v>
      </c>
      <c r="BH61" s="421">
        <f>SUM(BD61:BG61)</f>
        <v>98.800000000000011</v>
      </c>
      <c r="BI61" s="144">
        <f>65-8.6-28.5</f>
        <v>27.9</v>
      </c>
      <c r="BJ61" s="144">
        <f>25.5+59.1</f>
        <v>84.6</v>
      </c>
      <c r="BK61" s="144">
        <f>39.4+47.9</f>
        <v>87.3</v>
      </c>
      <c r="BL61" s="144">
        <f>32+58.4</f>
        <v>90.4</v>
      </c>
      <c r="BM61" s="421">
        <f>SUM(BI61:BL61)</f>
        <v>290.20000000000005</v>
      </c>
      <c r="BN61" s="144">
        <f>27.7+71.5</f>
        <v>99.2</v>
      </c>
      <c r="BO61" s="144">
        <f>30+74</f>
        <v>104</v>
      </c>
      <c r="BP61" s="144">
        <f>31.4+77.3</f>
        <v>108.69999999999999</v>
      </c>
      <c r="BQ61" s="144">
        <f>86.6+30.8-14.7</f>
        <v>102.69999999999999</v>
      </c>
      <c r="BR61" s="421">
        <f>SUM(BN61:BQ61)</f>
        <v>414.59999999999997</v>
      </c>
      <c r="BS61" s="144">
        <f>1471-BS60-BS59</f>
        <v>96.799999999999272</v>
      </c>
      <c r="BT61" s="144">
        <f>1735.2-BT60-BT59</f>
        <v>100.50000000000068</v>
      </c>
      <c r="BU61" s="144">
        <f>1739.2-BU60-BU59</f>
        <v>97.200000000000045</v>
      </c>
      <c r="BV61" s="144">
        <f>1857.1-BV60-BV59</f>
        <v>102.79999999999973</v>
      </c>
      <c r="BW61" s="421">
        <f>SUM(BS61:BV61)</f>
        <v>397.29999999999973</v>
      </c>
      <c r="BX61" s="144">
        <f>1512.1-BX59-BX60</f>
        <v>103.99999999999991</v>
      </c>
      <c r="BY61" s="144">
        <f>1794.5-BY59-BY60</f>
        <v>106.30000000000018</v>
      </c>
      <c r="BZ61" s="144">
        <f>1808.3-BZ59-BZ60</f>
        <v>101.59999999999987</v>
      </c>
      <c r="CA61" s="144">
        <f>1932-CA59-CA60</f>
        <v>111.99999999999991</v>
      </c>
      <c r="CB61" s="421">
        <f>SUM(BX61:CA61)</f>
        <v>423.89999999999986</v>
      </c>
      <c r="CC61" s="144">
        <f>1460-CC59-CC60</f>
        <v>82.000000000000085</v>
      </c>
      <c r="CD61" s="144">
        <f>1798.1-CD59-CD60</f>
        <v>84.499999999999915</v>
      </c>
      <c r="CE61" s="144">
        <f>1948.1-CE59-CE60</f>
        <v>73.999999999999858</v>
      </c>
      <c r="CF61" s="1903">
        <f>2054.2-CF60-CF59</f>
        <v>81.299999999999727</v>
      </c>
      <c r="CG61" s="421">
        <f>SUM(CC61:CF61)</f>
        <v>321.79999999999961</v>
      </c>
      <c r="CH61" s="420">
        <f>1496.2-CH60-CH59</f>
        <v>83.200000000000045</v>
      </c>
      <c r="CI61" s="420">
        <f>1824.1-CI60-CI59</f>
        <v>85.100000000000136</v>
      </c>
      <c r="CJ61" s="420">
        <f>1947.4-CJ60-CJ59</f>
        <v>82.900000000000091</v>
      </c>
      <c r="CK61" s="420">
        <f>2147.9-CK60-CK59</f>
        <v>85.800000000000182</v>
      </c>
      <c r="CL61" s="421">
        <f>SUM(CH61:CK61)</f>
        <v>337.00000000000045</v>
      </c>
      <c r="CM61" s="420">
        <f t="shared" ref="CM61:CP61" ca="1" si="98">CM74*CM11</f>
        <v>84.903191959434906</v>
      </c>
      <c r="CN61" s="420">
        <f t="shared" ca="1" si="98"/>
        <v>84.777425551298293</v>
      </c>
      <c r="CO61" s="420">
        <f t="shared" ca="1" si="98"/>
        <v>82.593607160572816</v>
      </c>
      <c r="CP61" s="420">
        <f t="shared" ca="1" si="98"/>
        <v>86.156592165972341</v>
      </c>
      <c r="CQ61" s="421">
        <f ca="1">SUM(CM61:CP61)</f>
        <v>338.43081683727837</v>
      </c>
      <c r="CR61" s="420">
        <f t="shared" ref="CR61:DE61" ca="1" si="99">CR74*CR11</f>
        <v>85.674749209693786</v>
      </c>
      <c r="CS61" s="420">
        <f t="shared" ca="1" si="99"/>
        <v>85.491196650064921</v>
      </c>
      <c r="CT61" s="420">
        <f t="shared" ca="1" si="99"/>
        <v>83.413597522015777</v>
      </c>
      <c r="CU61" s="420">
        <f t="shared" ca="1" si="99"/>
        <v>86.730722974108616</v>
      </c>
      <c r="CV61" s="421">
        <f ca="1">SUM(CR61:CU61)</f>
        <v>341.31026635588313</v>
      </c>
      <c r="CW61" s="420">
        <f t="shared" ca="1" si="99"/>
        <v>81.187307885272276</v>
      </c>
      <c r="CX61" s="420">
        <f t="shared" ca="1" si="99"/>
        <v>83.772411379011089</v>
      </c>
      <c r="CY61" s="420">
        <f t="shared" ca="1" si="99"/>
        <v>84.037007861658779</v>
      </c>
      <c r="CZ61" s="420">
        <f t="shared" ca="1" si="99"/>
        <v>85.717256848614184</v>
      </c>
      <c r="DA61" s="421">
        <f ca="1">SUM(CW61:CZ61)</f>
        <v>334.7139839745563</v>
      </c>
      <c r="DB61" s="420">
        <f t="shared" ca="1" si="99"/>
        <v>77.097121784452398</v>
      </c>
      <c r="DC61" s="420">
        <f t="shared" ca="1" si="99"/>
        <v>79.577134114936328</v>
      </c>
      <c r="DD61" s="420">
        <f t="shared" ca="1" si="99"/>
        <v>79.98149431722436</v>
      </c>
      <c r="DE61" s="420">
        <f t="shared" ca="1" si="99"/>
        <v>81.441860698624154</v>
      </c>
      <c r="DF61" s="421">
        <f ca="1">SUM(DB61:DE61)</f>
        <v>318.09761091523723</v>
      </c>
    </row>
    <row r="62" spans="1:122" s="10" customFormat="1" ht="13.5" thickBot="1" x14ac:dyDescent="0.25">
      <c r="A62" s="1"/>
      <c r="B62" s="738" t="s">
        <v>316</v>
      </c>
      <c r="C62" s="1449"/>
      <c r="D62" s="109"/>
      <c r="E62" s="109">
        <f t="shared" ref="E62:R62" si="100">E59+E61</f>
        <v>278.24999999999966</v>
      </c>
      <c r="F62" s="108">
        <f t="shared" si="100"/>
        <v>74.10199999999989</v>
      </c>
      <c r="G62" s="108">
        <f t="shared" si="100"/>
        <v>76.892999999999645</v>
      </c>
      <c r="H62" s="108">
        <f t="shared" si="100"/>
        <v>80.868999999999986</v>
      </c>
      <c r="I62" s="108">
        <f t="shared" si="100"/>
        <v>84.569000000000017</v>
      </c>
      <c r="J62" s="109">
        <f t="shared" si="100"/>
        <v>316.43300000000045</v>
      </c>
      <c r="K62" s="108">
        <f t="shared" si="100"/>
        <v>106.42299999999969</v>
      </c>
      <c r="L62" s="108">
        <f t="shared" si="100"/>
        <v>113.60299999999935</v>
      </c>
      <c r="M62" s="108">
        <f t="shared" si="100"/>
        <v>111.31200000000044</v>
      </c>
      <c r="N62" s="108">
        <f t="shared" si="100"/>
        <v>122.42500000000153</v>
      </c>
      <c r="O62" s="109">
        <f t="shared" si="100"/>
        <v>453.76300000000145</v>
      </c>
      <c r="P62" s="108">
        <f t="shared" si="100"/>
        <v>120.99000000000119</v>
      </c>
      <c r="Q62" s="108">
        <f t="shared" si="100"/>
        <v>123.51100000000058</v>
      </c>
      <c r="R62" s="108">
        <f t="shared" si="100"/>
        <v>126.78400000000005</v>
      </c>
      <c r="S62" s="108">
        <f t="shared" ref="S62:BH62" si="101">+S59+S61</f>
        <v>131.8699999999979</v>
      </c>
      <c r="T62" s="109">
        <f t="shared" si="101"/>
        <v>503.15499999999975</v>
      </c>
      <c r="U62" s="108">
        <f t="shared" si="101"/>
        <v>136.74800000000027</v>
      </c>
      <c r="V62" s="108">
        <f t="shared" si="101"/>
        <v>143.91899999999993</v>
      </c>
      <c r="W62" s="108">
        <f t="shared" si="101"/>
        <v>147.25599999999983</v>
      </c>
      <c r="X62" s="108">
        <f t="shared" si="101"/>
        <v>154.11699999999908</v>
      </c>
      <c r="Y62" s="109">
        <f t="shared" si="101"/>
        <v>582.04</v>
      </c>
      <c r="Z62" s="108">
        <f t="shared" si="101"/>
        <v>158.10999999999996</v>
      </c>
      <c r="AA62" s="108">
        <f t="shared" si="101"/>
        <v>167.91999999999939</v>
      </c>
      <c r="AB62" s="108">
        <f t="shared" si="101"/>
        <v>181.42199999999983</v>
      </c>
      <c r="AC62" s="108">
        <f t="shared" si="101"/>
        <v>220.64800000000065</v>
      </c>
      <c r="AD62" s="109">
        <f t="shared" si="101"/>
        <v>728.1000000000007</v>
      </c>
      <c r="AE62" s="108">
        <f t="shared" si="101"/>
        <v>209.30000000000038</v>
      </c>
      <c r="AF62" s="108">
        <f t="shared" si="101"/>
        <v>218.60000000000036</v>
      </c>
      <c r="AG62" s="108">
        <f t="shared" si="101"/>
        <v>229.5000000000002</v>
      </c>
      <c r="AH62" s="108">
        <f t="shared" si="101"/>
        <v>268.19999999999885</v>
      </c>
      <c r="AI62" s="109">
        <f t="shared" si="101"/>
        <v>925.6000000000007</v>
      </c>
      <c r="AJ62" s="108">
        <f t="shared" si="101"/>
        <v>268.8999999999993</v>
      </c>
      <c r="AK62" s="108">
        <f t="shared" si="101"/>
        <v>289.00000000000034</v>
      </c>
      <c r="AL62" s="108">
        <f t="shared" si="101"/>
        <v>306.99999999999949</v>
      </c>
      <c r="AM62" s="108">
        <f t="shared" si="101"/>
        <v>320.79999999999961</v>
      </c>
      <c r="AN62" s="109">
        <f t="shared" si="101"/>
        <v>1185.7000000000014</v>
      </c>
      <c r="AO62" s="107">
        <f t="shared" si="101"/>
        <v>319.10000000000036</v>
      </c>
      <c r="AP62" s="107">
        <f t="shared" si="101"/>
        <v>341.80000000000041</v>
      </c>
      <c r="AQ62" s="108">
        <f t="shared" si="101"/>
        <v>353.99999999999966</v>
      </c>
      <c r="AR62" s="108">
        <f t="shared" si="101"/>
        <v>363.29999999999927</v>
      </c>
      <c r="AS62" s="109">
        <f t="shared" si="101"/>
        <v>1378.2000000000016</v>
      </c>
      <c r="AT62" s="107">
        <f t="shared" si="101"/>
        <v>388.80000000000041</v>
      </c>
      <c r="AU62" s="107">
        <f t="shared" si="101"/>
        <v>410.5</v>
      </c>
      <c r="AV62" s="108">
        <f t="shared" si="101"/>
        <v>435.59999999999945</v>
      </c>
      <c r="AW62" s="590">
        <v>488.1</v>
      </c>
      <c r="AX62" s="109">
        <f t="shared" si="101"/>
        <v>1723.0000000000018</v>
      </c>
      <c r="AY62" s="108">
        <f t="shared" si="101"/>
        <v>545.67499999999961</v>
      </c>
      <c r="AZ62" s="108">
        <f t="shared" si="101"/>
        <v>585.90000000000066</v>
      </c>
      <c r="BA62" s="205">
        <v>617.1</v>
      </c>
      <c r="BB62" s="590">
        <v>658.9</v>
      </c>
      <c r="BC62" s="109">
        <f t="shared" si="101"/>
        <v>2407.7749999999996</v>
      </c>
      <c r="BD62" s="108">
        <f t="shared" si="101"/>
        <v>615.30000000000007</v>
      </c>
      <c r="BE62" s="108">
        <f t="shared" si="101"/>
        <v>642.60000000000036</v>
      </c>
      <c r="BF62" s="108">
        <f t="shared" si="101"/>
        <v>687.79999999999927</v>
      </c>
      <c r="BG62" s="108">
        <f t="shared" si="101"/>
        <v>725.69999999999993</v>
      </c>
      <c r="BH62" s="109">
        <f t="shared" si="101"/>
        <v>2671.4000000000015</v>
      </c>
      <c r="BI62" s="108">
        <f t="shared" ref="BI62:CB62" si="102">SUM(BI59:BI61)</f>
        <v>658.6</v>
      </c>
      <c r="BJ62" s="108">
        <f t="shared" si="102"/>
        <v>1457</v>
      </c>
      <c r="BK62" s="108">
        <f t="shared" si="102"/>
        <v>1632</v>
      </c>
      <c r="BL62" s="108">
        <f t="shared" si="102"/>
        <v>1646.4000000000015</v>
      </c>
      <c r="BM62" s="109">
        <f t="shared" si="102"/>
        <v>5393.9999999999945</v>
      </c>
      <c r="BN62" s="108">
        <f t="shared" si="102"/>
        <v>1596.9999999999986</v>
      </c>
      <c r="BO62" s="108">
        <f t="shared" si="102"/>
        <v>1737.299999999997</v>
      </c>
      <c r="BP62" s="108">
        <f t="shared" si="102"/>
        <v>1661.8999999999965</v>
      </c>
      <c r="BQ62" s="108">
        <f t="shared" si="102"/>
        <v>1668.3000000000013</v>
      </c>
      <c r="BR62" s="109">
        <f t="shared" si="102"/>
        <v>6664.4999999999973</v>
      </c>
      <c r="BS62" s="108">
        <f t="shared" si="102"/>
        <v>1471</v>
      </c>
      <c r="BT62" s="108">
        <f t="shared" si="102"/>
        <v>1735.2</v>
      </c>
      <c r="BU62" s="108">
        <f t="shared" si="102"/>
        <v>1739.2</v>
      </c>
      <c r="BV62" s="108">
        <f t="shared" si="102"/>
        <v>1857.1</v>
      </c>
      <c r="BW62" s="109">
        <f t="shared" si="102"/>
        <v>6802.5000000000018</v>
      </c>
      <c r="BX62" s="108">
        <f t="shared" si="102"/>
        <v>1512.1</v>
      </c>
      <c r="BY62" s="108">
        <f t="shared" si="102"/>
        <v>1794.5</v>
      </c>
      <c r="BZ62" s="108">
        <f>SUM(BZ59:BZ61)</f>
        <v>1808.3</v>
      </c>
      <c r="CA62" s="108">
        <f>SUM(CA59:CA61)</f>
        <v>1932</v>
      </c>
      <c r="CB62" s="109">
        <f t="shared" si="102"/>
        <v>7046.9</v>
      </c>
      <c r="CC62" s="108">
        <f t="shared" ref="CC62:CD62" si="103">SUM(CC59:CC61)</f>
        <v>1460</v>
      </c>
      <c r="CD62" s="108">
        <f t="shared" si="103"/>
        <v>1798.1</v>
      </c>
      <c r="CE62" s="108">
        <f t="shared" ref="CE62" si="104">SUM(CE59:CE61)</f>
        <v>1948.1</v>
      </c>
      <c r="CF62" s="108">
        <f t="shared" ref="CF62:CL62" si="105">SUM(CF59:CF61)</f>
        <v>2054.1999999999998</v>
      </c>
      <c r="CG62" s="109">
        <f t="shared" si="105"/>
        <v>7260.4</v>
      </c>
      <c r="CH62" s="108">
        <f t="shared" ref="CH62" si="106">SUM(CH59:CH61)</f>
        <v>1496.2</v>
      </c>
      <c r="CI62" s="108">
        <f t="shared" ref="CI62:CJ62" si="107">SUM(CI59:CI61)</f>
        <v>1824.1</v>
      </c>
      <c r="CJ62" s="108">
        <f t="shared" si="107"/>
        <v>1947.4</v>
      </c>
      <c r="CK62" s="108">
        <f t="shared" ref="CK62" si="108">SUM(CK59:CK61)</f>
        <v>2147.9</v>
      </c>
      <c r="CL62" s="109">
        <f t="shared" si="105"/>
        <v>7415.5999999999749</v>
      </c>
      <c r="CM62" s="108">
        <f t="shared" ref="CM62:CV62" ca="1" si="109">SUM(CM59:CM61)</f>
        <v>1545.3201774814668</v>
      </c>
      <c r="CN62" s="108">
        <f t="shared" ca="1" si="109"/>
        <v>1975.3547245971204</v>
      </c>
      <c r="CO62" s="108">
        <f t="shared" ca="1" si="109"/>
        <v>1995.3776862744182</v>
      </c>
      <c r="CP62" s="108">
        <f t="shared" ca="1" si="109"/>
        <v>2156.109134443625</v>
      </c>
      <c r="CQ62" s="109">
        <f t="shared" ca="1" si="109"/>
        <v>7672.1617227966308</v>
      </c>
      <c r="CR62" s="108">
        <f t="shared" ca="1" si="109"/>
        <v>1543.0644122470751</v>
      </c>
      <c r="CS62" s="108">
        <f t="shared" ca="1" si="109"/>
        <v>1909.6109097119975</v>
      </c>
      <c r="CT62" s="108">
        <f t="shared" ca="1" si="109"/>
        <v>1906.0396867726586</v>
      </c>
      <c r="CU62" s="108">
        <f t="shared" ca="1" si="109"/>
        <v>2051.8537505279501</v>
      </c>
      <c r="CV62" s="109">
        <f t="shared" ca="1" si="109"/>
        <v>7410.5687592596732</v>
      </c>
      <c r="CW62" s="108">
        <f t="shared" ref="CW62:DF62" ca="1" si="110">SUM(CW59:CW61)</f>
        <v>1362.1342674820471</v>
      </c>
      <c r="CX62" s="108">
        <f t="shared" ca="1" si="110"/>
        <v>1665.7273005011489</v>
      </c>
      <c r="CY62" s="108">
        <f t="shared" ca="1" si="110"/>
        <v>1650.6448939737786</v>
      </c>
      <c r="CZ62" s="108">
        <f t="shared" ca="1" si="110"/>
        <v>1768.9000945692499</v>
      </c>
      <c r="DA62" s="109">
        <f t="shared" ca="1" si="110"/>
        <v>6447.4065565262163</v>
      </c>
      <c r="DB62" s="108">
        <f t="shared" ca="1" si="110"/>
        <v>1176.8257094746896</v>
      </c>
      <c r="DC62" s="108">
        <f t="shared" ca="1" si="110"/>
        <v>1416.8709288890032</v>
      </c>
      <c r="DD62" s="108">
        <f t="shared" ca="1" si="110"/>
        <v>1451.6612184184632</v>
      </c>
      <c r="DE62" s="108">
        <f t="shared" ca="1" si="110"/>
        <v>1532.4310397708173</v>
      </c>
      <c r="DF62" s="109">
        <f t="shared" ca="1" si="110"/>
        <v>5577.7888965529764</v>
      </c>
      <c r="DG62"/>
      <c r="DH62"/>
      <c r="DI62"/>
      <c r="DJ62"/>
      <c r="DK62"/>
      <c r="DL62"/>
      <c r="DM62"/>
      <c r="DN62"/>
    </row>
    <row r="63" spans="1:122" ht="13.5" thickBot="1" x14ac:dyDescent="0.25">
      <c r="B63" s="739"/>
      <c r="C63" s="85"/>
      <c r="D63" s="85"/>
      <c r="E63" s="85"/>
      <c r="F63" s="85"/>
      <c r="G63" s="85"/>
      <c r="H63" s="85"/>
      <c r="I63" s="85"/>
      <c r="J63" s="85"/>
      <c r="K63" s="85"/>
      <c r="L63" s="85"/>
      <c r="M63" s="42"/>
      <c r="N63" s="85"/>
      <c r="O63" s="85"/>
      <c r="P63" s="85"/>
      <c r="Q63" s="85"/>
      <c r="R63" s="85"/>
      <c r="S63" s="85"/>
      <c r="T63" s="85"/>
      <c r="U63" s="85"/>
      <c r="V63" s="85"/>
      <c r="W63" s="85"/>
      <c r="X63" s="85"/>
      <c r="Y63" s="85"/>
      <c r="Z63" s="85"/>
      <c r="AA63" s="85"/>
      <c r="AB63" s="85"/>
      <c r="AC63" s="85"/>
      <c r="AD63" s="85"/>
      <c r="AE63" s="85"/>
      <c r="AF63" s="85"/>
      <c r="AG63" s="85"/>
      <c r="AH63" s="85"/>
      <c r="AI63" s="85"/>
      <c r="AJ63" s="85"/>
      <c r="AK63" s="85"/>
      <c r="AL63" s="85"/>
      <c r="AM63" s="85"/>
      <c r="AN63" s="85"/>
      <c r="AO63" s="143"/>
      <c r="AP63" s="143"/>
      <c r="AQ63" s="85"/>
      <c r="AR63" s="524"/>
      <c r="AS63" s="85"/>
      <c r="AT63" s="673"/>
      <c r="AU63" s="673"/>
      <c r="AV63" s="673"/>
      <c r="AW63" s="673"/>
      <c r="AX63" s="673"/>
      <c r="AY63" s="1113"/>
      <c r="AZ63" s="1112"/>
      <c r="BA63" s="673"/>
      <c r="BB63" s="673"/>
      <c r="BC63" s="673"/>
      <c r="BD63" s="673"/>
      <c r="BE63" s="673"/>
      <c r="BF63" s="673"/>
      <c r="BG63" s="1133"/>
      <c r="BH63" s="673"/>
      <c r="BI63" s="673"/>
      <c r="BJ63" s="1839">
        <f>SUM(BI62:BJ62)/BM62</f>
        <v>0.39221357063403822</v>
      </c>
      <c r="BK63" s="1839">
        <f>SUM(BK62:BL62)/BM62</f>
        <v>0.60778642936596305</v>
      </c>
      <c r="BL63" s="673"/>
      <c r="BM63" s="1874">
        <f>BM61/BM11</f>
        <v>3.0881506319428861E-3</v>
      </c>
      <c r="BN63" s="673"/>
      <c r="BO63" s="1839"/>
      <c r="BP63" s="1839"/>
      <c r="BQ63" s="673"/>
      <c r="BR63" s="1874"/>
      <c r="BS63" s="673"/>
      <c r="BT63" s="1839"/>
      <c r="BU63" s="1839"/>
      <c r="BV63" s="673"/>
      <c r="BW63" s="1874"/>
      <c r="BX63" s="673"/>
      <c r="BY63" s="1839"/>
      <c r="BZ63" s="1839"/>
      <c r="CA63" s="673"/>
      <c r="CB63" s="1874"/>
      <c r="CC63" s="1874"/>
      <c r="CD63" s="1874"/>
      <c r="CE63" s="1874"/>
      <c r="CF63" s="1874"/>
      <c r="CG63" s="1874"/>
      <c r="CH63" s="673"/>
      <c r="CI63" s="673"/>
      <c r="CJ63" s="673"/>
      <c r="CK63" s="673"/>
      <c r="CL63" s="1874"/>
      <c r="CM63" s="673"/>
      <c r="CN63" s="673"/>
      <c r="CO63" s="673"/>
      <c r="CP63" s="673"/>
      <c r="CQ63" s="673"/>
      <c r="CR63" s="1839">
        <f>4.85/5.91-1</f>
        <v>-0.17935702199661596</v>
      </c>
      <c r="CS63" s="673"/>
      <c r="CT63" s="673"/>
      <c r="CU63" s="673"/>
      <c r="CV63" s="673"/>
      <c r="CW63" s="673"/>
      <c r="CX63" s="673"/>
      <c r="CY63" s="673"/>
      <c r="CZ63" s="673"/>
      <c r="DA63" s="673"/>
      <c r="DB63" s="673"/>
      <c r="DC63" s="673"/>
      <c r="DD63" s="673"/>
      <c r="DE63" s="673"/>
      <c r="DF63" s="673"/>
    </row>
    <row r="64" spans="1:122" s="10" customFormat="1" ht="13.5" thickBot="1" x14ac:dyDescent="0.25">
      <c r="A64" s="1"/>
      <c r="B64" s="814" t="s">
        <v>317</v>
      </c>
      <c r="C64" s="819"/>
      <c r="D64" s="820"/>
      <c r="E64" s="820"/>
      <c r="F64" s="820"/>
      <c r="G64" s="820"/>
      <c r="H64" s="820"/>
      <c r="I64" s="820"/>
      <c r="J64" s="820"/>
      <c r="K64" s="820"/>
      <c r="L64" s="820"/>
      <c r="M64" s="820"/>
      <c r="N64" s="821"/>
      <c r="O64" s="820"/>
      <c r="P64" s="820"/>
      <c r="Q64" s="820"/>
      <c r="R64" s="820"/>
      <c r="S64" s="820"/>
      <c r="T64" s="820"/>
      <c r="U64" s="820"/>
      <c r="V64" s="820"/>
      <c r="W64" s="820"/>
      <c r="X64" s="820"/>
      <c r="Y64" s="820"/>
      <c r="Z64" s="820"/>
      <c r="AA64" s="820"/>
      <c r="AB64" s="820"/>
      <c r="AC64" s="820"/>
      <c r="AD64" s="820"/>
      <c r="AE64" s="820"/>
      <c r="AF64" s="820"/>
      <c r="AG64" s="820"/>
      <c r="AH64" s="820"/>
      <c r="AI64" s="820"/>
      <c r="AJ64" s="820"/>
      <c r="AK64" s="820"/>
      <c r="AL64" s="820"/>
      <c r="AM64" s="820"/>
      <c r="AN64" s="820"/>
      <c r="AO64" s="820"/>
      <c r="AP64" s="820"/>
      <c r="AQ64" s="820"/>
      <c r="AR64" s="820"/>
      <c r="AS64" s="820"/>
      <c r="AT64" s="820"/>
      <c r="AU64" s="820"/>
      <c r="AV64" s="820"/>
      <c r="AW64" s="821"/>
      <c r="AX64" s="821"/>
      <c r="AY64" s="820"/>
      <c r="AZ64" s="820"/>
      <c r="BA64" s="820"/>
      <c r="BB64" s="820"/>
      <c r="BC64" s="821"/>
      <c r="BD64" s="820"/>
      <c r="BE64" s="820"/>
      <c r="BF64" s="820"/>
      <c r="BG64" s="820"/>
      <c r="BH64" s="821"/>
      <c r="BI64" s="820"/>
      <c r="BJ64" s="820"/>
      <c r="BK64" s="820"/>
      <c r="BL64" s="820"/>
      <c r="BM64" s="821"/>
      <c r="BN64" s="820"/>
      <c r="BO64" s="820"/>
      <c r="BP64" s="820"/>
      <c r="BQ64" s="820"/>
      <c r="BR64" s="821"/>
      <c r="BS64" s="820"/>
      <c r="BT64" s="820"/>
      <c r="BU64" s="820"/>
      <c r="BV64" s="820"/>
      <c r="BW64" s="820"/>
      <c r="BX64" s="820"/>
      <c r="BY64" s="820"/>
      <c r="BZ64" s="820"/>
      <c r="CA64" s="820"/>
      <c r="CB64" s="822"/>
      <c r="CC64" s="820"/>
      <c r="CD64" s="820"/>
      <c r="CE64" s="820"/>
      <c r="CF64" s="820"/>
      <c r="CG64" s="822"/>
      <c r="CH64" s="820"/>
      <c r="CI64" s="820"/>
      <c r="CJ64" s="820"/>
      <c r="CK64" s="820"/>
      <c r="CL64" s="822"/>
      <c r="CM64" s="820"/>
      <c r="CN64" s="820"/>
      <c r="CO64" s="820"/>
      <c r="CP64" s="820"/>
      <c r="CQ64" s="822"/>
      <c r="CR64" s="820"/>
      <c r="CS64" s="820"/>
      <c r="CT64" s="820"/>
      <c r="CU64" s="820"/>
      <c r="CV64" s="822"/>
      <c r="CW64" s="820"/>
      <c r="CX64" s="820"/>
      <c r="CY64" s="820"/>
      <c r="CZ64" s="820"/>
      <c r="DA64" s="822"/>
      <c r="DB64" s="820"/>
      <c r="DC64" s="820"/>
      <c r="DD64" s="820"/>
      <c r="DE64" s="820"/>
      <c r="DF64" s="822"/>
      <c r="DG64"/>
      <c r="DH64"/>
      <c r="DI64"/>
      <c r="DJ64"/>
      <c r="DK64"/>
      <c r="DL64"/>
      <c r="DM64"/>
      <c r="DN64"/>
    </row>
    <row r="65" spans="1:119" x14ac:dyDescent="0.2">
      <c r="B65" s="720" t="s">
        <v>89</v>
      </c>
      <c r="C65" s="122"/>
      <c r="D65" s="112"/>
      <c r="E65" s="112"/>
      <c r="F65" s="113"/>
      <c r="G65" s="113"/>
      <c r="H65" s="113"/>
      <c r="I65" s="113"/>
      <c r="J65" s="112"/>
      <c r="K65" s="113">
        <f>K14/K11</f>
        <v>4.5576301168861896E-2</v>
      </c>
      <c r="L65" s="113">
        <f t="shared" ref="L65:BM65" si="111">L14/L11</f>
        <v>4.4144986635206315E-2</v>
      </c>
      <c r="M65" s="113">
        <f t="shared" si="111"/>
        <v>4.3762697084454384E-2</v>
      </c>
      <c r="N65" s="113">
        <f t="shared" si="111"/>
        <v>5.863096367856168E-2</v>
      </c>
      <c r="O65" s="112">
        <f t="shared" si="111"/>
        <v>4.7569453928471707E-2</v>
      </c>
      <c r="P65" s="113">
        <f t="shared" si="111"/>
        <v>4.5991323625436446E-2</v>
      </c>
      <c r="Q65" s="113">
        <f t="shared" si="111"/>
        <v>4.6487257332065747E-2</v>
      </c>
      <c r="R65" s="113">
        <f t="shared" si="111"/>
        <v>4.5200873339535673E-2</v>
      </c>
      <c r="S65" s="113">
        <f t="shared" si="111"/>
        <v>4.8834131871230708E-2</v>
      </c>
      <c r="T65" s="112">
        <f t="shared" si="111"/>
        <v>4.6650887299943197E-2</v>
      </c>
      <c r="U65" s="113">
        <f t="shared" si="111"/>
        <v>4.3042831485047089E-2</v>
      </c>
      <c r="V65" s="113">
        <f t="shared" si="111"/>
        <v>4.3259590249106188E-2</v>
      </c>
      <c r="W65" s="113">
        <f t="shared" si="111"/>
        <v>4.5873856929142677E-2</v>
      </c>
      <c r="X65" s="113">
        <f t="shared" si="111"/>
        <v>4.9233887429480969E-2</v>
      </c>
      <c r="Y65" s="112">
        <f t="shared" si="111"/>
        <v>4.5399545036542276E-2</v>
      </c>
      <c r="Z65" s="113">
        <f t="shared" si="111"/>
        <v>4.9778857906576615E-2</v>
      </c>
      <c r="AA65" s="113">
        <f t="shared" si="111"/>
        <v>5.1207207980676565E-2</v>
      </c>
      <c r="AB65" s="113">
        <f t="shared" si="111"/>
        <v>5.5731908988956233E-2</v>
      </c>
      <c r="AC65" s="113">
        <f t="shared" si="111"/>
        <v>6.0256641828866746E-2</v>
      </c>
      <c r="AD65" s="112">
        <f t="shared" si="111"/>
        <v>5.4425473590574515E-2</v>
      </c>
      <c r="AE65" s="113">
        <f t="shared" si="111"/>
        <v>6.1526924725039345E-2</v>
      </c>
      <c r="AF65" s="113">
        <f t="shared" si="111"/>
        <v>6.651057291285585E-2</v>
      </c>
      <c r="AG65" s="113">
        <f t="shared" si="111"/>
        <v>7.0984259434856853E-2</v>
      </c>
      <c r="AH65" s="113">
        <f t="shared" si="111"/>
        <v>7.3060292835006396E-2</v>
      </c>
      <c r="AI65" s="112">
        <f t="shared" si="111"/>
        <v>6.793592062330589E-2</v>
      </c>
      <c r="AJ65" s="113">
        <f t="shared" si="111"/>
        <v>7.4821269396590812E-2</v>
      </c>
      <c r="AK65" s="113">
        <f t="shared" si="111"/>
        <v>7.9565839781107942E-2</v>
      </c>
      <c r="AL65" s="113">
        <f t="shared" si="111"/>
        <v>8.2135791870404137E-2</v>
      </c>
      <c r="AM65" s="113">
        <f t="shared" si="111"/>
        <v>8.3264306550941705E-2</v>
      </c>
      <c r="AN65" s="112">
        <f t="shared" si="111"/>
        <v>7.9941078285615322E-2</v>
      </c>
      <c r="AO65" s="113">
        <f t="shared" si="111"/>
        <v>8.4887448094995321E-2</v>
      </c>
      <c r="AP65" s="113">
        <f t="shared" si="111"/>
        <v>9.0872929775077813E-2</v>
      </c>
      <c r="AQ65" s="113">
        <f t="shared" si="111"/>
        <v>9.5477479130354953E-2</v>
      </c>
      <c r="AR65" s="113">
        <f t="shared" si="111"/>
        <v>0.10021976425289222</v>
      </c>
      <c r="AS65" s="112">
        <f t="shared" si="111"/>
        <v>9.2861042861042922E-2</v>
      </c>
      <c r="AT65" s="113">
        <f t="shared" si="111"/>
        <v>9.8491554178653157E-2</v>
      </c>
      <c r="AU65" s="113">
        <f t="shared" si="111"/>
        <v>0.10793523885668599</v>
      </c>
      <c r="AV65" s="113">
        <f t="shared" si="111"/>
        <v>0.10901519735203037</v>
      </c>
      <c r="AW65" s="113">
        <f t="shared" si="111"/>
        <v>8.6047559327399561E-2</v>
      </c>
      <c r="AX65" s="112">
        <f t="shared" si="111"/>
        <v>9.8851298953082645E-2</v>
      </c>
      <c r="AY65" s="113">
        <f t="shared" si="111"/>
        <v>6.4390820235580501E-2</v>
      </c>
      <c r="AZ65" s="113">
        <f t="shared" si="111"/>
        <v>6.8900445633588256E-2</v>
      </c>
      <c r="BA65" s="113">
        <f t="shared" si="111"/>
        <v>7.1602705601801278E-2</v>
      </c>
      <c r="BB65" s="113">
        <f t="shared" si="111"/>
        <v>7.3630847765992269E-2</v>
      </c>
      <c r="BC65" s="112">
        <f t="shared" si="111"/>
        <v>6.9647402397104485E-2</v>
      </c>
      <c r="BD65" s="113">
        <f t="shared" si="111"/>
        <v>6.958554346848872E-2</v>
      </c>
      <c r="BE65" s="113">
        <f t="shared" si="111"/>
        <v>7.1343909955311313E-2</v>
      </c>
      <c r="BF65" s="113">
        <f t="shared" si="111"/>
        <v>7.4511832406569181E-2</v>
      </c>
      <c r="BG65" s="113">
        <f t="shared" si="111"/>
        <v>7.4260479115782208E-2</v>
      </c>
      <c r="BH65" s="112">
        <f t="shared" si="111"/>
        <v>7.2481808771122272E-2</v>
      </c>
      <c r="BI65" s="113">
        <f t="shared" si="111"/>
        <v>7.0758401789311823E-2</v>
      </c>
      <c r="BJ65" s="113">
        <f t="shared" si="111"/>
        <v>7.7270630622777683E-2</v>
      </c>
      <c r="BK65" s="113">
        <f t="shared" si="111"/>
        <v>8.0424908807058465E-2</v>
      </c>
      <c r="BL65" s="113">
        <f t="shared" si="111"/>
        <v>8.5549141374384144E-2</v>
      </c>
      <c r="BM65" s="112">
        <f t="shared" si="111"/>
        <v>7.9746009719906169E-2</v>
      </c>
      <c r="BN65" s="113">
        <f t="shared" ref="BN65:BW65" si="112">BN14/BN11</f>
        <v>7.8171051875131695E-2</v>
      </c>
      <c r="BO65" s="113">
        <f t="shared" si="112"/>
        <v>8.2510820874364343E-2</v>
      </c>
      <c r="BP65" s="113">
        <f>BP14/BP11</f>
        <v>8.0153098392312563E-2</v>
      </c>
      <c r="BQ65" s="113">
        <f t="shared" si="112"/>
        <v>8.4847287281237097E-2</v>
      </c>
      <c r="BR65" s="112">
        <f t="shared" si="112"/>
        <v>8.1416887985503186E-2</v>
      </c>
      <c r="BS65" s="113">
        <f t="shared" si="112"/>
        <v>7.9562274653678322E-2</v>
      </c>
      <c r="BT65" s="113">
        <f t="shared" si="112"/>
        <v>8.5315937071142989E-2</v>
      </c>
      <c r="BU65" s="113">
        <f t="shared" si="112"/>
        <v>8.395009106056496E-2</v>
      </c>
      <c r="BV65" s="113">
        <f t="shared" si="112"/>
        <v>8.7389661914614933E-2</v>
      </c>
      <c r="BW65" s="112">
        <f t="shared" si="112"/>
        <v>8.4156852261644891E-2</v>
      </c>
      <c r="BX65" s="113">
        <f t="shared" ref="BX65:CG65" si="113">BX14/BX11</f>
        <v>7.6735116396639311E-2</v>
      </c>
      <c r="BY65" s="113">
        <f t="shared" si="113"/>
        <v>8.6180233927309835E-2</v>
      </c>
      <c r="BZ65" s="113">
        <f>BZ14/BZ11</f>
        <v>8.882454528170354E-2</v>
      </c>
      <c r="CA65" s="113">
        <f>CA14/CA11</f>
        <v>9.0243557984816272E-2</v>
      </c>
      <c r="CB65" s="112">
        <f t="shared" si="113"/>
        <v>8.5569614784544251E-2</v>
      </c>
      <c r="CC65" s="113">
        <f t="shared" ref="CC65:CD65" si="114">CC14/CC11</f>
        <v>7.5779119555628952E-2</v>
      </c>
      <c r="CD65" s="113">
        <f t="shared" si="114"/>
        <v>8.7689940144870776E-2</v>
      </c>
      <c r="CE65" s="113">
        <f t="shared" ref="CE65" si="115">CE14/CE11</f>
        <v>9.1476703775696527E-2</v>
      </c>
      <c r="CF65" s="113">
        <f t="shared" si="113"/>
        <v>9.6056375332581545E-2</v>
      </c>
      <c r="CG65" s="112">
        <f t="shared" si="113"/>
        <v>8.7781625666746271E-2</v>
      </c>
      <c r="CH65" s="113">
        <f t="shared" ref="CH65" si="116">CH14/CH11</f>
        <v>7.8028190673524789E-2</v>
      </c>
      <c r="CI65" s="113">
        <f t="shared" ref="CI65:CJ65" si="117">CI14/CI11</f>
        <v>8.7257754035956522E-2</v>
      </c>
      <c r="CJ65" s="113">
        <f t="shared" si="117"/>
        <v>9.2789464323249304E-2</v>
      </c>
      <c r="CK65" s="113">
        <f t="shared" ref="CK65" si="118">CK14/CK11</f>
        <v>0.10020366278475439</v>
      </c>
      <c r="CL65" s="112">
        <f t="shared" ref="CL65:CQ65" si="119">CL14/CL11</f>
        <v>8.9631474719352955E-2</v>
      </c>
      <c r="CM65" s="113">
        <f t="shared" ca="1" si="119"/>
        <v>8.1894017271408284E-2</v>
      </c>
      <c r="CN65" s="113">
        <f t="shared" ca="1" si="119"/>
        <v>9.3362917563087303E-2</v>
      </c>
      <c r="CO65" s="113">
        <f t="shared" ca="1" si="119"/>
        <v>9.4446957955630628E-2</v>
      </c>
      <c r="CP65" s="113">
        <f t="shared" ca="1" si="119"/>
        <v>9.8905895464678595E-2</v>
      </c>
      <c r="CQ65" s="112">
        <f t="shared" ca="1" si="119"/>
        <v>9.225398945332379E-2</v>
      </c>
      <c r="CR65" s="113">
        <f t="shared" ref="CR65:CV65" ca="1" si="120">CR14/CR11</f>
        <v>7.8217369675801007E-2</v>
      </c>
      <c r="CS65" s="113">
        <f t="shared" ca="1" si="120"/>
        <v>8.6313597793272814E-2</v>
      </c>
      <c r="CT65" s="113">
        <f t="shared" ca="1" si="120"/>
        <v>8.6312195642711573E-2</v>
      </c>
      <c r="CU65" s="113">
        <f t="shared" ca="1" si="120"/>
        <v>9.0099661341296725E-2</v>
      </c>
      <c r="CV65" s="112">
        <f t="shared" ca="1" si="120"/>
        <v>8.5317746080917536E-2</v>
      </c>
      <c r="CW65" s="113">
        <f t="shared" ref="CW65:DF65" ca="1" si="121">CW14/CW11</f>
        <v>7.4666675466452989E-2</v>
      </c>
      <c r="CX65" s="113">
        <f t="shared" ca="1" si="121"/>
        <v>8.1068733584466757E-2</v>
      </c>
      <c r="CY65" s="113">
        <f t="shared" ca="1" si="121"/>
        <v>8.0422161704156225E-2</v>
      </c>
      <c r="CZ65" s="113">
        <f t="shared" ca="1" si="121"/>
        <v>8.3754668176238195E-2</v>
      </c>
      <c r="DA65" s="112">
        <f t="shared" ca="1" si="121"/>
        <v>8.0041376196076056E-2</v>
      </c>
      <c r="DB65" s="113">
        <f t="shared" ca="1" si="121"/>
        <v>7.0123872605072107E-2</v>
      </c>
      <c r="DC65" s="113">
        <f t="shared" ca="1" si="121"/>
        <v>7.4673537991646124E-2</v>
      </c>
      <c r="DD65" s="113">
        <f t="shared" ca="1" si="121"/>
        <v>7.5974101271535324E-2</v>
      </c>
      <c r="DE65" s="113">
        <f t="shared" ca="1" si="121"/>
        <v>7.8232619048818008E-2</v>
      </c>
      <c r="DF65" s="112">
        <f t="shared" ca="1" si="121"/>
        <v>7.4809072086799225E-2</v>
      </c>
    </row>
    <row r="66" spans="1:119" x14ac:dyDescent="0.2">
      <c r="B66" s="720" t="s">
        <v>88</v>
      </c>
      <c r="C66" s="122"/>
      <c r="D66" s="112"/>
      <c r="E66" s="112"/>
      <c r="F66" s="113"/>
      <c r="G66" s="113"/>
      <c r="H66" s="113"/>
      <c r="I66" s="113"/>
      <c r="J66" s="112"/>
      <c r="K66" s="113">
        <f t="shared" ref="K66:AI66" si="122">K62/K11</f>
        <v>2.7770811930204822E-2</v>
      </c>
      <c r="L66" s="113">
        <f t="shared" si="122"/>
        <v>2.3644075155203718E-2</v>
      </c>
      <c r="M66" s="113">
        <f t="shared" si="122"/>
        <v>2.3036353282692851E-2</v>
      </c>
      <c r="N66" s="113">
        <f t="shared" si="122"/>
        <v>3.1874134542720554E-2</v>
      </c>
      <c r="O66" s="112">
        <f t="shared" si="122"/>
        <v>2.6214216986931469E-2</v>
      </c>
      <c r="P66" s="113">
        <f t="shared" si="122"/>
        <v>2.6546493993414428E-2</v>
      </c>
      <c r="Q66" s="113">
        <f t="shared" si="122"/>
        <v>2.6430766866944941E-2</v>
      </c>
      <c r="R66" s="113">
        <f t="shared" si="122"/>
        <v>2.7714627475394712E-2</v>
      </c>
      <c r="S66" s="113">
        <f t="shared" si="122"/>
        <v>2.7672527834109607E-2</v>
      </c>
      <c r="T66" s="112">
        <f t="shared" si="122"/>
        <v>2.7094075521797399E-2</v>
      </c>
      <c r="U66" s="113">
        <f t="shared" si="122"/>
        <v>2.7213938516495326E-2</v>
      </c>
      <c r="V66" s="113">
        <f t="shared" si="122"/>
        <v>2.785353105761899E-2</v>
      </c>
      <c r="W66" s="113">
        <f t="shared" si="122"/>
        <v>2.8695470353671596E-2</v>
      </c>
      <c r="X66" s="113">
        <f t="shared" si="122"/>
        <v>2.8874914963293773E-2</v>
      </c>
      <c r="Y66" s="112">
        <f t="shared" si="122"/>
        <v>2.8170950099220753E-2</v>
      </c>
      <c r="Z66" s="113">
        <f t="shared" si="122"/>
        <v>2.9704168202506105E-2</v>
      </c>
      <c r="AA66" s="113">
        <f t="shared" si="122"/>
        <v>3.1070668748406294E-2</v>
      </c>
      <c r="AB66" s="113">
        <f t="shared" si="122"/>
        <v>3.4484974053869077E-2</v>
      </c>
      <c r="AC66" s="113">
        <f t="shared" si="122"/>
        <v>3.6497142395888443E-2</v>
      </c>
      <c r="AD66" s="112">
        <f t="shared" si="122"/>
        <v>3.304468589167555E-2</v>
      </c>
      <c r="AE66" s="113">
        <f t="shared" si="122"/>
        <v>3.7369661476931937E-2</v>
      </c>
      <c r="AF66" s="113">
        <f t="shared" si="122"/>
        <v>3.9986829589522273E-2</v>
      </c>
      <c r="AG66" s="113">
        <f t="shared" si="122"/>
        <v>4.3523610847714812E-2</v>
      </c>
      <c r="AH66" s="113">
        <f t="shared" si="122"/>
        <v>4.977081670903908E-2</v>
      </c>
      <c r="AI66" s="112">
        <f t="shared" si="122"/>
        <v>4.2596862301132604E-2</v>
      </c>
      <c r="AJ66" s="114">
        <f>(AJ62)/AJ11</f>
        <v>4.8916701533535743E-2</v>
      </c>
      <c r="AK66" s="113">
        <f t="shared" ref="AK66:CB66" si="123">AK62/AK11</f>
        <v>5.2367405367206112E-2</v>
      </c>
      <c r="AL66" s="113">
        <f t="shared" si="123"/>
        <v>5.7295360382217816E-2</v>
      </c>
      <c r="AM66" s="113">
        <f t="shared" si="123"/>
        <v>5.7766413368386865E-2</v>
      </c>
      <c r="AN66" s="112">
        <f t="shared" si="123"/>
        <v>5.4073898410208293E-2</v>
      </c>
      <c r="AO66" s="114">
        <f t="shared" si="123"/>
        <v>5.8115393021053466E-2</v>
      </c>
      <c r="AP66" s="114">
        <f t="shared" si="123"/>
        <v>6.1799378028495049E-2</v>
      </c>
      <c r="AQ66" s="113">
        <f t="shared" si="123"/>
        <v>6.494816989267034E-2</v>
      </c>
      <c r="AR66" s="113">
        <f t="shared" si="123"/>
        <v>6.5983762872554766E-2</v>
      </c>
      <c r="AS66" s="112">
        <f t="shared" si="123"/>
        <v>6.2708162708162776E-2</v>
      </c>
      <c r="AT66" s="114">
        <f t="shared" si="123"/>
        <v>7.1697278158884784E-2</v>
      </c>
      <c r="AU66" s="114">
        <f t="shared" si="123"/>
        <v>7.4591608671160936E-2</v>
      </c>
      <c r="AV66" s="113">
        <f t="shared" si="123"/>
        <v>7.7517172651884445E-2</v>
      </c>
      <c r="AW66" s="113">
        <f t="shared" si="123"/>
        <v>5.9430895298859115E-2</v>
      </c>
      <c r="AX66" s="112">
        <f t="shared" si="123"/>
        <v>6.9592542329068183E-2</v>
      </c>
      <c r="AY66" s="113">
        <f t="shared" si="123"/>
        <v>4.8841341162149547E-2</v>
      </c>
      <c r="AZ66" s="113">
        <f t="shared" si="123"/>
        <v>5.1907896485430587E-2</v>
      </c>
      <c r="BA66" s="113">
        <f t="shared" si="123"/>
        <v>5.4705991861918574E-2</v>
      </c>
      <c r="BB66" s="113">
        <f t="shared" si="123"/>
        <v>5.8192833864714244E-2</v>
      </c>
      <c r="BC66" s="112">
        <f t="shared" si="123"/>
        <v>5.3431662994006125E-2</v>
      </c>
      <c r="BD66" s="113">
        <f t="shared" si="123"/>
        <v>5.5317809943360607E-2</v>
      </c>
      <c r="BE66" s="113">
        <f t="shared" si="123"/>
        <v>5.6418405780560003E-2</v>
      </c>
      <c r="BF66" s="113">
        <f t="shared" si="123"/>
        <v>5.9295659295659234E-2</v>
      </c>
      <c r="BG66" s="113">
        <f t="shared" si="123"/>
        <v>5.9679767103347887E-2</v>
      </c>
      <c r="BH66" s="112">
        <f t="shared" si="123"/>
        <v>5.7732163735107207E-2</v>
      </c>
      <c r="BI66" s="113">
        <f t="shared" si="123"/>
        <v>5.415628520446341E-2</v>
      </c>
      <c r="BJ66" s="113">
        <f t="shared" si="123"/>
        <v>5.2918124003472185E-2</v>
      </c>
      <c r="BK66" s="113">
        <f t="shared" si="123"/>
        <v>6.0807714233550803E-2</v>
      </c>
      <c r="BL66" s="113">
        <f t="shared" si="123"/>
        <v>6.0001749322137726E-2</v>
      </c>
      <c r="BM66" s="112">
        <f t="shared" si="123"/>
        <v>5.7400015536526211E-2</v>
      </c>
      <c r="BN66" s="113">
        <f t="shared" si="123"/>
        <v>6.1207672996952976E-2</v>
      </c>
      <c r="BO66" s="113">
        <f t="shared" si="123"/>
        <v>6.5673729374184781E-2</v>
      </c>
      <c r="BP66" s="113">
        <f>BP62/BP11</f>
        <v>6.4056953218650736E-2</v>
      </c>
      <c r="BQ66" s="113">
        <f t="shared" si="123"/>
        <v>6.4637987748887099E-2</v>
      </c>
      <c r="BR66" s="112">
        <f t="shared" si="123"/>
        <v>6.3898023950373417E-2</v>
      </c>
      <c r="BS66" s="113">
        <f t="shared" si="123"/>
        <v>6.2032175764859677E-2</v>
      </c>
      <c r="BT66" s="113">
        <f t="shared" si="123"/>
        <v>6.9022852483144062E-2</v>
      </c>
      <c r="BU66" s="113">
        <f t="shared" si="123"/>
        <v>6.7392567907931952E-2</v>
      </c>
      <c r="BV66" s="113">
        <f t="shared" si="123"/>
        <v>7.0506273847263615E-2</v>
      </c>
      <c r="BW66" s="112">
        <f t="shared" si="123"/>
        <v>6.7351818573359298E-2</v>
      </c>
      <c r="BX66" s="113">
        <f t="shared" si="123"/>
        <v>6.0669892550775581E-2</v>
      </c>
      <c r="BY66" s="113">
        <f t="shared" si="123"/>
        <v>7.0433315016877301E-2</v>
      </c>
      <c r="BZ66" s="113">
        <f>BZ62/BZ11</f>
        <v>7.1626053615564997E-2</v>
      </c>
      <c r="CA66" s="113">
        <f>CA62/CA11</f>
        <v>7.3742991171452443E-2</v>
      </c>
      <c r="CB66" s="112">
        <f t="shared" si="123"/>
        <v>6.9191109400482495E-2</v>
      </c>
      <c r="CC66" s="113">
        <f t="shared" ref="CC66:CD66" si="124">CC62/CC11</f>
        <v>5.8809075932184277E-2</v>
      </c>
      <c r="CD66" s="113">
        <f t="shared" si="124"/>
        <v>7.1133845246996355E-2</v>
      </c>
      <c r="CE66" s="113">
        <f t="shared" ref="CE66" si="125">CE62/CE11</f>
        <v>7.6499577860242279E-2</v>
      </c>
      <c r="CF66" s="113">
        <f t="shared" ref="CF66:CL66" si="126">CF62/CF11</f>
        <v>8.2436082139116393E-2</v>
      </c>
      <c r="CG66" s="112">
        <f t="shared" si="126"/>
        <v>7.2251413104052226E-2</v>
      </c>
      <c r="CH66" s="113">
        <f t="shared" ref="CH66" si="127">CH62/CH11</f>
        <v>6.0549649336511489E-2</v>
      </c>
      <c r="CI66" s="113">
        <f t="shared" ref="CI66:CJ66" si="128">CI62/CI11</f>
        <v>7.1806762220061479E-2</v>
      </c>
      <c r="CJ66" s="113">
        <f t="shared" si="128"/>
        <v>7.8718450369460111E-2</v>
      </c>
      <c r="CK66" s="113">
        <f t="shared" ref="CK66" si="129">CK62/CK11</f>
        <v>8.4449284821224962E-2</v>
      </c>
      <c r="CL66" s="112">
        <f t="shared" si="126"/>
        <v>7.3944371209597876E-2</v>
      </c>
      <c r="CM66" s="113">
        <f t="shared" ref="CM66:CV66" ca="1" si="130">CM62/CM11</f>
        <v>6.2086528694452935E-2</v>
      </c>
      <c r="CN66" s="113">
        <f t="shared" ca="1" si="130"/>
        <v>7.7306657045422694E-2</v>
      </c>
      <c r="CO66" s="113">
        <f t="shared" ca="1" si="130"/>
        <v>7.8161956624996823E-2</v>
      </c>
      <c r="CP66" s="113">
        <f t="shared" ca="1" si="130"/>
        <v>8.2646011568434735E-2</v>
      </c>
      <c r="CQ66" s="112">
        <f t="shared" ca="1" si="130"/>
        <v>7.5173627976748869E-2</v>
      </c>
      <c r="CR66" s="113">
        <f t="shared" ca="1" si="130"/>
        <v>5.9313307978458386E-2</v>
      </c>
      <c r="CS66" s="113">
        <f t="shared" ca="1" si="130"/>
        <v>7.1164608423261971E-2</v>
      </c>
      <c r="CT66" s="113">
        <f t="shared" ca="1" si="130"/>
        <v>7.0940366783639103E-2</v>
      </c>
      <c r="CU66" s="113">
        <f t="shared" ca="1" si="130"/>
        <v>7.4740408169741007E-2</v>
      </c>
      <c r="CV66" s="112">
        <f t="shared" ca="1" si="130"/>
        <v>6.9147489298378301E-2</v>
      </c>
      <c r="CW66" s="113">
        <f t="shared" ref="CW66:DF66" ca="1" si="131">CW62/CW11</f>
        <v>5.5366327567392778E-2</v>
      </c>
      <c r="CX66" s="113">
        <f t="shared" ca="1" si="131"/>
        <v>6.5617068927193642E-2</v>
      </c>
      <c r="CY66" s="113">
        <f t="shared" ca="1" si="131"/>
        <v>6.4818206748632687E-2</v>
      </c>
      <c r="CZ66" s="113">
        <f t="shared" ca="1" si="131"/>
        <v>6.8100293064533579E-2</v>
      </c>
      <c r="DA66" s="112">
        <f t="shared" ca="1" si="131"/>
        <v>6.3566037438560874E-2</v>
      </c>
      <c r="DB66" s="113">
        <f t="shared" ca="1" si="131"/>
        <v>5.0371852429511026E-2</v>
      </c>
      <c r="DC66" s="113">
        <f t="shared" ca="1" si="131"/>
        <v>5.8756502321137292E-2</v>
      </c>
      <c r="DD66" s="113">
        <f t="shared" ca="1" si="131"/>
        <v>5.9894880205423696E-2</v>
      </c>
      <c r="DE66" s="113">
        <f t="shared" ca="1" si="131"/>
        <v>6.2093650462594706E-2</v>
      </c>
      <c r="DF66" s="112">
        <f t="shared" ca="1" si="131"/>
        <v>5.7864953168509072E-2</v>
      </c>
    </row>
    <row r="67" spans="1:119" x14ac:dyDescent="0.2">
      <c r="B67" s="720" t="s">
        <v>72</v>
      </c>
      <c r="C67" s="122"/>
      <c r="D67" s="112"/>
      <c r="E67" s="112"/>
      <c r="F67" s="113"/>
      <c r="G67" s="113"/>
      <c r="H67" s="113"/>
      <c r="I67" s="113"/>
      <c r="J67" s="112"/>
      <c r="K67" s="113">
        <f t="shared" ref="K67:AI67" si="132">K16/K11</f>
        <v>2.0424357984431273E-2</v>
      </c>
      <c r="L67" s="113">
        <f t="shared" si="132"/>
        <v>1.8896653394420992E-2</v>
      </c>
      <c r="M67" s="113">
        <f t="shared" si="132"/>
        <v>2.0550433744532495E-2</v>
      </c>
      <c r="N67" s="113">
        <f t="shared" si="132"/>
        <v>2.6911220492050088E-2</v>
      </c>
      <c r="O67" s="112">
        <f t="shared" si="132"/>
        <v>2.1474880110727616E-2</v>
      </c>
      <c r="P67" s="113">
        <f t="shared" si="132"/>
        <v>2.3658391667310531E-2</v>
      </c>
      <c r="Q67" s="113">
        <f t="shared" si="132"/>
        <v>2.3599395763022644E-2</v>
      </c>
      <c r="R67" s="113">
        <f t="shared" si="132"/>
        <v>2.4808814888393024E-2</v>
      </c>
      <c r="S67" s="113">
        <f t="shared" si="132"/>
        <v>2.4662691884123705E-2</v>
      </c>
      <c r="T67" s="112">
        <f t="shared" si="132"/>
        <v>2.4184648207266658E-2</v>
      </c>
      <c r="U67" s="113">
        <f t="shared" si="132"/>
        <v>2.4088518734110512E-2</v>
      </c>
      <c r="V67" s="113">
        <f t="shared" si="132"/>
        <v>2.4540191945295827E-2</v>
      </c>
      <c r="W67" s="113">
        <f t="shared" si="132"/>
        <v>2.5255661838684017E-2</v>
      </c>
      <c r="X67" s="113">
        <f t="shared" si="132"/>
        <v>2.52096479166544E-2</v>
      </c>
      <c r="Y67" s="112">
        <f t="shared" si="132"/>
        <v>2.4780988335511348E-2</v>
      </c>
      <c r="Z67" s="113">
        <f t="shared" si="132"/>
        <v>2.5988657896131025E-2</v>
      </c>
      <c r="AA67" s="113">
        <f t="shared" si="132"/>
        <v>2.7457722833795863E-2</v>
      </c>
      <c r="AB67" s="113">
        <f t="shared" si="132"/>
        <v>3.0622136896728665E-2</v>
      </c>
      <c r="AC67" s="113">
        <f t="shared" si="132"/>
        <v>3.2299891624090526E-2</v>
      </c>
      <c r="AD67" s="112">
        <f t="shared" si="132"/>
        <v>2.9186976372663851E-2</v>
      </c>
      <c r="AE67" s="113">
        <f t="shared" si="132"/>
        <v>3.2763176689044486E-2</v>
      </c>
      <c r="AF67" s="113">
        <f t="shared" si="132"/>
        <v>3.521255579132223E-2</v>
      </c>
      <c r="AG67" s="113">
        <f t="shared" si="132"/>
        <v>3.9010051204248095E-2</v>
      </c>
      <c r="AH67" s="113">
        <f t="shared" si="132"/>
        <v>4.5298494998793577E-2</v>
      </c>
      <c r="AI67" s="112">
        <f t="shared" si="132"/>
        <v>3.800398540219891E-2</v>
      </c>
      <c r="AJ67" s="114">
        <f>AJ59/AJ11</f>
        <v>4.4259700569391006E-2</v>
      </c>
      <c r="AK67" s="113">
        <f t="shared" ref="AK67:BM67" si="133">AK16/AK11</f>
        <v>4.7674271114574153E-2</v>
      </c>
      <c r="AL67" s="113">
        <f t="shared" si="133"/>
        <v>5.3040200067186648E-2</v>
      </c>
      <c r="AM67" s="113">
        <f t="shared" si="133"/>
        <v>5.3588792451471107E-2</v>
      </c>
      <c r="AN67" s="112">
        <f t="shared" si="133"/>
        <v>4.9627406806096543E-2</v>
      </c>
      <c r="AO67" s="114">
        <f t="shared" si="133"/>
        <v>5.3653383842063154E-2</v>
      </c>
      <c r="AP67" s="114">
        <f t="shared" si="133"/>
        <v>5.726115570984313E-2</v>
      </c>
      <c r="AQ67" s="113">
        <f t="shared" si="133"/>
        <v>6.0673332721768579E-2</v>
      </c>
      <c r="AR67" s="113">
        <f t="shared" si="133"/>
        <v>6.1479503805009043E-2</v>
      </c>
      <c r="AS67" s="112">
        <f t="shared" si="133"/>
        <v>5.8262808262808337E-2</v>
      </c>
      <c r="AT67" s="114">
        <f t="shared" si="133"/>
        <v>6.7160876300066452E-2</v>
      </c>
      <c r="AU67" s="114">
        <f t="shared" si="133"/>
        <v>7.0030708847418813E-2</v>
      </c>
      <c r="AV67" s="113">
        <f t="shared" si="133"/>
        <v>7.3281845036836574E-2</v>
      </c>
      <c r="AW67" s="113">
        <f t="shared" si="133"/>
        <v>5.7263573159298163E-2</v>
      </c>
      <c r="AX67" s="112">
        <f t="shared" si="133"/>
        <v>6.5904905001938796E-2</v>
      </c>
      <c r="AY67" s="113">
        <f t="shared" si="133"/>
        <v>4.6972897497404284E-2</v>
      </c>
      <c r="AZ67" s="113">
        <f t="shared" si="133"/>
        <v>5.0056257918191308E-2</v>
      </c>
      <c r="BA67" s="113">
        <f t="shared" si="133"/>
        <v>5.2667038997189698E-2</v>
      </c>
      <c r="BB67" s="113">
        <f t="shared" si="133"/>
        <v>5.5976048115732174E-2</v>
      </c>
      <c r="BC67" s="112">
        <f t="shared" si="133"/>
        <v>5.1432781435644115E-2</v>
      </c>
      <c r="BD67" s="113">
        <f t="shared" si="133"/>
        <v>5.3142137912433697E-2</v>
      </c>
      <c r="BE67" s="113">
        <f t="shared" si="133"/>
        <v>5.4258597529390107E-2</v>
      </c>
      <c r="BF67" s="113">
        <f t="shared" si="133"/>
        <v>5.7338678391309905E-2</v>
      </c>
      <c r="BG67" s="113">
        <f t="shared" si="133"/>
        <v>5.7434682851010291E-2</v>
      </c>
      <c r="BH67" s="112">
        <f t="shared" si="133"/>
        <v>5.5596977025131687E-2</v>
      </c>
      <c r="BI67" s="113">
        <f t="shared" si="133"/>
        <v>5.1993651890042847E-2</v>
      </c>
      <c r="BJ67" s="113">
        <f>BJ16/BJ11</f>
        <v>4.9968946468069354E-2</v>
      </c>
      <c r="BK67" s="113">
        <f t="shared" si="133"/>
        <v>5.7722616967289773E-2</v>
      </c>
      <c r="BL67" s="113">
        <f t="shared" si="133"/>
        <v>5.6958657686813081E-2</v>
      </c>
      <c r="BM67" s="112">
        <f t="shared" si="133"/>
        <v>5.4486384788676581E-2</v>
      </c>
      <c r="BN67" s="113">
        <f t="shared" ref="BN67:BW67" si="134">BN16/BN11</f>
        <v>5.7409501178544681E-2</v>
      </c>
      <c r="BO67" s="113">
        <f t="shared" si="134"/>
        <v>6.1912412346192262E-2</v>
      </c>
      <c r="BP67" s="113">
        <f>BP16/BP11</f>
        <v>6.0464614305371797E-2</v>
      </c>
      <c r="BQ67" s="113">
        <f t="shared" si="134"/>
        <v>6.10424682001868E-2</v>
      </c>
      <c r="BR67" s="112">
        <f t="shared" si="134"/>
        <v>6.0210548519161231E-2</v>
      </c>
      <c r="BS67" s="113">
        <f t="shared" si="134"/>
        <v>5.8211567250722192E-2</v>
      </c>
      <c r="BT67" s="113">
        <f t="shared" si="134"/>
        <v>6.5323494898466533E-2</v>
      </c>
      <c r="BU67" s="113">
        <f t="shared" si="134"/>
        <v>6.3889642345100167E-2</v>
      </c>
      <c r="BV67" s="113">
        <f t="shared" si="134"/>
        <v>6.6865354315761516E-2</v>
      </c>
      <c r="BW67" s="112">
        <f t="shared" si="134"/>
        <v>6.3689424205070344E-2</v>
      </c>
      <c r="BX67" s="113">
        <f t="shared" ref="BX67:CG67" si="135">BX16/BX11</f>
        <v>5.6773955399343594E-2</v>
      </c>
      <c r="BY67" s="113">
        <f t="shared" si="135"/>
        <v>6.6496585289269161E-2</v>
      </c>
      <c r="BZ67" s="113">
        <f>BZ16/BZ11</f>
        <v>6.7827492236516893E-2</v>
      </c>
      <c r="CA67" s="113">
        <f>CA16/CA11</f>
        <v>6.9674149111992392E-2</v>
      </c>
      <c r="CB67" s="112">
        <f t="shared" si="135"/>
        <v>6.5264627592985167E-2</v>
      </c>
      <c r="CC67" s="113">
        <f t="shared" ref="CC67:CD67" si="136">CC16/CC11</f>
        <v>5.5751809587490583E-2</v>
      </c>
      <c r="CD67" s="113">
        <f t="shared" si="136"/>
        <v>6.8044165410618848E-2</v>
      </c>
      <c r="CE67" s="113">
        <f t="shared" ref="CE67" si="137">CE16/CE11</f>
        <v>7.3813590936757573E-2</v>
      </c>
      <c r="CF67" s="113">
        <f t="shared" si="135"/>
        <v>7.9378137703812801E-2</v>
      </c>
      <c r="CG67" s="112">
        <f t="shared" si="135"/>
        <v>6.9279914019584429E-2</v>
      </c>
      <c r="CH67" s="113">
        <f t="shared" ref="CH67" si="138">CH16/CH11</f>
        <v>5.734450816056462E-2</v>
      </c>
      <c r="CI67" s="113">
        <f t="shared" ref="CI67:CJ67" si="139">CI16/CI11</f>
        <v>6.8602403662573946E-2</v>
      </c>
      <c r="CJ67" s="113">
        <f t="shared" si="139"/>
        <v>7.5500832700050119E-2</v>
      </c>
      <c r="CK67" s="113">
        <f t="shared" ref="CK67" si="140">CK16/CK11</f>
        <v>8.1205620778322107E-2</v>
      </c>
      <c r="CL67" s="112">
        <f t="shared" ref="CL67:CQ67" si="141">CL16/CL11</f>
        <v>7.0726580526532801E-2</v>
      </c>
      <c r="CM67" s="113">
        <f t="shared" ca="1" si="141"/>
        <v>5.8807946693792315E-2</v>
      </c>
      <c r="CN67" s="113">
        <f t="shared" ca="1" si="141"/>
        <v>7.4117990566634762E-2</v>
      </c>
      <c r="CO67" s="113">
        <f t="shared" ca="1" si="141"/>
        <v>7.5055906313741677E-2</v>
      </c>
      <c r="CP67" s="113">
        <f t="shared" ca="1" si="141"/>
        <v>7.9470028142884688E-2</v>
      </c>
      <c r="CQ67" s="112">
        <f t="shared" ca="1" si="141"/>
        <v>7.1986940662943436E-2</v>
      </c>
      <c r="CR67" s="113">
        <f t="shared" ref="CR67:CV67" ca="1" si="142">CR16/CR11</f>
        <v>5.614693408586905E-2</v>
      </c>
      <c r="CS67" s="113">
        <f t="shared" ca="1" si="142"/>
        <v>6.8101626170859908E-2</v>
      </c>
      <c r="CT67" s="113">
        <f t="shared" ca="1" si="142"/>
        <v>6.795864083532388E-2</v>
      </c>
      <c r="CU67" s="113">
        <f t="shared" ca="1" si="142"/>
        <v>7.1701377591963711E-2</v>
      </c>
      <c r="CV67" s="112">
        <f t="shared" ca="1" si="142"/>
        <v>6.6085915771625398E-2</v>
      </c>
      <c r="CW67" s="113">
        <f t="shared" ref="CW67:DF67" ca="1" si="143">CW16/CW11</f>
        <v>5.2200461833987612E-2</v>
      </c>
      <c r="CX67" s="113">
        <f t="shared" ca="1" si="143"/>
        <v>6.2447063991448504E-2</v>
      </c>
      <c r="CY67" s="113">
        <f t="shared" ca="1" si="143"/>
        <v>6.1647792514203097E-2</v>
      </c>
      <c r="CZ67" s="113">
        <f t="shared" ca="1" si="143"/>
        <v>6.4927338660722381E-2</v>
      </c>
      <c r="DA67" s="112">
        <f t="shared" ca="1" si="143"/>
        <v>6.0396178400951357E-2</v>
      </c>
      <c r="DB67" s="113">
        <f t="shared" ca="1" si="143"/>
        <v>4.7213102838708478E-2</v>
      </c>
      <c r="DC67" s="113">
        <f t="shared" ca="1" si="143"/>
        <v>5.5593350677403439E-2</v>
      </c>
      <c r="DD67" s="113">
        <f t="shared" ca="1" si="143"/>
        <v>5.6731036701285195E-2</v>
      </c>
      <c r="DE67" s="113">
        <f t="shared" ca="1" si="143"/>
        <v>5.89273654821999E-2</v>
      </c>
      <c r="DF67" s="112">
        <f t="shared" ca="1" si="143"/>
        <v>5.4701892266777269E-2</v>
      </c>
      <c r="DH67" s="114"/>
      <c r="DO67" s="1"/>
    </row>
    <row r="68" spans="1:119" ht="11.25" hidden="1" customHeight="1" outlineLevel="1" x14ac:dyDescent="0.2">
      <c r="B68" s="720" t="s">
        <v>76</v>
      </c>
      <c r="C68" s="122"/>
      <c r="D68" s="112"/>
      <c r="E68" s="112"/>
      <c r="F68" s="113"/>
      <c r="G68" s="113"/>
      <c r="H68" s="113"/>
      <c r="I68" s="113"/>
      <c r="J68" s="112"/>
      <c r="K68" s="113">
        <f t="shared" ref="K68:AI68" si="144">K21/K11</f>
        <v>1.8309378791077292E-2</v>
      </c>
      <c r="L68" s="113">
        <f t="shared" si="144"/>
        <v>1.6530643285846771E-2</v>
      </c>
      <c r="M68" s="113">
        <f t="shared" si="144"/>
        <v>1.7986617093970911E-2</v>
      </c>
      <c r="N68" s="113">
        <f t="shared" si="144"/>
        <v>2.3820373233423529E-2</v>
      </c>
      <c r="O68" s="112">
        <f t="shared" si="144"/>
        <v>1.8948393042611728E-2</v>
      </c>
      <c r="P68" s="113">
        <f t="shared" si="144"/>
        <v>2.1163034396568324E-2</v>
      </c>
      <c r="Q68" s="113">
        <f t="shared" si="144"/>
        <v>2.0418570421876774E-2</v>
      </c>
      <c r="R68" s="113">
        <f t="shared" si="144"/>
        <v>2.2817394391320474E-2</v>
      </c>
      <c r="S68" s="113">
        <f t="shared" si="144"/>
        <v>2.2884028458614362E-2</v>
      </c>
      <c r="T68" s="112">
        <f t="shared" si="144"/>
        <v>2.1824851183304402E-2</v>
      </c>
      <c r="U68" s="113">
        <f t="shared" si="144"/>
        <v>2.2172868251765003E-2</v>
      </c>
      <c r="V68" s="113">
        <f t="shared" si="144"/>
        <v>2.289145737182147E-2</v>
      </c>
      <c r="W68" s="113">
        <f t="shared" si="144"/>
        <v>2.4410909407657999E-2</v>
      </c>
      <c r="X68" s="113">
        <f t="shared" ca="1" si="144"/>
        <v>2.4362793801702195E-2</v>
      </c>
      <c r="Y68" s="112">
        <f t="shared" ca="1" si="144"/>
        <v>2.3474178403755867E-2</v>
      </c>
      <c r="Z68" s="113">
        <f t="shared" si="144"/>
        <v>2.5274750874630027E-2</v>
      </c>
      <c r="AA68" s="113">
        <f t="shared" si="144"/>
        <v>2.6926124267132145E-2</v>
      </c>
      <c r="AB68" s="113">
        <f t="shared" si="144"/>
        <v>3.0203957497766512E-2</v>
      </c>
      <c r="AC68" s="113">
        <f t="shared" si="144"/>
        <v>2.9698505894511576E-2</v>
      </c>
      <c r="AD68" s="112">
        <f t="shared" si="144"/>
        <v>2.8070509853043997E-2</v>
      </c>
      <c r="AE68" s="113">
        <f t="shared" si="144"/>
        <v>2.9906441936866226E-2</v>
      </c>
      <c r="AF68" s="113">
        <f t="shared" si="144"/>
        <v>3.1554108436379666E-2</v>
      </c>
      <c r="AG68" s="113">
        <f t="shared" si="144"/>
        <v>3.4363739806561766E-2</v>
      </c>
      <c r="AH68" s="113">
        <f t="shared" si="144"/>
        <v>4.1011746803496001E-2</v>
      </c>
      <c r="AI68" s="112">
        <f t="shared" si="144"/>
        <v>3.4156645635156253E-2</v>
      </c>
      <c r="AJ68" s="114">
        <f>(AJ21+23-9)/AJ11</f>
        <v>4.3204598788451967E-2</v>
      </c>
      <c r="AK68" s="113">
        <f t="shared" ref="AK68:BM68" si="145">AK21/AK11</f>
        <v>4.3434142098682738E-2</v>
      </c>
      <c r="AL68" s="113">
        <f t="shared" si="145"/>
        <v>4.7646597738046255E-2</v>
      </c>
      <c r="AM68" s="113">
        <f t="shared" si="145"/>
        <v>4.9015017826916786E-2</v>
      </c>
      <c r="AN68" s="112">
        <f t="shared" si="145"/>
        <v>4.5180915201984799E-2</v>
      </c>
      <c r="AO68" s="114">
        <f t="shared" si="145"/>
        <v>5.0338748451956065E-2</v>
      </c>
      <c r="AP68" s="114">
        <f t="shared" si="145"/>
        <v>5.4766037462934902E-2</v>
      </c>
      <c r="AQ68" s="113">
        <f t="shared" si="145"/>
        <v>5.7811209980735655E-2</v>
      </c>
      <c r="AR68" s="113">
        <f t="shared" si="145"/>
        <v>5.7974173159701277E-2</v>
      </c>
      <c r="AS68" s="112">
        <f t="shared" si="145"/>
        <v>5.5218855218855299E-2</v>
      </c>
      <c r="AT68" s="114">
        <f t="shared" si="145"/>
        <v>6.4173489710112913E-2</v>
      </c>
      <c r="AU68" s="114">
        <f t="shared" si="145"/>
        <v>6.6759944033579849E-2</v>
      </c>
      <c r="AV68" s="113">
        <f t="shared" si="145"/>
        <v>6.5095917713634807E-2</v>
      </c>
      <c r="AW68" s="113">
        <f t="shared" si="145"/>
        <v>5.2332306493443226E-2</v>
      </c>
      <c r="AX68" s="112">
        <f t="shared" si="145"/>
        <v>6.1029791909008722E-2</v>
      </c>
      <c r="AY68" s="113">
        <f t="shared" si="145"/>
        <v>4.3294189252085467E-2</v>
      </c>
      <c r="AZ68" s="113">
        <f t="shared" si="145"/>
        <v>4.6379559327740093E-2</v>
      </c>
      <c r="BA68" s="113">
        <f t="shared" si="145"/>
        <v>4.9121034015052696E-2</v>
      </c>
      <c r="BB68" s="113">
        <f t="shared" si="145"/>
        <v>5.247864908546554E-2</v>
      </c>
      <c r="BC68" s="112">
        <f t="shared" si="145"/>
        <v>4.7833352195940329E-2</v>
      </c>
      <c r="BD68" s="113">
        <f t="shared" si="145"/>
        <v>4.9608918457250739E-2</v>
      </c>
      <c r="BE68" s="113">
        <f t="shared" si="145"/>
        <v>4.9974099860402674E-2</v>
      </c>
      <c r="BF68" s="113">
        <f t="shared" si="145"/>
        <v>5.3338505970084854E-2</v>
      </c>
      <c r="BG68" s="113">
        <f t="shared" si="145"/>
        <v>5.351195322329954E-2</v>
      </c>
      <c r="BH68" s="112">
        <f t="shared" si="145"/>
        <v>5.1659416108557413E-2</v>
      </c>
      <c r="BI68" s="113">
        <f t="shared" si="145"/>
        <v>4.7865735829818026E-2</v>
      </c>
      <c r="BJ68" s="113">
        <f t="shared" si="145"/>
        <v>4.4081487373379684E-2</v>
      </c>
      <c r="BK68" s="113">
        <f t="shared" si="145"/>
        <v>5.2182110161818569E-2</v>
      </c>
      <c r="BL68" s="113">
        <f t="shared" si="145"/>
        <v>5.1590425376833192E-2</v>
      </c>
      <c r="BM68" s="112">
        <f t="shared" si="145"/>
        <v>4.9077332527420317E-2</v>
      </c>
      <c r="BN68" s="113">
        <f t="shared" ref="BN68:BW68" si="146">BN21/BN11</f>
        <v>5.221623900503989E-2</v>
      </c>
      <c r="BO68" s="113">
        <f t="shared" si="146"/>
        <v>5.7395051694482661E-2</v>
      </c>
      <c r="BP68" s="113">
        <f>BP21/BP11</f>
        <v>5.5827721909798234E-2</v>
      </c>
      <c r="BQ68" s="113">
        <f t="shared" si="146"/>
        <v>5.646283015432068E-2</v>
      </c>
      <c r="BR68" s="112">
        <f t="shared" si="146"/>
        <v>5.5478959529813285E-2</v>
      </c>
      <c r="BS68" s="113">
        <f t="shared" si="146"/>
        <v>5.3429481097265308E-2</v>
      </c>
      <c r="BT68" s="113">
        <f t="shared" si="146"/>
        <v>6.0550130273076208E-2</v>
      </c>
      <c r="BU68" s="113">
        <f t="shared" si="146"/>
        <v>5.9448986709032432E-2</v>
      </c>
      <c r="BV68" s="113">
        <f t="shared" si="146"/>
        <v>6.2601795782000424E-2</v>
      </c>
      <c r="BW68" s="112">
        <f t="shared" si="146"/>
        <v>5.9131975900870819E-2</v>
      </c>
      <c r="BX68" s="113">
        <f t="shared" ref="BX68:CG68" si="147">BX21/BX11</f>
        <v>5.2268149610406288E-2</v>
      </c>
      <c r="BY68" s="113">
        <f t="shared" si="147"/>
        <v>6.1900463144673831E-2</v>
      </c>
      <c r="BZ68" s="113">
        <f>BZ21/BZ11</f>
        <v>6.3050573547119598E-2</v>
      </c>
      <c r="CA68" s="113">
        <f>CA21/CA11</f>
        <v>6.5189262226565028E-2</v>
      </c>
      <c r="CB68" s="112">
        <f t="shared" si="147"/>
        <v>6.0674404424680577E-2</v>
      </c>
      <c r="CC68" s="113">
        <f t="shared" ref="CC68:CD68" si="148">CC21/CC11</f>
        <v>5.0523441055985434E-2</v>
      </c>
      <c r="CD68" s="113">
        <f t="shared" si="148"/>
        <v>6.3039754408035539E-2</v>
      </c>
      <c r="CE68" s="113">
        <f t="shared" ref="CE68" si="149">CE21/CE11</f>
        <v>6.8347371934578155E-2</v>
      </c>
      <c r="CF68" s="113">
        <f t="shared" si="147"/>
        <v>7.3787958440849649E-2</v>
      </c>
      <c r="CG68" s="112">
        <f t="shared" si="147"/>
        <v>6.3957885518668905E-2</v>
      </c>
      <c r="CH68" s="113">
        <f t="shared" ref="CH68" si="150">CH21/CH11</f>
        <v>5.1703135939264185E-2</v>
      </c>
      <c r="CI68" s="113">
        <f t="shared" ref="CI68:CJ68" si="151">CI21/CI11</f>
        <v>6.3181762712131273E-2</v>
      </c>
      <c r="CJ68" s="113">
        <f t="shared" si="151"/>
        <v>7.0080197907740047E-2</v>
      </c>
      <c r="CK68" s="113">
        <f t="shared" ref="CK68" si="152">CK21/CK11</f>
        <v>7.5854558036030223E-2</v>
      </c>
      <c r="CL68" s="112">
        <f t="shared" ref="CL68:CQ68" si="153">CL21/CL11</f>
        <v>6.5269199550885115E-2</v>
      </c>
      <c r="CM68" s="113">
        <f t="shared" ca="1" si="153"/>
        <v>5.3492844230211327E-2</v>
      </c>
      <c r="CN68" s="113">
        <f t="shared" ca="1" si="153"/>
        <v>6.9255089173213963E-2</v>
      </c>
      <c r="CO68" s="113">
        <f t="shared" ca="1" si="153"/>
        <v>7.0318147801476161E-2</v>
      </c>
      <c r="CP68" s="113">
        <f t="shared" ca="1" si="153"/>
        <v>7.4969394398151659E-2</v>
      </c>
      <c r="CQ68" s="112">
        <f t="shared" ca="1" si="153"/>
        <v>6.7137664397172253E-2</v>
      </c>
      <c r="CR68" s="113">
        <f t="shared" ref="CR68:CV68" ca="1" si="154">CR21/CR11</f>
        <v>5.1789917636266183E-2</v>
      </c>
      <c r="CS68" s="113">
        <f t="shared" ca="1" si="154"/>
        <v>6.4177784539697344E-2</v>
      </c>
      <c r="CT68" s="113">
        <f t="shared" ca="1" si="154"/>
        <v>6.4319310025581736E-2</v>
      </c>
      <c r="CU68" s="113">
        <f t="shared" ca="1" si="154"/>
        <v>6.8257028991801971E-2</v>
      </c>
      <c r="CV68" s="112">
        <f t="shared" ca="1" si="154"/>
        <v>6.2251078103622057E-2</v>
      </c>
      <c r="CW68" s="113">
        <f t="shared" ref="CW68:DF68" ca="1" si="155">CW21/CW11</f>
        <v>4.846553358391139E-2</v>
      </c>
      <c r="CX68" s="113">
        <f t="shared" ca="1" si="155"/>
        <v>5.9095777428658222E-2</v>
      </c>
      <c r="CY68" s="113">
        <f t="shared" ca="1" si="155"/>
        <v>5.8590411466357038E-2</v>
      </c>
      <c r="CZ68" s="113">
        <f t="shared" ca="1" si="155"/>
        <v>6.2041313865368007E-2</v>
      </c>
      <c r="DA68" s="112">
        <f t="shared" ca="1" si="155"/>
        <v>5.7144777317431436E-2</v>
      </c>
      <c r="DB68" s="113">
        <f t="shared" ca="1" si="155"/>
        <v>4.4101500799678194E-2</v>
      </c>
      <c r="DC68" s="113">
        <f t="shared" ca="1" si="155"/>
        <v>5.284561016462816E-2</v>
      </c>
      <c r="DD68" s="113">
        <f t="shared" ca="1" si="155"/>
        <v>5.4282434845482709E-2</v>
      </c>
      <c r="DE68" s="113">
        <f t="shared" ca="1" si="155"/>
        <v>5.6628352629067687E-2</v>
      </c>
      <c r="DF68" s="112">
        <f t="shared" ca="1" si="155"/>
        <v>5.2056064169644992E-2</v>
      </c>
    </row>
    <row r="69" spans="1:119" ht="13.5" collapsed="1" thickBot="1" x14ac:dyDescent="0.25">
      <c r="B69" s="720" t="s">
        <v>78</v>
      </c>
      <c r="C69" s="122"/>
      <c r="D69" s="112"/>
      <c r="E69" s="112"/>
      <c r="F69" s="113"/>
      <c r="G69" s="113"/>
      <c r="H69" s="113"/>
      <c r="I69" s="113"/>
      <c r="J69" s="112"/>
      <c r="K69" s="113">
        <f t="shared" ref="K69:AI69" si="156">K25/K11</f>
        <v>1.1473599031780453E-2</v>
      </c>
      <c r="L69" s="113">
        <f t="shared" si="156"/>
        <v>1.0135880743100203E-2</v>
      </c>
      <c r="M69" s="113">
        <f t="shared" si="156"/>
        <v>1.1059899899313313E-2</v>
      </c>
      <c r="N69" s="113">
        <f t="shared" si="156"/>
        <v>1.4766218421435488E-2</v>
      </c>
      <c r="O69" s="112">
        <f t="shared" si="156"/>
        <v>1.1717404844800888E-2</v>
      </c>
      <c r="P69" s="113">
        <f t="shared" si="156"/>
        <v>1.3087625590653715E-2</v>
      </c>
      <c r="Q69" s="113">
        <f t="shared" si="156"/>
        <v>1.2627003503744296E-2</v>
      </c>
      <c r="R69" s="113">
        <f t="shared" si="156"/>
        <v>1.4108700518337689E-2</v>
      </c>
      <c r="S69" s="113">
        <f t="shared" si="156"/>
        <v>1.4150195073798558E-2</v>
      </c>
      <c r="T69" s="112">
        <f t="shared" si="156"/>
        <v>1.3495908735632228E-2</v>
      </c>
      <c r="U69" s="113">
        <f t="shared" si="156"/>
        <v>1.3761200415926657E-2</v>
      </c>
      <c r="V69" s="113">
        <f t="shared" si="156"/>
        <v>1.413065587663849E-2</v>
      </c>
      <c r="W69" s="113">
        <f t="shared" si="156"/>
        <v>1.5074007912806702E-2</v>
      </c>
      <c r="X69" s="113">
        <f t="shared" ca="1" si="156"/>
        <v>1.5079061887986137E-2</v>
      </c>
      <c r="Y69" s="112">
        <f t="shared" ca="1" si="156"/>
        <v>1.4520110352838681E-2</v>
      </c>
      <c r="Z69" s="113">
        <f t="shared" si="156"/>
        <v>1.5588723425280794E-2</v>
      </c>
      <c r="AA69" s="113">
        <f t="shared" si="156"/>
        <v>1.683796364998192E-2</v>
      </c>
      <c r="AB69" s="113">
        <f t="shared" si="156"/>
        <v>1.9042369176376635E-2</v>
      </c>
      <c r="AC69" s="113">
        <f t="shared" si="156"/>
        <v>1.8930055855276583E-2</v>
      </c>
      <c r="AD69" s="112">
        <f t="shared" si="156"/>
        <v>1.7636540224564116E-2</v>
      </c>
      <c r="AE69" s="113">
        <f t="shared" si="156"/>
        <v>1.8693758034566556E-2</v>
      </c>
      <c r="AF69" s="113">
        <f t="shared" si="156"/>
        <v>1.9719031243140478E-2</v>
      </c>
      <c r="AG69" s="113">
        <f t="shared" si="156"/>
        <v>2.1752323155698878E-2</v>
      </c>
      <c r="AH69" s="113">
        <f t="shared" si="156"/>
        <v>2.6147308256165472E-2</v>
      </c>
      <c r="AI69" s="112">
        <f t="shared" si="156"/>
        <v>2.1542341446802279E-2</v>
      </c>
      <c r="AJ69" s="114">
        <f>(AJ25+8.9)/AJ11</f>
        <v>2.7414454894398737E-2</v>
      </c>
      <c r="AK69" s="113">
        <f t="shared" ref="AK69:BM69" si="157">AK25/AK11</f>
        <v>2.7542718393824706E-2</v>
      </c>
      <c r="AL69" s="113">
        <f t="shared" si="157"/>
        <v>2.948751446381237E-2</v>
      </c>
      <c r="AM69" s="113">
        <f t="shared" si="157"/>
        <v>3.203442935859107E-2</v>
      </c>
      <c r="AN69" s="112">
        <f t="shared" si="157"/>
        <v>2.871749500624796E-2</v>
      </c>
      <c r="AO69" s="114">
        <f t="shared" si="157"/>
        <v>3.2472499453631599E-2</v>
      </c>
      <c r="AP69" s="114">
        <f t="shared" si="157"/>
        <v>3.4696608085629632E-2</v>
      </c>
      <c r="AQ69" s="113">
        <f t="shared" si="157"/>
        <v>3.7244289514723361E-2</v>
      </c>
      <c r="AR69" s="113">
        <f t="shared" si="157"/>
        <v>3.7487059336348147E-2</v>
      </c>
      <c r="AS69" s="112">
        <f t="shared" si="157"/>
        <v>3.547183547183555E-2</v>
      </c>
      <c r="AT69" s="114">
        <f t="shared" si="157"/>
        <v>4.0643210149738207E-2</v>
      </c>
      <c r="AU69" s="114">
        <f t="shared" si="157"/>
        <v>4.2247378845420014E-2</v>
      </c>
      <c r="AV69" s="113">
        <f t="shared" si="157"/>
        <v>4.1072000569455716E-2</v>
      </c>
      <c r="AW69" s="113">
        <f t="shared" si="157"/>
        <v>3.298469480938522E-2</v>
      </c>
      <c r="AX69" s="112">
        <f t="shared" si="157"/>
        <v>3.8556611089569662E-2</v>
      </c>
      <c r="AY69" s="113">
        <f t="shared" si="157"/>
        <v>2.7281515162364368E-2</v>
      </c>
      <c r="AZ69" s="113">
        <f t="shared" si="157"/>
        <v>2.9147803283336202E-2</v>
      </c>
      <c r="BA69" s="113">
        <f t="shared" si="157"/>
        <v>3.0903433419323858E-2</v>
      </c>
      <c r="BB69" s="113">
        <f t="shared" si="157"/>
        <v>3.3366599839261019E-2</v>
      </c>
      <c r="BC69" s="112">
        <f t="shared" si="157"/>
        <v>3.0184609444174452E-2</v>
      </c>
      <c r="BD69" s="113">
        <f t="shared" si="157"/>
        <v>3.156522520902634E-2</v>
      </c>
      <c r="BE69" s="113">
        <f t="shared" si="157"/>
        <v>3.148403410038722E-2</v>
      </c>
      <c r="BF69" s="113">
        <f t="shared" si="157"/>
        <v>3.3553170395275597E-2</v>
      </c>
      <c r="BG69" s="113">
        <f t="shared" ca="1" si="157"/>
        <v>3.3552672249281615E-2</v>
      </c>
      <c r="BH69" s="112">
        <f t="shared" ca="1" si="157"/>
        <v>3.2565857743921109E-2</v>
      </c>
      <c r="BI69" s="113">
        <f t="shared" si="157"/>
        <v>2.9487464127422685E-2</v>
      </c>
      <c r="BJ69" s="113">
        <f t="shared" si="157"/>
        <v>2.5561959968183754E-2</v>
      </c>
      <c r="BK69" s="113">
        <f t="shared" si="157"/>
        <v>3.2095444265184229E-2</v>
      </c>
      <c r="BL69" s="113">
        <f t="shared" si="157"/>
        <v>3.1859529432345012E-2</v>
      </c>
      <c r="BM69" s="112">
        <f t="shared" si="157"/>
        <v>2.9774794859325285E-2</v>
      </c>
      <c r="BN69" s="113">
        <f t="shared" ref="BN69:BW69" si="158">BN25/BN11</f>
        <v>3.1569668282774015E-2</v>
      </c>
      <c r="BO69" s="113">
        <f t="shared" si="158"/>
        <v>3.550380856975436E-2</v>
      </c>
      <c r="BP69" s="113">
        <f>BP25/BP11</f>
        <v>3.4836436800659738E-2</v>
      </c>
      <c r="BQ69" s="113">
        <f t="shared" si="158"/>
        <v>3.4715361159865066E-2</v>
      </c>
      <c r="BR69" s="112">
        <f t="shared" si="158"/>
        <v>3.4158525009827446E-2</v>
      </c>
      <c r="BS69" s="113">
        <f t="shared" si="158"/>
        <v>3.2858920024458678E-2</v>
      </c>
      <c r="BT69" s="113">
        <f t="shared" si="158"/>
        <v>3.7367489409097211E-2</v>
      </c>
      <c r="BU69" s="113">
        <f t="shared" si="158"/>
        <v>3.7296082458247767E-2</v>
      </c>
      <c r="BV69" s="113">
        <f t="shared" si="158"/>
        <v>3.8842802634826035E-2</v>
      </c>
      <c r="BW69" s="112">
        <f t="shared" si="158"/>
        <v>3.6675429086282615E-2</v>
      </c>
      <c r="BX69" s="113">
        <f t="shared" ref="BX69:CG69" si="159">BX25/BX11</f>
        <v>3.2459455772486906E-2</v>
      </c>
      <c r="BY69" s="113">
        <f t="shared" si="159"/>
        <v>3.8429233063819762E-2</v>
      </c>
      <c r="BZ69" s="113">
        <f>BZ25/BZ11</f>
        <v>3.9205589707839536E-2</v>
      </c>
      <c r="CA69" s="113">
        <f>CA25/CA11</f>
        <v>4.0585363619360965E-2</v>
      </c>
      <c r="CB69" s="112">
        <f t="shared" si="159"/>
        <v>3.7715433655810829E-2</v>
      </c>
      <c r="CC69" s="113">
        <f t="shared" ref="CC69:CD69" si="160">CC25/CC11</f>
        <v>3.1487023737115379E-2</v>
      </c>
      <c r="CD69" s="113">
        <f t="shared" si="160"/>
        <v>3.9509132555572694E-2</v>
      </c>
      <c r="CE69" s="113">
        <f t="shared" ref="CE69" si="161">CE25/CE11</f>
        <v>4.2865838094677117E-2</v>
      </c>
      <c r="CF69" s="113">
        <f t="shared" si="159"/>
        <v>4.6270471573557209E-2</v>
      </c>
      <c r="CG69" s="112">
        <f t="shared" si="159"/>
        <v>4.0054533874691503E-2</v>
      </c>
      <c r="CH69" s="113">
        <f t="shared" ref="CH69" si="162">CH25/CH11</f>
        <v>3.2593695746308209E-2</v>
      </c>
      <c r="CI69" s="113">
        <f t="shared" ref="CI69:CJ69" si="163">CI25/CI11</f>
        <v>3.9873400281070261E-2</v>
      </c>
      <c r="CJ69" s="113">
        <f t="shared" si="163"/>
        <v>4.4205862855110183E-2</v>
      </c>
      <c r="CK69" s="113">
        <f t="shared" ref="CK69" si="164">CK25/CK11</f>
        <v>4.8320764954274162E-2</v>
      </c>
      <c r="CL69" s="112">
        <f t="shared" ref="CL69:CQ69" si="165">CL25/CL11</f>
        <v>4.1290825656969753E-2</v>
      </c>
      <c r="CM69" s="113">
        <f t="shared" ca="1" si="165"/>
        <v>4.0020194777458606E-2</v>
      </c>
      <c r="CN69" s="113">
        <f t="shared" ca="1" si="165"/>
        <v>5.1844456314157426E-2</v>
      </c>
      <c r="CO69" s="113">
        <f t="shared" ca="1" si="165"/>
        <v>5.2641661364311934E-2</v>
      </c>
      <c r="CP69" s="113">
        <f t="shared" ca="1" si="165"/>
        <v>5.6132176352830958E-2</v>
      </c>
      <c r="CQ69" s="112">
        <f t="shared" ca="1" si="165"/>
        <v>5.0256245791433257E-2</v>
      </c>
      <c r="CR69" s="113">
        <f t="shared" ref="CR69:CV69" ca="1" si="166">CR25/CR11</f>
        <v>3.8747302576295148E-2</v>
      </c>
      <c r="CS69" s="113">
        <f t="shared" ca="1" si="166"/>
        <v>4.8041103696146351E-2</v>
      </c>
      <c r="CT69" s="113">
        <f t="shared" ca="1" si="166"/>
        <v>4.8147366175015742E-2</v>
      </c>
      <c r="CU69" s="113">
        <f t="shared" ca="1" si="166"/>
        <v>5.1102617896301418E-2</v>
      </c>
      <c r="CV69" s="112">
        <f t="shared" ca="1" si="166"/>
        <v>4.6595932382812726E-2</v>
      </c>
      <c r="CW69" s="113">
        <f t="shared" ref="CW69:DF69" ca="1" si="167">CW25/CW11</f>
        <v>3.6248549487987419E-2</v>
      </c>
      <c r="CX69" s="113">
        <f t="shared" ca="1" si="167"/>
        <v>4.4224336773302522E-2</v>
      </c>
      <c r="CY69" s="113">
        <f t="shared" ca="1" si="167"/>
        <v>4.3845619275589963E-2</v>
      </c>
      <c r="CZ69" s="113">
        <f t="shared" ca="1" si="167"/>
        <v>4.6435701201884415E-2</v>
      </c>
      <c r="DA69" s="112">
        <f t="shared" ca="1" si="167"/>
        <v>4.2760977266280774E-2</v>
      </c>
      <c r="DB69" s="113">
        <f t="shared" ca="1" si="167"/>
        <v>3.2970187792860553E-2</v>
      </c>
      <c r="DC69" s="113">
        <f t="shared" ca="1" si="167"/>
        <v>3.9531571356271514E-2</v>
      </c>
      <c r="DD69" s="113">
        <f t="shared" ca="1" si="167"/>
        <v>4.0609708762215903E-2</v>
      </c>
      <c r="DE69" s="113">
        <f t="shared" ca="1" si="167"/>
        <v>4.2370978207096871E-2</v>
      </c>
      <c r="DF69" s="112">
        <f t="shared" ca="1" si="167"/>
        <v>3.8939343803532582E-2</v>
      </c>
    </row>
    <row r="70" spans="1:119" ht="13.5" thickBot="1" x14ac:dyDescent="0.25">
      <c r="B70" s="740"/>
      <c r="C70" s="53"/>
      <c r="D70" s="517"/>
      <c r="E70" s="517"/>
      <c r="F70" s="517"/>
      <c r="G70" s="517"/>
      <c r="H70" s="517"/>
      <c r="I70" s="517"/>
      <c r="J70" s="517"/>
      <c r="K70" s="517"/>
      <c r="L70" s="517"/>
      <c r="M70" s="517"/>
      <c r="N70" s="517"/>
      <c r="O70" s="517"/>
      <c r="P70" s="517"/>
      <c r="Q70" s="517"/>
      <c r="R70" s="517"/>
      <c r="S70" s="517"/>
      <c r="T70" s="517"/>
      <c r="U70" s="517"/>
      <c r="V70" s="517"/>
      <c r="W70" s="517"/>
      <c r="X70" s="517"/>
      <c r="Y70" s="517"/>
      <c r="Z70" s="517"/>
      <c r="AA70" s="517"/>
      <c r="AB70" s="517"/>
      <c r="AC70" s="517"/>
      <c r="AD70" s="517"/>
      <c r="AE70" s="517"/>
      <c r="AF70" s="517"/>
      <c r="AG70" s="517"/>
      <c r="AH70" s="517"/>
      <c r="AI70" s="517"/>
      <c r="AJ70" s="518"/>
      <c r="AK70" s="517"/>
      <c r="AL70" s="517"/>
      <c r="AM70" s="517"/>
      <c r="AN70" s="517"/>
      <c r="AO70" s="518"/>
      <c r="AP70" s="518"/>
      <c r="AQ70" s="517"/>
      <c r="AR70" s="517"/>
      <c r="AS70" s="517"/>
      <c r="AT70" s="518"/>
      <c r="AU70" s="518"/>
      <c r="AV70" s="517"/>
      <c r="AW70" s="517"/>
      <c r="AX70" s="517"/>
      <c r="AY70" s="517"/>
      <c r="AZ70" s="517"/>
      <c r="BA70" s="517"/>
      <c r="BB70" s="517"/>
      <c r="BC70" s="517"/>
      <c r="BD70" s="517"/>
      <c r="BE70" s="517"/>
      <c r="BF70" s="517"/>
      <c r="BG70" s="517"/>
      <c r="BH70" s="517"/>
      <c r="BI70" s="517"/>
      <c r="BJ70" s="517"/>
      <c r="BK70" s="517"/>
      <c r="BL70" s="517"/>
      <c r="BM70" s="517"/>
      <c r="BN70" s="517"/>
      <c r="BO70" s="517"/>
      <c r="BP70" s="517"/>
      <c r="BQ70" s="517"/>
      <c r="BR70" s="517"/>
      <c r="BS70" s="517"/>
      <c r="BT70" s="517"/>
      <c r="BU70" s="517"/>
      <c r="BV70" s="517"/>
      <c r="BW70" s="517"/>
      <c r="BX70" s="517"/>
      <c r="BY70" s="517"/>
      <c r="BZ70" s="517"/>
      <c r="CA70" s="517"/>
      <c r="CB70" s="517"/>
      <c r="CC70" s="517"/>
      <c r="CD70" s="517"/>
      <c r="CE70" s="517"/>
      <c r="CF70" s="517"/>
      <c r="CG70" s="517"/>
      <c r="CH70" s="517"/>
      <c r="CI70" s="517"/>
      <c r="CJ70" s="517"/>
      <c r="CK70" s="517"/>
      <c r="CL70" s="517"/>
      <c r="CM70" s="517"/>
      <c r="CN70" s="517"/>
      <c r="CO70" s="517"/>
      <c r="CP70" s="517"/>
      <c r="CQ70" s="517"/>
      <c r="CR70" s="517"/>
      <c r="CS70" s="517"/>
      <c r="CT70" s="517"/>
      <c r="CU70" s="517"/>
      <c r="CV70" s="517"/>
      <c r="CW70" s="517"/>
      <c r="CX70" s="517"/>
      <c r="CY70" s="517"/>
      <c r="CZ70" s="517"/>
      <c r="DA70" s="517"/>
      <c r="DB70" s="517"/>
      <c r="DC70" s="517"/>
      <c r="DD70" s="517"/>
      <c r="DE70" s="517"/>
      <c r="DF70" s="517"/>
    </row>
    <row r="71" spans="1:119" ht="13.5" thickBot="1" x14ac:dyDescent="0.25">
      <c r="B71" s="823" t="s">
        <v>300</v>
      </c>
      <c r="C71" s="819"/>
      <c r="D71" s="820"/>
      <c r="E71" s="820"/>
      <c r="F71" s="820"/>
      <c r="G71" s="820"/>
      <c r="H71" s="820"/>
      <c r="I71" s="820"/>
      <c r="J71" s="820"/>
      <c r="K71" s="820"/>
      <c r="L71" s="820"/>
      <c r="M71" s="820"/>
      <c r="N71" s="820"/>
      <c r="O71" s="820"/>
      <c r="P71" s="820"/>
      <c r="Q71" s="820"/>
      <c r="R71" s="820"/>
      <c r="S71" s="820"/>
      <c r="T71" s="820"/>
      <c r="U71" s="820"/>
      <c r="V71" s="820"/>
      <c r="W71" s="820"/>
      <c r="X71" s="820"/>
      <c r="Y71" s="820"/>
      <c r="Z71" s="820"/>
      <c r="AA71" s="820"/>
      <c r="AB71" s="820"/>
      <c r="AC71" s="820"/>
      <c r="AD71" s="820"/>
      <c r="AE71" s="820"/>
      <c r="AF71" s="820"/>
      <c r="AG71" s="820"/>
      <c r="AH71" s="820"/>
      <c r="AI71" s="820"/>
      <c r="AJ71" s="820"/>
      <c r="AK71" s="820"/>
      <c r="AL71" s="820"/>
      <c r="AM71" s="820"/>
      <c r="AN71" s="820"/>
      <c r="AO71" s="820"/>
      <c r="AP71" s="820"/>
      <c r="AQ71" s="820"/>
      <c r="AR71" s="820"/>
      <c r="AS71" s="820"/>
      <c r="AT71" s="820"/>
      <c r="AU71" s="820"/>
      <c r="AV71" s="820"/>
      <c r="AW71" s="820"/>
      <c r="AX71" s="820"/>
      <c r="AY71" s="820"/>
      <c r="AZ71" s="820"/>
      <c r="BA71" s="820"/>
      <c r="BB71" s="820"/>
      <c r="BC71" s="820"/>
      <c r="BD71" s="820"/>
      <c r="BE71" s="820"/>
      <c r="BF71" s="820"/>
      <c r="BG71" s="820"/>
      <c r="BH71" s="820"/>
      <c r="BI71" s="820"/>
      <c r="BJ71" s="820"/>
      <c r="BK71" s="820"/>
      <c r="BL71" s="820"/>
      <c r="BM71" s="820"/>
      <c r="BN71" s="820"/>
      <c r="BO71" s="820"/>
      <c r="BP71" s="820"/>
      <c r="BQ71" s="820"/>
      <c r="BR71" s="820"/>
      <c r="BS71" s="820"/>
      <c r="BT71" s="820"/>
      <c r="BU71" s="820"/>
      <c r="BV71" s="820"/>
      <c r="BW71" s="820"/>
      <c r="BX71" s="820"/>
      <c r="BY71" s="820"/>
      <c r="BZ71" s="820"/>
      <c r="CA71" s="820"/>
      <c r="CB71" s="822"/>
      <c r="CC71" s="820"/>
      <c r="CD71" s="820"/>
      <c r="CE71" s="820"/>
      <c r="CF71" s="820"/>
      <c r="CG71" s="822"/>
      <c r="CH71" s="820"/>
      <c r="CI71" s="820"/>
      <c r="CJ71" s="820"/>
      <c r="CK71" s="820"/>
      <c r="CL71" s="822"/>
      <c r="CM71" s="820"/>
      <c r="CN71" s="820"/>
      <c r="CO71" s="820"/>
      <c r="CP71" s="820"/>
      <c r="CQ71" s="822"/>
      <c r="CR71" s="820"/>
      <c r="CS71" s="820"/>
      <c r="CT71" s="820"/>
      <c r="CU71" s="820"/>
      <c r="CV71" s="822"/>
      <c r="CW71" s="820"/>
      <c r="CX71" s="820"/>
      <c r="CY71" s="820"/>
      <c r="CZ71" s="820"/>
      <c r="DA71" s="822"/>
      <c r="DB71" s="820"/>
      <c r="DC71" s="820"/>
      <c r="DD71" s="820"/>
      <c r="DE71" s="820"/>
      <c r="DF71" s="822"/>
    </row>
    <row r="72" spans="1:119" x14ac:dyDescent="0.2">
      <c r="B72" s="720" t="s">
        <v>90</v>
      </c>
      <c r="C72" s="122"/>
      <c r="D72" s="112"/>
      <c r="E72" s="112"/>
      <c r="F72" s="113"/>
      <c r="G72" s="113"/>
      <c r="H72" s="113"/>
      <c r="I72" s="113"/>
      <c r="J72" s="112"/>
      <c r="K72" s="113">
        <f t="shared" ref="K72:AI72" si="168">K12/K11</f>
        <v>0.95442369883113809</v>
      </c>
      <c r="L72" s="113">
        <f t="shared" si="168"/>
        <v>0.95585501336479373</v>
      </c>
      <c r="M72" s="113">
        <f t="shared" si="168"/>
        <v>0.95623730291554565</v>
      </c>
      <c r="N72" s="113">
        <f t="shared" si="168"/>
        <v>0.94136903632143831</v>
      </c>
      <c r="O72" s="112">
        <f t="shared" si="168"/>
        <v>0.95243054607152833</v>
      </c>
      <c r="P72" s="113">
        <f t="shared" si="168"/>
        <v>0.95400867637456355</v>
      </c>
      <c r="Q72" s="113">
        <f t="shared" si="168"/>
        <v>0.95351274266793429</v>
      </c>
      <c r="R72" s="113">
        <f t="shared" si="168"/>
        <v>0.95479912666046429</v>
      </c>
      <c r="S72" s="113">
        <f t="shared" si="168"/>
        <v>0.95116586812876924</v>
      </c>
      <c r="T72" s="112">
        <f t="shared" si="168"/>
        <v>0.95334911270005684</v>
      </c>
      <c r="U72" s="113">
        <f t="shared" si="168"/>
        <v>0.95695716851495294</v>
      </c>
      <c r="V72" s="113">
        <f t="shared" si="168"/>
        <v>0.95674040975089381</v>
      </c>
      <c r="W72" s="113">
        <f t="shared" si="168"/>
        <v>0.9541261430708573</v>
      </c>
      <c r="X72" s="113">
        <f t="shared" si="168"/>
        <v>0.95076611257051902</v>
      </c>
      <c r="Y72" s="112">
        <f t="shared" si="168"/>
        <v>0.95460045496345769</v>
      </c>
      <c r="Z72" s="113">
        <f t="shared" si="168"/>
        <v>0.95022114209342334</v>
      </c>
      <c r="AA72" s="113">
        <f t="shared" si="168"/>
        <v>0.94879279201932343</v>
      </c>
      <c r="AB72" s="113">
        <f t="shared" si="168"/>
        <v>0.94426809101104381</v>
      </c>
      <c r="AC72" s="113">
        <f t="shared" si="168"/>
        <v>0.9397433581711333</v>
      </c>
      <c r="AD72" s="112">
        <f t="shared" si="168"/>
        <v>0.94557452640942552</v>
      </c>
      <c r="AE72" s="113">
        <f t="shared" si="168"/>
        <v>0.93847307527496071</v>
      </c>
      <c r="AF72" s="113">
        <f t="shared" si="168"/>
        <v>0.93348942708714411</v>
      </c>
      <c r="AG72" s="113">
        <f t="shared" si="168"/>
        <v>0.92901574056514313</v>
      </c>
      <c r="AH72" s="113">
        <f t="shared" si="168"/>
        <v>0.92693970716499363</v>
      </c>
      <c r="AI72" s="112">
        <f t="shared" si="168"/>
        <v>0.93206407937669411</v>
      </c>
      <c r="AJ72" s="114">
        <f>(AJ12+9)/AJ11</f>
        <v>0.92681595750486634</v>
      </c>
      <c r="AK72" s="113">
        <f t="shared" ref="AK72:BM72" si="169">AK12/AK11</f>
        <v>0.92043416021889202</v>
      </c>
      <c r="AL72" s="113">
        <f t="shared" si="169"/>
        <v>0.9178642081295959</v>
      </c>
      <c r="AM72" s="113">
        <f t="shared" si="169"/>
        <v>0.91673569344905825</v>
      </c>
      <c r="AN72" s="112">
        <f t="shared" si="169"/>
        <v>0.92005892171438464</v>
      </c>
      <c r="AO72" s="114">
        <f t="shared" si="169"/>
        <v>0.91511255190500462</v>
      </c>
      <c r="AP72" s="114">
        <f t="shared" si="169"/>
        <v>0.90912707022492223</v>
      </c>
      <c r="AQ72" s="113">
        <f t="shared" si="169"/>
        <v>0.90452252086964502</v>
      </c>
      <c r="AR72" s="113">
        <f t="shared" si="169"/>
        <v>0.89978023574710775</v>
      </c>
      <c r="AS72" s="112">
        <f t="shared" si="169"/>
        <v>0.90713895713895709</v>
      </c>
      <c r="AT72" s="114">
        <f t="shared" si="169"/>
        <v>0.90150844582134682</v>
      </c>
      <c r="AU72" s="114">
        <f t="shared" si="169"/>
        <v>0.89206476114331401</v>
      </c>
      <c r="AV72" s="113">
        <f t="shared" si="169"/>
        <v>0.89098480264796964</v>
      </c>
      <c r="AW72" s="113">
        <f t="shared" si="169"/>
        <v>0.9139524406726004</v>
      </c>
      <c r="AX72" s="112">
        <f t="shared" si="169"/>
        <v>0.90114870104691736</v>
      </c>
      <c r="AY72" s="113">
        <f t="shared" si="169"/>
        <v>0.93560917976441949</v>
      </c>
      <c r="AZ72" s="113">
        <f t="shared" si="169"/>
        <v>0.93109955436641179</v>
      </c>
      <c r="BA72" s="113">
        <f t="shared" si="169"/>
        <v>0.92839729439819874</v>
      </c>
      <c r="BB72" s="113">
        <f t="shared" si="169"/>
        <v>0.92636915223400773</v>
      </c>
      <c r="BC72" s="112">
        <f t="shared" si="169"/>
        <v>0.93035259760289557</v>
      </c>
      <c r="BD72" s="113">
        <f t="shared" si="169"/>
        <v>0.93041445653151134</v>
      </c>
      <c r="BE72" s="113">
        <f t="shared" si="169"/>
        <v>0.92865609004468863</v>
      </c>
      <c r="BF72" s="113">
        <f t="shared" si="169"/>
        <v>0.92548816759343078</v>
      </c>
      <c r="BG72" s="113">
        <f t="shared" si="169"/>
        <v>0.92573952088421785</v>
      </c>
      <c r="BH72" s="112">
        <f t="shared" si="169"/>
        <v>0.92751819122887769</v>
      </c>
      <c r="BI72" s="113">
        <f t="shared" si="169"/>
        <v>0.92924159821068819</v>
      </c>
      <c r="BJ72" s="113">
        <f t="shared" si="169"/>
        <v>0.92272936937722227</v>
      </c>
      <c r="BK72" s="113">
        <f t="shared" si="169"/>
        <v>0.91957509119294156</v>
      </c>
      <c r="BL72" s="113">
        <f t="shared" si="169"/>
        <v>0.91445085862561581</v>
      </c>
      <c r="BM72" s="112">
        <f t="shared" si="169"/>
        <v>0.9202539902800938</v>
      </c>
      <c r="BN72" s="113">
        <f t="shared" ref="BN72:BW72" si="170">BN12/BN11</f>
        <v>0.92182894812486826</v>
      </c>
      <c r="BO72" s="113">
        <f t="shared" si="170"/>
        <v>0.91748917912563566</v>
      </c>
      <c r="BP72" s="113">
        <f>BP12/BP11</f>
        <v>0.91984690160768745</v>
      </c>
      <c r="BQ72" s="113">
        <f t="shared" si="170"/>
        <v>0.91515271271876286</v>
      </c>
      <c r="BR72" s="112">
        <f t="shared" si="170"/>
        <v>0.91858311201449683</v>
      </c>
      <c r="BS72" s="113">
        <f t="shared" si="170"/>
        <v>0.92043772534632173</v>
      </c>
      <c r="BT72" s="113">
        <f t="shared" si="170"/>
        <v>0.91468406292885696</v>
      </c>
      <c r="BU72" s="113">
        <f t="shared" si="170"/>
        <v>0.91604990893943505</v>
      </c>
      <c r="BV72" s="113">
        <f t="shared" si="170"/>
        <v>0.91261033808538505</v>
      </c>
      <c r="BW72" s="112">
        <f t="shared" si="170"/>
        <v>0.91584314773835507</v>
      </c>
      <c r="BX72" s="113">
        <f t="shared" ref="BX72:CG72" si="171">BX12/BX11</f>
        <v>0.92326488360336068</v>
      </c>
      <c r="BY72" s="113">
        <f t="shared" si="171"/>
        <v>0.91381976607269011</v>
      </c>
      <c r="BZ72" s="113">
        <f>BZ12/BZ11</f>
        <v>0.91117545471829642</v>
      </c>
      <c r="CA72" s="113">
        <f>CA12/CA11</f>
        <v>0.9097564420151838</v>
      </c>
      <c r="CB72" s="112">
        <f t="shared" si="171"/>
        <v>0.91443038521545572</v>
      </c>
      <c r="CC72" s="113">
        <f t="shared" ref="CC72:CD72" si="172">CC12/CC11</f>
        <v>0.92422088044437112</v>
      </c>
      <c r="CD72" s="113">
        <f t="shared" si="172"/>
        <v>0.91231005985512925</v>
      </c>
      <c r="CE72" s="113">
        <f t="shared" ref="CE72" si="173">CE12/CE11</f>
        <v>0.9085232962243035</v>
      </c>
      <c r="CF72" s="113">
        <f t="shared" si="171"/>
        <v>0.90394362466741851</v>
      </c>
      <c r="CG72" s="112">
        <f t="shared" si="171"/>
        <v>0.9122183743332537</v>
      </c>
      <c r="CH72" s="113">
        <f t="shared" ref="CH72" si="174">CH12/CH11</f>
        <v>0.92197180932647527</v>
      </c>
      <c r="CI72" s="113">
        <f t="shared" ref="CI72:CJ72" si="175">CI12/CI11</f>
        <v>0.91274224596404352</v>
      </c>
      <c r="CJ72" s="113">
        <f t="shared" si="175"/>
        <v>0.9072105356767507</v>
      </c>
      <c r="CK72" s="113">
        <f t="shared" ref="CK72" si="176">CK12/CK11</f>
        <v>0.89979633721524566</v>
      </c>
      <c r="CL72" s="112">
        <f t="shared" ref="CL72:CQ72" si="177">CL12/CL11</f>
        <v>0.91036852528064705</v>
      </c>
      <c r="CM72" s="113">
        <f t="shared" ca="1" si="177"/>
        <v>0.91810598272859167</v>
      </c>
      <c r="CN72" s="113">
        <f t="shared" ca="1" si="177"/>
        <v>0.90663708243691266</v>
      </c>
      <c r="CO72" s="113">
        <f t="shared" ca="1" si="177"/>
        <v>0.90555304204436937</v>
      </c>
      <c r="CP72" s="113">
        <f t="shared" ca="1" si="177"/>
        <v>0.90109410453532146</v>
      </c>
      <c r="CQ72" s="112">
        <f t="shared" ca="1" si="177"/>
        <v>0.90774601054667625</v>
      </c>
      <c r="CR72" s="113">
        <f t="shared" ref="CR72:CV72" ca="1" si="178">CR12/CR11</f>
        <v>0.92178263032419905</v>
      </c>
      <c r="CS72" s="113">
        <f t="shared" ca="1" si="178"/>
        <v>0.91368640220672714</v>
      </c>
      <c r="CT72" s="113">
        <f t="shared" ca="1" si="178"/>
        <v>0.91368780435728847</v>
      </c>
      <c r="CU72" s="113">
        <f t="shared" ca="1" si="178"/>
        <v>0.90990033865870323</v>
      </c>
      <c r="CV72" s="112">
        <f t="shared" ca="1" si="178"/>
        <v>0.91468225391908242</v>
      </c>
      <c r="CW72" s="113">
        <f t="shared" ref="CW72:DF72" ca="1" si="179">CW12/CW11</f>
        <v>0.925333324533547</v>
      </c>
      <c r="CX72" s="113">
        <f t="shared" ca="1" si="179"/>
        <v>0.91893126641553324</v>
      </c>
      <c r="CY72" s="113">
        <f t="shared" ca="1" si="179"/>
        <v>0.91957783829584372</v>
      </c>
      <c r="CZ72" s="113">
        <f t="shared" ca="1" si="179"/>
        <v>0.91624533182376178</v>
      </c>
      <c r="DA72" s="112">
        <f t="shared" ca="1" si="179"/>
        <v>0.9199586238039239</v>
      </c>
      <c r="DB72" s="113">
        <f t="shared" ca="1" si="179"/>
        <v>0.92987612739492786</v>
      </c>
      <c r="DC72" s="113">
        <f t="shared" ca="1" si="179"/>
        <v>0.92532646200835389</v>
      </c>
      <c r="DD72" s="113">
        <f t="shared" ca="1" si="179"/>
        <v>0.92402589872846463</v>
      </c>
      <c r="DE72" s="113">
        <f t="shared" ca="1" si="179"/>
        <v>0.92176738095118205</v>
      </c>
      <c r="DF72" s="112">
        <f t="shared" ca="1" si="179"/>
        <v>0.92519092791320079</v>
      </c>
    </row>
    <row r="73" spans="1:119" x14ac:dyDescent="0.2">
      <c r="B73" s="720" t="s">
        <v>71</v>
      </c>
      <c r="C73" s="122"/>
      <c r="D73" s="112"/>
      <c r="E73" s="112"/>
      <c r="F73" s="113"/>
      <c r="G73" s="113"/>
      <c r="H73" s="113"/>
      <c r="I73" s="113"/>
      <c r="J73" s="112"/>
      <c r="K73" s="113">
        <f t="shared" ref="K73:AP73" si="180">K15/K11</f>
        <v>2.5151943184430623E-2</v>
      </c>
      <c r="L73" s="113">
        <f t="shared" si="180"/>
        <v>2.524833324078532E-2</v>
      </c>
      <c r="M73" s="113">
        <f t="shared" si="180"/>
        <v>2.321226333992189E-2</v>
      </c>
      <c r="N73" s="113">
        <f t="shared" si="180"/>
        <v>3.1719743186511593E-2</v>
      </c>
      <c r="O73" s="112">
        <f t="shared" si="180"/>
        <v>2.6094573817744091E-2</v>
      </c>
      <c r="P73" s="113">
        <f t="shared" si="180"/>
        <v>2.2332931958125916E-2</v>
      </c>
      <c r="Q73" s="113">
        <f t="shared" si="180"/>
        <v>2.2887861569043103E-2</v>
      </c>
      <c r="R73" s="113">
        <f t="shared" si="180"/>
        <v>2.0392058451142652E-2</v>
      </c>
      <c r="S73" s="113">
        <f t="shared" si="180"/>
        <v>2.4171439987107003E-2</v>
      </c>
      <c r="T73" s="112">
        <f t="shared" si="180"/>
        <v>2.2466239092676542E-2</v>
      </c>
      <c r="U73" s="113">
        <f t="shared" si="180"/>
        <v>1.8954312750936581E-2</v>
      </c>
      <c r="V73" s="113">
        <f t="shared" si="180"/>
        <v>1.8719398303810357E-2</v>
      </c>
      <c r="W73" s="113">
        <f t="shared" si="180"/>
        <v>2.0618195090458664E-2</v>
      </c>
      <c r="X73" s="113">
        <f t="shared" si="180"/>
        <v>2.4024239512826565E-2</v>
      </c>
      <c r="Y73" s="112">
        <f t="shared" si="180"/>
        <v>2.0618556701030927E-2</v>
      </c>
      <c r="Z73" s="113">
        <f t="shared" si="180"/>
        <v>2.3790200010445586E-2</v>
      </c>
      <c r="AA73" s="113">
        <f t="shared" si="180"/>
        <v>2.3749485146880706E-2</v>
      </c>
      <c r="AB73" s="113">
        <f t="shared" si="180"/>
        <v>2.5109772092227565E-2</v>
      </c>
      <c r="AC73" s="113">
        <f t="shared" si="180"/>
        <v>2.7956750204776219E-2</v>
      </c>
      <c r="AD73" s="112">
        <f t="shared" si="180"/>
        <v>2.5238497217910667E-2</v>
      </c>
      <c r="AE73" s="113">
        <f t="shared" si="180"/>
        <v>2.8763748035994855E-2</v>
      </c>
      <c r="AF73" s="113">
        <f t="shared" si="180"/>
        <v>3.1298017121533621E-2</v>
      </c>
      <c r="AG73" s="113">
        <f t="shared" si="180"/>
        <v>3.1974208230608758E-2</v>
      </c>
      <c r="AH73" s="113">
        <f t="shared" si="180"/>
        <v>2.7761797836212826E-2</v>
      </c>
      <c r="AI73" s="112">
        <f t="shared" si="180"/>
        <v>2.9931935221106983E-2</v>
      </c>
      <c r="AJ73" s="113">
        <f t="shared" si="180"/>
        <v>3.0561568827199799E-2</v>
      </c>
      <c r="AK73" s="113">
        <f t="shared" si="180"/>
        <v>3.1891568666533789E-2</v>
      </c>
      <c r="AL73" s="113">
        <f t="shared" si="180"/>
        <v>2.90955918032175E-2</v>
      </c>
      <c r="AM73" s="113">
        <f t="shared" si="180"/>
        <v>2.9675514099470598E-2</v>
      </c>
      <c r="AN73" s="112">
        <f t="shared" si="180"/>
        <v>3.0313671479518776E-2</v>
      </c>
      <c r="AO73" s="114">
        <f t="shared" si="180"/>
        <v>3.1234064252932178E-2</v>
      </c>
      <c r="AP73" s="114">
        <f t="shared" si="180"/>
        <v>3.3611774065234683E-2</v>
      </c>
      <c r="AQ73" s="113">
        <f t="shared" ref="AQ73:BM73" si="181">AQ15/AQ11</f>
        <v>3.4804146408586367E-2</v>
      </c>
      <c r="AR73" s="113">
        <f t="shared" si="181"/>
        <v>3.8740260447883187E-2</v>
      </c>
      <c r="AS73" s="112">
        <f t="shared" si="181"/>
        <v>3.4598234598234592E-2</v>
      </c>
      <c r="AT73" s="114">
        <f t="shared" si="181"/>
        <v>3.1330677878586705E-2</v>
      </c>
      <c r="AU73" s="114">
        <f t="shared" si="181"/>
        <v>3.7904530009267169E-2</v>
      </c>
      <c r="AV73" s="113">
        <f t="shared" si="181"/>
        <v>3.5733352315193798E-2</v>
      </c>
      <c r="AW73" s="113">
        <f t="shared" si="181"/>
        <v>2.8783986168101402E-2</v>
      </c>
      <c r="AX73" s="112">
        <f t="shared" si="181"/>
        <v>3.2946393951143849E-2</v>
      </c>
      <c r="AY73" s="113">
        <f t="shared" si="181"/>
        <v>1.7417922738176224E-2</v>
      </c>
      <c r="AZ73" s="113">
        <f t="shared" si="181"/>
        <v>1.8844187715396952E-2</v>
      </c>
      <c r="BA73" s="113">
        <f t="shared" si="181"/>
        <v>1.893566660461158E-2</v>
      </c>
      <c r="BB73" s="113">
        <f t="shared" si="181"/>
        <v>1.7654799650260098E-2</v>
      </c>
      <c r="BC73" s="112">
        <f t="shared" si="181"/>
        <v>1.8214620961460367E-2</v>
      </c>
      <c r="BD73" s="113">
        <f t="shared" si="181"/>
        <v>1.6443405556055023E-2</v>
      </c>
      <c r="BE73" s="113">
        <f t="shared" si="181"/>
        <v>1.7085312425921213E-2</v>
      </c>
      <c r="BF73" s="113">
        <f t="shared" si="181"/>
        <v>1.7173154015259276E-2</v>
      </c>
      <c r="BG73" s="113">
        <f t="shared" si="181"/>
        <v>1.682579626477192E-2</v>
      </c>
      <c r="BH73" s="112">
        <f t="shared" si="181"/>
        <v>1.6884831745990581E-2</v>
      </c>
      <c r="BI73" s="113">
        <f t="shared" si="181"/>
        <v>1.8764749899268976E-2</v>
      </c>
      <c r="BJ73" s="113">
        <f t="shared" si="181"/>
        <v>2.7301684154708329E-2</v>
      </c>
      <c r="BK73" s="113">
        <f t="shared" si="181"/>
        <v>2.2702291839768692E-2</v>
      </c>
      <c r="BL73" s="113">
        <f t="shared" si="181"/>
        <v>2.8590483687571066E-2</v>
      </c>
      <c r="BM73" s="112">
        <f t="shared" si="181"/>
        <v>2.5259624931229588E-2</v>
      </c>
      <c r="BN73" s="113">
        <f t="shared" ref="BN73:BW73" si="182">BN15/BN11</f>
        <v>2.0761550696587014E-2</v>
      </c>
      <c r="BO73" s="113">
        <f t="shared" si="182"/>
        <v>2.0598408528172074E-2</v>
      </c>
      <c r="BP73" s="113">
        <f>BP15/BP11</f>
        <v>1.968848408694077E-2</v>
      </c>
      <c r="BQ73" s="113">
        <f t="shared" si="182"/>
        <v>2.3804819081050296E-2</v>
      </c>
      <c r="BR73" s="112">
        <f t="shared" si="182"/>
        <v>2.1206339466341959E-2</v>
      </c>
      <c r="BS73" s="113">
        <f t="shared" si="182"/>
        <v>2.1350707402956123E-2</v>
      </c>
      <c r="BT73" s="113">
        <f t="shared" si="182"/>
        <v>1.9992442172676466E-2</v>
      </c>
      <c r="BU73" s="113">
        <f t="shared" si="182"/>
        <v>2.0060448715464797E-2</v>
      </c>
      <c r="BV73" s="113">
        <f t="shared" si="182"/>
        <v>2.0524307598853434E-2</v>
      </c>
      <c r="BW73" s="112">
        <f t="shared" si="182"/>
        <v>2.046742805657454E-2</v>
      </c>
      <c r="BX73" s="113">
        <f t="shared" ref="BX73:CG73" si="183">BX15/BX11</f>
        <v>1.9961160997295717E-2</v>
      </c>
      <c r="BY73" s="113">
        <f t="shared" si="183"/>
        <v>1.9683648638040663E-2</v>
      </c>
      <c r="BZ73" s="113">
        <f>BZ15/BZ11</f>
        <v>2.0997053045186644E-2</v>
      </c>
      <c r="CA73" s="113">
        <f>CA15/CA11</f>
        <v>2.0569408872823873E-2</v>
      </c>
      <c r="CB73" s="112">
        <f t="shared" si="183"/>
        <v>2.0304987191559095E-2</v>
      </c>
      <c r="CC73" s="113">
        <f t="shared" ref="CC73:CD73" si="184">CC15/CC11</f>
        <v>2.0027309968138372E-2</v>
      </c>
      <c r="CD73" s="113">
        <f t="shared" si="184"/>
        <v>1.9645774734251931E-2</v>
      </c>
      <c r="CE73" s="113">
        <f t="shared" ref="CE73" si="185">CE15/CE11</f>
        <v>1.7663112838938958E-2</v>
      </c>
      <c r="CF73" s="113">
        <f t="shared" si="183"/>
        <v>1.6678237628768758E-2</v>
      </c>
      <c r="CG73" s="112">
        <f t="shared" si="183"/>
        <v>1.8501711647161849E-2</v>
      </c>
      <c r="CH73" s="113">
        <f t="shared" ref="CH73" si="186">CH15/CH11</f>
        <v>2.068368251296018E-2</v>
      </c>
      <c r="CI73" s="113">
        <f t="shared" ref="CI73:CJ73" si="187">CI15/CI11</f>
        <v>1.8655350373382566E-2</v>
      </c>
      <c r="CJ73" s="113">
        <f t="shared" si="187"/>
        <v>1.7288631623199182E-2</v>
      </c>
      <c r="CK73" s="113">
        <f t="shared" ref="CK73" si="188">CK15/CK11</f>
        <v>1.8998042006432281E-2</v>
      </c>
      <c r="CL73" s="112">
        <f t="shared" ref="CL73:CQ73" si="189">CL15/CL11</f>
        <v>1.8904894192820151E-2</v>
      </c>
      <c r="CM73" s="113">
        <f t="shared" ca="1" si="189"/>
        <v>2.3086070577615969E-2</v>
      </c>
      <c r="CN73" s="113">
        <f t="shared" ca="1" si="189"/>
        <v>1.9244926996452544E-2</v>
      </c>
      <c r="CO73" s="113">
        <f t="shared" ca="1" si="189"/>
        <v>1.9391051641888962E-2</v>
      </c>
      <c r="CP73" s="113">
        <f t="shared" ca="1" si="189"/>
        <v>1.943586732179391E-2</v>
      </c>
      <c r="CQ73" s="112">
        <f t="shared" ca="1" si="189"/>
        <v>2.0267048790380358E-2</v>
      </c>
      <c r="CR73" s="113">
        <f t="shared" ref="CR73:CV73" ca="1" si="190">CR15/CR11</f>
        <v>2.2070435589931953E-2</v>
      </c>
      <c r="CS73" s="113">
        <f t="shared" ca="1" si="190"/>
        <v>1.8211971622412913E-2</v>
      </c>
      <c r="CT73" s="113">
        <f t="shared" ca="1" si="190"/>
        <v>1.8353554807387699E-2</v>
      </c>
      <c r="CU73" s="113">
        <f t="shared" ca="1" si="190"/>
        <v>1.8398283749333007E-2</v>
      </c>
      <c r="CV73" s="112">
        <f t="shared" ca="1" si="190"/>
        <v>1.9231830309292135E-2</v>
      </c>
      <c r="CW73" s="113">
        <f t="shared" ref="CW73:DF73" ca="1" si="191">CW15/CW11</f>
        <v>2.2466213632465384E-2</v>
      </c>
      <c r="CX73" s="113">
        <f t="shared" ca="1" si="191"/>
        <v>1.862166959301826E-2</v>
      </c>
      <c r="CY73" s="113">
        <f t="shared" ca="1" si="191"/>
        <v>1.8774369189953139E-2</v>
      </c>
      <c r="CZ73" s="113">
        <f t="shared" ca="1" si="191"/>
        <v>1.8827329515515818E-2</v>
      </c>
      <c r="DA73" s="112">
        <f t="shared" ca="1" si="191"/>
        <v>1.9645197795124698E-2</v>
      </c>
      <c r="DB73" s="113">
        <f t="shared" ca="1" si="191"/>
        <v>2.2910769766363637E-2</v>
      </c>
      <c r="DC73" s="113">
        <f t="shared" ca="1" si="191"/>
        <v>1.9080187314242679E-2</v>
      </c>
      <c r="DD73" s="113">
        <f t="shared" ca="1" si="191"/>
        <v>1.9243064570250129E-2</v>
      </c>
      <c r="DE73" s="113">
        <f t="shared" ca="1" si="191"/>
        <v>1.9305253566618105E-2</v>
      </c>
      <c r="DF73" s="112">
        <f t="shared" ca="1" si="191"/>
        <v>2.0107179820021956E-2</v>
      </c>
    </row>
    <row r="74" spans="1:119" x14ac:dyDescent="0.2">
      <c r="B74" s="720" t="s">
        <v>751</v>
      </c>
      <c r="C74" s="122"/>
      <c r="D74" s="112"/>
      <c r="E74" s="112"/>
      <c r="F74" s="113"/>
      <c r="G74" s="113"/>
      <c r="H74" s="113"/>
      <c r="I74" s="113"/>
      <c r="J74" s="112"/>
      <c r="K74" s="113"/>
      <c r="L74" s="113"/>
      <c r="M74" s="113"/>
      <c r="N74" s="113"/>
      <c r="O74" s="112"/>
      <c r="P74" s="113"/>
      <c r="Q74" s="113"/>
      <c r="R74" s="113"/>
      <c r="S74" s="113"/>
      <c r="T74" s="112"/>
      <c r="U74" s="113"/>
      <c r="V74" s="113"/>
      <c r="W74" s="113"/>
      <c r="X74" s="113"/>
      <c r="Y74" s="112"/>
      <c r="Z74" s="113"/>
      <c r="AA74" s="113"/>
      <c r="AB74" s="113"/>
      <c r="AC74" s="113"/>
      <c r="AD74" s="112"/>
      <c r="AE74" s="113"/>
      <c r="AF74" s="113"/>
      <c r="AG74" s="113"/>
      <c r="AH74" s="113"/>
      <c r="AI74" s="112"/>
      <c r="AJ74" s="113"/>
      <c r="AK74" s="113"/>
      <c r="AL74" s="113"/>
      <c r="AM74" s="113"/>
      <c r="AN74" s="112"/>
      <c r="AO74" s="114"/>
      <c r="AP74" s="114"/>
      <c r="AQ74" s="113"/>
      <c r="AR74" s="113"/>
      <c r="AS74" s="112"/>
      <c r="AT74" s="114"/>
      <c r="AU74" s="114"/>
      <c r="AV74" s="113"/>
      <c r="AW74" s="113"/>
      <c r="AX74" s="112">
        <f>AX61/AX11</f>
        <v>3.6876373271293853E-3</v>
      </c>
      <c r="AY74" s="113">
        <f t="shared" ref="AY74:DF74" si="192">AY61/AY11</f>
        <v>1.8684436647452651E-3</v>
      </c>
      <c r="AZ74" s="113">
        <f t="shared" si="192"/>
        <v>1.8516385672392866E-3</v>
      </c>
      <c r="BA74" s="113">
        <f t="shared" si="192"/>
        <v>2.0478178771841178E-3</v>
      </c>
      <c r="BB74" s="113">
        <f t="shared" si="192"/>
        <v>2.225617564715128E-3</v>
      </c>
      <c r="BC74" s="112">
        <f t="shared" si="192"/>
        <v>1.9988815583620156E-3</v>
      </c>
      <c r="BD74" s="113">
        <f t="shared" si="192"/>
        <v>2.1756720309269078E-3</v>
      </c>
      <c r="BE74" s="113">
        <f t="shared" si="192"/>
        <v>2.1598082511698961E-3</v>
      </c>
      <c r="BF74" s="113">
        <f t="shared" si="192"/>
        <v>1.9569809043493251E-3</v>
      </c>
      <c r="BG74" s="113">
        <f t="shared" si="192"/>
        <v>2.2450842523376018E-3</v>
      </c>
      <c r="BH74" s="112">
        <f t="shared" si="192"/>
        <v>2.1351867099755144E-3</v>
      </c>
      <c r="BI74" s="113">
        <f t="shared" si="192"/>
        <v>2.2942003601647875E-3</v>
      </c>
      <c r="BJ74" s="113">
        <f t="shared" si="192"/>
        <v>3.0726652647177395E-3</v>
      </c>
      <c r="BK74" s="113">
        <f t="shared" si="192"/>
        <v>3.2527655959491328E-3</v>
      </c>
      <c r="BL74" s="113">
        <f t="shared" si="192"/>
        <v>3.2945566926149451E-3</v>
      </c>
      <c r="BM74" s="112">
        <f t="shared" si="192"/>
        <v>3.0881506319428861E-3</v>
      </c>
      <c r="BN74" s="113">
        <f t="shared" si="192"/>
        <v>3.8020044842189986E-3</v>
      </c>
      <c r="BO74" s="113">
        <f t="shared" si="192"/>
        <v>3.9314268433288599E-3</v>
      </c>
      <c r="BP74" s="113">
        <f t="shared" si="192"/>
        <v>4.1897772518607315E-3</v>
      </c>
      <c r="BQ74" s="113">
        <f t="shared" si="192"/>
        <v>3.9790932936586343E-3</v>
      </c>
      <c r="BR74" s="112">
        <f t="shared" si="192"/>
        <v>3.9751100202302988E-3</v>
      </c>
      <c r="BS74" s="113">
        <f t="shared" si="192"/>
        <v>4.0820629599173158E-3</v>
      </c>
      <c r="BT74" s="113">
        <f t="shared" si="192"/>
        <v>3.9976928737644217E-3</v>
      </c>
      <c r="BU74" s="113">
        <f t="shared" si="192"/>
        <v>3.7664199635757756E-3</v>
      </c>
      <c r="BV74" s="113">
        <f t="shared" si="192"/>
        <v>3.9028835019647196E-3</v>
      </c>
      <c r="BW74" s="112">
        <f t="shared" si="192"/>
        <v>3.9336828400140566E-3</v>
      </c>
      <c r="BX74" s="113">
        <f t="shared" si="192"/>
        <v>4.1727854145100557E-3</v>
      </c>
      <c r="BY74" s="113">
        <f t="shared" si="192"/>
        <v>4.1722270193892842E-3</v>
      </c>
      <c r="BZ74" s="113">
        <f t="shared" si="192"/>
        <v>4.024336142974835E-3</v>
      </c>
      <c r="CA74" s="113">
        <f t="shared" si="192"/>
        <v>4.2749560099392689E-3</v>
      </c>
      <c r="CB74" s="112">
        <f t="shared" si="192"/>
        <v>4.1621296279022715E-3</v>
      </c>
      <c r="CC74" s="113">
        <f t="shared" si="192"/>
        <v>3.302975497561038E-3</v>
      </c>
      <c r="CD74" s="113">
        <f t="shared" si="192"/>
        <v>3.3428674286030734E-3</v>
      </c>
      <c r="CE74" s="113">
        <f t="shared" si="192"/>
        <v>2.9058922856413523E-3</v>
      </c>
      <c r="CF74" s="113">
        <f t="shared" si="192"/>
        <v>3.2626100077451765E-3</v>
      </c>
      <c r="CG74" s="112">
        <f t="shared" si="192"/>
        <v>3.2023724225778163E-3</v>
      </c>
      <c r="CH74" s="113">
        <f t="shared" si="192"/>
        <v>3.3670169929138874E-3</v>
      </c>
      <c r="CI74" s="113">
        <f t="shared" si="192"/>
        <v>3.3500112191915147E-3</v>
      </c>
      <c r="CJ74" s="113">
        <f t="shared" ref="CJ74:CK74" si="193">CJ61/CJ11</f>
        <v>3.3510113667599107E-3</v>
      </c>
      <c r="CK74" s="113">
        <f t="shared" si="193"/>
        <v>3.3734106046189845E-3</v>
      </c>
      <c r="CL74" s="112">
        <f t="shared" si="192"/>
        <v>3.3603825850416157E-3</v>
      </c>
      <c r="CM74" s="1938">
        <v>3.4111665275938069E-3</v>
      </c>
      <c r="CN74" s="1936">
        <v>3.3178138997919738E-3</v>
      </c>
      <c r="CO74" s="1936">
        <v>3.2353162936487254E-3</v>
      </c>
      <c r="CP74" s="1939">
        <v>3.3024760199271076E-3</v>
      </c>
      <c r="CQ74" s="112">
        <f t="shared" ca="1" si="192"/>
        <v>3.3160239890666836E-3</v>
      </c>
      <c r="CR74" s="1938">
        <v>3.2932214271286547E-3</v>
      </c>
      <c r="CS74" s="1936">
        <v>3.1859618639042651E-3</v>
      </c>
      <c r="CT74" s="1936">
        <v>3.1045477405426351E-3</v>
      </c>
      <c r="CU74" s="1939">
        <v>3.1592357078440375E-3</v>
      </c>
      <c r="CV74" s="112">
        <f t="shared" ca="1" si="192"/>
        <v>3.184741786624732E-3</v>
      </c>
      <c r="CW74" s="1938">
        <v>3.3E-3</v>
      </c>
      <c r="CX74" s="1936">
        <v>3.3E-3</v>
      </c>
      <c r="CY74" s="1936">
        <v>3.3E-3</v>
      </c>
      <c r="CZ74" s="1939">
        <v>3.3E-3</v>
      </c>
      <c r="DA74" s="112">
        <f t="shared" ca="1" si="192"/>
        <v>3.3E-3</v>
      </c>
      <c r="DB74" s="1938">
        <v>3.3E-3</v>
      </c>
      <c r="DC74" s="1936">
        <v>3.3E-3</v>
      </c>
      <c r="DD74" s="1936">
        <v>3.3E-3</v>
      </c>
      <c r="DE74" s="1939">
        <v>3.3E-3</v>
      </c>
      <c r="DF74" s="112">
        <f t="shared" ca="1" si="192"/>
        <v>3.3E-3</v>
      </c>
    </row>
    <row r="75" spans="1:119" ht="11.25" hidden="1" customHeight="1" outlineLevel="1" x14ac:dyDescent="0.2">
      <c r="B75" s="721" t="s">
        <v>75</v>
      </c>
      <c r="C75" s="122"/>
      <c r="D75" s="112"/>
      <c r="E75" s="112"/>
      <c r="F75" s="113"/>
      <c r="G75" s="113"/>
      <c r="H75" s="113"/>
      <c r="I75" s="113"/>
      <c r="J75" s="112"/>
      <c r="K75" s="113">
        <f t="shared" ref="K75:BL75" si="194">-K20/K11</f>
        <v>2.1209809850192673E-3</v>
      </c>
      <c r="L75" s="113">
        <f t="shared" si="194"/>
        <v>2.4255349934310332E-3</v>
      </c>
      <c r="M75" s="113">
        <f t="shared" si="194"/>
        <v>2.5983778029818952E-3</v>
      </c>
      <c r="N75" s="113">
        <f t="shared" si="194"/>
        <v>3.0103971252902263E-3</v>
      </c>
      <c r="O75" s="112">
        <f t="shared" si="194"/>
        <v>2.5361347790064147E-3</v>
      </c>
      <c r="P75" s="113">
        <f t="shared" si="194"/>
        <v>2.3481327276429326E-3</v>
      </c>
      <c r="Q75" s="113">
        <f t="shared" si="194"/>
        <v>3.0044932581867623E-3</v>
      </c>
      <c r="R75" s="113">
        <f t="shared" si="194"/>
        <v>1.842774400693915E-3</v>
      </c>
      <c r="S75" s="113">
        <f t="shared" si="194"/>
        <v>1.7301887616003448E-3</v>
      </c>
      <c r="T75" s="112">
        <f t="shared" si="194"/>
        <v>2.2302378509331789E-3</v>
      </c>
      <c r="U75" s="113">
        <f t="shared" si="194"/>
        <v>1.8129623825231223E-3</v>
      </c>
      <c r="V75" s="113">
        <f t="shared" si="194"/>
        <v>1.5211942419894897E-3</v>
      </c>
      <c r="W75" s="113">
        <f t="shared" si="194"/>
        <v>8.2779892202964288E-4</v>
      </c>
      <c r="X75" s="113">
        <f t="shared" si="194"/>
        <v>8.95941676482618E-4</v>
      </c>
      <c r="Y75" s="112">
        <f t="shared" si="194"/>
        <v>1.2584095639126857E-3</v>
      </c>
      <c r="Z75" s="113">
        <f t="shared" si="194"/>
        <v>8.9182016606980275E-4</v>
      </c>
      <c r="AA75" s="113">
        <f t="shared" si="194"/>
        <v>8.6650751398753697E-4</v>
      </c>
      <c r="AB75" s="113">
        <f t="shared" si="194"/>
        <v>9.6941587941226789E-4</v>
      </c>
      <c r="AC75" s="113">
        <f t="shared" si="194"/>
        <v>3.1212658941409529E-3</v>
      </c>
      <c r="AD75" s="112">
        <f t="shared" si="194"/>
        <v>1.5158529168822449E-3</v>
      </c>
      <c r="AE75" s="113">
        <f t="shared" si="194"/>
        <v>3.6601914012283957E-3</v>
      </c>
      <c r="AF75" s="113">
        <f t="shared" si="194"/>
        <v>4.335260115606936E-3</v>
      </c>
      <c r="AG75" s="113">
        <f t="shared" si="194"/>
        <v>5.0066375877109801E-3</v>
      </c>
      <c r="AH75" s="113">
        <f t="shared" si="194"/>
        <v>4.6578952251934633E-3</v>
      </c>
      <c r="AI75" s="112">
        <f t="shared" si="194"/>
        <v>4.4041915754304099E-3</v>
      </c>
      <c r="AJ75" s="113">
        <f t="shared" si="194"/>
        <v>4.0384930235942591E-3</v>
      </c>
      <c r="AK75" s="113">
        <f t="shared" si="194"/>
        <v>4.6387736242230965E-3</v>
      </c>
      <c r="AL75" s="113">
        <f t="shared" si="194"/>
        <v>5.8415139412489273E-3</v>
      </c>
      <c r="AM75" s="113">
        <f t="shared" si="194"/>
        <v>5.276047106277236E-3</v>
      </c>
      <c r="AN75" s="112">
        <f t="shared" si="194"/>
        <v>4.9435865629303966E-3</v>
      </c>
      <c r="AO75" s="114">
        <f t="shared" si="194"/>
        <v>4.2434617906316023E-3</v>
      </c>
      <c r="AP75" s="114">
        <f t="shared" si="194"/>
        <v>3.0736963911188256E-3</v>
      </c>
      <c r="AQ75" s="113">
        <f t="shared" si="194"/>
        <v>2.8804696816805797E-3</v>
      </c>
      <c r="AR75" s="113">
        <f t="shared" si="194"/>
        <v>3.923064349152728E-3</v>
      </c>
      <c r="AS75" s="112">
        <f t="shared" si="194"/>
        <v>3.5308035308035304E-3</v>
      </c>
      <c r="AT75" s="114">
        <f t="shared" si="194"/>
        <v>3.1533525116176145E-3</v>
      </c>
      <c r="AU75" s="114">
        <f t="shared" si="194"/>
        <v>3.488815801428233E-3</v>
      </c>
      <c r="AV75" s="113">
        <f t="shared" si="194"/>
        <v>8.5418372068192337E-3</v>
      </c>
      <c r="AW75" s="113">
        <f t="shared" si="194"/>
        <v>5.0773782707691567E-3</v>
      </c>
      <c r="AX75" s="112">
        <f t="shared" si="194"/>
        <v>5.0891818534315623E-3</v>
      </c>
      <c r="AY75" s="113">
        <f t="shared" si="194"/>
        <v>3.8308689269986752E-3</v>
      </c>
      <c r="AZ75" s="113">
        <f t="shared" si="194"/>
        <v>3.7209961638301455E-3</v>
      </c>
      <c r="BA75" s="113">
        <f t="shared" si="194"/>
        <v>3.7410352561545353E-3</v>
      </c>
      <c r="BB75" s="113">
        <f t="shared" si="194"/>
        <v>3.5415581089316152E-3</v>
      </c>
      <c r="BC75" s="112">
        <f t="shared" si="194"/>
        <v>3.708166621174497E-3</v>
      </c>
      <c r="BD75" s="113">
        <f t="shared" si="194"/>
        <v>3.5691809763552999E-3</v>
      </c>
      <c r="BE75" s="113">
        <f t="shared" si="194"/>
        <v>4.4161932940587709E-3</v>
      </c>
      <c r="BF75" s="113">
        <f t="shared" si="194"/>
        <v>4.5088150351308247E-3</v>
      </c>
      <c r="BG75" s="113">
        <f t="shared" si="194"/>
        <v>4.3010222123537204E-3</v>
      </c>
      <c r="BH75" s="112">
        <f t="shared" si="194"/>
        <v>4.2055398153971165E-3</v>
      </c>
      <c r="BI75" s="113">
        <f t="shared" si="194"/>
        <v>4.3170436884821277E-3</v>
      </c>
      <c r="BJ75" s="113">
        <f t="shared" si="194"/>
        <v>6.1271705692421121E-3</v>
      </c>
      <c r="BK75" s="113">
        <f t="shared" si="194"/>
        <v>5.7826943927984592E-3</v>
      </c>
      <c r="BL75" s="113">
        <f t="shared" si="194"/>
        <v>5.7363188431149596E-3</v>
      </c>
      <c r="BM75" s="112">
        <f t="shared" ref="BM75:BR75" si="195">-BM20/BM11</f>
        <v>5.6804093981085877E-3</v>
      </c>
      <c r="BN75" s="113">
        <f t="shared" si="195"/>
        <v>5.6301860759251096E-3</v>
      </c>
      <c r="BO75" s="113">
        <f t="shared" si="195"/>
        <v>4.8235583193150244E-3</v>
      </c>
      <c r="BP75" s="113">
        <f>-BP20/BP11</f>
        <v>4.9105576990529642E-3</v>
      </c>
      <c r="BQ75" s="113">
        <f t="shared" si="195"/>
        <v>4.870224216289098E-3</v>
      </c>
      <c r="BR75" s="112">
        <f t="shared" si="195"/>
        <v>5.0585336388651861E-3</v>
      </c>
      <c r="BS75" s="113">
        <f t="shared" ref="BS75:CB75" si="196">-BS20/BS11</f>
        <v>5.2501739515465875E-3</v>
      </c>
      <c r="BT75" s="113">
        <f t="shared" si="196"/>
        <v>5.3581017920006357E-3</v>
      </c>
      <c r="BU75" s="113">
        <f t="shared" si="196"/>
        <v>7.8118339985275313E-3</v>
      </c>
      <c r="BV75" s="113">
        <f t="shared" si="196"/>
        <v>4.6356233034036331E-3</v>
      </c>
      <c r="BW75" s="112">
        <f t="shared" si="196"/>
        <v>5.7713156995826713E-3</v>
      </c>
      <c r="BX75" s="113">
        <f t="shared" si="196"/>
        <v>4.8990105683815212E-3</v>
      </c>
      <c r="BY75" s="113">
        <f t="shared" si="196"/>
        <v>5.1927152837742373E-3</v>
      </c>
      <c r="BZ75" s="113">
        <f>-BZ20/BZ11</f>
        <v>5.085873629507574E-3</v>
      </c>
      <c r="CA75" s="113">
        <f>-CA20/CA11</f>
        <v>4.7024516109331997E-3</v>
      </c>
      <c r="CB75" s="112">
        <f t="shared" si="196"/>
        <v>4.9682415468708429E-3</v>
      </c>
      <c r="CC75" s="113">
        <f t="shared" ref="CC75:CD75" si="197">-CC20/CC11</f>
        <v>5.5828341946580415E-3</v>
      </c>
      <c r="CD75" s="113">
        <f t="shared" si="197"/>
        <v>5.411884783821313E-3</v>
      </c>
      <c r="CE75" s="113">
        <f t="shared" ref="CE75" si="198">-CE20/CE11</f>
        <v>5.7921501639473013E-3</v>
      </c>
      <c r="CF75" s="113">
        <f t="shared" ref="CF75:CL75" si="199">-CF20/CF11</f>
        <v>5.8590536424452319E-3</v>
      </c>
      <c r="CG75" s="112">
        <f t="shared" si="199"/>
        <v>5.6613725021893158E-3</v>
      </c>
      <c r="CH75" s="113">
        <f t="shared" ref="CH75" si="200">-CH20/CH11</f>
        <v>5.8963266330234751E-3</v>
      </c>
      <c r="CI75" s="113">
        <f t="shared" ref="CI75:CJ75" si="201">-CI20/CI11</f>
        <v>5.7670580917926692E-3</v>
      </c>
      <c r="CJ75" s="113">
        <f t="shared" si="201"/>
        <v>5.9703785147218122E-3</v>
      </c>
      <c r="CK75" s="113">
        <f t="shared" ref="CK75" si="202">-CK20/CK11</f>
        <v>5.9093661290703075E-3</v>
      </c>
      <c r="CL75" s="112">
        <f t="shared" si="199"/>
        <v>5.8851566815773266E-3</v>
      </c>
      <c r="CM75" s="113">
        <f t="shared" ref="CM75:CV75" ca="1" si="203">-CM20/CM11</f>
        <v>5.4991679200394042E-3</v>
      </c>
      <c r="CN75" s="113">
        <f t="shared" ca="1" si="203"/>
        <v>5.0537867768585751E-3</v>
      </c>
      <c r="CO75" s="113">
        <f t="shared" ca="1" si="203"/>
        <v>5.0584263118795669E-3</v>
      </c>
      <c r="CP75" s="113">
        <f t="shared" ca="1" si="203"/>
        <v>4.9498983089504072E-3</v>
      </c>
      <c r="CQ75" s="112">
        <f t="shared" ca="1" si="203"/>
        <v>5.1370089368445804E-3</v>
      </c>
      <c r="CR75" s="113">
        <f t="shared" ca="1" si="203"/>
        <v>4.9637877996171181E-3</v>
      </c>
      <c r="CS75" s="113">
        <f t="shared" ca="1" si="203"/>
        <v>4.5945847482834652E-3</v>
      </c>
      <c r="CT75" s="113">
        <f t="shared" ca="1" si="203"/>
        <v>4.371124303412249E-3</v>
      </c>
      <c r="CU75" s="113">
        <f t="shared" ca="1" si="203"/>
        <v>4.2779994974887136E-3</v>
      </c>
      <c r="CV75" s="112">
        <f t="shared" ca="1" si="203"/>
        <v>4.54708826387597E-3</v>
      </c>
      <c r="CW75" s="113">
        <f t="shared" ref="CW75:DF75" ca="1" si="204">-CW20/CW11</f>
        <v>4.7737257533859694E-3</v>
      </c>
      <c r="CX75" s="113">
        <f t="shared" ca="1" si="204"/>
        <v>4.3961441910757779E-3</v>
      </c>
      <c r="CY75" s="113">
        <f t="shared" ca="1" si="204"/>
        <v>4.1527568114633198E-3</v>
      </c>
      <c r="CZ75" s="113">
        <f t="shared" ca="1" si="204"/>
        <v>4.07135353653285E-3</v>
      </c>
      <c r="DA75" s="112">
        <f t="shared" ca="1" si="204"/>
        <v>4.3434458235595066E-3</v>
      </c>
      <c r="DB75" s="113">
        <f t="shared" ca="1" si="204"/>
        <v>4.526566605017897E-3</v>
      </c>
      <c r="DC75" s="113">
        <f t="shared" ca="1" si="204"/>
        <v>4.143086046458507E-3</v>
      </c>
      <c r="DD75" s="113">
        <f t="shared" ca="1" si="204"/>
        <v>3.8809548855622353E-3</v>
      </c>
      <c r="DE75" s="113">
        <f t="shared" ca="1" si="204"/>
        <v>3.8113639406355546E-3</v>
      </c>
      <c r="DF75" s="112">
        <f t="shared" ca="1" si="204"/>
        <v>4.085190420928757E-3</v>
      </c>
    </row>
    <row r="76" spans="1:119" s="77" customFormat="1" ht="13.5" collapsed="1" thickBot="1" x14ac:dyDescent="0.25">
      <c r="A76" s="10"/>
      <c r="B76" s="730" t="s">
        <v>91</v>
      </c>
      <c r="C76" s="1450"/>
      <c r="D76" s="514"/>
      <c r="E76" s="514" t="s">
        <v>92</v>
      </c>
      <c r="F76" s="515">
        <f>+F23/F21</f>
        <v>0.40720332721092845</v>
      </c>
      <c r="G76" s="515">
        <f>+G23/G21</f>
        <v>0.40324776543478114</v>
      </c>
      <c r="H76" s="515">
        <f>+H23/H21</f>
        <v>0.38809756464221301</v>
      </c>
      <c r="I76" s="515">
        <f>+I23/I21</f>
        <v>0.3999017526623273</v>
      </c>
      <c r="J76" s="424">
        <f>J23/J21</f>
        <v>0.39936042407916827</v>
      </c>
      <c r="K76" s="515">
        <f>+K23/K21</f>
        <v>0.37334853559467135</v>
      </c>
      <c r="L76" s="515">
        <f>+L23/L21</f>
        <v>0.38684293358514638</v>
      </c>
      <c r="M76" s="515">
        <f>+M23/M21</f>
        <v>0.38510394469782899</v>
      </c>
      <c r="N76" s="515">
        <f>+N23/N21</f>
        <v>0.38010129913849183</v>
      </c>
      <c r="O76" s="424">
        <f>O23/O21</f>
        <v>0.38161485153646396</v>
      </c>
      <c r="P76" s="515">
        <f t="shared" ref="P76:AI76" si="205">+P23/P21</f>
        <v>0.38158085719617174</v>
      </c>
      <c r="Q76" s="515">
        <f t="shared" si="205"/>
        <v>0.38159218579692894</v>
      </c>
      <c r="R76" s="515">
        <f t="shared" si="205"/>
        <v>0.38166907770571262</v>
      </c>
      <c r="S76" s="515">
        <f t="shared" si="205"/>
        <v>0.3816562892591614</v>
      </c>
      <c r="T76" s="424">
        <f t="shared" si="205"/>
        <v>0.38162654020952308</v>
      </c>
      <c r="U76" s="515">
        <f t="shared" si="205"/>
        <v>0.37936760099446137</v>
      </c>
      <c r="V76" s="515">
        <f t="shared" si="205"/>
        <v>0.38271051741630052</v>
      </c>
      <c r="W76" s="515">
        <f t="shared" si="205"/>
        <v>0.38248888392180086</v>
      </c>
      <c r="X76" s="515">
        <f t="shared" ca="1" si="205"/>
        <v>0.38106187612470854</v>
      </c>
      <c r="Y76" s="424">
        <f t="shared" ca="1" si="205"/>
        <v>0.38144329896907214</v>
      </c>
      <c r="Z76" s="516">
        <f t="shared" si="205"/>
        <v>0.3832293935316986</v>
      </c>
      <c r="AA76" s="516">
        <f t="shared" si="205"/>
        <v>0.37466070189182477</v>
      </c>
      <c r="AB76" s="516">
        <f t="shared" si="205"/>
        <v>0.36954059156702368</v>
      </c>
      <c r="AC76" s="516">
        <f t="shared" si="205"/>
        <v>0.36259231617524074</v>
      </c>
      <c r="AD76" s="424">
        <f t="shared" si="205"/>
        <v>0.37170573969280468</v>
      </c>
      <c r="AE76" s="516">
        <f t="shared" si="205"/>
        <v>0.3749253731343275</v>
      </c>
      <c r="AF76" s="516">
        <f t="shared" si="205"/>
        <v>0.37507246376811515</v>
      </c>
      <c r="AG76" s="516">
        <f t="shared" si="205"/>
        <v>0.36699779249448083</v>
      </c>
      <c r="AH76" s="516">
        <f t="shared" si="205"/>
        <v>0.36244343891402914</v>
      </c>
      <c r="AI76" s="424">
        <f t="shared" si="205"/>
        <v>0.36930746429533784</v>
      </c>
      <c r="AJ76" s="516">
        <f>+(AJ23)/(AJ21+23-9)</f>
        <v>0.34400000000000103</v>
      </c>
      <c r="AK76" s="516">
        <f t="shared" ref="AK76:BI76" si="206">+AK23/AK21</f>
        <v>0.36587400917813873</v>
      </c>
      <c r="AL76" s="516">
        <f t="shared" si="206"/>
        <v>0.3811202506854689</v>
      </c>
      <c r="AM76" s="516">
        <f t="shared" si="206"/>
        <v>0.34643644379133032</v>
      </c>
      <c r="AN76" s="424">
        <f t="shared" si="206"/>
        <v>0.36438881598869433</v>
      </c>
      <c r="AO76" s="516">
        <f t="shared" si="206"/>
        <v>0.35492040520984031</v>
      </c>
      <c r="AP76" s="516">
        <f t="shared" si="206"/>
        <v>0.3664575767580055</v>
      </c>
      <c r="AQ76" s="516">
        <f t="shared" si="206"/>
        <v>0.35576007616629673</v>
      </c>
      <c r="AR76" s="516">
        <f t="shared" si="206"/>
        <v>0.35338345864661735</v>
      </c>
      <c r="AS76" s="424">
        <f>+AS23/AS21</f>
        <v>0.35761371127224734</v>
      </c>
      <c r="AT76" s="516">
        <f t="shared" si="206"/>
        <v>0.36666666666666631</v>
      </c>
      <c r="AU76" s="516">
        <f t="shared" si="206"/>
        <v>0.36717474142623846</v>
      </c>
      <c r="AV76" s="516">
        <f t="shared" si="206"/>
        <v>0.36905412793876491</v>
      </c>
      <c r="AW76" s="516">
        <f t="shared" si="206"/>
        <v>0.36970684039087959</v>
      </c>
      <c r="AX76" s="424">
        <f>+AX23/AX21</f>
        <v>0.36823295830575736</v>
      </c>
      <c r="AY76" s="516">
        <f t="shared" si="206"/>
        <v>0.36985734959685779</v>
      </c>
      <c r="AZ76" s="516">
        <f t="shared" si="206"/>
        <v>0.37153772683858588</v>
      </c>
      <c r="BA76" s="516">
        <f t="shared" si="206"/>
        <v>0.37087168381158703</v>
      </c>
      <c r="BB76" s="516">
        <f t="shared" si="206"/>
        <v>0.36418714237630379</v>
      </c>
      <c r="BC76" s="424">
        <f>+BC23/BC21</f>
        <v>0.36896311760612382</v>
      </c>
      <c r="BD76" s="516">
        <f t="shared" si="206"/>
        <v>0.36371873867343241</v>
      </c>
      <c r="BE76" s="516">
        <f t="shared" si="206"/>
        <v>0.36999297259311287</v>
      </c>
      <c r="BF76" s="516">
        <f t="shared" si="206"/>
        <v>0.37093906578309399</v>
      </c>
      <c r="BG76" s="516">
        <f t="shared" ca="1" si="206"/>
        <v>0.37298733781460047</v>
      </c>
      <c r="BH76" s="424">
        <f ca="1">+BH23/BH21</f>
        <v>0.36960461040660975</v>
      </c>
      <c r="BI76" s="516">
        <f t="shared" si="206"/>
        <v>0.38395464696787485</v>
      </c>
      <c r="BJ76" s="516">
        <f>+BJ23/BJ21</f>
        <v>0.42012029331795331</v>
      </c>
      <c r="BK76" s="516">
        <f>+BK23/BK21</f>
        <v>0.3849339521599428</v>
      </c>
      <c r="BL76" s="516">
        <f>+BL23/BL21</f>
        <v>0.38245267024583179</v>
      </c>
      <c r="BM76" s="424">
        <f>+BM23/BM21</f>
        <v>0.39330861467074357</v>
      </c>
      <c r="BN76" s="516">
        <f>+BN23/BN21</f>
        <v>0.39540516735173276</v>
      </c>
      <c r="BO76" s="1580">
        <f t="shared" ref="BO76:BY76" si="207">+BO23/(BO21+BO22)</f>
        <v>0.38204248581607148</v>
      </c>
      <c r="BP76" s="1580">
        <f t="shared" si="207"/>
        <v>0.37766990291262237</v>
      </c>
      <c r="BQ76" s="1580">
        <f t="shared" si="207"/>
        <v>0.38516434502161495</v>
      </c>
      <c r="BR76" s="424">
        <f t="shared" si="207"/>
        <v>0.38489632014400965</v>
      </c>
      <c r="BS76" s="1580">
        <f t="shared" si="207"/>
        <v>0.38197969543147181</v>
      </c>
      <c r="BT76" s="1580">
        <f t="shared" si="207"/>
        <v>0.37981118373275247</v>
      </c>
      <c r="BU76" s="1580">
        <f t="shared" si="207"/>
        <v>0.36984417965169564</v>
      </c>
      <c r="BV76" s="1580">
        <f t="shared" si="207"/>
        <v>0.37691839220462842</v>
      </c>
      <c r="BW76" s="424">
        <f>+BW23/(BW21+BW22)</f>
        <v>0.37691130212450996</v>
      </c>
      <c r="BX76" s="1580">
        <f t="shared" si="207"/>
        <v>0.37567525852755057</v>
      </c>
      <c r="BY76" s="1580">
        <f t="shared" si="207"/>
        <v>0.37680605944879386</v>
      </c>
      <c r="BZ76" s="1580">
        <f>+BZ23/(BZ21+BZ22)</f>
        <v>0.37595359687283275</v>
      </c>
      <c r="CA76" s="1580">
        <f>+CA23/(CA21+CA22)</f>
        <v>0.3754478707782673</v>
      </c>
      <c r="CB76" s="424">
        <f>+CB23/(CB21+CB22)</f>
        <v>0.37597270733490379</v>
      </c>
      <c r="CC76" s="1580">
        <f t="shared" ref="CC76:CD76" si="208">+CC23/(CC21+CC22)</f>
        <v>0.3737381829834962</v>
      </c>
      <c r="CD76" s="1580">
        <f t="shared" si="208"/>
        <v>0.37073908386365068</v>
      </c>
      <c r="CE76" s="1580">
        <f t="shared" ref="CE76" si="209">+CE23/(CE21+CE22)</f>
        <v>0.37079946971006972</v>
      </c>
      <c r="CF76" s="1580">
        <f t="shared" ref="CF76:CL76" si="210">+CF23/(CF21+CF22)</f>
        <v>0.37118237347294936</v>
      </c>
      <c r="CG76" s="424">
        <f t="shared" si="210"/>
        <v>0.37146694150348225</v>
      </c>
      <c r="CH76" s="1580">
        <f t="shared" si="210"/>
        <v>0.36761934673366836</v>
      </c>
      <c r="CI76" s="1580">
        <f t="shared" si="210"/>
        <v>0.36745144570036847</v>
      </c>
      <c r="CJ76" s="1580">
        <f t="shared" si="210"/>
        <v>0.36800739713361075</v>
      </c>
      <c r="CK76" s="1580">
        <f t="shared" si="210"/>
        <v>0.36188992731048808</v>
      </c>
      <c r="CL76" s="1866">
        <f t="shared" si="210"/>
        <v>0.36599145652473614</v>
      </c>
      <c r="CM76" s="1720">
        <v>0.25</v>
      </c>
      <c r="CN76" s="1720">
        <f>CM76</f>
        <v>0.25</v>
      </c>
      <c r="CO76" s="1720">
        <f>CN76</f>
        <v>0.25</v>
      </c>
      <c r="CP76" s="1720">
        <f>CO76</f>
        <v>0.25</v>
      </c>
      <c r="CQ76" s="424">
        <f ca="1">+CQ23/(CQ21+CQ22)</f>
        <v>0.25</v>
      </c>
      <c r="CR76" s="1720">
        <f>CP76</f>
        <v>0.25</v>
      </c>
      <c r="CS76" s="1720">
        <f>CR76</f>
        <v>0.25</v>
      </c>
      <c r="CT76" s="1720">
        <f>CS76</f>
        <v>0.25</v>
      </c>
      <c r="CU76" s="1720">
        <f>CT76</f>
        <v>0.25</v>
      </c>
      <c r="CV76" s="424">
        <f ca="1">+CV23/(CV21+CV22)</f>
        <v>0.25000000000000028</v>
      </c>
      <c r="CW76" s="1720">
        <f>CU76</f>
        <v>0.25</v>
      </c>
      <c r="CX76" s="1720">
        <f>CW76</f>
        <v>0.25</v>
      </c>
      <c r="CY76" s="1720">
        <f>CX76</f>
        <v>0.25</v>
      </c>
      <c r="CZ76" s="1720">
        <f>CY76</f>
        <v>0.25</v>
      </c>
      <c r="DA76" s="424">
        <f ca="1">+DA23/(DA21+DA22)</f>
        <v>0.25000000000000033</v>
      </c>
      <c r="DB76" s="1720">
        <f>CZ76</f>
        <v>0.25</v>
      </c>
      <c r="DC76" s="1720">
        <f>DB76</f>
        <v>0.25</v>
      </c>
      <c r="DD76" s="1720">
        <f>DC76</f>
        <v>0.25</v>
      </c>
      <c r="DE76" s="1720">
        <f>DD76</f>
        <v>0.25</v>
      </c>
      <c r="DF76" s="424">
        <f ca="1">+DF23/(DF21+DF22)</f>
        <v>0.24999999999999986</v>
      </c>
      <c r="DG76"/>
      <c r="DH76"/>
      <c r="DI76"/>
      <c r="DJ76"/>
      <c r="DK76"/>
      <c r="DL76"/>
      <c r="DM76"/>
      <c r="DN76"/>
    </row>
    <row r="77" spans="1:119" ht="13.5" thickBot="1" x14ac:dyDescent="0.25">
      <c r="B77" s="741"/>
      <c r="C77" s="53"/>
      <c r="D77" s="519"/>
      <c r="E77" s="519"/>
      <c r="F77" s="517"/>
      <c r="G77" s="517"/>
      <c r="H77" s="517"/>
      <c r="I77" s="517"/>
      <c r="J77" s="517"/>
      <c r="K77" s="517"/>
      <c r="L77" s="517"/>
      <c r="M77" s="517"/>
      <c r="N77" s="517"/>
      <c r="O77" s="517"/>
      <c r="P77" s="517"/>
      <c r="Q77" s="517"/>
      <c r="R77" s="517"/>
      <c r="S77" s="517"/>
      <c r="T77" s="517"/>
      <c r="U77" s="517"/>
      <c r="V77" s="517"/>
      <c r="W77" s="517"/>
      <c r="X77" s="517"/>
      <c r="Y77" s="517"/>
      <c r="Z77" s="518"/>
      <c r="AA77" s="518"/>
      <c r="AB77" s="518"/>
      <c r="AC77" s="518"/>
      <c r="AD77" s="517"/>
      <c r="AE77" s="518"/>
      <c r="AF77" s="518"/>
      <c r="AG77" s="518"/>
      <c r="AH77" s="518"/>
      <c r="AI77" s="517"/>
      <c r="AJ77" s="518"/>
      <c r="AK77" s="518"/>
      <c r="AL77" s="518"/>
      <c r="AM77" s="518"/>
      <c r="AN77" s="517"/>
      <c r="AO77" s="518"/>
      <c r="AP77" s="518"/>
      <c r="AQ77" s="518"/>
      <c r="AR77" s="518"/>
      <c r="AS77" s="517"/>
      <c r="AT77" s="518"/>
      <c r="AU77" s="518"/>
      <c r="AV77" s="518"/>
      <c r="AW77" s="520"/>
      <c r="AX77" s="517"/>
      <c r="AY77" s="520"/>
      <c r="AZ77" s="520"/>
      <c r="BA77" s="520"/>
      <c r="BB77" s="520"/>
      <c r="BC77" s="520"/>
      <c r="BD77" s="520"/>
      <c r="BE77" s="520"/>
      <c r="BF77" s="520"/>
      <c r="BG77" s="520"/>
      <c r="BH77" s="520"/>
      <c r="BI77" s="520"/>
      <c r="BJ77" s="520"/>
      <c r="BK77" s="520"/>
      <c r="BL77" s="520"/>
      <c r="BM77" s="520"/>
      <c r="BN77" s="520"/>
      <c r="BO77" s="520"/>
      <c r="BP77" s="520"/>
      <c r="BQ77" s="520"/>
      <c r="BR77" s="520"/>
      <c r="BS77" s="520"/>
      <c r="BT77" s="520"/>
      <c r="BU77" s="520"/>
      <c r="BV77" s="520"/>
      <c r="BW77" s="520"/>
      <c r="BX77" s="520"/>
      <c r="BY77" s="520"/>
      <c r="BZ77" s="520"/>
      <c r="CA77" s="520"/>
      <c r="CB77" s="520"/>
      <c r="CC77" s="520"/>
      <c r="CD77" s="520"/>
      <c r="CE77" s="520"/>
      <c r="CF77" s="520"/>
      <c r="CG77" s="520"/>
      <c r="CH77" s="520"/>
      <c r="CI77" s="520"/>
      <c r="CJ77" s="520"/>
      <c r="CK77" s="520"/>
      <c r="CL77" s="520"/>
      <c r="CM77" s="520"/>
      <c r="CN77" s="520"/>
      <c r="CO77" s="520"/>
      <c r="CP77" s="520"/>
      <c r="CQ77" s="520"/>
      <c r="CR77" s="520"/>
      <c r="CS77" s="520"/>
      <c r="CT77" s="520"/>
      <c r="CU77" s="520"/>
      <c r="CV77" s="520"/>
      <c r="CW77" s="520"/>
      <c r="CX77" s="520"/>
      <c r="CY77" s="520"/>
      <c r="CZ77" s="520"/>
      <c r="DA77" s="520"/>
      <c r="DB77" s="520"/>
      <c r="DC77" s="520"/>
      <c r="DD77" s="520"/>
      <c r="DE77" s="520"/>
      <c r="DF77" s="520"/>
    </row>
    <row r="78" spans="1:119" ht="13.5" thickBot="1" x14ac:dyDescent="0.25">
      <c r="B78" s="823" t="s">
        <v>318</v>
      </c>
      <c r="C78" s="824"/>
      <c r="D78" s="820"/>
      <c r="E78" s="820"/>
      <c r="F78" s="820"/>
      <c r="G78" s="820"/>
      <c r="H78" s="820"/>
      <c r="I78" s="820"/>
      <c r="J78" s="820"/>
      <c r="K78" s="820"/>
      <c r="L78" s="820"/>
      <c r="M78" s="820"/>
      <c r="N78" s="820"/>
      <c r="O78" s="820"/>
      <c r="P78" s="820"/>
      <c r="Q78" s="820"/>
      <c r="R78" s="820"/>
      <c r="S78" s="820"/>
      <c r="T78" s="820"/>
      <c r="U78" s="820"/>
      <c r="V78" s="820"/>
      <c r="W78" s="820"/>
      <c r="X78" s="820"/>
      <c r="Y78" s="820"/>
      <c r="Z78" s="820"/>
      <c r="AA78" s="820"/>
      <c r="AB78" s="820"/>
      <c r="AC78" s="820"/>
      <c r="AD78" s="820"/>
      <c r="AE78" s="820"/>
      <c r="AF78" s="820"/>
      <c r="AG78" s="825"/>
      <c r="AH78" s="820"/>
      <c r="AI78" s="820"/>
      <c r="AJ78" s="820"/>
      <c r="AK78" s="820"/>
      <c r="AL78" s="820"/>
      <c r="AM78" s="820"/>
      <c r="AN78" s="820"/>
      <c r="AO78" s="820"/>
      <c r="AP78" s="820"/>
      <c r="AQ78" s="820"/>
      <c r="AR78" s="820"/>
      <c r="AS78" s="820"/>
      <c r="AT78" s="820"/>
      <c r="AU78" s="820"/>
      <c r="AV78" s="820"/>
      <c r="AW78" s="820"/>
      <c r="AX78" s="820"/>
      <c r="AY78" s="820"/>
      <c r="AZ78" s="820"/>
      <c r="BA78" s="820"/>
      <c r="BB78" s="820"/>
      <c r="BC78" s="820"/>
      <c r="BD78" s="820"/>
      <c r="BE78" s="820"/>
      <c r="BF78" s="820"/>
      <c r="BG78" s="820"/>
      <c r="BH78" s="820"/>
      <c r="BI78" s="820"/>
      <c r="BJ78" s="820"/>
      <c r="BK78" s="820"/>
      <c r="BL78" s="820"/>
      <c r="BM78" s="820"/>
      <c r="BN78" s="820"/>
      <c r="BO78" s="820"/>
      <c r="BP78" s="820"/>
      <c r="BQ78" s="820"/>
      <c r="BR78" s="820"/>
      <c r="BS78" s="820"/>
      <c r="BT78" s="820"/>
      <c r="BU78" s="820"/>
      <c r="BV78" s="820"/>
      <c r="BW78" s="820"/>
      <c r="BX78" s="820"/>
      <c r="BY78" s="820"/>
      <c r="BZ78" s="820"/>
      <c r="CA78" s="820"/>
      <c r="CB78" s="822"/>
      <c r="CC78" s="820"/>
      <c r="CD78" s="820"/>
      <c r="CE78" s="820"/>
      <c r="CF78" s="820"/>
      <c r="CG78" s="822"/>
      <c r="CH78" s="820"/>
      <c r="CI78" s="820"/>
      <c r="CJ78" s="820"/>
      <c r="CK78" s="820"/>
      <c r="CL78" s="822"/>
      <c r="CM78" s="820"/>
      <c r="CN78" s="820"/>
      <c r="CO78" s="820"/>
      <c r="CP78" s="820"/>
      <c r="CQ78" s="822"/>
      <c r="CR78" s="820"/>
      <c r="CS78" s="820"/>
      <c r="CT78" s="820"/>
      <c r="CU78" s="820"/>
      <c r="CV78" s="822"/>
      <c r="CW78" s="820"/>
      <c r="CX78" s="820"/>
      <c r="CY78" s="820"/>
      <c r="CZ78" s="820"/>
      <c r="DA78" s="822"/>
      <c r="DB78" s="820"/>
      <c r="DC78" s="820"/>
      <c r="DD78" s="820"/>
      <c r="DE78" s="820"/>
      <c r="DF78" s="822"/>
    </row>
    <row r="79" spans="1:119" x14ac:dyDescent="0.2">
      <c r="B79" s="721" t="s">
        <v>69</v>
      </c>
      <c r="C79" s="122"/>
      <c r="D79" s="112"/>
      <c r="E79" s="112"/>
      <c r="F79" s="117"/>
      <c r="G79" s="117"/>
      <c r="H79" s="117"/>
      <c r="I79" s="117"/>
      <c r="J79" s="119"/>
      <c r="K79" s="423">
        <f t="shared" ref="K79:AP79" si="211">K11/F11-1</f>
        <v>0.83310962717766701</v>
      </c>
      <c r="L79" s="117">
        <f t="shared" si="211"/>
        <v>1.1379527735641601</v>
      </c>
      <c r="M79" s="117">
        <f t="shared" si="211"/>
        <v>1.0291908626218476</v>
      </c>
      <c r="N79" s="117">
        <f t="shared" si="211"/>
        <v>1.055198529588814</v>
      </c>
      <c r="O79" s="119">
        <f t="shared" si="211"/>
        <v>1.0155805309734514</v>
      </c>
      <c r="P79" s="117">
        <f t="shared" si="211"/>
        <v>0.18931086123361895</v>
      </c>
      <c r="Q79" s="117">
        <f t="shared" si="211"/>
        <v>-2.7413124263067301E-2</v>
      </c>
      <c r="R79" s="117">
        <f t="shared" si="211"/>
        <v>-5.3267800421472278E-2</v>
      </c>
      <c r="S79" s="117">
        <f t="shared" si="211"/>
        <v>0.24069622847171401</v>
      </c>
      <c r="T79" s="119">
        <f t="shared" si="211"/>
        <v>7.2840760268272575E-2</v>
      </c>
      <c r="U79" s="117">
        <f t="shared" si="211"/>
        <v>0.10252203760522915</v>
      </c>
      <c r="V79" s="117">
        <f t="shared" si="211"/>
        <v>0.10571193971497128</v>
      </c>
      <c r="W79" s="117">
        <f t="shared" si="211"/>
        <v>0.12177110075057551</v>
      </c>
      <c r="X79" s="117">
        <f t="shared" si="211"/>
        <v>0.1200377472837395</v>
      </c>
      <c r="Y79" s="119">
        <f t="shared" si="211"/>
        <v>0.11256112799407014</v>
      </c>
      <c r="Z79" s="117">
        <f t="shared" si="211"/>
        <v>5.9283869908506093E-2</v>
      </c>
      <c r="AA79" s="117">
        <f t="shared" si="211"/>
        <v>4.5957290826598607E-2</v>
      </c>
      <c r="AB79" s="117">
        <f t="shared" si="211"/>
        <v>2.5180637689677043E-2</v>
      </c>
      <c r="AC79" s="117">
        <f t="shared" si="211"/>
        <v>0.13269061102960067</v>
      </c>
      <c r="AD79" s="119">
        <f t="shared" si="211"/>
        <v>6.6444024974589677E-2</v>
      </c>
      <c r="AE79" s="117">
        <f t="shared" si="211"/>
        <v>5.222380158494877E-2</v>
      </c>
      <c r="AF79" s="117">
        <f t="shared" si="211"/>
        <v>1.1536040458481223E-2</v>
      </c>
      <c r="AG79" s="117">
        <f t="shared" si="211"/>
        <v>2.2999866942918779E-3</v>
      </c>
      <c r="AH79" s="117">
        <f t="shared" si="211"/>
        <v>-0.10866107452266316</v>
      </c>
      <c r="AI79" s="119">
        <f t="shared" si="211"/>
        <v>-1.3819677041636003E-2</v>
      </c>
      <c r="AJ79" s="117">
        <f t="shared" si="211"/>
        <v>-1.8515212112555468E-2</v>
      </c>
      <c r="AK79" s="117">
        <f t="shared" si="211"/>
        <v>9.4936708860757779E-3</v>
      </c>
      <c r="AL79" s="117">
        <f t="shared" si="211"/>
        <v>1.6157784942158138E-2</v>
      </c>
      <c r="AM79" s="117">
        <f t="shared" si="211"/>
        <v>3.0563957911927009E-2</v>
      </c>
      <c r="AN79" s="119">
        <f t="shared" si="211"/>
        <v>9.1167225819517306E-3</v>
      </c>
      <c r="AO79" s="117">
        <f t="shared" si="211"/>
        <v>-1.1460588310198139E-3</v>
      </c>
      <c r="AP79" s="117">
        <f t="shared" si="211"/>
        <v>2.1925453458242483E-3</v>
      </c>
      <c r="AQ79" s="117">
        <f t="shared" ref="AQ79:BM79" si="212">AQ11/AL11-1</f>
        <v>1.7225934082341077E-2</v>
      </c>
      <c r="AR79" s="117">
        <f t="shared" si="212"/>
        <v>-8.5533186876508571E-3</v>
      </c>
      <c r="AS79" s="119">
        <f t="shared" si="212"/>
        <v>2.3076151299286085E-3</v>
      </c>
      <c r="AT79" s="117">
        <f t="shared" si="212"/>
        <v>-1.2384352006993504E-2</v>
      </c>
      <c r="AU79" s="117">
        <f t="shared" si="212"/>
        <v>-4.9721559268098847E-3</v>
      </c>
      <c r="AV79" s="117">
        <f t="shared" si="212"/>
        <v>3.0987982753875709E-2</v>
      </c>
      <c r="AW79" s="117">
        <f t="shared" si="212"/>
        <v>0.49165440709057551</v>
      </c>
      <c r="AX79" s="119">
        <f t="shared" si="212"/>
        <v>0.12650832650832666</v>
      </c>
      <c r="AY79" s="117">
        <f t="shared" si="212"/>
        <v>1.0602640702220252</v>
      </c>
      <c r="AZ79" s="117">
        <f t="shared" si="212"/>
        <v>1.0510057601802552</v>
      </c>
      <c r="BA79" s="117">
        <f t="shared" si="212"/>
        <v>1.0073851300850625</v>
      </c>
      <c r="BB79" s="117">
        <f t="shared" si="212"/>
        <v>0.37864822413520205</v>
      </c>
      <c r="BC79" s="119">
        <f t="shared" si="212"/>
        <v>0.82009742148119402</v>
      </c>
      <c r="BD79" s="117">
        <f t="shared" si="212"/>
        <v>-4.4216103970498022E-3</v>
      </c>
      <c r="BE79" s="117">
        <f t="shared" si="212"/>
        <v>9.0898620573565125E-3</v>
      </c>
      <c r="BF79" s="117">
        <f t="shared" si="212"/>
        <v>2.8297119757453304E-2</v>
      </c>
      <c r="BG79" s="117">
        <f t="shared" si="212"/>
        <v>7.3939961316646929E-2</v>
      </c>
      <c r="BH79" s="119">
        <f t="shared" si="212"/>
        <v>2.6842599311625914E-2</v>
      </c>
      <c r="BI79" s="117">
        <f t="shared" si="212"/>
        <v>9.3329137822529828E-2</v>
      </c>
      <c r="BJ79" s="117">
        <f t="shared" si="212"/>
        <v>1.417325876434385</v>
      </c>
      <c r="BK79" s="117">
        <f t="shared" si="212"/>
        <v>1.3137807664123455</v>
      </c>
      <c r="BL79" s="117">
        <f t="shared" si="212"/>
        <v>1.2565317148989714</v>
      </c>
      <c r="BM79" s="119">
        <f t="shared" si="212"/>
        <v>1.030849990166903</v>
      </c>
      <c r="BN79" s="117">
        <f t="shared" ref="BN79:BW79" si="213">BN11/BI11-1</f>
        <v>1.1454884837720272</v>
      </c>
      <c r="BO79" s="117">
        <f t="shared" si="213"/>
        <v>-3.9210986049518559E-2</v>
      </c>
      <c r="BP79" s="117">
        <f t="shared" si="213"/>
        <v>-3.3332463941994295E-2</v>
      </c>
      <c r="BQ79" s="117">
        <f t="shared" si="213"/>
        <v>-5.9378553310592164E-2</v>
      </c>
      <c r="BR79" s="119">
        <f t="shared" si="213"/>
        <v>0.10989325555138185</v>
      </c>
      <c r="BS79" s="117">
        <f t="shared" si="213"/>
        <v>-9.1140792978556262E-2</v>
      </c>
      <c r="BT79" s="117">
        <f t="shared" si="213"/>
        <v>-4.9672066078212729E-2</v>
      </c>
      <c r="BU79" s="117">
        <f t="shared" si="213"/>
        <v>-5.2844384657783072E-3</v>
      </c>
      <c r="BV79" s="117">
        <f t="shared" si="213"/>
        <v>2.0519258114134464E-2</v>
      </c>
      <c r="BW79" s="119">
        <f t="shared" si="213"/>
        <v>-3.1635010882175241E-2</v>
      </c>
      <c r="BX79" s="117">
        <f t="shared" ref="BX79:CK79" si="214">BX11/BS11-1</f>
        <v>5.102156999177665E-2</v>
      </c>
      <c r="BY79" s="117">
        <f t="shared" si="214"/>
        <v>1.3464866047455226E-2</v>
      </c>
      <c r="BZ79" s="117">
        <f t="shared" si="214"/>
        <v>-2.1722788390746817E-2</v>
      </c>
      <c r="CA79" s="117">
        <f t="shared" si="214"/>
        <v>-5.330397312021784E-3</v>
      </c>
      <c r="CB79" s="119">
        <f t="shared" si="214"/>
        <v>8.3901405452502242E-3</v>
      </c>
      <c r="CC79" s="117">
        <f t="shared" si="214"/>
        <v>-3.903961738767503E-3</v>
      </c>
      <c r="CD79" s="117">
        <f t="shared" si="214"/>
        <v>-7.8616845906271937E-3</v>
      </c>
      <c r="CE79" s="117">
        <f t="shared" si="214"/>
        <v>8.6784650484823533E-3</v>
      </c>
      <c r="CF79" s="117">
        <f t="shared" si="214"/>
        <v>-4.8871907813627269E-2</v>
      </c>
      <c r="CG79" s="119">
        <f t="shared" si="214"/>
        <v>-1.3342575964511383E-2</v>
      </c>
      <c r="CH79" s="117">
        <f t="shared" si="214"/>
        <v>-4.6644458855799042E-3</v>
      </c>
      <c r="CI79" s="117">
        <f t="shared" si="214"/>
        <v>4.9529822729124096E-3</v>
      </c>
      <c r="CJ79" s="117">
        <f t="shared" si="214"/>
        <v>-2.8536647621291489E-2</v>
      </c>
      <c r="CK79" s="117">
        <f t="shared" si="214"/>
        <v>2.0687275018359763E-2</v>
      </c>
      <c r="CL79" s="119">
        <f t="shared" ref="CL79:CQ79" si="215">CL11/CG11-1</f>
        <v>-2.008199984077752E-3</v>
      </c>
      <c r="CM79" s="117">
        <f t="shared" ca="1" si="215"/>
        <v>7.263457409934615E-3</v>
      </c>
      <c r="CN79" s="117">
        <f t="shared" ca="1" si="215"/>
        <v>5.8770589168146703E-3</v>
      </c>
      <c r="CO79" s="117">
        <f t="shared" ca="1" si="215"/>
        <v>3.1931950540282417E-2</v>
      </c>
      <c r="CP79" s="117">
        <f t="shared" ca="1" si="215"/>
        <v>2.5724567948719468E-2</v>
      </c>
      <c r="CQ79" s="119">
        <f t="shared" ca="1" si="215"/>
        <v>1.7679585982337764E-2</v>
      </c>
      <c r="CR79" s="117">
        <f t="shared" ref="CR79" ca="1" si="216">CR11/CM11-1</f>
        <v>4.5227464725285271E-2</v>
      </c>
      <c r="CS79" s="117">
        <f t="shared" ref="CS79" ca="1" si="217">CS11/CN11-1</f>
        <v>5.0153106084045662E-2</v>
      </c>
      <c r="CT79" s="117">
        <f t="shared" ref="CT79" ca="1" si="218">CT11/CO11-1</f>
        <v>5.2467807620217632E-2</v>
      </c>
      <c r="CU79" s="117">
        <f t="shared" ref="CU79" ca="1" si="219">CU11/CP11-1</f>
        <v>5.2306122931848664E-2</v>
      </c>
      <c r="CV79" s="119">
        <f t="shared" ref="CV79" ca="1" si="220">CV11/CQ11-1</f>
        <v>5.0081209199732246E-2</v>
      </c>
      <c r="CW79" s="117">
        <f t="shared" ref="CW79" ca="1" si="221">CW11/CR11-1</f>
        <v>-5.4324165185324791E-2</v>
      </c>
      <c r="CX79" s="117">
        <f t="shared" ref="CX79" ca="1" si="222">CX11/CS11-1</f>
        <v>-5.3967070156643371E-2</v>
      </c>
      <c r="CY79" s="117">
        <f t="shared" ref="CY79" ca="1" si="223">CY11/CT11-1</f>
        <v>-5.219688530773603E-2</v>
      </c>
      <c r="CZ79" s="117">
        <f t="shared" ref="CZ79" ca="1" si="224">CZ11/CU11-1</f>
        <v>-5.3842607121025843E-2</v>
      </c>
      <c r="DA79" s="119">
        <f t="shared" ref="DA79" ca="1" si="225">DA11/CV11-1</f>
        <v>-5.3578077113976108E-2</v>
      </c>
      <c r="DB79" s="117">
        <f t="shared" ref="DB79" ca="1" si="226">DB11/CW11-1</f>
        <v>-5.0379624689610658E-2</v>
      </c>
      <c r="DC79" s="117">
        <f t="shared" ref="DC79" ca="1" si="227">DC11/CX11-1</f>
        <v>-5.0079461663029901E-2</v>
      </c>
      <c r="DD79" s="117">
        <f t="shared" ref="DD79" ca="1" si="228">DD11/CY11-1</f>
        <v>-4.8258661839919226E-2</v>
      </c>
      <c r="DE79" s="117">
        <f t="shared" ref="DE79" ca="1" si="229">DE11/CZ11-1</f>
        <v>-4.987789282082189E-2</v>
      </c>
      <c r="DF79" s="119">
        <f t="shared" ref="DF79" ca="1" si="230">DF11/DA11-1</f>
        <v>-4.964349819511038E-2</v>
      </c>
    </row>
    <row r="80" spans="1:119" x14ac:dyDescent="0.2">
      <c r="B80" s="721" t="s">
        <v>89</v>
      </c>
      <c r="C80" s="122"/>
      <c r="D80" s="112"/>
      <c r="E80" s="112"/>
      <c r="F80" s="117"/>
      <c r="G80" s="117"/>
      <c r="H80" s="117"/>
      <c r="I80" s="117"/>
      <c r="J80" s="119"/>
      <c r="K80" s="423">
        <f t="shared" ref="K80:AP80" si="231">K14/F14-1</f>
        <v>0.20537063747851847</v>
      </c>
      <c r="L80" s="117">
        <f t="shared" si="231"/>
        <v>0.41135450214260905</v>
      </c>
      <c r="M80" s="117">
        <f t="shared" si="231"/>
        <v>0.46388098551086143</v>
      </c>
      <c r="N80" s="117">
        <f t="shared" si="231"/>
        <v>0.44141405089867347</v>
      </c>
      <c r="O80" s="119">
        <f t="shared" si="231"/>
        <v>0.3818798794363869</v>
      </c>
      <c r="P80" s="117">
        <f t="shared" si="231"/>
        <v>0.20014084748965999</v>
      </c>
      <c r="Q80" s="117">
        <f t="shared" si="231"/>
        <v>2.4190962923854586E-2</v>
      </c>
      <c r="R80" s="117">
        <f t="shared" si="231"/>
        <v>-2.2155280854245119E-2</v>
      </c>
      <c r="S80" s="117">
        <f t="shared" si="231"/>
        <v>3.3384400186488694E-2</v>
      </c>
      <c r="T80" s="119">
        <f t="shared" si="231"/>
        <v>5.2124194516027345E-2</v>
      </c>
      <c r="U80" s="117">
        <f t="shared" si="231"/>
        <v>3.1839628267326114E-2</v>
      </c>
      <c r="V80" s="117">
        <f t="shared" si="231"/>
        <v>2.894100858516957E-2</v>
      </c>
      <c r="W80" s="117">
        <f t="shared" si="231"/>
        <v>0.13847284756041445</v>
      </c>
      <c r="X80" s="117">
        <f t="shared" si="231"/>
        <v>0.12920636148389386</v>
      </c>
      <c r="Y80" s="119">
        <f t="shared" si="231"/>
        <v>8.2718292398579196E-2</v>
      </c>
      <c r="Z80" s="117">
        <f t="shared" si="231"/>
        <v>0.22505744681834616</v>
      </c>
      <c r="AA80" s="117">
        <f t="shared" si="231"/>
        <v>0.2381197376544566</v>
      </c>
      <c r="AB80" s="117">
        <f t="shared" si="231"/>
        <v>0.24548659785055871</v>
      </c>
      <c r="AC80" s="117">
        <f t="shared" si="231"/>
        <v>0.38628363542265998</v>
      </c>
      <c r="AD80" s="119">
        <f t="shared" si="231"/>
        <v>0.27846481876332696</v>
      </c>
      <c r="AE80" s="117">
        <f t="shared" si="231"/>
        <v>0.30055403752962828</v>
      </c>
      <c r="AF80" s="117">
        <f t="shared" si="231"/>
        <v>0.31383538032933034</v>
      </c>
      <c r="AG80" s="117">
        <f t="shared" si="231"/>
        <v>0.27660300136425797</v>
      </c>
      <c r="AH80" s="117">
        <f t="shared" si="231"/>
        <v>8.0735350230169312E-2</v>
      </c>
      <c r="AI80" s="119">
        <f t="shared" si="231"/>
        <v>0.23098732488325546</v>
      </c>
      <c r="AJ80" s="117">
        <f t="shared" si="231"/>
        <v>0.19355774811375182</v>
      </c>
      <c r="AK80" s="117">
        <f t="shared" si="231"/>
        <v>0.20764576457645734</v>
      </c>
      <c r="AL80" s="117">
        <f t="shared" si="231"/>
        <v>0.17579481699171584</v>
      </c>
      <c r="AM80" s="117">
        <f t="shared" si="231"/>
        <v>0.17449834899670025</v>
      </c>
      <c r="AN80" s="119">
        <f t="shared" si="231"/>
        <v>0.18744072618886376</v>
      </c>
      <c r="AO80" s="117">
        <f t="shared" si="231"/>
        <v>0.13323608071967219</v>
      </c>
      <c r="AP80" s="117">
        <f t="shared" si="231"/>
        <v>0.14461398314734675</v>
      </c>
      <c r="AQ80" s="117">
        <f t="shared" ref="AQ80:BM80" si="232">AQ14/AL14-1</f>
        <v>0.18245853215178442</v>
      </c>
      <c r="AR80" s="117">
        <f t="shared" si="232"/>
        <v>0.19333910034602009</v>
      </c>
      <c r="AS80" s="119">
        <f t="shared" si="232"/>
        <v>0.16429916138969691</v>
      </c>
      <c r="AT80" s="117">
        <f t="shared" si="232"/>
        <v>0.14589143960523487</v>
      </c>
      <c r="AU80" s="117">
        <f t="shared" si="232"/>
        <v>0.18185435734182165</v>
      </c>
      <c r="AV80" s="117">
        <f t="shared" si="232"/>
        <v>0.17717140661029962</v>
      </c>
      <c r="AW80" s="117">
        <f t="shared" si="232"/>
        <v>0.28071765132294435</v>
      </c>
      <c r="AX80" s="119">
        <f t="shared" si="232"/>
        <v>0.1991768337498161</v>
      </c>
      <c r="AY80" s="117">
        <f t="shared" si="232"/>
        <v>0.34693877551020247</v>
      </c>
      <c r="AZ80" s="117">
        <f t="shared" si="232"/>
        <v>0.30925925925926046</v>
      </c>
      <c r="BA80" s="117">
        <f t="shared" si="232"/>
        <v>0.31847861573620562</v>
      </c>
      <c r="BB80" s="117">
        <f t="shared" si="232"/>
        <v>0.17970850431583552</v>
      </c>
      <c r="BC80" s="119">
        <f t="shared" si="232"/>
        <v>0.28238130260684735</v>
      </c>
      <c r="BD80" s="117">
        <f t="shared" si="232"/>
        <v>7.5896580483737042E-2</v>
      </c>
      <c r="BE80" s="117">
        <f t="shared" si="232"/>
        <v>4.4875916163044316E-2</v>
      </c>
      <c r="BF80" s="117">
        <f t="shared" si="232"/>
        <v>7.0075523090256775E-2</v>
      </c>
      <c r="BG80" s="117">
        <f t="shared" si="232"/>
        <v>8.3123425692694264E-2</v>
      </c>
      <c r="BH80" s="119">
        <f t="shared" si="232"/>
        <v>6.8631511868727513E-2</v>
      </c>
      <c r="BI80" s="117">
        <f t="shared" si="232"/>
        <v>0.11175710594315236</v>
      </c>
      <c r="BJ80" s="117">
        <f t="shared" si="232"/>
        <v>1.6181393059315763</v>
      </c>
      <c r="BK80" s="117">
        <f t="shared" si="232"/>
        <v>1.4973967372440145</v>
      </c>
      <c r="BL80" s="117">
        <f t="shared" si="232"/>
        <v>1.5995570321151731</v>
      </c>
      <c r="BM80" s="119">
        <f t="shared" si="232"/>
        <v>1.2343838516354069</v>
      </c>
      <c r="BN80" s="117">
        <f t="shared" ref="BN80:BW80" si="233">BN14/BI14-1</f>
        <v>1.3702498547356172</v>
      </c>
      <c r="BO80" s="117">
        <f t="shared" si="233"/>
        <v>2.5945945945944571E-2</v>
      </c>
      <c r="BP80" s="117">
        <f t="shared" si="233"/>
        <v>-3.6599490386844402E-2</v>
      </c>
      <c r="BQ80" s="117">
        <f t="shared" si="233"/>
        <v>-6.709550992587543E-2</v>
      </c>
      <c r="BR80" s="119">
        <f t="shared" si="233"/>
        <v>0.13314829394574312</v>
      </c>
      <c r="BS80" s="117">
        <f t="shared" si="233"/>
        <v>-7.4965679545007768E-2</v>
      </c>
      <c r="BT80" s="117">
        <f t="shared" si="233"/>
        <v>-1.7363815457918097E-2</v>
      </c>
      <c r="BU80" s="117">
        <f t="shared" si="233"/>
        <v>4.1836980043281402E-2</v>
      </c>
      <c r="BV80" s="117">
        <f t="shared" si="233"/>
        <v>5.1098223663180287E-2</v>
      </c>
      <c r="BW80" s="119">
        <f t="shared" si="233"/>
        <v>9.5387260501489379E-4</v>
      </c>
      <c r="BX80" s="117">
        <f t="shared" ref="BX80:CG81" si="234">BX14/BS14-1</f>
        <v>1.3674670058832383E-2</v>
      </c>
      <c r="BY80" s="117">
        <f t="shared" si="234"/>
        <v>2.3731816486386004E-2</v>
      </c>
      <c r="BZ80" s="117">
        <f t="shared" si="234"/>
        <v>3.5079621509346959E-2</v>
      </c>
      <c r="CA80" s="117">
        <f t="shared" si="234"/>
        <v>2.7152663133200194E-2</v>
      </c>
      <c r="CB80" s="119">
        <f t="shared" si="234"/>
        <v>2.5318242782182754E-2</v>
      </c>
      <c r="CC80" s="117">
        <f t="shared" si="234"/>
        <v>-1.6313725490196052E-2</v>
      </c>
      <c r="CD80" s="117">
        <f t="shared" si="234"/>
        <v>9.5186045452475554E-3</v>
      </c>
      <c r="CE80" s="117">
        <f t="shared" si="234"/>
        <v>3.8795986622073508E-2</v>
      </c>
      <c r="CF80" s="117">
        <f t="shared" si="234"/>
        <v>1.2392674364505307E-2</v>
      </c>
      <c r="CG80" s="119">
        <f t="shared" si="234"/>
        <v>1.216293746414232E-2</v>
      </c>
      <c r="CH80" s="117">
        <f t="shared" ref="CH80:CQ81" si="235">CH14/CC14-1</f>
        <v>2.4876415244777572E-2</v>
      </c>
      <c r="CI80" s="117">
        <f t="shared" si="235"/>
        <v>0</v>
      </c>
      <c r="CJ80" s="117">
        <f t="shared" si="235"/>
        <v>-1.4595406739643657E-2</v>
      </c>
      <c r="CK80" s="117">
        <f t="shared" si="235"/>
        <v>6.4756016042780695E-2</v>
      </c>
      <c r="CL80" s="119">
        <f t="shared" si="235"/>
        <v>1.9022786532136182E-2</v>
      </c>
      <c r="CM80" s="117">
        <f t="shared" ca="1" si="235"/>
        <v>5.7167291282281818E-2</v>
      </c>
      <c r="CN80" s="117">
        <f t="shared" ca="1" si="235"/>
        <v>7.6255261985689993E-2</v>
      </c>
      <c r="CO80" s="117">
        <f t="shared" ca="1" si="235"/>
        <v>5.0365300161881565E-2</v>
      </c>
      <c r="CP80" s="117">
        <f t="shared" ca="1" si="235"/>
        <v>1.2440105218628261E-2</v>
      </c>
      <c r="CQ80" s="119">
        <f t="shared" ca="1" si="235"/>
        <v>4.7455730099754234E-2</v>
      </c>
      <c r="CR80" s="117">
        <f t="shared" ref="CR80:DA81" ca="1" si="236">CR14/CM14-1</f>
        <v>-1.6982225603791035E-3</v>
      </c>
      <c r="CS80" s="117">
        <f t="shared" ca="1" si="236"/>
        <v>-2.9138171923071887E-2</v>
      </c>
      <c r="CT80" s="117">
        <f t="shared" ca="1" si="236"/>
        <v>-3.8181755291184505E-2</v>
      </c>
      <c r="CU80" s="117">
        <f t="shared" ca="1" si="236"/>
        <v>-4.1387524392900721E-2</v>
      </c>
      <c r="CV80" s="119">
        <f t="shared" ca="1" si="236"/>
        <v>-2.8870594087703427E-2</v>
      </c>
      <c r="CW80" s="117">
        <f t="shared" ca="1" si="236"/>
        <v>-9.7253321771827328E-2</v>
      </c>
      <c r="CX80" s="117">
        <f t="shared" ca="1" si="236"/>
        <v>-0.11145296323656395</v>
      </c>
      <c r="CY80" s="117">
        <f t="shared" ca="1" si="236"/>
        <v>-0.11687595494599423</v>
      </c>
      <c r="CZ80" s="117">
        <f t="shared" ca="1" si="236"/>
        <v>-0.12047284858382112</v>
      </c>
      <c r="DA80" s="119">
        <f t="shared" ca="1" si="236"/>
        <v>-0.11210836373844291</v>
      </c>
      <c r="DB80" s="117">
        <f t="shared" ref="DB80:DF81" ca="1" si="237">DB14/CW14-1</f>
        <v>-0.10815557535616782</v>
      </c>
      <c r="DC80" s="117">
        <f t="shared" ca="1" si="237"/>
        <v>-0.12501498084161478</v>
      </c>
      <c r="DD80" s="117">
        <f t="shared" ca="1" si="237"/>
        <v>-0.10089841807940791</v>
      </c>
      <c r="DE80" s="117">
        <f t="shared" ca="1" si="237"/>
        <v>-0.11252062148463049</v>
      </c>
      <c r="DF80" s="119">
        <f t="shared" ca="1" si="237"/>
        <v>-0.11176829496885021</v>
      </c>
    </row>
    <row r="81" spans="2:110" x14ac:dyDescent="0.2">
      <c r="B81" s="721" t="s">
        <v>151</v>
      </c>
      <c r="C81" s="122"/>
      <c r="D81" s="112"/>
      <c r="E81" s="112"/>
      <c r="F81" s="117"/>
      <c r="G81" s="117"/>
      <c r="H81" s="117"/>
      <c r="I81" s="117"/>
      <c r="J81" s="119"/>
      <c r="K81" s="117">
        <f t="shared" ref="K81:AP81" si="238">K15/F15-1</f>
        <v>7.3375799015568344E-2</v>
      </c>
      <c r="L81" s="117">
        <f t="shared" si="238"/>
        <v>0.31019548547359332</v>
      </c>
      <c r="M81" s="117">
        <f t="shared" si="238"/>
        <v>0.33174230011160999</v>
      </c>
      <c r="N81" s="117">
        <f t="shared" si="238"/>
        <v>0.32309596985263034</v>
      </c>
      <c r="O81" s="119">
        <f t="shared" si="238"/>
        <v>0.2592788779199926</v>
      </c>
      <c r="P81" s="117">
        <f t="shared" si="238"/>
        <v>5.6013777791610986E-2</v>
      </c>
      <c r="Q81" s="117">
        <f t="shared" si="238"/>
        <v>-0.11834046376668239</v>
      </c>
      <c r="R81" s="117">
        <f t="shared" si="238"/>
        <v>-0.16829229150692748</v>
      </c>
      <c r="S81" s="117">
        <f t="shared" si="238"/>
        <v>-5.4550528596755798E-2</v>
      </c>
      <c r="T81" s="119">
        <f t="shared" si="238"/>
        <v>-7.6332987965250676E-2</v>
      </c>
      <c r="U81" s="117">
        <f t="shared" si="238"/>
        <v>-6.4272100288841338E-2</v>
      </c>
      <c r="V81" s="117">
        <f t="shared" si="238"/>
        <v>-9.5666401757748543E-2</v>
      </c>
      <c r="W81" s="117">
        <f t="shared" si="238"/>
        <v>0.13421092125292122</v>
      </c>
      <c r="X81" s="117">
        <f t="shared" si="238"/>
        <v>0.11321688399631835</v>
      </c>
      <c r="Y81" s="119">
        <f t="shared" si="238"/>
        <v>2.1061184574785452E-2</v>
      </c>
      <c r="Z81" s="117">
        <f t="shared" si="238"/>
        <v>0.32954306832976354</v>
      </c>
      <c r="AA81" s="117">
        <f t="shared" si="238"/>
        <v>0.32701632496924216</v>
      </c>
      <c r="AB81" s="117">
        <f t="shared" si="238"/>
        <v>0.24851142657316205</v>
      </c>
      <c r="AC81" s="117">
        <f t="shared" si="238"/>
        <v>0.31809993215157539</v>
      </c>
      <c r="AD81" s="119">
        <f t="shared" si="238"/>
        <v>0.30539906103286385</v>
      </c>
      <c r="AE81" s="117">
        <f t="shared" si="238"/>
        <v>0.2722003300929472</v>
      </c>
      <c r="AF81" s="117">
        <f t="shared" si="238"/>
        <v>0.33304246881646704</v>
      </c>
      <c r="AG81" s="117">
        <f t="shared" si="238"/>
        <v>0.27630582891748667</v>
      </c>
      <c r="AH81" s="117">
        <f t="shared" si="238"/>
        <v>-0.11487669806408862</v>
      </c>
      <c r="AI81" s="119">
        <f t="shared" si="238"/>
        <v>0.16957381765869428</v>
      </c>
      <c r="AJ81" s="117">
        <f t="shared" si="238"/>
        <v>4.2830540037243958E-2</v>
      </c>
      <c r="AK81" s="117">
        <f t="shared" si="238"/>
        <v>2.8638223261250761E-2</v>
      </c>
      <c r="AL81" s="117">
        <f t="shared" si="238"/>
        <v>-7.5326215895610837E-2</v>
      </c>
      <c r="AM81" s="117">
        <f t="shared" si="238"/>
        <v>0.10160427807486627</v>
      </c>
      <c r="AN81" s="119">
        <f t="shared" si="238"/>
        <v>2.1986469864698766E-2</v>
      </c>
      <c r="AO81" s="146">
        <f t="shared" si="238"/>
        <v>2.0833333333333259E-2</v>
      </c>
      <c r="AP81" s="146">
        <f t="shared" si="238"/>
        <v>5.6250000000000133E-2</v>
      </c>
      <c r="AQ81" s="117">
        <f t="shared" ref="AQ81:BV81" si="239">AQ15/AL15-1</f>
        <v>0.21680564464400254</v>
      </c>
      <c r="AR81" s="117">
        <f t="shared" si="239"/>
        <v>0.29429611650485432</v>
      </c>
      <c r="AS81" s="119">
        <f t="shared" si="239"/>
        <v>0.14397472544004786</v>
      </c>
      <c r="AT81" s="146">
        <f t="shared" si="239"/>
        <v>-9.3294460641398791E-3</v>
      </c>
      <c r="AU81" s="146">
        <f t="shared" si="239"/>
        <v>0.12210866057019909</v>
      </c>
      <c r="AV81" s="117">
        <f t="shared" si="239"/>
        <v>5.8513442277279948E-2</v>
      </c>
      <c r="AW81" s="117">
        <f t="shared" si="239"/>
        <v>0.10829817158931077</v>
      </c>
      <c r="AX81" s="119">
        <f t="shared" si="239"/>
        <v>7.2724881641241579E-2</v>
      </c>
      <c r="AY81" s="117">
        <f t="shared" si="239"/>
        <v>0.1453796350794585</v>
      </c>
      <c r="AZ81" s="117">
        <f t="shared" si="239"/>
        <v>1.9654841802492662E-2</v>
      </c>
      <c r="BA81" s="117">
        <f t="shared" si="239"/>
        <v>6.3745019920318668E-2</v>
      </c>
      <c r="BB81" s="117">
        <f t="shared" si="239"/>
        <v>-0.1543993231810491</v>
      </c>
      <c r="BC81" s="119">
        <f t="shared" si="239"/>
        <v>6.2522986392055113E-3</v>
      </c>
      <c r="BD81" s="117">
        <f t="shared" si="239"/>
        <v>-6.0123329907502687E-2</v>
      </c>
      <c r="BE81" s="117">
        <f t="shared" si="239"/>
        <v>-8.5096379877761974E-2</v>
      </c>
      <c r="BF81" s="117">
        <f t="shared" si="239"/>
        <v>-6.7415730337078705E-2</v>
      </c>
      <c r="BG81" s="117">
        <f t="shared" si="239"/>
        <v>2.3511755877939189E-2</v>
      </c>
      <c r="BH81" s="119">
        <f t="shared" si="239"/>
        <v>-4.8123781676413069E-2</v>
      </c>
      <c r="BI81" s="117">
        <f t="shared" si="239"/>
        <v>0.24767632586112609</v>
      </c>
      <c r="BJ81" s="117">
        <f t="shared" si="239"/>
        <v>2.8627954779033904</v>
      </c>
      <c r="BK81" s="117">
        <f t="shared" si="239"/>
        <v>2.0587349397590362</v>
      </c>
      <c r="BL81" s="117">
        <f t="shared" si="239"/>
        <v>2.834310850439882</v>
      </c>
      <c r="BM81" s="119">
        <f t="shared" si="239"/>
        <v>2.0381415589402274</v>
      </c>
      <c r="BN81" s="117">
        <f t="shared" si="239"/>
        <v>1.3737949167397026</v>
      </c>
      <c r="BO81" s="117">
        <f t="shared" si="239"/>
        <v>-0.27510975123054393</v>
      </c>
      <c r="BP81" s="117">
        <f t="shared" si="239"/>
        <v>-0.16166092236993268</v>
      </c>
      <c r="BQ81" s="117">
        <f t="shared" si="239"/>
        <v>-0.21682600382409167</v>
      </c>
      <c r="BR81" s="119">
        <f t="shared" si="239"/>
        <v>-6.8205754728904111E-2</v>
      </c>
      <c r="BS81" s="117">
        <f t="shared" si="239"/>
        <v>-6.5349824626176889E-2</v>
      </c>
      <c r="BT81" s="117">
        <f t="shared" si="239"/>
        <v>-7.7628922738117057E-2</v>
      </c>
      <c r="BU81" s="117">
        <f t="shared" si="239"/>
        <v>1.3508222396241276E-2</v>
      </c>
      <c r="BV81" s="117">
        <f t="shared" si="239"/>
        <v>-0.12011718750000011</v>
      </c>
      <c r="BW81" s="119">
        <f>BW15/BR15-1</f>
        <v>-6.5376616330590442E-2</v>
      </c>
      <c r="BX81" s="117">
        <f t="shared" si="234"/>
        <v>-1.7380999407465958E-2</v>
      </c>
      <c r="BY81" s="117">
        <f t="shared" si="234"/>
        <v>-2.1886191802626964E-3</v>
      </c>
      <c r="BZ81" s="117">
        <f t="shared" si="234"/>
        <v>2.39520958083832E-2</v>
      </c>
      <c r="CA81" s="117">
        <f t="shared" si="234"/>
        <v>-3.1446540880504248E-3</v>
      </c>
      <c r="CB81" s="119">
        <f t="shared" si="234"/>
        <v>3.8699690402466125E-4</v>
      </c>
      <c r="CC81" s="117">
        <f t="shared" si="234"/>
        <v>-6.0301507537685595E-4</v>
      </c>
      <c r="CD81" s="117">
        <f t="shared" si="234"/>
        <v>-9.7706879361914023E-3</v>
      </c>
      <c r="CE81" s="117">
        <f t="shared" si="234"/>
        <v>-0.15148085266930766</v>
      </c>
      <c r="CF81" s="117">
        <f t="shared" si="234"/>
        <v>-0.22879940619781025</v>
      </c>
      <c r="CG81" s="119">
        <f t="shared" si="234"/>
        <v>-0.10096711798839464</v>
      </c>
      <c r="CH81" s="117">
        <f t="shared" si="235"/>
        <v>2.7956556717618763E-2</v>
      </c>
      <c r="CI81" s="117">
        <f t="shared" si="235"/>
        <v>-4.5710833668948903E-2</v>
      </c>
      <c r="CJ81" s="117">
        <f t="shared" si="235"/>
        <v>-4.9132947976878616E-2</v>
      </c>
      <c r="CK81" s="117">
        <f t="shared" si="235"/>
        <v>0.16265640038498552</v>
      </c>
      <c r="CL81" s="119">
        <f t="shared" si="235"/>
        <v>1.9739672977624911E-2</v>
      </c>
      <c r="CM81" s="117">
        <f t="shared" ca="1" si="235"/>
        <v>0.12425605321724809</v>
      </c>
      <c r="CN81" s="117">
        <f t="shared" ca="1" si="235"/>
        <v>3.7666416272755354E-2</v>
      </c>
      <c r="CO81" s="117">
        <f t="shared" ca="1" si="235"/>
        <v>0.15742218238895056</v>
      </c>
      <c r="CP81" s="117">
        <f t="shared" ca="1" si="235"/>
        <v>4.9363224094666869E-2</v>
      </c>
      <c r="CQ81" s="119">
        <f t="shared" ca="1" si="235"/>
        <v>9.1006466987336276E-2</v>
      </c>
      <c r="CR81" s="117">
        <f t="shared" ca="1" si="236"/>
        <v>-7.5565655532550124E-4</v>
      </c>
      <c r="CS81" s="117">
        <f t="shared" ca="1" si="236"/>
        <v>-6.2129842988318806E-3</v>
      </c>
      <c r="CT81" s="117">
        <f t="shared" ca="1" si="236"/>
        <v>-3.8433218113417267E-3</v>
      </c>
      <c r="CU81" s="117">
        <f t="shared" ca="1" si="236"/>
        <v>-3.8712283680228943E-3</v>
      </c>
      <c r="CV81" s="119">
        <f t="shared" ca="1" si="236"/>
        <v>-3.5557798681088437E-3</v>
      </c>
      <c r="CW81" s="117">
        <f t="shared" ca="1" si="236"/>
        <v>-3.736583514924452E-2</v>
      </c>
      <c r="CX81" s="117">
        <f t="shared" ca="1" si="236"/>
        <v>-3.2685037682704032E-2</v>
      </c>
      <c r="CY81" s="117">
        <f t="shared" ca="1" si="236"/>
        <v>-3.0465444903489236E-2</v>
      </c>
      <c r="CZ81" s="117">
        <f t="shared" ca="1" si="236"/>
        <v>-3.1778330415215827E-2</v>
      </c>
      <c r="DA81" s="119">
        <f t="shared" ca="1" si="236"/>
        <v>-3.3235756881918377E-2</v>
      </c>
      <c r="DB81" s="117">
        <f t="shared" ca="1" si="237"/>
        <v>-3.1588760789476589E-2</v>
      </c>
      <c r="DC81" s="117">
        <f t="shared" ca="1" si="237"/>
        <v>-2.668975439715493E-2</v>
      </c>
      <c r="DD81" s="117">
        <f t="shared" ca="1" si="237"/>
        <v>-2.4498781339006515E-2</v>
      </c>
      <c r="DE81" s="117">
        <f t="shared" ca="1" si="237"/>
        <v>-2.5759432147432371E-2</v>
      </c>
      <c r="DF81" s="119">
        <f t="shared" ca="1" si="237"/>
        <v>-2.7294646040154857E-2</v>
      </c>
    </row>
    <row r="82" spans="2:110" x14ac:dyDescent="0.2">
      <c r="B82" s="721" t="s">
        <v>88</v>
      </c>
      <c r="C82" s="122"/>
      <c r="D82" s="112"/>
      <c r="E82" s="112"/>
      <c r="F82" s="117"/>
      <c r="G82" s="117"/>
      <c r="H82" s="117"/>
      <c r="I82" s="117"/>
      <c r="J82" s="119"/>
      <c r="K82" s="117">
        <f t="shared" ref="K82:AP82" si="240">K62/F62-1</f>
        <v>0.43616906426277091</v>
      </c>
      <c r="L82" s="117">
        <f t="shared" si="240"/>
        <v>0.4774166699179363</v>
      </c>
      <c r="M82" s="117">
        <f t="shared" si="240"/>
        <v>0.37644833001521549</v>
      </c>
      <c r="N82" s="117">
        <f t="shared" si="240"/>
        <v>0.44763447599003792</v>
      </c>
      <c r="O82" s="119">
        <f t="shared" si="240"/>
        <v>0.43399392604437836</v>
      </c>
      <c r="P82" s="117">
        <f t="shared" si="240"/>
        <v>0.13687830638115384</v>
      </c>
      <c r="Q82" s="117">
        <f t="shared" si="240"/>
        <v>8.7216006619554864E-2</v>
      </c>
      <c r="R82" s="117">
        <f t="shared" si="240"/>
        <v>0.13899669397728509</v>
      </c>
      <c r="S82" s="117">
        <f t="shared" si="240"/>
        <v>7.7149275066336509E-2</v>
      </c>
      <c r="T82" s="119">
        <f t="shared" si="240"/>
        <v>0.10884977400096107</v>
      </c>
      <c r="U82" s="117">
        <f t="shared" si="240"/>
        <v>0.13024216877427008</v>
      </c>
      <c r="V82" s="117">
        <f t="shared" si="240"/>
        <v>0.16523224652054669</v>
      </c>
      <c r="W82" s="117">
        <f t="shared" si="240"/>
        <v>0.16147147905098258</v>
      </c>
      <c r="X82" s="117">
        <f t="shared" si="240"/>
        <v>0.16870402669296691</v>
      </c>
      <c r="Y82" s="119">
        <f t="shared" si="240"/>
        <v>0.15678071369657509</v>
      </c>
      <c r="Z82" s="117">
        <f t="shared" si="240"/>
        <v>0.1562143504840996</v>
      </c>
      <c r="AA82" s="117">
        <f t="shared" si="240"/>
        <v>0.16676741778361071</v>
      </c>
      <c r="AB82" s="117">
        <f t="shared" si="240"/>
        <v>0.23201771065355592</v>
      </c>
      <c r="AC82" s="117">
        <f t="shared" si="240"/>
        <v>0.43169150710176019</v>
      </c>
      <c r="AD82" s="119">
        <f t="shared" si="240"/>
        <v>0.25094495223696089</v>
      </c>
      <c r="AE82" s="117">
        <f t="shared" si="240"/>
        <v>0.32376193789134433</v>
      </c>
      <c r="AF82" s="117">
        <f t="shared" si="240"/>
        <v>0.30181038589805365</v>
      </c>
      <c r="AG82" s="117">
        <f t="shared" si="240"/>
        <v>0.26500644905248771</v>
      </c>
      <c r="AH82" s="117">
        <f t="shared" si="240"/>
        <v>0.21551067764039589</v>
      </c>
      <c r="AI82" s="119">
        <f t="shared" si="240"/>
        <v>0.27125394863342911</v>
      </c>
      <c r="AJ82" s="117">
        <f t="shared" si="240"/>
        <v>0.28475871954132259</v>
      </c>
      <c r="AK82" s="117">
        <f t="shared" si="240"/>
        <v>0.32204940530649528</v>
      </c>
      <c r="AL82" s="117">
        <f t="shared" si="240"/>
        <v>0.33769063180827552</v>
      </c>
      <c r="AM82" s="117">
        <f t="shared" si="240"/>
        <v>0.19612229679344151</v>
      </c>
      <c r="AN82" s="119">
        <f t="shared" si="240"/>
        <v>0.28100691443388137</v>
      </c>
      <c r="AO82" s="146">
        <f t="shared" si="240"/>
        <v>0.18668650055783265</v>
      </c>
      <c r="AP82" s="146">
        <f t="shared" si="240"/>
        <v>0.18269896193771618</v>
      </c>
      <c r="AQ82" s="117">
        <f t="shared" ref="AQ82:BM82" si="241">AQ62/AL62-1</f>
        <v>0.15309446254071735</v>
      </c>
      <c r="AR82" s="117">
        <f t="shared" si="241"/>
        <v>0.13248129675810394</v>
      </c>
      <c r="AS82" s="119">
        <f t="shared" si="241"/>
        <v>0.16235135363076658</v>
      </c>
      <c r="AT82" s="146">
        <f t="shared" si="241"/>
        <v>0.21842682544656844</v>
      </c>
      <c r="AU82" s="146">
        <f t="shared" si="241"/>
        <v>0.20099473376243271</v>
      </c>
      <c r="AV82" s="117">
        <f t="shared" si="241"/>
        <v>0.23050847457627088</v>
      </c>
      <c r="AW82" s="117">
        <f t="shared" si="241"/>
        <v>0.34351775392238104</v>
      </c>
      <c r="AX82" s="119">
        <f t="shared" si="241"/>
        <v>0.25018139602379907</v>
      </c>
      <c r="AY82" s="117">
        <f t="shared" si="241"/>
        <v>0.40348508230452418</v>
      </c>
      <c r="AZ82" s="117">
        <f t="shared" si="241"/>
        <v>0.42728380024360701</v>
      </c>
      <c r="BA82" s="117">
        <f t="shared" si="241"/>
        <v>0.41666666666666852</v>
      </c>
      <c r="BB82" s="117">
        <f t="shared" si="241"/>
        <v>0.34992829338250342</v>
      </c>
      <c r="BC82" s="119">
        <f t="shared" si="241"/>
        <v>0.3974318049912926</v>
      </c>
      <c r="BD82" s="117">
        <f t="shared" si="241"/>
        <v>0.12759426398497364</v>
      </c>
      <c r="BE82" s="117">
        <f t="shared" si="241"/>
        <v>9.6774193548386567E-2</v>
      </c>
      <c r="BF82" s="117">
        <f t="shared" si="241"/>
        <v>0.11456814130610793</v>
      </c>
      <c r="BG82" s="117">
        <f t="shared" si="241"/>
        <v>0.10138108969494608</v>
      </c>
      <c r="BH82" s="119">
        <f t="shared" si="241"/>
        <v>0.10948905109489138</v>
      </c>
      <c r="BI82" s="117">
        <f t="shared" si="241"/>
        <v>7.0372176174223977E-2</v>
      </c>
      <c r="BJ82" s="117">
        <f t="shared" si="241"/>
        <v>1.2673513849984426</v>
      </c>
      <c r="BK82" s="117">
        <f t="shared" si="241"/>
        <v>1.3727827856935182</v>
      </c>
      <c r="BL82" s="117">
        <f t="shared" si="241"/>
        <v>1.2687060768912795</v>
      </c>
      <c r="BM82" s="119">
        <f t="shared" si="241"/>
        <v>1.0191659803848139</v>
      </c>
      <c r="BN82" s="117">
        <f t="shared" ref="BN82:BW82" si="242">BN62/BI62-1</f>
        <v>1.4248405709079845</v>
      </c>
      <c r="BO82" s="117">
        <f t="shared" si="242"/>
        <v>0.19238160603980581</v>
      </c>
      <c r="BP82" s="117">
        <f t="shared" si="242"/>
        <v>1.8321078431370319E-2</v>
      </c>
      <c r="BQ82" s="117">
        <f t="shared" si="242"/>
        <v>1.330174927113692E-2</v>
      </c>
      <c r="BR82" s="119">
        <f>BR62/BM62-1</f>
        <v>0.23553948832035676</v>
      </c>
      <c r="BS82" s="117">
        <f t="shared" si="242"/>
        <v>-7.889793362554709E-2</v>
      </c>
      <c r="BT82" s="117">
        <f t="shared" si="242"/>
        <v>-1.2087722327732697E-3</v>
      </c>
      <c r="BU82" s="117">
        <f t="shared" si="242"/>
        <v>4.6513027257959916E-2</v>
      </c>
      <c r="BV82" s="117">
        <f t="shared" si="242"/>
        <v>0.11316909428759714</v>
      </c>
      <c r="BW82" s="119">
        <f t="shared" si="242"/>
        <v>2.0706729687149039E-2</v>
      </c>
      <c r="BX82" s="117">
        <f t="shared" ref="BX82:CK82" si="243">BX62/BS62-1</f>
        <v>2.794017675050986E-2</v>
      </c>
      <c r="BY82" s="117">
        <f t="shared" si="243"/>
        <v>3.4174734900875858E-2</v>
      </c>
      <c r="BZ82" s="117">
        <f t="shared" si="243"/>
        <v>3.9730910763569494E-2</v>
      </c>
      <c r="CA82" s="117">
        <f t="shared" si="243"/>
        <v>4.0331699962306899E-2</v>
      </c>
      <c r="CB82" s="119">
        <f t="shared" si="243"/>
        <v>3.5927967658948567E-2</v>
      </c>
      <c r="CC82" s="117">
        <f t="shared" si="243"/>
        <v>-3.4455393161827885E-2</v>
      </c>
      <c r="CD82" s="117">
        <f t="shared" si="243"/>
        <v>2.0061298411813144E-3</v>
      </c>
      <c r="CE82" s="117">
        <f t="shared" si="243"/>
        <v>7.7310180832826481E-2</v>
      </c>
      <c r="CF82" s="117">
        <f t="shared" si="243"/>
        <v>6.3250517598343547E-2</v>
      </c>
      <c r="CG82" s="119">
        <f t="shared" si="243"/>
        <v>3.0297010032780403E-2</v>
      </c>
      <c r="CH82" s="117">
        <f t="shared" si="243"/>
        <v>2.4794520547945176E-2</v>
      </c>
      <c r="CI82" s="117">
        <f t="shared" si="243"/>
        <v>1.4459707468994942E-2</v>
      </c>
      <c r="CJ82" s="117">
        <f t="shared" si="243"/>
        <v>-3.5932446999631384E-4</v>
      </c>
      <c r="CK82" s="117">
        <f t="shared" si="243"/>
        <v>4.5613864278064575E-2</v>
      </c>
      <c r="CL82" s="119">
        <f t="shared" ref="CL82:CQ82" si="244">CL62/CG62-1</f>
        <v>2.1376232714447552E-2</v>
      </c>
      <c r="CM82" s="117">
        <f t="shared" ca="1" si="244"/>
        <v>3.2829954204963707E-2</v>
      </c>
      <c r="CN82" s="117">
        <f t="shared" ca="1" si="244"/>
        <v>8.2920193299227174E-2</v>
      </c>
      <c r="CO82" s="117">
        <f t="shared" ca="1" si="244"/>
        <v>2.4636790733500114E-2</v>
      </c>
      <c r="CP82" s="117">
        <f t="shared" ca="1" si="244"/>
        <v>3.8219351197099627E-3</v>
      </c>
      <c r="CQ82" s="119">
        <f t="shared" ca="1" si="244"/>
        <v>3.4597567667708162E-2</v>
      </c>
      <c r="CR82" s="117">
        <f t="shared" ref="CR82" ca="1" si="245">CR62/CM62-1</f>
        <v>-1.4597397143083501E-3</v>
      </c>
      <c r="CS82" s="117">
        <f t="shared" ref="CS82" ca="1" si="246">CS62/CN62-1</f>
        <v>-3.3282029838226479E-2</v>
      </c>
      <c r="CT82" s="117">
        <f t="shared" ref="CT82" ca="1" si="247">CT62/CO62-1</f>
        <v>-4.477247596597278E-2</v>
      </c>
      <c r="CU82" s="117">
        <f t="shared" ref="CU82" ca="1" si="248">CU62/CP62-1</f>
        <v>-4.8353481857762115E-2</v>
      </c>
      <c r="CV82" s="119">
        <f t="shared" ref="CV82" ca="1" si="249">CV62/CQ62-1</f>
        <v>-3.4096382869468811E-2</v>
      </c>
      <c r="CW82" s="117">
        <f t="shared" ref="CW82" ca="1" si="250">CW62/CR62-1</f>
        <v>-0.1172537862509252</v>
      </c>
      <c r="CX82" s="117">
        <f t="shared" ref="CX82" ca="1" si="251">CX62/CS62-1</f>
        <v>-0.12771377036572884</v>
      </c>
      <c r="CY82" s="117">
        <f t="shared" ref="CY82" ca="1" si="252">CY62/CT62-1</f>
        <v>-0.13399237936714692</v>
      </c>
      <c r="CZ82" s="117">
        <f t="shared" ref="CZ82" ca="1" si="253">CZ62/CU62-1</f>
        <v>-0.13790147367271921</v>
      </c>
      <c r="DA82" s="119">
        <f t="shared" ref="DA82" ca="1" si="254">DA62/CV62-1</f>
        <v>-0.12997142783810811</v>
      </c>
      <c r="DB82" s="117">
        <f t="shared" ref="DB82" ca="1" si="255">DB62/CW62-1</f>
        <v>-0.13604279873958891</v>
      </c>
      <c r="DC82" s="117">
        <f t="shared" ref="DC82" ca="1" si="256">DC62/CX62-1</f>
        <v>-0.14939802663813884</v>
      </c>
      <c r="DD82" s="117">
        <f t="shared" ref="DD82" ca="1" si="257">DD62/CY62-1</f>
        <v>-0.12054905102955249</v>
      </c>
      <c r="DE82" s="117">
        <f t="shared" ref="DE82" ca="1" si="258">DE62/CZ62-1</f>
        <v>-0.13368140774282444</v>
      </c>
      <c r="DF82" s="119">
        <f t="shared" ref="DF82" ca="1" si="259">DF62/DA62-1</f>
        <v>-0.13487867599926551</v>
      </c>
    </row>
    <row r="83" spans="2:110" x14ac:dyDescent="0.2">
      <c r="B83" s="721" t="s">
        <v>93</v>
      </c>
      <c r="C83" s="122"/>
      <c r="D83" s="112"/>
      <c r="E83" s="112"/>
      <c r="F83" s="117"/>
      <c r="G83" s="117"/>
      <c r="H83" s="117"/>
      <c r="I83" s="117"/>
      <c r="J83" s="119"/>
      <c r="K83" s="117">
        <f t="shared" ref="K83:AP83" si="260">K16/F16-1</f>
        <v>0.42048238688952755</v>
      </c>
      <c r="L83" s="117">
        <f t="shared" si="260"/>
        <v>0.57369917149096805</v>
      </c>
      <c r="M83" s="117">
        <f t="shared" si="260"/>
        <v>0.64865268715446311</v>
      </c>
      <c r="N83" s="117">
        <f t="shared" si="260"/>
        <v>0.6112453430188387</v>
      </c>
      <c r="O83" s="119">
        <f t="shared" si="260"/>
        <v>0.56729362459260724</v>
      </c>
      <c r="P83" s="117">
        <f t="shared" si="260"/>
        <v>0.37762872109367063</v>
      </c>
      <c r="Q83" s="117">
        <f t="shared" si="260"/>
        <v>0.21463108389414787</v>
      </c>
      <c r="R83" s="117">
        <f t="shared" si="260"/>
        <v>0.14291037260825323</v>
      </c>
      <c r="S83" s="117">
        <f t="shared" si="260"/>
        <v>0.13703162640399502</v>
      </c>
      <c r="T83" s="119">
        <f t="shared" si="260"/>
        <v>0.20821519075877903</v>
      </c>
      <c r="U83" s="117">
        <f t="shared" si="260"/>
        <v>0.12256670407225401</v>
      </c>
      <c r="V83" s="117">
        <f t="shared" si="260"/>
        <v>0.14979143997097633</v>
      </c>
      <c r="W83" s="117">
        <f t="shared" si="260"/>
        <v>0.1419760157193064</v>
      </c>
      <c r="X83" s="117">
        <f t="shared" si="260"/>
        <v>0.14487734733296587</v>
      </c>
      <c r="Y83" s="119">
        <f t="shared" si="260"/>
        <v>0.13999443362093023</v>
      </c>
      <c r="Z83" s="117">
        <f t="shared" si="260"/>
        <v>0.14284180002147706</v>
      </c>
      <c r="AA83" s="117">
        <f t="shared" si="260"/>
        <v>0.17030891410815108</v>
      </c>
      <c r="AB83" s="117">
        <f t="shared" si="260"/>
        <v>0.24301719082744366</v>
      </c>
      <c r="AC83" s="117">
        <f t="shared" si="260"/>
        <v>0.45126120368032163</v>
      </c>
      <c r="AD83" s="119">
        <f t="shared" si="260"/>
        <v>0.25605468750000138</v>
      </c>
      <c r="AE83" s="117">
        <f t="shared" si="260"/>
        <v>0.3265092205041491</v>
      </c>
      <c r="AF83" s="117">
        <f t="shared" si="260"/>
        <v>0.29722225966010196</v>
      </c>
      <c r="AG83" s="117">
        <f t="shared" si="260"/>
        <v>0.27684667908131844</v>
      </c>
      <c r="AH83" s="117">
        <f t="shared" si="260"/>
        <v>0.25004480906217497</v>
      </c>
      <c r="AI83" s="119">
        <f t="shared" si="260"/>
        <v>0.28409267610013966</v>
      </c>
      <c r="AJ83" s="117">
        <f t="shared" si="260"/>
        <v>0.32588555858309953</v>
      </c>
      <c r="AK83" s="117">
        <f t="shared" si="260"/>
        <v>0.36675324675324594</v>
      </c>
      <c r="AL83" s="117">
        <f t="shared" si="260"/>
        <v>0.38162372386970933</v>
      </c>
      <c r="AM83" s="117">
        <f t="shared" si="260"/>
        <v>0.21917247029906184</v>
      </c>
      <c r="AN83" s="119">
        <f t="shared" si="260"/>
        <v>0.31775248244126963</v>
      </c>
      <c r="AO83" s="146">
        <f t="shared" si="260"/>
        <v>0.21085080147965996</v>
      </c>
      <c r="AP83" s="146">
        <f t="shared" si="260"/>
        <v>0.20372481946028098</v>
      </c>
      <c r="AQ83" s="117">
        <f t="shared" ref="AQ83:BM83" si="261">AQ16/AL16-1</f>
        <v>0.16361717100633455</v>
      </c>
      <c r="AR83" s="117">
        <f t="shared" si="261"/>
        <v>0.13743279569892364</v>
      </c>
      <c r="AS83" s="119">
        <f t="shared" si="261"/>
        <v>0.17671383936776319</v>
      </c>
      <c r="AT83" s="146">
        <f t="shared" si="261"/>
        <v>0.236252545824847</v>
      </c>
      <c r="AU83" s="146">
        <f t="shared" si="261"/>
        <v>0.21692453425955005</v>
      </c>
      <c r="AV83" s="117">
        <f t="shared" si="261"/>
        <v>0.24523737526459</v>
      </c>
      <c r="AW83" s="117">
        <f t="shared" si="261"/>
        <v>0.38936484490399081</v>
      </c>
      <c r="AX83" s="119">
        <f t="shared" si="261"/>
        <v>0.27426786411557957</v>
      </c>
      <c r="AY83" s="117">
        <f t="shared" si="261"/>
        <v>0.44096650192201836</v>
      </c>
      <c r="AZ83" s="117">
        <f t="shared" si="261"/>
        <v>0.46600934094447521</v>
      </c>
      <c r="BA83" s="117">
        <f t="shared" si="261"/>
        <v>0.44269062651772639</v>
      </c>
      <c r="BB83" s="117">
        <f t="shared" si="261"/>
        <v>0.34765043589198585</v>
      </c>
      <c r="BC83" s="119">
        <f t="shared" si="261"/>
        <v>0.42042042042041894</v>
      </c>
      <c r="BD83" s="117">
        <f t="shared" si="261"/>
        <v>0.12633384146341542</v>
      </c>
      <c r="BE83" s="117">
        <f t="shared" si="261"/>
        <v>9.3805309734512621E-2</v>
      </c>
      <c r="BF83" s="117">
        <f t="shared" si="261"/>
        <v>0.11950850025248361</v>
      </c>
      <c r="BG83" s="117">
        <f t="shared" si="261"/>
        <v>0.10192489744398725</v>
      </c>
      <c r="BH83" s="119">
        <f t="shared" si="261"/>
        <v>0.10997972127540301</v>
      </c>
      <c r="BI83" s="117">
        <f t="shared" si="261"/>
        <v>6.9700558281170721E-2</v>
      </c>
      <c r="BJ83" s="117">
        <f t="shared" si="261"/>
        <v>1.2262135922330089</v>
      </c>
      <c r="BK83" s="117">
        <f t="shared" si="261"/>
        <v>1.3292737934145271</v>
      </c>
      <c r="BL83" s="117">
        <f t="shared" si="261"/>
        <v>1.2378293241695326</v>
      </c>
      <c r="BM83" s="119">
        <f t="shared" si="261"/>
        <v>0.99028220477337792</v>
      </c>
      <c r="BN83" s="117">
        <f t="shared" ref="BN83:BW83" si="262">BN16/BI16-1</f>
        <v>1.3689704254309638</v>
      </c>
      <c r="BO83" s="117">
        <f t="shared" si="262"/>
        <v>0.19043465620002675</v>
      </c>
      <c r="BP83" s="117">
        <f t="shared" si="262"/>
        <v>1.2587141750578512E-2</v>
      </c>
      <c r="BQ83" s="117">
        <f t="shared" si="262"/>
        <v>8.0619361443470261E-3</v>
      </c>
      <c r="BR83" s="119">
        <f t="shared" si="262"/>
        <v>0.2264950587867669</v>
      </c>
      <c r="BS83" s="117">
        <f t="shared" si="262"/>
        <v>-7.8443153748579908E-2</v>
      </c>
      <c r="BT83" s="117">
        <f t="shared" si="262"/>
        <v>2.6865307119321447E-3</v>
      </c>
      <c r="BU83" s="117">
        <f t="shared" si="262"/>
        <v>5.1061388410788444E-2</v>
      </c>
      <c r="BV83" s="117">
        <f t="shared" si="262"/>
        <v>0.11786734370041185</v>
      </c>
      <c r="BW83" s="119">
        <f t="shared" si="262"/>
        <v>2.4315673816462935E-2</v>
      </c>
      <c r="BX83" s="117">
        <f t="shared" ref="BX83:CK83" si="263">BX16/BS16-1</f>
        <v>2.5065198493189778E-2</v>
      </c>
      <c r="BY83" s="117">
        <f t="shared" si="263"/>
        <v>3.1664839848983384E-2</v>
      </c>
      <c r="BZ83" s="117">
        <f t="shared" si="263"/>
        <v>3.8573508005822488E-2</v>
      </c>
      <c r="CA83" s="117">
        <f t="shared" si="263"/>
        <v>3.6452418805359876E-2</v>
      </c>
      <c r="CB83" s="119">
        <f t="shared" si="263"/>
        <v>3.3330224170630585E-2</v>
      </c>
      <c r="CC83" s="117">
        <f t="shared" si="263"/>
        <v>-2.1837455830388763E-2</v>
      </c>
      <c r="CD83" s="117">
        <f t="shared" si="263"/>
        <v>1.5228426395939243E-2</v>
      </c>
      <c r="CE83" s="117">
        <f t="shared" si="263"/>
        <v>9.7699135715954233E-2</v>
      </c>
      <c r="CF83" s="117">
        <f t="shared" si="263"/>
        <v>8.3598115481538171E-2</v>
      </c>
      <c r="CG83" s="119">
        <f t="shared" si="263"/>
        <v>4.7359711147886285E-2</v>
      </c>
      <c r="CH83" s="117">
        <f t="shared" si="263"/>
        <v>2.3769958818004477E-2</v>
      </c>
      <c r="CI83" s="117">
        <f t="shared" si="263"/>
        <v>1.3197674418604644E-2</v>
      </c>
      <c r="CJ83" s="117">
        <f t="shared" si="263"/>
        <v>-6.3307974676810597E-3</v>
      </c>
      <c r="CK83" s="117">
        <f t="shared" si="263"/>
        <v>4.4186046511627941E-2</v>
      </c>
      <c r="CL83" s="119">
        <f t="shared" ref="CL83:CQ83" si="264">CL16/CG16-1</f>
        <v>1.8831336723257541E-2</v>
      </c>
      <c r="CM83" s="117">
        <f t="shared" ca="1" si="264"/>
        <v>3.2968938265371728E-2</v>
      </c>
      <c r="CN83" s="117">
        <f t="shared" ca="1" si="264"/>
        <v>8.674889484467907E-2</v>
      </c>
      <c r="CO83" s="117">
        <f t="shared" ca="1" si="264"/>
        <v>2.5850775839942886E-2</v>
      </c>
      <c r="CP83" s="117">
        <f t="shared" ca="1" si="264"/>
        <v>3.8019474569830347E-3</v>
      </c>
      <c r="CQ83" s="119">
        <f t="shared" ca="1" si="264"/>
        <v>3.5814815655004217E-2</v>
      </c>
      <c r="CR83" s="117">
        <f t="shared" ref="CR83" ca="1" si="265">CR16/CM16-1</f>
        <v>-2.0682430514877836E-3</v>
      </c>
      <c r="CS83" s="117">
        <f t="shared" ref="CS83" ca="1" si="266">CS16/CN16-1</f>
        <v>-3.5090755888658842E-2</v>
      </c>
      <c r="CT83" s="117">
        <f t="shared" ref="CT83" ca="1" si="267">CT16/CO16-1</f>
        <v>-4.7053253479825918E-2</v>
      </c>
      <c r="CU83" s="117">
        <f t="shared" ref="CU83" ca="1" si="268">CU16/CP16-1</f>
        <v>-5.0562829460537917E-2</v>
      </c>
      <c r="CV83" s="119">
        <f t="shared" ref="CV83" ca="1" si="269">CV16/CQ16-1</f>
        <v>-3.5997672557535498E-2</v>
      </c>
      <c r="CW83" s="117">
        <f t="shared" ref="CW83" ca="1" si="270">CW16/CR16-1</f>
        <v>-0.12079410699306836</v>
      </c>
      <c r="CX83" s="117">
        <f t="shared" ref="CX83" ca="1" si="271">CX16/CS16-1</f>
        <v>-0.13251735340757353</v>
      </c>
      <c r="CY83" s="117">
        <f t="shared" ref="CY83" ca="1" si="272">CY16/CT16-1</f>
        <v>-0.14021279647939766</v>
      </c>
      <c r="CZ83" s="117">
        <f t="shared" ref="CZ83" ca="1" si="273">CZ16/CU16-1</f>
        <v>-0.14323150353690628</v>
      </c>
      <c r="DA83" s="119">
        <f t="shared" ref="DA83" ca="1" si="274">DA16/CV16-1</f>
        <v>-0.13506128151835317</v>
      </c>
      <c r="DB83" s="117">
        <f t="shared" ref="DB83" ca="1" si="275">DB16/CW16-1</f>
        <v>-0.14110866337066219</v>
      </c>
      <c r="DC83" s="117">
        <f t="shared" ref="DC83" ca="1" si="276">DC16/CX16-1</f>
        <v>-0.15433549268758684</v>
      </c>
      <c r="DD83" s="117">
        <f t="shared" ref="DD83" ca="1" si="277">DD16/CY16-1</f>
        <v>-0.12416534991337669</v>
      </c>
      <c r="DE83" s="117">
        <f t="shared" ref="DE83" ca="1" si="278">DE16/CZ16-1</f>
        <v>-0.13767923008470317</v>
      </c>
      <c r="DF83" s="119">
        <f t="shared" ref="DF83" ca="1" si="279">DF16/DA16-1</f>
        <v>-0.13924522456302468</v>
      </c>
    </row>
    <row r="84" spans="2:110" ht="11.25" hidden="1" customHeight="1" outlineLevel="2" x14ac:dyDescent="0.2">
      <c r="B84" s="721" t="s">
        <v>76</v>
      </c>
      <c r="C84" s="122"/>
      <c r="D84" s="112"/>
      <c r="E84" s="112"/>
      <c r="F84" s="117"/>
      <c r="G84" s="117"/>
      <c r="H84" s="117"/>
      <c r="I84" s="117"/>
      <c r="J84" s="119"/>
      <c r="K84" s="117">
        <f t="shared" ref="K84:AP84" si="280">K21/F21-1</f>
        <v>0.48130555027761668</v>
      </c>
      <c r="L84" s="117">
        <f t="shared" si="280"/>
        <v>0.56715534421183289</v>
      </c>
      <c r="M84" s="117">
        <f t="shared" si="280"/>
        <v>0.63318550811786811</v>
      </c>
      <c r="N84" s="117">
        <f t="shared" si="280"/>
        <v>0.60514044106039622</v>
      </c>
      <c r="O84" s="119">
        <f t="shared" si="280"/>
        <v>0.57489808559370048</v>
      </c>
      <c r="P84" s="117">
        <f t="shared" si="280"/>
        <v>0.37467398275495767</v>
      </c>
      <c r="Q84" s="117">
        <f t="shared" si="280"/>
        <v>0.2013345923827683</v>
      </c>
      <c r="R84" s="117">
        <f t="shared" si="280"/>
        <v>0.20100193760095908</v>
      </c>
      <c r="S84" s="117">
        <f t="shared" si="280"/>
        <v>0.19192623568986877</v>
      </c>
      <c r="T84" s="119">
        <f t="shared" si="280"/>
        <v>0.23570320098294117</v>
      </c>
      <c r="U84" s="117">
        <f t="shared" si="280"/>
        <v>0.15513094324754695</v>
      </c>
      <c r="V84" s="117">
        <f t="shared" si="280"/>
        <v>0.23962438165506006</v>
      </c>
      <c r="W84" s="117">
        <f t="shared" si="280"/>
        <v>0.20011304739368074</v>
      </c>
      <c r="X84" s="117">
        <f t="shared" ca="1" si="280"/>
        <v>0.19241455832593535</v>
      </c>
      <c r="Y84" s="119">
        <f t="shared" ca="1" si="280"/>
        <v>0.19663855594100288</v>
      </c>
      <c r="Z84" s="117">
        <f t="shared" si="280"/>
        <v>0.20747282730642236</v>
      </c>
      <c r="AA84" s="117">
        <f t="shared" si="280"/>
        <v>0.23030943523841274</v>
      </c>
      <c r="AB84" s="117">
        <f t="shared" si="280"/>
        <v>0.26847025201765851</v>
      </c>
      <c r="AC84" s="117">
        <f t="shared" ca="1" si="280"/>
        <v>0.38076195456574391</v>
      </c>
      <c r="AD84" s="119">
        <f t="shared" ca="1" si="280"/>
        <v>0.27525773195876457</v>
      </c>
      <c r="AE84" s="117">
        <f t="shared" si="280"/>
        <v>0.24504768346799977</v>
      </c>
      <c r="AF84" s="117">
        <f t="shared" si="280"/>
        <v>0.18539592223803503</v>
      </c>
      <c r="AG84" s="117">
        <f t="shared" si="280"/>
        <v>0.14033983637508096</v>
      </c>
      <c r="AH84" s="117">
        <f t="shared" si="280"/>
        <v>0.23088233655997947</v>
      </c>
      <c r="AI84" s="119">
        <f t="shared" si="280"/>
        <v>0.19999999999999973</v>
      </c>
      <c r="AJ84" s="117">
        <f t="shared" si="280"/>
        <v>0.33432835820894802</v>
      </c>
      <c r="AK84" s="117">
        <f t="shared" si="280"/>
        <v>0.38956521739130379</v>
      </c>
      <c r="AL84" s="117">
        <f t="shared" si="280"/>
        <v>0.40894039735098886</v>
      </c>
      <c r="AM84" s="117">
        <f t="shared" si="280"/>
        <v>0.23167420814480111</v>
      </c>
      <c r="AN84" s="119">
        <f t="shared" si="280"/>
        <v>0.33481541363513956</v>
      </c>
      <c r="AO84" s="146">
        <f t="shared" si="280"/>
        <v>0.23668903803132557</v>
      </c>
      <c r="AP84" s="146">
        <f t="shared" si="280"/>
        <v>0.26366291197329939</v>
      </c>
      <c r="AQ84" s="117">
        <f t="shared" ref="AQ84:BM84" si="281">AQ21/AL21-1</f>
        <v>0.23423423423423562</v>
      </c>
      <c r="AR84" s="117">
        <f t="shared" si="281"/>
        <v>0.17266715650257036</v>
      </c>
      <c r="AS84" s="119">
        <f t="shared" si="281"/>
        <v>0.22499242959523547</v>
      </c>
      <c r="AT84" s="146">
        <f t="shared" si="281"/>
        <v>0.25904486251808923</v>
      </c>
      <c r="AU84" s="146">
        <f t="shared" si="281"/>
        <v>0.21294156487289384</v>
      </c>
      <c r="AV84" s="117">
        <f t="shared" si="281"/>
        <v>0.16090130117422974</v>
      </c>
      <c r="AW84" s="117">
        <f t="shared" si="281"/>
        <v>0.34649122807017818</v>
      </c>
      <c r="AX84" s="119">
        <f t="shared" si="281"/>
        <v>0.245056031641397</v>
      </c>
      <c r="AY84" s="117">
        <f t="shared" si="281"/>
        <v>0.38994252873562973</v>
      </c>
      <c r="AZ84" s="117">
        <f t="shared" si="281"/>
        <v>0.42487751769189086</v>
      </c>
      <c r="BA84" s="117">
        <f t="shared" si="281"/>
        <v>0.5147621651175498</v>
      </c>
      <c r="BB84" s="117">
        <f t="shared" si="281"/>
        <v>0.38250348999534878</v>
      </c>
      <c r="BC84" s="119">
        <f t="shared" si="281"/>
        <v>0.42653871608206329</v>
      </c>
      <c r="BD84" s="117">
        <f t="shared" si="281"/>
        <v>0.14078974571015168</v>
      </c>
      <c r="BE84" s="117">
        <f t="shared" si="281"/>
        <v>8.729703915950271E-2</v>
      </c>
      <c r="BF84" s="117">
        <f t="shared" si="281"/>
        <v>0.11658545388919062</v>
      </c>
      <c r="BG84" s="117">
        <f t="shared" si="281"/>
        <v>9.5085829686972767E-2</v>
      </c>
      <c r="BH84" s="119">
        <f t="shared" si="281"/>
        <v>0.10897703549060611</v>
      </c>
      <c r="BI84" s="117">
        <f t="shared" si="281"/>
        <v>5.4911199710039993E-2</v>
      </c>
      <c r="BJ84" s="117">
        <f t="shared" si="281"/>
        <v>1.1322909346451144</v>
      </c>
      <c r="BK84" s="117">
        <f t="shared" si="281"/>
        <v>1.2636172620009725</v>
      </c>
      <c r="BL84" s="117">
        <f t="shared" si="281"/>
        <v>1.1755033041340113</v>
      </c>
      <c r="BM84" s="119">
        <f t="shared" si="281"/>
        <v>0.92934236947790794</v>
      </c>
      <c r="BN84" s="117">
        <f t="shared" ref="BN84:BW84" si="282">BN21/BI21-1</f>
        <v>1.340491324514685</v>
      </c>
      <c r="BO84" s="117">
        <f t="shared" si="282"/>
        <v>0.25096811403147146</v>
      </c>
      <c r="BP84" s="117">
        <f t="shared" si="282"/>
        <v>3.4202070689036912E-2</v>
      </c>
      <c r="BQ84" s="117">
        <f t="shared" si="282"/>
        <v>2.9457473862673167E-2</v>
      </c>
      <c r="BR84" s="119">
        <f t="shared" si="282"/>
        <v>0.2546672737917135</v>
      </c>
      <c r="BS84" s="117">
        <f t="shared" si="282"/>
        <v>-7.0023487962417419E-2</v>
      </c>
      <c r="BT84" s="117">
        <f t="shared" si="282"/>
        <v>2.5686623197012093E-3</v>
      </c>
      <c r="BU84" s="117">
        <f t="shared" si="282"/>
        <v>5.9237779618892539E-2</v>
      </c>
      <c r="BV84" s="117">
        <f t="shared" si="282"/>
        <v>0.131476017292252</v>
      </c>
      <c r="BW84" s="119">
        <f t="shared" si="282"/>
        <v>3.2127056546385591E-2</v>
      </c>
      <c r="BX84" s="117">
        <f t="shared" ref="BX84:CK84" si="283">BX21/BS21-1</f>
        <v>2.817679558010977E-2</v>
      </c>
      <c r="BY84" s="117">
        <f t="shared" si="283"/>
        <v>3.6066219944817179E-2</v>
      </c>
      <c r="BZ84" s="117">
        <f t="shared" si="283"/>
        <v>3.7543996871333585E-2</v>
      </c>
      <c r="CA84" s="117">
        <f t="shared" si="283"/>
        <v>3.5781430044271811E-2</v>
      </c>
      <c r="CB84" s="119">
        <f t="shared" si="283"/>
        <v>3.4693501666024362E-2</v>
      </c>
      <c r="CC84" s="117">
        <f t="shared" si="283"/>
        <v>-3.7153604053120515E-2</v>
      </c>
      <c r="CD84" s="117">
        <f t="shared" si="283"/>
        <v>1.0398833301629606E-2</v>
      </c>
      <c r="CE84" s="117">
        <f t="shared" si="283"/>
        <v>9.3416258323909984E-2</v>
      </c>
      <c r="CF84" s="117">
        <f t="shared" si="283"/>
        <v>7.65852801686282E-2</v>
      </c>
      <c r="CG84" s="119">
        <f t="shared" si="283"/>
        <v>4.0051784124929268E-2</v>
      </c>
      <c r="CH84" s="117">
        <f t="shared" si="283"/>
        <v>1.8576098222115922E-2</v>
      </c>
      <c r="CI84" s="117">
        <f t="shared" si="283"/>
        <v>7.2168183244429862E-3</v>
      </c>
      <c r="CJ84" s="117">
        <f t="shared" si="283"/>
        <v>-3.9069232979029866E-3</v>
      </c>
      <c r="CK84" s="117">
        <f t="shared" si="283"/>
        <v>4.9273943547071264E-2</v>
      </c>
      <c r="CL84" s="119">
        <f t="shared" ref="CL84:CQ84" si="284">CL21/CG21-1</f>
        <v>1.8453399719927432E-2</v>
      </c>
      <c r="CM84" s="117">
        <f t="shared" ca="1" si="284"/>
        <v>4.2129964598440317E-2</v>
      </c>
      <c r="CN84" s="117">
        <f t="shared" ca="1" si="284"/>
        <v>0.10256666516204449</v>
      </c>
      <c r="CO84" s="117">
        <f t="shared" ca="1" si="284"/>
        <v>3.5435766244359179E-2</v>
      </c>
      <c r="CP84" s="117">
        <f t="shared" ca="1" si="284"/>
        <v>1.3755160789354903E-2</v>
      </c>
      <c r="CQ84" s="119">
        <f t="shared" ca="1" si="284"/>
        <v>4.6812753606212398E-2</v>
      </c>
      <c r="CR84" s="117">
        <f t="shared" ref="CR84" ca="1" si="285">CR21/CM21-1</f>
        <v>1.195300209356609E-2</v>
      </c>
      <c r="CS84" s="117">
        <f t="shared" ref="CS84" ca="1" si="286">CS21/CN21-1</f>
        <v>-2.6836863823965662E-2</v>
      </c>
      <c r="CT84" s="117">
        <f t="shared" ref="CT84" ca="1" si="287">CT21/CO21-1</f>
        <v>-3.7318169963970194E-2</v>
      </c>
      <c r="CU84" s="117">
        <f t="shared" ref="CU84" ca="1" si="288">CU21/CP21-1</f>
        <v>-4.1911834584850483E-2</v>
      </c>
      <c r="CV84" s="119">
        <f t="shared" ref="CV84" ca="1" si="289">CV21/CQ21-1</f>
        <v>-2.6348504137244544E-2</v>
      </c>
      <c r="CW84" s="117">
        <f t="shared" ref="CW84" ca="1" si="290">CW21/CR21-1</f>
        <v>-0.11502690053305875</v>
      </c>
      <c r="CX84" s="117">
        <f t="shared" ref="CX84" ca="1" si="291">CX21/CS21-1</f>
        <v>-0.12888000321009374</v>
      </c>
      <c r="CY84" s="117">
        <f t="shared" ref="CY84" ca="1" si="292">CY21/CT21-1</f>
        <v>-0.13661737887381409</v>
      </c>
      <c r="CZ84" s="117">
        <f t="shared" ref="CZ84" ca="1" si="293">CZ21/CU21-1</f>
        <v>-0.14000288842497033</v>
      </c>
      <c r="DA84" s="119">
        <f t="shared" ref="DA84" ca="1" si="294">DA21/CV21-1</f>
        <v>-0.13121070864618012</v>
      </c>
      <c r="DB84" s="117">
        <f t="shared" ref="DB84" ca="1" si="295">DB21/CW21-1</f>
        <v>-0.13588728640255365</v>
      </c>
      <c r="DC84" s="117">
        <f t="shared" ref="DC84" ca="1" si="296">DC21/CX21-1</f>
        <v>-0.15054623797900313</v>
      </c>
      <c r="DD84" s="117">
        <f t="shared" ref="DD84" ca="1" si="297">DD21/CY21-1</f>
        <v>-0.11823733806525294</v>
      </c>
      <c r="DE84" s="117">
        <f t="shared" ref="DE84" ca="1" si="298">DE21/CZ21-1</f>
        <v>-0.13277385061877112</v>
      </c>
      <c r="DF84" s="119">
        <f t="shared" ref="DF84" ca="1" si="299">DF21/DA21-1</f>
        <v>-0.13427225786207075</v>
      </c>
    </row>
    <row r="85" spans="2:110" collapsed="1" x14ac:dyDescent="0.2">
      <c r="B85" s="721" t="s">
        <v>94</v>
      </c>
      <c r="C85" s="122"/>
      <c r="D85" s="112"/>
      <c r="E85" s="112"/>
      <c r="F85" s="117"/>
      <c r="G85" s="117"/>
      <c r="H85" s="117"/>
      <c r="I85" s="117"/>
      <c r="J85" s="119"/>
      <c r="K85" s="117">
        <f t="shared" ref="K85:AP85" si="300">K25/F25-1</f>
        <v>0.56590334413618293</v>
      </c>
      <c r="L85" s="117">
        <f t="shared" si="300"/>
        <v>0.61023674117180016</v>
      </c>
      <c r="M85" s="117">
        <f t="shared" si="300"/>
        <v>0.64117556736174386</v>
      </c>
      <c r="N85" s="117">
        <f t="shared" si="300"/>
        <v>0.65810261657656821</v>
      </c>
      <c r="O85" s="119">
        <f t="shared" si="300"/>
        <v>0.62142760070669212</v>
      </c>
      <c r="P85" s="117">
        <f t="shared" si="300"/>
        <v>0.35661488776186867</v>
      </c>
      <c r="Q85" s="117">
        <f t="shared" si="300"/>
        <v>0.21162217659140414</v>
      </c>
      <c r="R85" s="117">
        <f t="shared" si="300"/>
        <v>0.20771084698062015</v>
      </c>
      <c r="S85" s="117">
        <f t="shared" si="300"/>
        <v>0.1889363382784226</v>
      </c>
      <c r="T85" s="119">
        <f t="shared" si="300"/>
        <v>0.23567984380699603</v>
      </c>
      <c r="U85" s="117">
        <f t="shared" si="300"/>
        <v>0.15926503378093315</v>
      </c>
      <c r="V85" s="117">
        <f t="shared" si="300"/>
        <v>0.23738263905364221</v>
      </c>
      <c r="W85" s="117">
        <f t="shared" si="300"/>
        <v>0.1985218927210155</v>
      </c>
      <c r="X85" s="117">
        <f t="shared" ca="1" si="300"/>
        <v>0.19356082513979622</v>
      </c>
      <c r="Y85" s="119">
        <f t="shared" ca="1" si="300"/>
        <v>0.19699315319916533</v>
      </c>
      <c r="Z85" s="117">
        <f t="shared" si="300"/>
        <v>0.1999595077296803</v>
      </c>
      <c r="AA85" s="117">
        <f t="shared" si="300"/>
        <v>0.24635338912247762</v>
      </c>
      <c r="AB85" s="117">
        <f t="shared" si="300"/>
        <v>0.29506819210135182</v>
      </c>
      <c r="AC85" s="117">
        <f t="shared" ca="1" si="300"/>
        <v>0.42196488699479362</v>
      </c>
      <c r="AD85" s="119">
        <f t="shared" ca="1" si="300"/>
        <v>0.29533333333333611</v>
      </c>
      <c r="AE85" s="117">
        <f t="shared" si="300"/>
        <v>0.26181064404165544</v>
      </c>
      <c r="AF85" s="117">
        <f t="shared" si="300"/>
        <v>0.18461538461539662</v>
      </c>
      <c r="AG85" s="117">
        <f t="shared" si="300"/>
        <v>0.14493910960271883</v>
      </c>
      <c r="AH85" s="117">
        <f t="shared" si="300"/>
        <v>0.23116982978572964</v>
      </c>
      <c r="AI85" s="119">
        <f t="shared" si="300"/>
        <v>0.20458054554812066</v>
      </c>
      <c r="AJ85" s="117">
        <f t="shared" si="300"/>
        <v>0.3543457497612108</v>
      </c>
      <c r="AK85" s="117">
        <f t="shared" si="300"/>
        <v>0.41001855287569455</v>
      </c>
      <c r="AL85" s="117">
        <f t="shared" si="300"/>
        <v>0.37750653879685414</v>
      </c>
      <c r="AM85" s="117">
        <f t="shared" si="300"/>
        <v>0.2625975869411008</v>
      </c>
      <c r="AN85" s="119">
        <f t="shared" si="300"/>
        <v>0.34522537919248153</v>
      </c>
      <c r="AO85" s="146">
        <f t="shared" si="300"/>
        <v>0.25740479548660988</v>
      </c>
      <c r="AP85" s="146">
        <f t="shared" si="300"/>
        <v>0.26249999999999907</v>
      </c>
      <c r="AQ85" s="117">
        <f t="shared" ref="AQ85:BM85" si="301">AQ25/AL25-1</f>
        <v>0.28481012658228111</v>
      </c>
      <c r="AR85" s="117">
        <f t="shared" si="301"/>
        <v>0.16020236087689521</v>
      </c>
      <c r="AS85" s="119">
        <f t="shared" si="301"/>
        <v>0.2380498650150864</v>
      </c>
      <c r="AT85" s="146">
        <f t="shared" si="301"/>
        <v>0.23611890072910757</v>
      </c>
      <c r="AU85" s="146">
        <f t="shared" si="301"/>
        <v>0.2115685252735775</v>
      </c>
      <c r="AV85" s="117">
        <f t="shared" si="301"/>
        <v>0.13694581280788087</v>
      </c>
      <c r="AW85" s="117">
        <f t="shared" si="301"/>
        <v>0.31250000000000422</v>
      </c>
      <c r="AX85" s="119">
        <f t="shared" si="301"/>
        <v>0.22447408927655133</v>
      </c>
      <c r="AY85" s="117">
        <f t="shared" si="301"/>
        <v>0.3829401088929183</v>
      </c>
      <c r="AZ85" s="117">
        <f t="shared" si="301"/>
        <v>0.41505376344086331</v>
      </c>
      <c r="BA85" s="117">
        <f t="shared" si="301"/>
        <v>0.51039861351819638</v>
      </c>
      <c r="BB85" s="117">
        <f t="shared" si="301"/>
        <v>0.39461055740125861</v>
      </c>
      <c r="BC85" s="119">
        <f t="shared" si="301"/>
        <v>0.42489000628535267</v>
      </c>
      <c r="BD85" s="117">
        <f t="shared" si="301"/>
        <v>0.15190288713910882</v>
      </c>
      <c r="BE85" s="117">
        <f t="shared" si="301"/>
        <v>8.9969604863220809E-2</v>
      </c>
      <c r="BF85" s="117">
        <f t="shared" si="301"/>
        <v>0.11646586345381671</v>
      </c>
      <c r="BG85" s="117">
        <f t="shared" ca="1" si="301"/>
        <v>7.9928902287026649E-2</v>
      </c>
      <c r="BH85" s="119">
        <f t="shared" ca="1" si="301"/>
        <v>0.10784968334365597</v>
      </c>
      <c r="BI85" s="117">
        <f t="shared" si="301"/>
        <v>2.136143548846503E-2</v>
      </c>
      <c r="BJ85" s="117">
        <f t="shared" si="301"/>
        <v>0.96263245956497312</v>
      </c>
      <c r="BK85" s="117">
        <f t="shared" si="301"/>
        <v>1.2132579650565307</v>
      </c>
      <c r="BL85" s="117">
        <f t="shared" ca="1" si="301"/>
        <v>1.1426620822245539</v>
      </c>
      <c r="BM85" s="119">
        <f t="shared" ca="1" si="301"/>
        <v>0.85679561468236054</v>
      </c>
      <c r="BN85" s="117">
        <f t="shared" ref="BN85:BW85" si="302">BN25/BI25-1</f>
        <v>1.2969882877858288</v>
      </c>
      <c r="BO85" s="117">
        <f t="shared" si="302"/>
        <v>0.33447001989201031</v>
      </c>
      <c r="BP85" s="117">
        <f t="shared" si="302"/>
        <v>4.9222196424420828E-2</v>
      </c>
      <c r="BQ85" s="117">
        <f t="shared" si="302"/>
        <v>2.4937085335163589E-2</v>
      </c>
      <c r="BR85" s="119">
        <f t="shared" si="302"/>
        <v>0.2733023588277308</v>
      </c>
      <c r="BS85" s="117">
        <f t="shared" si="302"/>
        <v>-5.4024523491559395E-2</v>
      </c>
      <c r="BT85" s="117">
        <f t="shared" si="302"/>
        <v>2.1294718909969923E-4</v>
      </c>
      <c r="BU85" s="117">
        <f t="shared" si="302"/>
        <v>6.4947997344549924E-2</v>
      </c>
      <c r="BV85" s="117">
        <f t="shared" si="302"/>
        <v>0.14185267857142714</v>
      </c>
      <c r="BW85" s="231">
        <f t="shared" si="302"/>
        <v>3.9717068515454201E-2</v>
      </c>
      <c r="BX85" s="146">
        <f t="shared" ref="BX85:CK85" si="303">BX25/BS25-1</f>
        <v>3.8244353182750324E-2</v>
      </c>
      <c r="BY85" s="146">
        <f t="shared" si="303"/>
        <v>4.2261017670854217E-2</v>
      </c>
      <c r="BZ85" s="146">
        <f t="shared" si="303"/>
        <v>2.8363636363636147E-2</v>
      </c>
      <c r="CA85" s="146">
        <f t="shared" si="303"/>
        <v>3.929234678916993E-2</v>
      </c>
      <c r="CB85" s="231">
        <f t="shared" si="303"/>
        <v>3.6985044004103296E-2</v>
      </c>
      <c r="CC85" s="146">
        <f t="shared" si="303"/>
        <v>-3.3745364647713161E-2</v>
      </c>
      <c r="CD85" s="146">
        <f t="shared" si="303"/>
        <v>2.0018384230415798E-2</v>
      </c>
      <c r="CE85" s="146">
        <f t="shared" si="303"/>
        <v>0.10284906041624597</v>
      </c>
      <c r="CF85" s="146">
        <f t="shared" si="303"/>
        <v>8.4360011285620207E-2</v>
      </c>
      <c r="CG85" s="231">
        <f t="shared" si="303"/>
        <v>4.784963032385714E-2</v>
      </c>
      <c r="CH85" s="146">
        <f t="shared" si="303"/>
        <v>3.0318536522962569E-2</v>
      </c>
      <c r="CI85" s="146">
        <f t="shared" si="303"/>
        <v>1.4218484029237866E-2</v>
      </c>
      <c r="CJ85" s="146">
        <f t="shared" si="303"/>
        <v>1.8321729571268985E-3</v>
      </c>
      <c r="CK85" s="146">
        <f t="shared" si="303"/>
        <v>6.5915004336513539E-2</v>
      </c>
      <c r="CL85" s="231">
        <f t="shared" ref="CL85:CQ85" si="304">CL25/CG25-1</f>
        <v>2.8795031055900422E-2</v>
      </c>
      <c r="CM85" s="146">
        <f t="shared" ca="1" si="304"/>
        <v>0.23676922284358781</v>
      </c>
      <c r="CN85" s="146">
        <f t="shared" ca="1" si="304"/>
        <v>0.30786812438425426</v>
      </c>
      <c r="CO85" s="146">
        <f t="shared" ca="1" si="304"/>
        <v>0.22885537760916619</v>
      </c>
      <c r="CP85" s="146">
        <f t="shared" ca="1" si="304"/>
        <v>0.19154058078370761</v>
      </c>
      <c r="CQ85" s="231">
        <f t="shared" ca="1" si="304"/>
        <v>0.23864695356168908</v>
      </c>
      <c r="CR85" s="146">
        <f t="shared" ref="CR85" ca="1" si="305">CR25/CM25-1</f>
        <v>1.198270178275096E-2</v>
      </c>
      <c r="CS85" s="146">
        <f t="shared" ref="CS85" ca="1" si="306">CS25/CN25-1</f>
        <v>-2.6887002913037805E-2</v>
      </c>
      <c r="CT85" s="146">
        <f t="shared" ref="CT85" ca="1" si="307">CT25/CO25-1</f>
        <v>-3.7386898369046628E-2</v>
      </c>
      <c r="CU85" s="146">
        <f t="shared" ref="CU85" ca="1" si="308">CU25/CP25-1</f>
        <v>-4.1982670115862319E-2</v>
      </c>
      <c r="CV85" s="231">
        <f t="shared" ref="CV85" ca="1" si="309">CV25/CQ25-1</f>
        <v>-2.6399360919364012E-2</v>
      </c>
      <c r="CW85" s="146">
        <f t="shared" ref="CW85" ca="1" si="310">CW25/CR25-1</f>
        <v>-0.11530932429745355</v>
      </c>
      <c r="CX85" s="146">
        <f t="shared" ref="CX85" ca="1" si="311">CX25/CS25-1</f>
        <v>-0.12912744152081757</v>
      </c>
      <c r="CY85" s="146">
        <f t="shared" ref="CY85" ca="1" si="312">CY25/CT25-1</f>
        <v>-0.13687875752215539</v>
      </c>
      <c r="CZ85" s="146">
        <f t="shared" ref="CZ85" ca="1" si="313">CZ25/CU25-1</f>
        <v>-0.1402498777100446</v>
      </c>
      <c r="DA85" s="231">
        <f t="shared" ref="DA85" ca="1" si="314">DA25/CV25-1</f>
        <v>-0.13147083319730601</v>
      </c>
      <c r="DB85" s="146">
        <f t="shared" ref="DB85" ca="1" si="315">DB25/CW25-1</f>
        <v>-0.13626441476545281</v>
      </c>
      <c r="DC85" s="146">
        <f t="shared" ref="DC85" ca="1" si="316">DC25/CX25-1</f>
        <v>-0.15087812991861094</v>
      </c>
      <c r="DD85" s="146">
        <f t="shared" ref="DD85" ca="1" si="317">DD25/CY25-1</f>
        <v>-0.11849942598119534</v>
      </c>
      <c r="DE85" s="146">
        <f t="shared" ref="DE85" ca="1" si="318">DE25/CZ25-1</f>
        <v>-0.13304629723700145</v>
      </c>
      <c r="DF85" s="231">
        <f t="shared" ref="DF85" ca="1" si="319">DF25/DA25-1</f>
        <v>-0.13457874619520294</v>
      </c>
    </row>
    <row r="86" spans="2:110" ht="13.5" thickBot="1" x14ac:dyDescent="0.25">
      <c r="B86" s="742" t="s">
        <v>307</v>
      </c>
      <c r="C86" s="1451"/>
      <c r="D86" s="689"/>
      <c r="E86" s="689"/>
      <c r="F86" s="690"/>
      <c r="G86" s="690"/>
      <c r="H86" s="690"/>
      <c r="I86" s="690"/>
      <c r="J86" s="691"/>
      <c r="K86" s="690">
        <f t="shared" ref="K86:BV86" si="320">K28/F28-1</f>
        <v>0.56706436577996566</v>
      </c>
      <c r="L86" s="690">
        <f t="shared" si="320"/>
        <v>0.60724802367569763</v>
      </c>
      <c r="M86" s="690">
        <f t="shared" si="320"/>
        <v>0.66519962285447143</v>
      </c>
      <c r="N86" s="690">
        <f t="shared" si="320"/>
        <v>0.65663813883812461</v>
      </c>
      <c r="O86" s="691">
        <f t="shared" si="320"/>
        <v>0.62468401071476398</v>
      </c>
      <c r="P86" s="690">
        <f t="shared" si="320"/>
        <v>0.36519291424155154</v>
      </c>
      <c r="Q86" s="690">
        <f t="shared" si="320"/>
        <v>0.21549835006096085</v>
      </c>
      <c r="R86" s="690">
        <f t="shared" si="320"/>
        <v>0.19904801221852808</v>
      </c>
      <c r="S86" s="690">
        <f t="shared" si="320"/>
        <v>0.2001725763918889</v>
      </c>
      <c r="T86" s="691">
        <f t="shared" si="320"/>
        <v>0.24724946934639114</v>
      </c>
      <c r="U86" s="690">
        <f t="shared" si="320"/>
        <v>0.16670123259507075</v>
      </c>
      <c r="V86" s="690">
        <f t="shared" si="320"/>
        <v>0.26052291679029804</v>
      </c>
      <c r="W86" s="690">
        <f t="shared" si="320"/>
        <v>0.24271891134941526</v>
      </c>
      <c r="X86" s="690">
        <f t="shared" ca="1" si="320"/>
        <v>0.23398481800609439</v>
      </c>
      <c r="Y86" s="691">
        <f t="shared" ca="1" si="320"/>
        <v>0.21904871736391884</v>
      </c>
      <c r="Z86" s="690">
        <f t="shared" si="320"/>
        <v>0.26298752152483162</v>
      </c>
      <c r="AA86" s="690">
        <f t="shared" si="320"/>
        <v>0.30104387272224398</v>
      </c>
      <c r="AB86" s="690">
        <f t="shared" si="320"/>
        <v>0.34250473958100769</v>
      </c>
      <c r="AC86" s="690">
        <f t="shared" ca="1" si="320"/>
        <v>0.45532931918155839</v>
      </c>
      <c r="AD86" s="691">
        <f t="shared" ca="1" si="320"/>
        <v>0.34298773690078299</v>
      </c>
      <c r="AE86" s="690">
        <f t="shared" si="320"/>
        <v>1.5270064273027391</v>
      </c>
      <c r="AF86" s="690">
        <f t="shared" si="320"/>
        <v>0.24326788971141688</v>
      </c>
      <c r="AG86" s="690">
        <f t="shared" si="320"/>
        <v>0.23358490173549118</v>
      </c>
      <c r="AH86" s="690">
        <f t="shared" si="320"/>
        <v>0.3297351000014721</v>
      </c>
      <c r="AI86" s="691">
        <f t="shared" si="320"/>
        <v>0.26820275746087363</v>
      </c>
      <c r="AJ86" s="690">
        <f t="shared" si="320"/>
        <v>-0.26676488275455146</v>
      </c>
      <c r="AK86" s="690">
        <f t="shared" si="320"/>
        <v>0.51458172645973499</v>
      </c>
      <c r="AL86" s="690">
        <f t="shared" si="320"/>
        <v>0.4797621738183071</v>
      </c>
      <c r="AM86" s="690">
        <f t="shared" si="320"/>
        <v>0.35531959723208795</v>
      </c>
      <c r="AN86" s="691">
        <f t="shared" si="320"/>
        <v>0.44713639276766948</v>
      </c>
      <c r="AO86" s="692">
        <f t="shared" si="320"/>
        <v>0.35427954899105352</v>
      </c>
      <c r="AP86" s="692">
        <f t="shared" si="320"/>
        <v>0.3376488095238086</v>
      </c>
      <c r="AQ86" s="690">
        <f t="shared" si="320"/>
        <v>0.32074169224778637</v>
      </c>
      <c r="AR86" s="690">
        <f t="shared" si="320"/>
        <v>0.18852262658857599</v>
      </c>
      <c r="AS86" s="691">
        <f t="shared" si="320"/>
        <v>0.29803480684663541</v>
      </c>
      <c r="AT86" s="692">
        <f t="shared" si="320"/>
        <v>0.26785239838119845</v>
      </c>
      <c r="AU86" s="692">
        <f t="shared" si="320"/>
        <v>0.17973442182744015</v>
      </c>
      <c r="AV86" s="690">
        <f t="shared" si="320"/>
        <v>2.6614491146510044E-2</v>
      </c>
      <c r="AW86" s="690">
        <f t="shared" si="320"/>
        <v>0.17940938511327231</v>
      </c>
      <c r="AX86" s="691">
        <f t="shared" si="320"/>
        <v>0.15976142817316386</v>
      </c>
      <c r="AY86" s="690">
        <f t="shared" si="320"/>
        <v>0.24061521823319376</v>
      </c>
      <c r="AZ86" s="690">
        <f t="shared" si="320"/>
        <v>0.33145215043990328</v>
      </c>
      <c r="BA86" s="690">
        <f t="shared" si="320"/>
        <v>0.5593389037886185</v>
      </c>
      <c r="BB86" s="690">
        <f t="shared" si="320"/>
        <v>0.45558714960889479</v>
      </c>
      <c r="BC86" s="691">
        <f t="shared" si="320"/>
        <v>0.39280083894093587</v>
      </c>
      <c r="BD86" s="690">
        <f t="shared" si="320"/>
        <v>0.19915269651979139</v>
      </c>
      <c r="BE86" s="690">
        <f t="shared" si="320"/>
        <v>0.18262777048374312</v>
      </c>
      <c r="BF86" s="690">
        <f t="shared" si="320"/>
        <v>0.22156106086939609</v>
      </c>
      <c r="BG86" s="690">
        <f t="shared" ca="1" si="320"/>
        <v>0.1768795747009333</v>
      </c>
      <c r="BH86" s="691">
        <f t="shared" ca="1" si="320"/>
        <v>0.1928833280640998</v>
      </c>
      <c r="BI86" s="690">
        <f t="shared" si="320"/>
        <v>0.11354884706410351</v>
      </c>
      <c r="BJ86" s="690">
        <f t="shared" si="320"/>
        <v>0.20773717319995333</v>
      </c>
      <c r="BK86" s="690">
        <f t="shared" si="320"/>
        <v>0.30938646245147683</v>
      </c>
      <c r="BL86" s="690">
        <f t="shared" ca="1" si="320"/>
        <v>0.25872388059563534</v>
      </c>
      <c r="BM86" s="691">
        <f t="shared" ca="1" si="320"/>
        <v>0.25519433245973722</v>
      </c>
      <c r="BN86" s="690">
        <f t="shared" si="320"/>
        <v>0.35115335078524956</v>
      </c>
      <c r="BO86" s="690">
        <f t="shared" si="320"/>
        <v>0.3236881177148383</v>
      </c>
      <c r="BP86" s="690">
        <f t="shared" si="320"/>
        <v>5.0274639320132319E-2</v>
      </c>
      <c r="BQ86" s="690">
        <f t="shared" si="320"/>
        <v>6.2992312276339613E-2</v>
      </c>
      <c r="BR86" s="691">
        <f t="shared" si="320"/>
        <v>0.15522772647453409</v>
      </c>
      <c r="BS86" s="690">
        <f t="shared" si="320"/>
        <v>1.4300409375340717E-3</v>
      </c>
      <c r="BT86" s="690">
        <f t="shared" si="320"/>
        <v>8.387192382858033E-2</v>
      </c>
      <c r="BU86" s="690">
        <f t="shared" si="320"/>
        <v>0.18310395954712688</v>
      </c>
      <c r="BV86" s="690">
        <f t="shared" si="320"/>
        <v>0.241971757448743</v>
      </c>
      <c r="BW86" s="691">
        <f t="shared" ref="BW86:CE86" si="321">BW28/BR28-1</f>
        <v>0.12802284788264551</v>
      </c>
      <c r="BX86" s="690">
        <f t="shared" si="321"/>
        <v>0.11024661319406426</v>
      </c>
      <c r="BY86" s="690">
        <f t="shared" si="321"/>
        <v>0.17242892580673574</v>
      </c>
      <c r="BZ86" s="690">
        <f t="shared" si="321"/>
        <v>0.12453719250552986</v>
      </c>
      <c r="CA86" s="690">
        <f t="shared" si="321"/>
        <v>0.1233247732470022</v>
      </c>
      <c r="CB86" s="691">
        <f t="shared" si="321"/>
        <v>0.13655832741251239</v>
      </c>
      <c r="CC86" s="690">
        <f t="shared" si="321"/>
        <v>9.3710418405528184E-2</v>
      </c>
      <c r="CD86" s="690">
        <f t="shared" si="321"/>
        <v>9.3346746916163514E-2</v>
      </c>
      <c r="CE86" s="690">
        <f t="shared" si="321"/>
        <v>0.19975064426082434</v>
      </c>
      <c r="CF86" s="690">
        <f t="shared" ref="CF86:CL86" si="322">CF28/CA28-1</f>
        <v>0.20667087156429176</v>
      </c>
      <c r="CG86" s="691">
        <f t="shared" si="322"/>
        <v>0.15308717026094443</v>
      </c>
      <c r="CH86" s="690">
        <f t="shared" si="322"/>
        <v>0.10626004491649121</v>
      </c>
      <c r="CI86" s="690">
        <f t="shared" si="322"/>
        <v>0.10098820064444425</v>
      </c>
      <c r="CJ86" s="690">
        <f t="shared" si="322"/>
        <v>9.3177232749981354E-2</v>
      </c>
      <c r="CK86" s="690">
        <f t="shared" si="322"/>
        <v>0.1504905966932637</v>
      </c>
      <c r="CL86" s="691">
        <f t="shared" si="322"/>
        <v>0.11440332226627148</v>
      </c>
      <c r="CM86" s="690">
        <f t="shared" ref="CM86:CV86" ca="1" si="323">CM28/CH28-1</f>
        <v>0.32118778621154265</v>
      </c>
      <c r="CN86" s="690">
        <f t="shared" ca="1" si="323"/>
        <v>0.35524131239734347</v>
      </c>
      <c r="CO86" s="690">
        <f t="shared" ca="1" si="323"/>
        <v>0.24966492435781973</v>
      </c>
      <c r="CP86" s="690">
        <f t="shared" ca="1" si="323"/>
        <v>0.19843508790324571</v>
      </c>
      <c r="CQ86" s="691">
        <f t="shared" ca="1" si="323"/>
        <v>0.27310672880180209</v>
      </c>
      <c r="CR86" s="690">
        <f t="shared" ca="1" si="323"/>
        <v>1.4322290907772706E-2</v>
      </c>
      <c r="CS86" s="690">
        <f t="shared" ca="1" si="323"/>
        <v>-2.6887002913037694E-2</v>
      </c>
      <c r="CT86" s="690">
        <f t="shared" ca="1" si="323"/>
        <v>-3.7386898369046628E-2</v>
      </c>
      <c r="CU86" s="690">
        <f t="shared" ca="1" si="323"/>
        <v>-4.1982670115862208E-2</v>
      </c>
      <c r="CV86" s="691">
        <f t="shared" ca="1" si="323"/>
        <v>-2.5963049007649452E-2</v>
      </c>
      <c r="CW86" s="690">
        <f t="shared" ref="CW86" ca="1" si="324">CW28/CR28-1</f>
        <v>-0.11530932429745366</v>
      </c>
      <c r="CX86" s="690">
        <f t="shared" ref="CX86" ca="1" si="325">CX28/CS28-1</f>
        <v>-0.12912744152081745</v>
      </c>
      <c r="CY86" s="690">
        <f t="shared" ref="CY86" ca="1" si="326">CY28/CT28-1</f>
        <v>-0.13687875752215539</v>
      </c>
      <c r="CZ86" s="690">
        <f t="shared" ref="CZ86" ca="1" si="327">CZ28/CU28-1</f>
        <v>-0.14024987771004471</v>
      </c>
      <c r="DA86" s="691">
        <f t="shared" ref="DA86" ca="1" si="328">DA28/CV28-1</f>
        <v>-0.13147083319730579</v>
      </c>
      <c r="DB86" s="690">
        <f t="shared" ref="DB86" ca="1" si="329">DB28/CW28-1</f>
        <v>-0.13626441476545292</v>
      </c>
      <c r="DC86" s="690">
        <f t="shared" ref="DC86" ca="1" si="330">DC28/CX28-1</f>
        <v>-0.15087812991861094</v>
      </c>
      <c r="DD86" s="690">
        <f t="shared" ref="DD86" ca="1" si="331">DD28/CY28-1</f>
        <v>-0.11849942598119534</v>
      </c>
      <c r="DE86" s="690">
        <f t="shared" ref="DE86" ca="1" si="332">DE28/CZ28-1</f>
        <v>-0.13304629723700145</v>
      </c>
      <c r="DF86" s="691">
        <f t="shared" ref="DF86" ca="1" si="333">DF28/DA28-1</f>
        <v>-0.13457874619520305</v>
      </c>
    </row>
    <row r="87" spans="2:110" x14ac:dyDescent="0.2">
      <c r="D87" s="10"/>
      <c r="E87" s="10"/>
      <c r="F87" s="2"/>
      <c r="G87" s="2"/>
      <c r="H87" s="2"/>
      <c r="I87" s="2"/>
      <c r="J87" s="68"/>
      <c r="K87" s="2"/>
      <c r="L87" s="2"/>
      <c r="M87" s="2"/>
      <c r="N87" s="2"/>
      <c r="O87" s="68"/>
      <c r="P87" s="2"/>
      <c r="Q87" s="2"/>
      <c r="R87" s="2"/>
      <c r="S87" s="2"/>
      <c r="T87" s="68"/>
      <c r="U87" s="2"/>
      <c r="V87" s="2"/>
      <c r="W87" s="2"/>
      <c r="X87" s="2"/>
      <c r="Y87" s="68"/>
      <c r="Z87" s="2"/>
      <c r="AA87" s="2"/>
      <c r="AB87" s="2"/>
      <c r="AC87" s="2"/>
      <c r="AD87" s="68"/>
      <c r="AE87" s="2"/>
      <c r="AF87" s="2"/>
      <c r="AG87" s="2"/>
      <c r="AH87" s="2"/>
      <c r="AI87" s="68"/>
      <c r="AJ87" s="2"/>
      <c r="AK87" s="2"/>
      <c r="AL87" s="2"/>
      <c r="AM87" s="2"/>
      <c r="AN87" s="68"/>
      <c r="AO87" s="135"/>
      <c r="AP87" s="135"/>
      <c r="AQ87" s="2"/>
      <c r="AR87" s="2"/>
      <c r="AS87" s="68"/>
      <c r="AT87" s="135"/>
      <c r="AU87" s="135"/>
      <c r="AV87" s="2"/>
      <c r="AW87" s="2"/>
      <c r="AX87" s="68"/>
      <c r="AY87" s="2"/>
      <c r="AZ87" s="2"/>
      <c r="BA87" s="2"/>
      <c r="BB87" s="2"/>
      <c r="BC87" s="68"/>
      <c r="BD87" s="2"/>
      <c r="BE87" s="2"/>
      <c r="BF87" s="2"/>
      <c r="BG87" s="2"/>
      <c r="BH87" s="68"/>
      <c r="BI87" s="2"/>
      <c r="BJ87" s="2"/>
      <c r="BK87" s="2"/>
      <c r="BL87" s="2"/>
      <c r="BM87" s="68"/>
      <c r="BN87" s="2"/>
      <c r="BO87" s="2"/>
      <c r="BP87" s="2"/>
      <c r="BQ87" s="2"/>
      <c r="BR87" s="68"/>
      <c r="BS87" s="2"/>
      <c r="BT87" s="2"/>
      <c r="BU87" s="2"/>
      <c r="BV87" s="2"/>
      <c r="BW87" s="68"/>
      <c r="BX87" s="2"/>
      <c r="BY87" s="2"/>
      <c r="BZ87" s="2"/>
      <c r="CA87" s="2"/>
      <c r="CB87" s="68"/>
      <c r="CC87" s="2"/>
      <c r="CD87" s="2"/>
      <c r="CE87" s="2"/>
      <c r="CF87" s="1891"/>
      <c r="CG87" s="68"/>
      <c r="CH87" s="2"/>
      <c r="CI87" s="2"/>
      <c r="CJ87" s="2"/>
      <c r="CK87" s="2"/>
      <c r="CL87" s="68"/>
      <c r="CM87" s="2"/>
      <c r="CN87" s="2"/>
      <c r="CO87" s="2"/>
      <c r="CP87" s="2"/>
      <c r="CQ87" s="68"/>
      <c r="CR87" s="2"/>
      <c r="CS87" s="2"/>
      <c r="CT87" s="2"/>
      <c r="CU87" s="2"/>
      <c r="CV87" s="68"/>
      <c r="CW87" s="2"/>
      <c r="CX87" s="2"/>
      <c r="CY87" s="2"/>
      <c r="CZ87" s="2"/>
      <c r="DA87" s="68"/>
      <c r="DB87" s="2"/>
      <c r="DC87" s="2"/>
      <c r="DD87" s="2"/>
      <c r="DE87" s="2"/>
      <c r="DF87" s="68"/>
    </row>
    <row r="89" spans="2:110" x14ac:dyDescent="0.2">
      <c r="B89" s="717"/>
      <c r="C89" s="1017"/>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c r="AQ89" s="4"/>
      <c r="AR89" s="4"/>
      <c r="AS89" s="4"/>
      <c r="AT89" s="4"/>
      <c r="AU89" s="4"/>
      <c r="AV89" s="4"/>
      <c r="AW89" s="4"/>
      <c r="AX89" s="4"/>
      <c r="AY89" s="4"/>
      <c r="AZ89" s="4"/>
      <c r="BA89" s="4"/>
      <c r="BB89" s="4"/>
      <c r="BC89" s="4"/>
      <c r="BD89" s="4"/>
      <c r="BE89" s="4"/>
      <c r="BF89" s="4"/>
      <c r="BG89" s="4"/>
      <c r="BH89" s="4"/>
      <c r="BI89" s="4"/>
      <c r="BJ89" s="4"/>
      <c r="BK89" s="4"/>
      <c r="BL89" s="4"/>
      <c r="BM89" s="4"/>
      <c r="BN89" s="4"/>
      <c r="BO89" s="4"/>
      <c r="BP89" s="4"/>
      <c r="BQ89" s="4"/>
      <c r="BR89" s="4"/>
      <c r="BS89" s="4"/>
      <c r="BT89" s="4"/>
      <c r="BU89" s="4"/>
      <c r="BV89" s="4"/>
      <c r="BW89" s="4"/>
      <c r="BX89" s="4"/>
      <c r="BY89" s="4"/>
      <c r="BZ89" s="4"/>
      <c r="CA89" s="4"/>
      <c r="CB89" s="4"/>
      <c r="CC89" s="4"/>
      <c r="CD89" s="4"/>
      <c r="CE89" s="4"/>
      <c r="CF89" s="4"/>
      <c r="CG89" s="4"/>
      <c r="CH89" s="4"/>
      <c r="CI89" s="4"/>
      <c r="CJ89" s="4"/>
      <c r="CK89" s="4"/>
      <c r="CL89" s="4"/>
      <c r="CM89" s="4"/>
      <c r="CN89" s="4"/>
      <c r="CO89" s="4"/>
      <c r="CP89" s="4"/>
      <c r="CQ89" s="4"/>
      <c r="CR89" s="4"/>
      <c r="CS89" s="4"/>
      <c r="CT89" s="4"/>
      <c r="CU89" s="4"/>
      <c r="CV89" s="4"/>
      <c r="CW89" s="4"/>
      <c r="CX89" s="4"/>
      <c r="CY89" s="4"/>
      <c r="CZ89" s="4"/>
      <c r="DA89" s="4"/>
      <c r="DB89" s="4"/>
      <c r="DC89" s="4"/>
      <c r="DD89" s="4"/>
      <c r="DE89" s="4"/>
      <c r="DF89" s="4"/>
    </row>
    <row r="90" spans="2:110" ht="13.5" thickBot="1" x14ac:dyDescent="0.25">
      <c r="AZ90" s="2"/>
      <c r="BA90" s="2"/>
      <c r="BB90" s="2"/>
      <c r="BJ90" s="1352"/>
      <c r="BK90" s="1352"/>
      <c r="BL90" s="1352"/>
      <c r="BO90" s="1352"/>
    </row>
    <row r="91" spans="2:110" ht="18.75" x14ac:dyDescent="0.3">
      <c r="B91" s="1026" t="str">
        <f>B5</f>
        <v>ESRX</v>
      </c>
      <c r="C91" s="1027"/>
      <c r="D91" s="1028"/>
      <c r="E91" s="1028"/>
      <c r="F91" s="1029"/>
      <c r="G91" s="1028"/>
      <c r="H91" s="1028"/>
      <c r="I91" s="1030"/>
      <c r="J91" s="1028"/>
      <c r="K91" s="1028"/>
      <c r="L91" s="1028"/>
      <c r="M91" s="1031"/>
      <c r="N91" s="1031"/>
      <c r="O91" s="1030"/>
      <c r="P91" s="1032"/>
      <c r="Q91" s="1033"/>
      <c r="R91" s="1034"/>
      <c r="S91" s="1034"/>
      <c r="T91" s="1028"/>
      <c r="U91" s="1032"/>
      <c r="V91" s="1033"/>
      <c r="W91" s="1028"/>
      <c r="X91" s="1028"/>
      <c r="Y91" s="1034"/>
      <c r="Z91" s="1028"/>
      <c r="AA91" s="1028"/>
      <c r="AB91" s="1028"/>
      <c r="AC91" s="1028"/>
      <c r="AD91" s="1028"/>
      <c r="AE91" s="1028"/>
      <c r="AF91" s="1028"/>
      <c r="AG91" s="1028"/>
      <c r="AH91" s="1028"/>
      <c r="AI91" s="1035"/>
      <c r="AJ91" s="1028"/>
      <c r="AK91" s="1028"/>
      <c r="AL91" s="1028"/>
      <c r="AM91" s="1028"/>
      <c r="AN91" s="1028"/>
      <c r="AO91" s="1028"/>
      <c r="AP91" s="1028"/>
      <c r="AQ91" s="1028"/>
      <c r="AR91" s="1028"/>
      <c r="AS91" s="1028"/>
      <c r="AT91" s="1028"/>
      <c r="AU91" s="1028"/>
      <c r="AV91" s="1028"/>
      <c r="AW91" s="1028"/>
      <c r="AX91" s="1028"/>
      <c r="AY91" s="1028"/>
      <c r="AZ91" s="1028"/>
      <c r="BA91" s="1028"/>
      <c r="BB91" s="1028"/>
      <c r="BC91" s="1028"/>
      <c r="BD91" s="1028"/>
      <c r="BE91" s="1028"/>
      <c r="BF91" s="1028"/>
      <c r="BG91" s="1028"/>
      <c r="BH91" s="1028"/>
      <c r="BI91" s="1028"/>
      <c r="BJ91" s="1353"/>
      <c r="BK91" s="1353"/>
      <c r="BL91" s="1353"/>
      <c r="BM91" s="1028"/>
      <c r="BN91" s="1028"/>
      <c r="BO91" s="1353"/>
      <c r="BP91" s="1028"/>
      <c r="BQ91" s="1036"/>
      <c r="BR91" s="1036"/>
      <c r="BS91" s="1036"/>
      <c r="BT91" s="1036"/>
      <c r="BU91" s="1036"/>
      <c r="BV91" s="1036"/>
      <c r="BW91" s="1036"/>
      <c r="BX91" s="1036"/>
      <c r="BY91" s="1036"/>
      <c r="BZ91" s="1036"/>
      <c r="CA91" s="1036"/>
      <c r="CB91" s="1037"/>
      <c r="CC91" s="1036"/>
      <c r="CD91" s="1036"/>
      <c r="CE91" s="1036"/>
      <c r="CF91" s="1036"/>
      <c r="CG91" s="1037"/>
      <c r="CH91" s="1036"/>
      <c r="CI91" s="1036"/>
      <c r="CJ91" s="1036"/>
      <c r="CK91" s="1036"/>
      <c r="CL91" s="1037"/>
      <c r="CM91" s="1036"/>
      <c r="CN91" s="1036"/>
      <c r="CO91" s="1036"/>
      <c r="CP91" s="1036"/>
      <c r="CQ91" s="1037"/>
      <c r="CR91" s="1036"/>
      <c r="CS91" s="1036"/>
      <c r="CT91" s="1036"/>
      <c r="CU91" s="1036"/>
      <c r="CV91" s="1037"/>
      <c r="CW91" s="1036"/>
      <c r="CX91" s="1036"/>
      <c r="CY91" s="1036"/>
      <c r="CZ91" s="1036"/>
      <c r="DA91" s="1037"/>
      <c r="DB91" s="1036"/>
      <c r="DC91" s="1036"/>
      <c r="DD91" s="1036"/>
      <c r="DE91" s="1036"/>
      <c r="DF91" s="1037"/>
    </row>
    <row r="92" spans="2:110" ht="22.5" thickBot="1" x14ac:dyDescent="0.25">
      <c r="B92" s="1564" t="str">
        <f>"Quarterly Balance Sheet &amp; Cash Flow Statement"</f>
        <v>Quarterly Balance Sheet &amp; Cash Flow Statement</v>
      </c>
      <c r="C92" s="1038"/>
      <c r="D92" s="1038"/>
      <c r="E92" s="1038"/>
      <c r="F92" s="1038"/>
      <c r="G92" s="1039"/>
      <c r="H92" s="1038"/>
      <c r="I92" s="1038"/>
      <c r="J92" s="1038"/>
      <c r="K92" s="1040"/>
      <c r="L92" s="1041"/>
      <c r="M92" s="1040"/>
      <c r="N92" s="1040"/>
      <c r="O92" s="1038"/>
      <c r="P92" s="1040"/>
      <c r="Q92" s="1040"/>
      <c r="R92" s="1040"/>
      <c r="S92" s="1040"/>
      <c r="T92" s="1042"/>
      <c r="U92" s="1040"/>
      <c r="V92" s="1040"/>
      <c r="W92" s="1040"/>
      <c r="X92" s="1042"/>
      <c r="Y92" s="1042"/>
      <c r="Z92" s="1038"/>
      <c r="AA92" s="1038"/>
      <c r="AB92" s="1038"/>
      <c r="AC92" s="1043"/>
      <c r="AD92" s="1038"/>
      <c r="AE92" s="1044"/>
      <c r="AF92" s="1045"/>
      <c r="AG92" s="1042"/>
      <c r="AH92" s="1038"/>
      <c r="AI92" s="1046"/>
      <c r="AJ92" s="1041"/>
      <c r="AK92" s="1038"/>
      <c r="AL92" s="1038"/>
      <c r="AM92" s="1038"/>
      <c r="AN92" s="1041"/>
      <c r="AO92" s="1043"/>
      <c r="AP92" s="1038"/>
      <c r="AQ92" s="1038"/>
      <c r="AR92" s="1038"/>
      <c r="AS92" s="1038"/>
      <c r="AT92" s="1043"/>
      <c r="AU92" s="1038"/>
      <c r="AV92" s="1038"/>
      <c r="AW92" s="1038"/>
      <c r="AX92" s="1038"/>
      <c r="AY92" s="1047"/>
      <c r="AZ92" s="1038"/>
      <c r="BA92" s="1038"/>
      <c r="BB92" s="1038"/>
      <c r="BC92" s="1038"/>
      <c r="BD92" s="1038"/>
      <c r="BE92" s="1038"/>
      <c r="BF92" s="1038"/>
      <c r="BG92" s="1038"/>
      <c r="BH92" s="1038"/>
      <c r="BI92" s="1038"/>
      <c r="BJ92" s="1038"/>
      <c r="BK92" s="1042"/>
      <c r="BL92" s="1565"/>
      <c r="BM92" s="1038"/>
      <c r="BN92" s="1038"/>
      <c r="BO92" s="1038"/>
      <c r="BP92" s="1038"/>
      <c r="BQ92" s="1048"/>
      <c r="BR92" s="1048"/>
      <c r="BS92" s="1048"/>
      <c r="BT92" s="1048"/>
      <c r="BU92" s="1048"/>
      <c r="BV92" s="1048"/>
      <c r="BW92" s="1048"/>
      <c r="BX92" s="1048"/>
      <c r="BY92" s="1048"/>
      <c r="BZ92" s="1048"/>
      <c r="CA92" s="1048"/>
      <c r="CB92" s="1049"/>
      <c r="CC92" s="1048"/>
      <c r="CD92" s="1048"/>
      <c r="CE92" s="1048"/>
      <c r="CF92" s="1048"/>
      <c r="CG92" s="1049"/>
      <c r="CH92" s="1048"/>
      <c r="CI92" s="1048"/>
      <c r="CJ92" s="1048"/>
      <c r="CK92" s="1048"/>
      <c r="CL92" s="1049"/>
      <c r="CM92" s="1048"/>
      <c r="CN92" s="1048"/>
      <c r="CO92" s="1048"/>
      <c r="CP92" s="1048"/>
      <c r="CQ92" s="1049"/>
      <c r="CR92" s="1048"/>
      <c r="CS92" s="1048"/>
      <c r="CT92" s="1048"/>
      <c r="CU92" s="1048"/>
      <c r="CV92" s="1049"/>
      <c r="CW92" s="1048"/>
      <c r="CX92" s="1048"/>
      <c r="CY92" s="1048"/>
      <c r="CZ92" s="1048"/>
      <c r="DA92" s="1049"/>
      <c r="DB92" s="1048"/>
      <c r="DC92" s="1048"/>
      <c r="DD92" s="1048"/>
      <c r="DE92" s="1048"/>
      <c r="DF92" s="1049"/>
    </row>
    <row r="93" spans="2:110" ht="13.5" thickBot="1" x14ac:dyDescent="0.25">
      <c r="B93" s="1560" t="s">
        <v>95</v>
      </c>
      <c r="C93" s="1561"/>
      <c r="D93" s="1024"/>
      <c r="E93" s="1024"/>
      <c r="F93" s="1562" t="s">
        <v>26</v>
      </c>
      <c r="G93" s="1025"/>
      <c r="H93" s="1025"/>
      <c r="I93" s="1563"/>
      <c r="J93" s="1024"/>
      <c r="K93" s="1562" t="s">
        <v>27</v>
      </c>
      <c r="L93" s="1025"/>
      <c r="M93" s="1025"/>
      <c r="N93" s="1563"/>
      <c r="O93" s="1024"/>
      <c r="P93" s="1562" t="s">
        <v>28</v>
      </c>
      <c r="Q93" s="1025"/>
      <c r="R93" s="1025"/>
      <c r="S93" s="1563"/>
      <c r="T93" s="1024"/>
      <c r="U93" s="1562" t="s">
        <v>29</v>
      </c>
      <c r="V93" s="1025"/>
      <c r="W93" s="1025"/>
      <c r="X93" s="1563"/>
      <c r="Y93" s="1024"/>
      <c r="Z93" s="1562" t="s">
        <v>30</v>
      </c>
      <c r="AA93" s="1025"/>
      <c r="AB93" s="1025"/>
      <c r="AC93" s="1025"/>
      <c r="AD93" s="1024"/>
      <c r="AE93" s="1025" t="s">
        <v>31</v>
      </c>
      <c r="AF93" s="1025"/>
      <c r="AG93" s="1025"/>
      <c r="AH93" s="1025"/>
      <c r="AI93" s="1024"/>
      <c r="AJ93" s="1025" t="s">
        <v>32</v>
      </c>
      <c r="AK93" s="1025"/>
      <c r="AL93" s="1025"/>
      <c r="AM93" s="1025"/>
      <c r="AN93" s="1024"/>
      <c r="AO93" s="1025" t="s">
        <v>33</v>
      </c>
      <c r="AP93" s="1025"/>
      <c r="AQ93" s="1025"/>
      <c r="AR93" s="1025"/>
      <c r="AS93" s="1024"/>
      <c r="AT93" s="1025" t="s">
        <v>34</v>
      </c>
      <c r="AU93" s="1025"/>
      <c r="AV93" s="1025"/>
      <c r="AW93" s="1025"/>
      <c r="AX93" s="1024"/>
      <c r="AY93" s="1025" t="s">
        <v>35</v>
      </c>
      <c r="AZ93" s="1025"/>
      <c r="BA93" s="1025"/>
      <c r="BB93" s="1025"/>
      <c r="BC93" s="1024"/>
      <c r="BD93" s="1025" t="s">
        <v>36</v>
      </c>
      <c r="BE93" s="1025"/>
      <c r="BF93" s="1025"/>
      <c r="BG93" s="1025"/>
      <c r="BH93" s="1024"/>
      <c r="BI93" s="1025" t="s">
        <v>37</v>
      </c>
      <c r="BJ93" s="1025"/>
      <c r="BK93" s="1025"/>
      <c r="BL93" s="1025"/>
      <c r="BM93" s="1024"/>
      <c r="BN93" s="1025" t="s">
        <v>331</v>
      </c>
      <c r="BO93" s="1025"/>
      <c r="BP93" s="1025"/>
      <c r="BQ93" s="1025"/>
      <c r="BR93" s="1024"/>
      <c r="BS93" s="1025" t="s">
        <v>334</v>
      </c>
      <c r="BT93" s="1025"/>
      <c r="BU93" s="1025"/>
      <c r="BV93" s="1025"/>
      <c r="BW93" s="1024"/>
      <c r="BX93" s="1025" t="s">
        <v>356</v>
      </c>
      <c r="BY93" s="1025"/>
      <c r="BZ93" s="1025"/>
      <c r="CA93" s="1025"/>
      <c r="CB93" s="1024"/>
      <c r="CC93" s="1025" t="str">
        <f>CC8</f>
        <v>Fiscal Year End, Dec 31 2016</v>
      </c>
      <c r="CD93" s="1025"/>
      <c r="CE93" s="1025"/>
      <c r="CF93" s="1025"/>
      <c r="CG93" s="1024"/>
      <c r="CH93" s="1025" t="str">
        <f>CH8</f>
        <v>Fiscal Year End, Dec 31 2017</v>
      </c>
      <c r="CI93" s="1025"/>
      <c r="CJ93" s="1025"/>
      <c r="CK93" s="1025"/>
      <c r="CL93" s="1024"/>
      <c r="CM93" s="1025" t="str">
        <f>CM8</f>
        <v>Fiscal Year End, Dec 31 2018</v>
      </c>
      <c r="CN93" s="1025"/>
      <c r="CO93" s="1025"/>
      <c r="CP93" s="1025"/>
      <c r="CQ93" s="1024"/>
      <c r="CR93" s="1025" t="str">
        <f>CR8</f>
        <v>Fiscal Year End, Dec 31 2019</v>
      </c>
      <c r="CS93" s="1025"/>
      <c r="CT93" s="1025"/>
      <c r="CU93" s="1025"/>
      <c r="CV93" s="1024"/>
      <c r="CW93" s="1025" t="str">
        <f>CW8</f>
        <v>Fiscal Year End, Dec 31 2020</v>
      </c>
      <c r="CX93" s="1025"/>
      <c r="CY93" s="1025"/>
      <c r="CZ93" s="1025"/>
      <c r="DA93" s="1024"/>
      <c r="DB93" s="1025" t="str">
        <f>DB8</f>
        <v>Fiscal Year End, Dec 31 2021</v>
      </c>
      <c r="DC93" s="1025"/>
      <c r="DD93" s="1025"/>
      <c r="DE93" s="1025"/>
      <c r="DF93" s="1024"/>
    </row>
    <row r="94" spans="2:110" ht="13.5" thickBot="1" x14ac:dyDescent="0.25">
      <c r="B94" s="1014" t="s">
        <v>358</v>
      </c>
      <c r="C94" s="808"/>
      <c r="D94" s="828" t="str">
        <f t="shared" ref="D94:AI94" si="334">D9</f>
        <v>1999A</v>
      </c>
      <c r="E94" s="828" t="str">
        <f t="shared" si="334"/>
        <v>2000A</v>
      </c>
      <c r="F94" s="810" t="str">
        <f t="shared" si="334"/>
        <v>1Q01A</v>
      </c>
      <c r="G94" s="810" t="str">
        <f t="shared" si="334"/>
        <v>2Q01A</v>
      </c>
      <c r="H94" s="810" t="str">
        <f t="shared" si="334"/>
        <v>3Q01A</v>
      </c>
      <c r="I94" s="810" t="str">
        <f t="shared" si="334"/>
        <v>4Q01A</v>
      </c>
      <c r="J94" s="828" t="str">
        <f t="shared" si="334"/>
        <v>2001A</v>
      </c>
      <c r="K94" s="810" t="str">
        <f t="shared" si="334"/>
        <v>1Q02A</v>
      </c>
      <c r="L94" s="810" t="str">
        <f t="shared" si="334"/>
        <v>2Q02A</v>
      </c>
      <c r="M94" s="810" t="str">
        <f t="shared" si="334"/>
        <v>3Q02A</v>
      </c>
      <c r="N94" s="810" t="str">
        <f t="shared" si="334"/>
        <v>4Q02A</v>
      </c>
      <c r="O94" s="828" t="str">
        <f t="shared" si="334"/>
        <v>2002A</v>
      </c>
      <c r="P94" s="811" t="str">
        <f t="shared" si="334"/>
        <v>1Q03A</v>
      </c>
      <c r="Q94" s="810" t="str">
        <f t="shared" si="334"/>
        <v>2Q03A</v>
      </c>
      <c r="R94" s="810" t="str">
        <f t="shared" si="334"/>
        <v>3Q03A</v>
      </c>
      <c r="S94" s="812" t="str">
        <f t="shared" si="334"/>
        <v>4Q03A</v>
      </c>
      <c r="T94" s="828" t="str">
        <f t="shared" si="334"/>
        <v>2003A</v>
      </c>
      <c r="U94" s="810" t="str">
        <f t="shared" si="334"/>
        <v>1QA</v>
      </c>
      <c r="V94" s="810" t="str">
        <f t="shared" si="334"/>
        <v>2QA</v>
      </c>
      <c r="W94" s="810" t="str">
        <f t="shared" si="334"/>
        <v>3QA</v>
      </c>
      <c r="X94" s="810" t="str">
        <f t="shared" si="334"/>
        <v>4QA</v>
      </c>
      <c r="Y94" s="828" t="str">
        <f t="shared" si="334"/>
        <v>2004A</v>
      </c>
      <c r="Z94" s="810" t="str">
        <f t="shared" si="334"/>
        <v>1QA</v>
      </c>
      <c r="AA94" s="810" t="str">
        <f t="shared" si="334"/>
        <v>2QA</v>
      </c>
      <c r="AB94" s="810" t="str">
        <f t="shared" si="334"/>
        <v>3QA</v>
      </c>
      <c r="AC94" s="810" t="str">
        <f t="shared" si="334"/>
        <v>4QA</v>
      </c>
      <c r="AD94" s="829" t="str">
        <f t="shared" si="334"/>
        <v>2005A</v>
      </c>
      <c r="AE94" s="810" t="str">
        <f t="shared" si="334"/>
        <v>1QA</v>
      </c>
      <c r="AF94" s="810" t="str">
        <f t="shared" si="334"/>
        <v>2QA</v>
      </c>
      <c r="AG94" s="810" t="str">
        <f t="shared" si="334"/>
        <v>3QA</v>
      </c>
      <c r="AH94" s="810" t="str">
        <f t="shared" si="334"/>
        <v>4QA</v>
      </c>
      <c r="AI94" s="829" t="str">
        <f t="shared" si="334"/>
        <v>2006A</v>
      </c>
      <c r="AJ94" s="810" t="str">
        <f t="shared" ref="AJ94:BO94" si="335">AJ9</f>
        <v>1QA</v>
      </c>
      <c r="AK94" s="810" t="str">
        <f t="shared" si="335"/>
        <v>2QA</v>
      </c>
      <c r="AL94" s="810" t="str">
        <f t="shared" si="335"/>
        <v>3QA</v>
      </c>
      <c r="AM94" s="810" t="str">
        <f t="shared" si="335"/>
        <v>4QA</v>
      </c>
      <c r="AN94" s="813" t="str">
        <f t="shared" si="335"/>
        <v>2007A</v>
      </c>
      <c r="AO94" s="810" t="str">
        <f t="shared" si="335"/>
        <v>1QA</v>
      </c>
      <c r="AP94" s="810" t="str">
        <f t="shared" si="335"/>
        <v>2QA</v>
      </c>
      <c r="AQ94" s="810" t="str">
        <f t="shared" si="335"/>
        <v>3QA</v>
      </c>
      <c r="AR94" s="810" t="str">
        <f t="shared" si="335"/>
        <v>4QA</v>
      </c>
      <c r="AS94" s="809" t="str">
        <f t="shared" si="335"/>
        <v>2008A</v>
      </c>
      <c r="AT94" s="810" t="str">
        <f t="shared" si="335"/>
        <v>1QA</v>
      </c>
      <c r="AU94" s="810" t="str">
        <f t="shared" si="335"/>
        <v>2QA</v>
      </c>
      <c r="AV94" s="810" t="str">
        <f t="shared" si="335"/>
        <v>3QA</v>
      </c>
      <c r="AW94" s="810" t="str">
        <f t="shared" si="335"/>
        <v>4QA</v>
      </c>
      <c r="AX94" s="809" t="str">
        <f t="shared" si="335"/>
        <v>2009A</v>
      </c>
      <c r="AY94" s="810" t="str">
        <f t="shared" si="335"/>
        <v>1QA</v>
      </c>
      <c r="AZ94" s="810" t="str">
        <f t="shared" si="335"/>
        <v>2QA</v>
      </c>
      <c r="BA94" s="810" t="str">
        <f t="shared" si="335"/>
        <v>3QA</v>
      </c>
      <c r="BB94" s="810" t="str">
        <f t="shared" si="335"/>
        <v>4QA</v>
      </c>
      <c r="BC94" s="809" t="str">
        <f t="shared" si="335"/>
        <v>2010A</v>
      </c>
      <c r="BD94" s="810" t="str">
        <f t="shared" si="335"/>
        <v>1QA</v>
      </c>
      <c r="BE94" s="810" t="str">
        <f t="shared" si="335"/>
        <v>2QA</v>
      </c>
      <c r="BF94" s="810" t="str">
        <f t="shared" si="335"/>
        <v>3QA</v>
      </c>
      <c r="BG94" s="810" t="str">
        <f t="shared" si="335"/>
        <v>4QA</v>
      </c>
      <c r="BH94" s="809" t="str">
        <f t="shared" si="335"/>
        <v>2011A</v>
      </c>
      <c r="BI94" s="810" t="str">
        <f t="shared" si="335"/>
        <v>1QA</v>
      </c>
      <c r="BJ94" s="810" t="str">
        <f t="shared" si="335"/>
        <v>2QA</v>
      </c>
      <c r="BK94" s="810" t="str">
        <f t="shared" si="335"/>
        <v>3QA</v>
      </c>
      <c r="BL94" s="810" t="str">
        <f t="shared" si="335"/>
        <v>4QA</v>
      </c>
      <c r="BM94" s="809" t="str">
        <f t="shared" si="335"/>
        <v>2012A</v>
      </c>
      <c r="BN94" s="810" t="str">
        <f t="shared" si="335"/>
        <v>1QA</v>
      </c>
      <c r="BO94" s="810" t="str">
        <f t="shared" si="335"/>
        <v>2QA</v>
      </c>
      <c r="BP94" s="810" t="str">
        <f t="shared" ref="BP94:CB94" si="336">BP9</f>
        <v>3QA</v>
      </c>
      <c r="BQ94" s="810" t="str">
        <f t="shared" si="336"/>
        <v>4QA</v>
      </c>
      <c r="BR94" s="809" t="str">
        <f t="shared" si="336"/>
        <v>2013A</v>
      </c>
      <c r="BS94" s="810" t="str">
        <f t="shared" si="336"/>
        <v>1QA</v>
      </c>
      <c r="BT94" s="810" t="str">
        <f t="shared" si="336"/>
        <v>2QA</v>
      </c>
      <c r="BU94" s="810" t="str">
        <f t="shared" si="336"/>
        <v>3QA</v>
      </c>
      <c r="BV94" s="810" t="str">
        <f t="shared" si="336"/>
        <v>4QA</v>
      </c>
      <c r="BW94" s="809" t="str">
        <f t="shared" si="336"/>
        <v>2014A</v>
      </c>
      <c r="BX94" s="810" t="str">
        <f t="shared" si="336"/>
        <v>1QA</v>
      </c>
      <c r="BY94" s="810" t="str">
        <f t="shared" si="336"/>
        <v>2QA</v>
      </c>
      <c r="BZ94" s="810" t="str">
        <f t="shared" si="336"/>
        <v>3QA</v>
      </c>
      <c r="CA94" s="810" t="str">
        <f t="shared" si="336"/>
        <v>4QA</v>
      </c>
      <c r="CB94" s="809" t="str">
        <f t="shared" si="336"/>
        <v>2015A</v>
      </c>
      <c r="CC94" s="810" t="str">
        <f>CC9</f>
        <v>1QA</v>
      </c>
      <c r="CD94" s="810" t="str">
        <f>CD9</f>
        <v>2QA</v>
      </c>
      <c r="CE94" s="810" t="str">
        <f>CE9</f>
        <v>3QA</v>
      </c>
      <c r="CF94" s="810" t="str">
        <f>CF9</f>
        <v>4QA</v>
      </c>
      <c r="CG94" s="809" t="str">
        <f>CG9</f>
        <v>2016A</v>
      </c>
      <c r="CH94" s="810" t="str">
        <f>CH9</f>
        <v>1QA</v>
      </c>
      <c r="CI94" s="810" t="str">
        <f>CI9</f>
        <v>2QA</v>
      </c>
      <c r="CJ94" s="810" t="str">
        <f>CJ9</f>
        <v>3QA</v>
      </c>
      <c r="CK94" s="810" t="str">
        <f>CK9</f>
        <v>4QA</v>
      </c>
      <c r="CL94" s="809" t="str">
        <f>CL9</f>
        <v>2017A</v>
      </c>
      <c r="CM94" s="810" t="str">
        <f>CM9</f>
        <v>1QE</v>
      </c>
      <c r="CN94" s="810" t="str">
        <f>CN9</f>
        <v>2QE</v>
      </c>
      <c r="CO94" s="810" t="str">
        <f>CO9</f>
        <v>3QE</v>
      </c>
      <c r="CP94" s="810" t="str">
        <f>CP9</f>
        <v>4QE</v>
      </c>
      <c r="CQ94" s="809" t="str">
        <f>CQ9</f>
        <v>2018E</v>
      </c>
      <c r="CR94" s="810" t="str">
        <f>CR9</f>
        <v>1QE</v>
      </c>
      <c r="CS94" s="810" t="str">
        <f>CS9</f>
        <v>2QE</v>
      </c>
      <c r="CT94" s="810" t="str">
        <f>CT9</f>
        <v>3QE</v>
      </c>
      <c r="CU94" s="810" t="str">
        <f>CU9</f>
        <v>4QE</v>
      </c>
      <c r="CV94" s="809" t="str">
        <f>CV9</f>
        <v>2019E</v>
      </c>
      <c r="CW94" s="810" t="str">
        <f>CW9</f>
        <v>1QE</v>
      </c>
      <c r="CX94" s="810" t="str">
        <f>CX9</f>
        <v>2QE</v>
      </c>
      <c r="CY94" s="810" t="str">
        <f>CY9</f>
        <v>3QE</v>
      </c>
      <c r="CZ94" s="810" t="str">
        <f>CZ9</f>
        <v>4QE</v>
      </c>
      <c r="DA94" s="809" t="str">
        <f>DA9</f>
        <v>2020E</v>
      </c>
      <c r="DB94" s="810" t="str">
        <f>DB9</f>
        <v>1QE</v>
      </c>
      <c r="DC94" s="810" t="str">
        <f>DC9</f>
        <v>2QE</v>
      </c>
      <c r="DD94" s="810" t="str">
        <f>DD9</f>
        <v>3QE</v>
      </c>
      <c r="DE94" s="810" t="str">
        <f>DE9</f>
        <v>4QE</v>
      </c>
      <c r="DF94" s="809" t="str">
        <f>DF9</f>
        <v>2021E</v>
      </c>
    </row>
    <row r="95" spans="2:110" x14ac:dyDescent="0.2">
      <c r="B95" s="743" t="s">
        <v>96</v>
      </c>
      <c r="C95" s="161"/>
      <c r="D95" s="110"/>
      <c r="E95" s="110"/>
      <c r="F95" s="10"/>
      <c r="G95" s="10"/>
      <c r="H95" s="10"/>
      <c r="I95" s="10"/>
      <c r="J95" s="9"/>
      <c r="K95" s="10"/>
      <c r="L95" s="10"/>
      <c r="M95" s="10"/>
      <c r="N95" s="10"/>
      <c r="O95" s="9"/>
      <c r="P95" s="59"/>
      <c r="Q95" s="10"/>
      <c r="R95" s="10"/>
      <c r="S95" s="122"/>
      <c r="T95" s="110"/>
      <c r="U95" s="10"/>
      <c r="V95" s="10"/>
      <c r="W95" s="10"/>
      <c r="X95" s="10"/>
      <c r="Y95" s="110"/>
      <c r="Z95" s="10"/>
      <c r="AA95" s="10"/>
      <c r="AB95" s="10"/>
      <c r="AC95" s="10"/>
      <c r="AD95" s="9"/>
      <c r="AE95" s="10"/>
      <c r="AF95" s="10"/>
      <c r="AG95" s="10"/>
      <c r="AH95" s="10"/>
      <c r="AI95" s="110"/>
      <c r="AJ95" s="10"/>
      <c r="AK95" s="127"/>
      <c r="AL95" s="10"/>
      <c r="AM95" s="10"/>
      <c r="AN95" s="110"/>
      <c r="AO95" s="77"/>
      <c r="AP95" s="77"/>
      <c r="AQ95" s="10"/>
      <c r="AR95" s="10"/>
      <c r="AS95" s="110"/>
      <c r="AT95" s="77"/>
      <c r="AU95" s="77"/>
      <c r="AV95" s="10"/>
      <c r="AW95" s="10"/>
      <c r="AX95" s="110"/>
      <c r="AY95" s="10"/>
      <c r="AZ95" s="10"/>
      <c r="BA95" s="10"/>
      <c r="BB95" s="10"/>
      <c r="BC95" s="110"/>
      <c r="BD95" s="10"/>
      <c r="BE95" s="10"/>
      <c r="BF95" s="10"/>
      <c r="BG95" s="10"/>
      <c r="BH95" s="110"/>
      <c r="BI95" s="10"/>
      <c r="BJ95" s="10"/>
      <c r="BK95" s="10"/>
      <c r="BL95" s="10"/>
      <c r="BM95" s="110"/>
      <c r="BN95" s="10"/>
      <c r="BO95" s="10"/>
      <c r="BP95" s="10"/>
      <c r="BQ95" s="10"/>
      <c r="BR95" s="110"/>
      <c r="BS95" s="10"/>
      <c r="BT95" s="10"/>
      <c r="BU95" s="10"/>
      <c r="BV95" s="10"/>
      <c r="BW95" s="9"/>
      <c r="BX95" s="10"/>
      <c r="BY95" s="10"/>
      <c r="BZ95" s="10"/>
      <c r="CA95" s="10"/>
      <c r="CB95" s="9"/>
      <c r="CC95" s="10"/>
      <c r="CD95" s="10"/>
      <c r="CE95" s="127">
        <f>CE96-CD96</f>
        <v>980.29999999999973</v>
      </c>
      <c r="CF95" s="10"/>
      <c r="CG95" s="110"/>
      <c r="CH95" s="10"/>
      <c r="CI95" s="10"/>
      <c r="CJ95" s="10"/>
      <c r="CK95" s="10"/>
      <c r="CL95" s="110"/>
      <c r="CM95" s="10"/>
      <c r="CN95" s="10"/>
      <c r="CO95" s="10"/>
      <c r="CP95" s="10"/>
      <c r="CQ95" s="110"/>
      <c r="CR95" s="10"/>
      <c r="CS95" s="10"/>
      <c r="CT95" s="10"/>
      <c r="CU95" s="10"/>
      <c r="CV95" s="110"/>
      <c r="CW95" s="10"/>
      <c r="CX95" s="10"/>
      <c r="CY95" s="10"/>
      <c r="CZ95" s="10"/>
      <c r="DA95" s="110"/>
      <c r="DB95" s="10"/>
      <c r="DC95" s="10"/>
      <c r="DD95" s="10"/>
      <c r="DE95" s="10"/>
      <c r="DF95" s="110"/>
    </row>
    <row r="96" spans="2:110" x14ac:dyDescent="0.2">
      <c r="B96" s="721" t="s">
        <v>97</v>
      </c>
      <c r="D96" s="407"/>
      <c r="E96" s="407">
        <v>53.204000000000001</v>
      </c>
      <c r="F96" s="124">
        <v>85.1</v>
      </c>
      <c r="G96" s="125">
        <v>120.943</v>
      </c>
      <c r="H96" s="125">
        <v>104.82</v>
      </c>
      <c r="I96" s="500">
        <v>177.715</v>
      </c>
      <c r="J96" s="126">
        <f t="shared" ref="J96:J101" si="337">I96</f>
        <v>177.715</v>
      </c>
      <c r="K96" s="124">
        <v>158.684</v>
      </c>
      <c r="L96" s="125">
        <v>167.548</v>
      </c>
      <c r="M96" s="125">
        <v>161.59800000000001</v>
      </c>
      <c r="N96" s="500">
        <v>190.654</v>
      </c>
      <c r="O96" s="126">
        <f t="shared" ref="O96:O101" si="338">N96</f>
        <v>190.654</v>
      </c>
      <c r="P96" s="124">
        <v>256.541</v>
      </c>
      <c r="Q96" s="125">
        <v>194.56200000000001</v>
      </c>
      <c r="R96" s="125">
        <v>292.31</v>
      </c>
      <c r="S96" s="500">
        <v>396.04</v>
      </c>
      <c r="T96" s="126">
        <f t="shared" ref="T96:T101" si="339">S96</f>
        <v>396.04</v>
      </c>
      <c r="U96" s="125">
        <v>300.85700000000003</v>
      </c>
      <c r="V96" s="125">
        <v>117.71299999999999</v>
      </c>
      <c r="W96" s="125">
        <v>161.161</v>
      </c>
      <c r="X96" s="500">
        <v>166</v>
      </c>
      <c r="Y96" s="126">
        <f t="shared" ref="Y96:Y101" si="340">X96</f>
        <v>166</v>
      </c>
      <c r="Z96" s="125">
        <v>255.12100000000001</v>
      </c>
      <c r="AA96" s="125">
        <v>417.25299999999999</v>
      </c>
      <c r="AB96" s="500">
        <v>405.02699999999999</v>
      </c>
      <c r="AC96" s="500">
        <v>477.9</v>
      </c>
      <c r="AD96" s="126">
        <f t="shared" ref="AD96:AD101" si="341">AC96</f>
        <v>477.9</v>
      </c>
      <c r="AE96" s="500">
        <v>509.4</v>
      </c>
      <c r="AF96" s="500">
        <v>195.9</v>
      </c>
      <c r="AG96" s="500">
        <v>68.099999999999994</v>
      </c>
      <c r="AH96" s="500">
        <v>131</v>
      </c>
      <c r="AI96" s="126">
        <f t="shared" ref="AI96:AI101" si="342">AH96</f>
        <v>131</v>
      </c>
      <c r="AJ96" s="125">
        <v>207.2</v>
      </c>
      <c r="AK96" s="125">
        <v>111.2</v>
      </c>
      <c r="AL96" s="125">
        <v>96</v>
      </c>
      <c r="AM96" s="125">
        <f>434.7</f>
        <v>434.7</v>
      </c>
      <c r="AN96" s="123">
        <f t="shared" ref="AN96:AN101" si="343">AM96</f>
        <v>434.7</v>
      </c>
      <c r="AO96" s="125">
        <f>511.9</f>
        <v>511.9</v>
      </c>
      <c r="AP96" s="125">
        <f>315.8</f>
        <v>315.8</v>
      </c>
      <c r="AQ96" s="125">
        <f>227.1</f>
        <v>227.1</v>
      </c>
      <c r="AR96" s="125">
        <f>530.7</f>
        <v>530.70000000000005</v>
      </c>
      <c r="AS96" s="123">
        <f>AR96</f>
        <v>530.70000000000005</v>
      </c>
      <c r="AT96" s="125">
        <f>725</f>
        <v>725</v>
      </c>
      <c r="AU96" s="125">
        <f>3661</f>
        <v>3661</v>
      </c>
      <c r="AV96" s="125">
        <v>3942.4</v>
      </c>
      <c r="AW96" s="125">
        <v>1070.4000000000001</v>
      </c>
      <c r="AX96" s="126">
        <f>AW96</f>
        <v>1070.4000000000001</v>
      </c>
      <c r="AY96" s="125">
        <v>1443.1</v>
      </c>
      <c r="AZ96" s="125">
        <v>1631.2</v>
      </c>
      <c r="BA96" s="125">
        <v>267.5</v>
      </c>
      <c r="BB96" s="125">
        <f>523.7</f>
        <v>523.70000000000005</v>
      </c>
      <c r="BC96" s="126">
        <f>BB96</f>
        <v>523.70000000000005</v>
      </c>
      <c r="BD96" s="125">
        <v>766.1</v>
      </c>
      <c r="BE96" s="125">
        <v>291</v>
      </c>
      <c r="BF96" s="125">
        <v>1062.5999999999999</v>
      </c>
      <c r="BG96" s="125">
        <v>5620.1</v>
      </c>
      <c r="BH96" s="126">
        <f>BG96</f>
        <v>5620.1</v>
      </c>
      <c r="BI96" s="125">
        <v>9577.7000000000007</v>
      </c>
      <c r="BJ96" s="125">
        <f>1420-20.8</f>
        <v>1399.2</v>
      </c>
      <c r="BK96" s="125">
        <f>1248.4+15.5-20.8</f>
        <v>1243.1000000000001</v>
      </c>
      <c r="BL96" s="125">
        <v>2793.9</v>
      </c>
      <c r="BM96" s="126">
        <f>BL96</f>
        <v>2793.9</v>
      </c>
      <c r="BN96" s="125">
        <v>1990</v>
      </c>
      <c r="BO96" s="125">
        <v>1342.2</v>
      </c>
      <c r="BP96" s="125">
        <v>1722.3</v>
      </c>
      <c r="BQ96" s="125">
        <v>1991.4</v>
      </c>
      <c r="BR96" s="126">
        <f t="shared" ref="BR96:BR101" si="344">BQ96</f>
        <v>1991.4</v>
      </c>
      <c r="BS96" s="125">
        <f>1850.4</f>
        <v>1850.4</v>
      </c>
      <c r="BT96" s="125">
        <f>2835.2</f>
        <v>2835.2</v>
      </c>
      <c r="BU96" s="125">
        <v>834.8</v>
      </c>
      <c r="BV96" s="125">
        <v>1832.6</v>
      </c>
      <c r="BW96" s="126">
        <f>BV96</f>
        <v>1832.6</v>
      </c>
      <c r="BX96" s="125">
        <f>905.8+28</f>
        <v>933.8</v>
      </c>
      <c r="BY96" s="125">
        <v>721</v>
      </c>
      <c r="BZ96" s="125">
        <v>438.2</v>
      </c>
      <c r="CA96" s="125">
        <v>3186.3</v>
      </c>
      <c r="CB96" s="126">
        <f>CA96</f>
        <v>3186.3</v>
      </c>
      <c r="CC96" s="125">
        <v>1771.1</v>
      </c>
      <c r="CD96" s="125">
        <v>1324.4</v>
      </c>
      <c r="CE96" s="125">
        <v>2304.6999999999998</v>
      </c>
      <c r="CF96" s="125">
        <v>3077.2</v>
      </c>
      <c r="CG96" s="126">
        <f>CF96</f>
        <v>3077.2</v>
      </c>
      <c r="CH96" s="125">
        <v>3163.8</v>
      </c>
      <c r="CI96" s="125">
        <v>2352.5</v>
      </c>
      <c r="CJ96" s="125">
        <v>3395.9</v>
      </c>
      <c r="CK96" s="125">
        <v>2309.6</v>
      </c>
      <c r="CL96" s="126">
        <f t="shared" ref="CL96:CL101" si="345">CK96</f>
        <v>2309.6</v>
      </c>
      <c r="CM96" s="133">
        <f ca="1">CL96+CM158</f>
        <v>1355.4792991483314</v>
      </c>
      <c r="CN96" s="133">
        <f ca="1">CM96+CN158</f>
        <v>2546.5530322589889</v>
      </c>
      <c r="CO96" s="133">
        <f ca="1">CN96+CO158</f>
        <v>4002.4475269410145</v>
      </c>
      <c r="CP96" s="133">
        <f ca="1">CO96+CP158</f>
        <v>5374.0575196585341</v>
      </c>
      <c r="CQ96" s="126">
        <f t="shared" ref="CQ96:CQ101" ca="1" si="346">CP96</f>
        <v>5374.0575196585341</v>
      </c>
      <c r="CR96" s="133">
        <f ca="1">CQ96+CR158</f>
        <v>7254.3027386248086</v>
      </c>
      <c r="CS96" s="133">
        <f ca="1">CR96+CS158</f>
        <v>7144.5216483537606</v>
      </c>
      <c r="CT96" s="133">
        <f ca="1">CS96+CT158</f>
        <v>8585.0552309010072</v>
      </c>
      <c r="CU96" s="133">
        <f ca="1">CT96+CU158</f>
        <v>9723.9667527798319</v>
      </c>
      <c r="CV96" s="126">
        <f t="shared" ref="CV96:CV101" ca="1" si="347">CU96</f>
        <v>9723.9667527798319</v>
      </c>
      <c r="CW96" s="133">
        <f ca="1">CV96+CW158</f>
        <v>10721.408454895514</v>
      </c>
      <c r="CX96" s="133">
        <f ca="1">CW96+CX158</f>
        <v>10498.044410372515</v>
      </c>
      <c r="CY96" s="133">
        <f ca="1">CX96+CY158</f>
        <v>11817.616597766559</v>
      </c>
      <c r="CZ96" s="133">
        <f ca="1">CY96+CZ158</f>
        <v>12813.44477378271</v>
      </c>
      <c r="DA96" s="126">
        <f t="shared" ref="DA96:DA101" ca="1" si="348">CZ96</f>
        <v>12813.44477378271</v>
      </c>
      <c r="DB96" s="133">
        <f ca="1">DA96+DB158</f>
        <v>13632.542005521904</v>
      </c>
      <c r="DC96" s="133">
        <f ca="1">DB96+DC158</f>
        <v>13285.66373280245</v>
      </c>
      <c r="DD96" s="133">
        <f ca="1">DC96+DD158</f>
        <v>14486.87825749777</v>
      </c>
      <c r="DE96" s="133">
        <f ca="1">DD96+DE158</f>
        <v>15372.197280892397</v>
      </c>
      <c r="DF96" s="126">
        <f t="shared" ref="DF96:DF101" ca="1" si="349">DE96</f>
        <v>15372.197280892397</v>
      </c>
    </row>
    <row r="97" spans="1:118" x14ac:dyDescent="0.2">
      <c r="B97" s="721" t="s">
        <v>98</v>
      </c>
      <c r="D97" s="34"/>
      <c r="E97" s="34">
        <v>802.79</v>
      </c>
      <c r="F97" s="35">
        <v>791.84799999999996</v>
      </c>
      <c r="G97" s="36">
        <v>832.05200000000002</v>
      </c>
      <c r="H97" s="36">
        <v>831.92100000000005</v>
      </c>
      <c r="I97" s="425">
        <v>883.827</v>
      </c>
      <c r="J97" s="28">
        <f t="shared" si="337"/>
        <v>883.827</v>
      </c>
      <c r="K97" s="35">
        <v>858.77700000000004</v>
      </c>
      <c r="L97" s="36">
        <v>1032.3900000000001</v>
      </c>
      <c r="M97" s="36">
        <v>994.78700000000003</v>
      </c>
      <c r="N97" s="425">
        <v>988.54399999999998</v>
      </c>
      <c r="O97" s="28">
        <f t="shared" si="338"/>
        <v>988.54399999999998</v>
      </c>
      <c r="P97" s="35">
        <v>1020.2190000000001</v>
      </c>
      <c r="Q97" s="36">
        <v>990.09</v>
      </c>
      <c r="R97" s="36">
        <v>983.19299999999998</v>
      </c>
      <c r="S97" s="425">
        <v>1011.154</v>
      </c>
      <c r="T97" s="28">
        <f t="shared" si="339"/>
        <v>1011.154</v>
      </c>
      <c r="U97" s="433">
        <v>1092.0429999999999</v>
      </c>
      <c r="V97" s="36">
        <v>1082.5319999999999</v>
      </c>
      <c r="W97" s="36">
        <v>1073.7260000000001</v>
      </c>
      <c r="X97" s="36">
        <v>1057</v>
      </c>
      <c r="Y97" s="33">
        <f t="shared" si="340"/>
        <v>1057</v>
      </c>
      <c r="Z97" s="36">
        <v>1094.5940000000001</v>
      </c>
      <c r="AA97" s="36">
        <v>1079.7439999999999</v>
      </c>
      <c r="AB97" s="36">
        <v>1002.422</v>
      </c>
      <c r="AC97" s="36">
        <v>1393.2</v>
      </c>
      <c r="AD97" s="33">
        <f t="shared" si="341"/>
        <v>1393.2</v>
      </c>
      <c r="AE97" s="36">
        <v>1332.1</v>
      </c>
      <c r="AF97" s="36">
        <v>1265.0999999999999</v>
      </c>
      <c r="AG97" s="36">
        <v>1298.3</v>
      </c>
      <c r="AH97" s="36">
        <v>1334.4</v>
      </c>
      <c r="AI97" s="33">
        <f t="shared" si="342"/>
        <v>1334.4</v>
      </c>
      <c r="AJ97" s="36">
        <v>1344.5</v>
      </c>
      <c r="AK97" s="36">
        <v>1303.9000000000001</v>
      </c>
      <c r="AL97" s="36">
        <v>1308.4000000000001</v>
      </c>
      <c r="AM97" s="36">
        <v>1184.5999999999999</v>
      </c>
      <c r="AN97" s="33">
        <f t="shared" si="343"/>
        <v>1184.5999999999999</v>
      </c>
      <c r="AO97" s="36">
        <v>1222.0999999999999</v>
      </c>
      <c r="AP97" s="36">
        <v>1185.9000000000001</v>
      </c>
      <c r="AQ97" s="36">
        <f>1228.3</f>
        <v>1228.3</v>
      </c>
      <c r="AR97" s="36">
        <v>1155.9000000000001</v>
      </c>
      <c r="AS97" s="28">
        <f>AR97</f>
        <v>1155.9000000000001</v>
      </c>
      <c r="AT97" s="36">
        <v>1200.8</v>
      </c>
      <c r="AU97" s="36">
        <v>1148.0999999999999</v>
      </c>
      <c r="AV97" s="36">
        <v>1249.8</v>
      </c>
      <c r="AW97" s="36">
        <v>2521.1999999999998</v>
      </c>
      <c r="AX97" s="33">
        <f>AW97</f>
        <v>2521.1999999999998</v>
      </c>
      <c r="AY97" s="36">
        <v>2121.3000000000002</v>
      </c>
      <c r="AZ97" s="36">
        <v>1685.3</v>
      </c>
      <c r="BA97" s="36">
        <v>1795.5</v>
      </c>
      <c r="BB97" s="36">
        <v>1720.9</v>
      </c>
      <c r="BC97" s="33">
        <f>BB97</f>
        <v>1720.9</v>
      </c>
      <c r="BD97" s="36">
        <v>1907</v>
      </c>
      <c r="BE97" s="36">
        <v>1939.4</v>
      </c>
      <c r="BF97" s="36">
        <v>1770.7</v>
      </c>
      <c r="BG97" s="36">
        <v>1915.7</v>
      </c>
      <c r="BH97" s="33">
        <f>BG97</f>
        <v>1915.7</v>
      </c>
      <c r="BI97" s="36">
        <v>2008.4</v>
      </c>
      <c r="BJ97" s="36">
        <v>5997.8</v>
      </c>
      <c r="BK97" s="36">
        <v>5720.3</v>
      </c>
      <c r="BL97" s="36">
        <v>5480.6</v>
      </c>
      <c r="BM97" s="33">
        <f>BL97</f>
        <v>5480.6</v>
      </c>
      <c r="BN97" s="36">
        <v>4294.1000000000004</v>
      </c>
      <c r="BO97" s="36">
        <v>4552.8</v>
      </c>
      <c r="BP97" s="36">
        <v>5112.3999999999996</v>
      </c>
      <c r="BQ97" s="36">
        <v>4022.9</v>
      </c>
      <c r="BR97" s="33">
        <f t="shared" si="344"/>
        <v>4022.9</v>
      </c>
      <c r="BS97" s="36">
        <v>3907.3</v>
      </c>
      <c r="BT97" s="36">
        <v>5178.2</v>
      </c>
      <c r="BU97" s="36">
        <v>6384.5</v>
      </c>
      <c r="BV97" s="36">
        <v>5979.8</v>
      </c>
      <c r="BW97" s="33">
        <f>BV97</f>
        <v>5979.8</v>
      </c>
      <c r="BX97" s="36">
        <v>5819.4</v>
      </c>
      <c r="BY97" s="36">
        <v>6494.5</v>
      </c>
      <c r="BZ97" s="36">
        <v>7391.1</v>
      </c>
      <c r="CA97" s="36">
        <v>6721.3</v>
      </c>
      <c r="CB97" s="33">
        <f>CA97</f>
        <v>6721.3</v>
      </c>
      <c r="CC97" s="36">
        <v>6758.4</v>
      </c>
      <c r="CD97" s="36">
        <v>7373.6</v>
      </c>
      <c r="CE97" s="36">
        <v>6967</v>
      </c>
      <c r="CF97" s="36">
        <v>7062.1</v>
      </c>
      <c r="CG97" s="33">
        <f>CF97</f>
        <v>7062.1</v>
      </c>
      <c r="CH97" s="36">
        <v>6936.1</v>
      </c>
      <c r="CI97" s="36">
        <v>7067.5</v>
      </c>
      <c r="CJ97" s="36">
        <v>6871.5</v>
      </c>
      <c r="CK97" s="36">
        <v>7056.3</v>
      </c>
      <c r="CL97" s="33">
        <f t="shared" si="345"/>
        <v>7056.3</v>
      </c>
      <c r="CM97" s="30">
        <f ca="1">(CM127/365)*CM11*4</f>
        <v>6986.480066941047</v>
      </c>
      <c r="CN97" s="30">
        <f ca="1">(CN127/365)*CN11*4</f>
        <v>7109.0361138945882</v>
      </c>
      <c r="CO97" s="30">
        <f ca="1">(CO127/365)*CO11*4</f>
        <v>7090.9203981375504</v>
      </c>
      <c r="CP97" s="30">
        <f ca="1">(CP127/365)*CP11*4</f>
        <v>7237.8202688165493</v>
      </c>
      <c r="CQ97" s="33">
        <f t="shared" ca="1" si="346"/>
        <v>7237.8202688165493</v>
      </c>
      <c r="CR97" s="30">
        <f ca="1">(CR127/365)*CR11*4</f>
        <v>7302.4608477225329</v>
      </c>
      <c r="CS97" s="30">
        <f ca="1">(CS127/365)*CS11*4</f>
        <v>7465.5763562700558</v>
      </c>
      <c r="CT97" s="30">
        <f ca="1">(CT127/365)*CT11*4</f>
        <v>7462.9654454373085</v>
      </c>
      <c r="CU97" s="30">
        <f ca="1">(CU127/365)*CU11*4</f>
        <v>7616.4025855558939</v>
      </c>
      <c r="CV97" s="33">
        <f t="shared" ca="1" si="347"/>
        <v>7616.4025855558939</v>
      </c>
      <c r="CW97" s="30">
        <f ca="1">(CW127/365)*CW11*4</f>
        <v>7175.3740680776637</v>
      </c>
      <c r="CX97" s="30">
        <f ca="1">(CX127/365)*CX11*4</f>
        <v>7340.8792015737636</v>
      </c>
      <c r="CY97" s="30">
        <f ca="1">(CY127/365)*CY11*4</f>
        <v>7352.498715484614</v>
      </c>
      <c r="CZ97" s="30">
        <f ca="1">(CZ127/365)*CZ11*4</f>
        <v>7490.9723402362361</v>
      </c>
      <c r="DA97" s="33">
        <f t="shared" ca="1" si="348"/>
        <v>7490.9723402362361</v>
      </c>
      <c r="DB97" s="30">
        <f ca="1">(DB127/365)*DB11*4</f>
        <v>7069.911707872202</v>
      </c>
      <c r="DC97" s="30">
        <f ca="1">(DC127/365)*DC11*4</f>
        <v>7237.5180388078879</v>
      </c>
      <c r="DD97" s="30">
        <f ca="1">(DD127/365)*DD11*4</f>
        <v>7263.2859137998748</v>
      </c>
      <c r="DE97" s="30">
        <f ca="1">(DE127/365)*DE11*4</f>
        <v>7387.7970737876258</v>
      </c>
      <c r="DF97" s="33">
        <f t="shared" ca="1" si="349"/>
        <v>7387.7970737876258</v>
      </c>
    </row>
    <row r="98" spans="1:118" x14ac:dyDescent="0.2">
      <c r="B98" s="721" t="s">
        <v>99</v>
      </c>
      <c r="D98" s="34"/>
      <c r="E98" s="34">
        <v>110.053</v>
      </c>
      <c r="F98" s="35">
        <v>85.477999999999994</v>
      </c>
      <c r="G98" s="36">
        <v>97.950999999999993</v>
      </c>
      <c r="H98" s="36">
        <v>109.24299999999999</v>
      </c>
      <c r="I98" s="425">
        <v>122.375</v>
      </c>
      <c r="J98" s="28">
        <f t="shared" si="337"/>
        <v>122.375</v>
      </c>
      <c r="K98" s="35">
        <v>154.072</v>
      </c>
      <c r="L98" s="36">
        <v>131.053</v>
      </c>
      <c r="M98" s="36">
        <v>123.67100000000001</v>
      </c>
      <c r="N98" s="425">
        <v>160.483</v>
      </c>
      <c r="O98" s="28">
        <f t="shared" si="338"/>
        <v>160.483</v>
      </c>
      <c r="P98" s="35">
        <v>197.251</v>
      </c>
      <c r="Q98" s="36">
        <v>155.078</v>
      </c>
      <c r="R98" s="36">
        <v>130.113</v>
      </c>
      <c r="S98" s="425">
        <v>116.375</v>
      </c>
      <c r="T98" s="28">
        <f t="shared" si="339"/>
        <v>116.375</v>
      </c>
      <c r="U98" s="433">
        <v>128.60300000000001</v>
      </c>
      <c r="V98" s="36">
        <v>137.208</v>
      </c>
      <c r="W98" s="36">
        <v>151.58099999999999</v>
      </c>
      <c r="X98" s="134">
        <v>159</v>
      </c>
      <c r="Y98" s="33">
        <f t="shared" si="340"/>
        <v>159</v>
      </c>
      <c r="Z98" s="36">
        <v>158.19900000000001</v>
      </c>
      <c r="AA98" s="36">
        <v>147.68</v>
      </c>
      <c r="AB98" s="134">
        <v>144.02699999999999</v>
      </c>
      <c r="AC98" s="36">
        <v>273.39999999999998</v>
      </c>
      <c r="AD98" s="33">
        <f t="shared" si="341"/>
        <v>273.39999999999998</v>
      </c>
      <c r="AE98" s="134">
        <v>260.89999999999998</v>
      </c>
      <c r="AF98" s="36">
        <v>260.8</v>
      </c>
      <c r="AG98" s="36">
        <v>271.39999999999998</v>
      </c>
      <c r="AH98" s="36">
        <v>194.6</v>
      </c>
      <c r="AI98" s="28">
        <f t="shared" si="342"/>
        <v>194.6</v>
      </c>
      <c r="AJ98" s="36">
        <v>203.1</v>
      </c>
      <c r="AK98" s="36">
        <v>198.4</v>
      </c>
      <c r="AL98" s="36">
        <v>158.80000000000001</v>
      </c>
      <c r="AM98" s="36">
        <v>166.1</v>
      </c>
      <c r="AN98" s="28">
        <f t="shared" si="343"/>
        <v>166.1</v>
      </c>
      <c r="AO98" s="36">
        <v>166.5</v>
      </c>
      <c r="AP98" s="36">
        <v>168.3</v>
      </c>
      <c r="AQ98" s="36">
        <f>158.6</f>
        <v>158.6</v>
      </c>
      <c r="AR98" s="36">
        <v>203</v>
      </c>
      <c r="AS98" s="28">
        <f>AR98</f>
        <v>203</v>
      </c>
      <c r="AT98" s="36">
        <v>180.1</v>
      </c>
      <c r="AU98" s="36">
        <v>180.2</v>
      </c>
      <c r="AV98" s="36">
        <v>184.2</v>
      </c>
      <c r="AW98" s="36">
        <v>313</v>
      </c>
      <c r="AX98" s="28">
        <f>AW98</f>
        <v>313</v>
      </c>
      <c r="AY98" s="36">
        <v>297</v>
      </c>
      <c r="AZ98" s="36">
        <v>302.39999999999998</v>
      </c>
      <c r="BA98" s="36">
        <v>315.8</v>
      </c>
      <c r="BB98" s="36">
        <v>382.4</v>
      </c>
      <c r="BC98" s="28">
        <f>BB98</f>
        <v>382.4</v>
      </c>
      <c r="BD98" s="36">
        <v>325.5</v>
      </c>
      <c r="BE98" s="36">
        <v>331.6</v>
      </c>
      <c r="BF98" s="36">
        <v>340.2</v>
      </c>
      <c r="BG98" s="36">
        <v>374.4</v>
      </c>
      <c r="BH98" s="28">
        <f>BG98</f>
        <v>374.4</v>
      </c>
      <c r="BI98" s="36">
        <v>385.4</v>
      </c>
      <c r="BJ98" s="36">
        <v>1423.8</v>
      </c>
      <c r="BK98" s="36">
        <v>1561.4</v>
      </c>
      <c r="BL98" s="36">
        <v>1661.9</v>
      </c>
      <c r="BM98" s="28">
        <f>BL98</f>
        <v>1661.9</v>
      </c>
      <c r="BN98" s="36">
        <v>1657.4</v>
      </c>
      <c r="BO98" s="36">
        <v>1672.9</v>
      </c>
      <c r="BP98" s="36">
        <v>1643.6</v>
      </c>
      <c r="BQ98" s="36">
        <v>1871.1</v>
      </c>
      <c r="BR98" s="28">
        <f t="shared" si="344"/>
        <v>1871.1</v>
      </c>
      <c r="BS98" s="36">
        <v>1727.3</v>
      </c>
      <c r="BT98" s="36">
        <v>1767</v>
      </c>
      <c r="BU98" s="36">
        <v>1789.8</v>
      </c>
      <c r="BV98" s="36">
        <v>2113.1999999999998</v>
      </c>
      <c r="BW98" s="28">
        <f>BV98</f>
        <v>2113.1999999999998</v>
      </c>
      <c r="BX98" s="36">
        <v>1885.9</v>
      </c>
      <c r="BY98" s="36">
        <v>1650</v>
      </c>
      <c r="BZ98" s="36">
        <v>1730.4</v>
      </c>
      <c r="CA98" s="36">
        <v>2023.1</v>
      </c>
      <c r="CB98" s="28">
        <f>CA98</f>
        <v>2023.1</v>
      </c>
      <c r="CC98" s="36">
        <v>1733.4</v>
      </c>
      <c r="CD98" s="36">
        <v>1715.7</v>
      </c>
      <c r="CE98" s="36">
        <v>1677.4</v>
      </c>
      <c r="CF98" s="36">
        <v>1959</v>
      </c>
      <c r="CG98" s="28">
        <f>CF98</f>
        <v>1959</v>
      </c>
      <c r="CH98" s="36">
        <v>1755.4</v>
      </c>
      <c r="CI98" s="36">
        <v>1918.7</v>
      </c>
      <c r="CJ98" s="36">
        <v>2052.9</v>
      </c>
      <c r="CK98" s="36">
        <v>2124.9</v>
      </c>
      <c r="CL98" s="28">
        <f t="shared" si="345"/>
        <v>2124.9</v>
      </c>
      <c r="CM98" s="30">
        <f ca="1">(CM12)/Model!CM128</f>
        <v>1760.7364213408425</v>
      </c>
      <c r="CN98" s="30">
        <f ca="1">(CN12)/Model!CN128</f>
        <v>1917.0670594867483</v>
      </c>
      <c r="CO98" s="30">
        <f ca="1">(CO12)/Model!CO128</f>
        <v>2114.5826407836307</v>
      </c>
      <c r="CP98" s="30">
        <f ca="1">(CP12)/Model!CP128</f>
        <v>2182.7056952525604</v>
      </c>
      <c r="CQ98" s="28">
        <f t="shared" ca="1" si="346"/>
        <v>2182.7056952525604</v>
      </c>
      <c r="CR98" s="30">
        <f ca="1">(CR12)/Model!CR128</f>
        <v>1847.7400124488263</v>
      </c>
      <c r="CS98" s="30">
        <f ca="1">(CS12)/Model!CS128</f>
        <v>2028.8671460166408</v>
      </c>
      <c r="CT98" s="30">
        <f ca="1">(CT12)/Model!CT128</f>
        <v>2245.5225341137079</v>
      </c>
      <c r="CU98" s="30">
        <f ca="1">(CU12)/Model!CU128</f>
        <v>2497.9558825039553</v>
      </c>
      <c r="CV98" s="28">
        <f t="shared" ca="1" si="347"/>
        <v>2497.9558825039553</v>
      </c>
      <c r="CW98" s="30">
        <f ca="1">(CW12)/Model!CW128</f>
        <v>1628.6074431243501</v>
      </c>
      <c r="CX98" s="30">
        <f ca="1">(CX12)/Model!CX128</f>
        <v>1782.8588256300097</v>
      </c>
      <c r="CY98" s="30">
        <f ca="1">(CY12)/Model!CY128</f>
        <v>1962.5205493460576</v>
      </c>
      <c r="CZ98" s="30">
        <f ca="1">(CZ12)/Model!CZ128</f>
        <v>2163.5822711923174</v>
      </c>
      <c r="DA98" s="28">
        <f t="shared" ca="1" si="348"/>
        <v>2163.5822711923174</v>
      </c>
      <c r="DB98" s="30">
        <f ca="1">(DB12)/Model!DB128</f>
        <v>1450.3916008442666</v>
      </c>
      <c r="DC98" s="30">
        <f ca="1">(DC12)/Model!DC128</f>
        <v>1584.2787651931119</v>
      </c>
      <c r="DD98" s="30">
        <f ca="1">(DD12)/Model!DD128</f>
        <v>1731.7201457828464</v>
      </c>
      <c r="DE98" s="30">
        <f ca="1">(DE12)/Model!DE128</f>
        <v>1895.7184504030754</v>
      </c>
      <c r="DF98" s="28">
        <f t="shared" ca="1" si="349"/>
        <v>1895.7184504030754</v>
      </c>
    </row>
    <row r="99" spans="1:118" ht="11.25" hidden="1" customHeight="1" outlineLevel="1" x14ac:dyDescent="0.2">
      <c r="B99" s="721" t="s">
        <v>100</v>
      </c>
      <c r="D99" s="34"/>
      <c r="E99" s="34">
        <v>22.18</v>
      </c>
      <c r="F99" s="35">
        <v>0</v>
      </c>
      <c r="G99" s="36">
        <v>0</v>
      </c>
      <c r="H99" s="36">
        <v>0</v>
      </c>
      <c r="I99" s="425">
        <v>16.367999999999999</v>
      </c>
      <c r="J99" s="28">
        <f t="shared" si="337"/>
        <v>16.367999999999999</v>
      </c>
      <c r="K99" s="35">
        <v>18.015999999999998</v>
      </c>
      <c r="L99" s="36">
        <v>28.77</v>
      </c>
      <c r="M99" s="36">
        <v>26.102</v>
      </c>
      <c r="N99" s="425">
        <v>25.686</v>
      </c>
      <c r="O99" s="28">
        <f t="shared" si="338"/>
        <v>25.686</v>
      </c>
      <c r="P99" s="35">
        <v>25.693000000000001</v>
      </c>
      <c r="Q99" s="36">
        <v>16.454000000000001</v>
      </c>
      <c r="R99" s="36">
        <v>14.978999999999999</v>
      </c>
      <c r="S99" s="425">
        <v>15.346</v>
      </c>
      <c r="T99" s="28">
        <f t="shared" si="339"/>
        <v>15.346</v>
      </c>
      <c r="U99" s="433">
        <v>17.155999999999999</v>
      </c>
      <c r="V99" s="36">
        <v>16.024000000000001</v>
      </c>
      <c r="W99" s="36">
        <v>18.423999999999999</v>
      </c>
      <c r="X99" s="134">
        <v>33</v>
      </c>
      <c r="Y99" s="33">
        <f t="shared" si="340"/>
        <v>33</v>
      </c>
      <c r="Z99" s="36">
        <v>38.116</v>
      </c>
      <c r="AA99" s="36">
        <v>41.677999999999997</v>
      </c>
      <c r="AB99" s="134">
        <v>41.185000000000002</v>
      </c>
      <c r="AC99" s="36">
        <v>53.1</v>
      </c>
      <c r="AD99" s="33">
        <f t="shared" si="341"/>
        <v>53.1</v>
      </c>
      <c r="AE99" s="134">
        <v>52.3</v>
      </c>
      <c r="AF99" s="36">
        <v>60.6</v>
      </c>
      <c r="AG99" s="134">
        <v>62.8</v>
      </c>
      <c r="AH99" s="134">
        <v>90.9</v>
      </c>
      <c r="AI99" s="33">
        <f t="shared" si="342"/>
        <v>90.9</v>
      </c>
      <c r="AJ99" s="36">
        <v>103.8</v>
      </c>
      <c r="AK99" s="134">
        <v>107.1</v>
      </c>
      <c r="AL99" s="134">
        <v>113.3</v>
      </c>
      <c r="AM99" s="134">
        <v>121.1</v>
      </c>
      <c r="AN99" s="33">
        <f t="shared" si="343"/>
        <v>121.1</v>
      </c>
      <c r="AO99" s="36">
        <v>121.3</v>
      </c>
      <c r="AP99" s="36">
        <v>113.2</v>
      </c>
      <c r="AQ99" s="134">
        <f>113.3</f>
        <v>113.3</v>
      </c>
      <c r="AR99" s="36">
        <v>118.2</v>
      </c>
      <c r="AS99" s="28">
        <f>AR99</f>
        <v>118.2</v>
      </c>
      <c r="AT99" s="36">
        <v>120.3</v>
      </c>
      <c r="AU99" s="36">
        <v>119.7</v>
      </c>
      <c r="AV99" s="134">
        <v>126.2</v>
      </c>
      <c r="AW99" s="134">
        <v>135</v>
      </c>
      <c r="AX99" s="33">
        <f>AW99</f>
        <v>135</v>
      </c>
      <c r="AY99" s="134">
        <v>141</v>
      </c>
      <c r="AZ99" s="134">
        <v>125.1</v>
      </c>
      <c r="BA99" s="134">
        <v>119.2</v>
      </c>
      <c r="BB99" s="134">
        <v>86</v>
      </c>
      <c r="BC99" s="33">
        <f>BB99</f>
        <v>86</v>
      </c>
      <c r="BD99" s="134">
        <v>49.5</v>
      </c>
      <c r="BE99" s="134">
        <v>43.3</v>
      </c>
      <c r="BF99" s="134">
        <v>45</v>
      </c>
      <c r="BG99" s="134">
        <v>45.8</v>
      </c>
      <c r="BH99" s="33">
        <f>BG99</f>
        <v>45.8</v>
      </c>
      <c r="BI99" s="134">
        <v>52.2</v>
      </c>
      <c r="BJ99" s="36">
        <v>335.9</v>
      </c>
      <c r="BK99" s="134">
        <v>417.3</v>
      </c>
      <c r="BL99" s="134">
        <v>408.5</v>
      </c>
      <c r="BM99" s="33">
        <f>BL99</f>
        <v>408.5</v>
      </c>
      <c r="BN99" s="134">
        <v>381.9</v>
      </c>
      <c r="BO99" s="36">
        <v>387.3</v>
      </c>
      <c r="BP99" s="36">
        <v>422.7</v>
      </c>
      <c r="BQ99" s="134">
        <v>455.4</v>
      </c>
      <c r="BR99" s="33">
        <f t="shared" si="344"/>
        <v>455.4</v>
      </c>
      <c r="BS99" s="134">
        <v>528.79999999999995</v>
      </c>
      <c r="BT99" s="134">
        <v>518.5</v>
      </c>
      <c r="BU99" s="134">
        <v>439.5</v>
      </c>
      <c r="BV99" s="134">
        <v>390.8</v>
      </c>
      <c r="BW99" s="33">
        <f>BV99</f>
        <v>390.8</v>
      </c>
      <c r="BX99" s="134">
        <v>427.9</v>
      </c>
      <c r="BY99" s="134">
        <v>423.8</v>
      </c>
      <c r="BZ99" s="134">
        <v>359.9</v>
      </c>
      <c r="CA99" s="134">
        <v>0</v>
      </c>
      <c r="CB99" s="33">
        <f>CA99</f>
        <v>0</v>
      </c>
      <c r="CC99" s="134">
        <v>0</v>
      </c>
      <c r="CD99" s="134">
        <f t="shared" ref="CD99:CK99" si="350">CC99</f>
        <v>0</v>
      </c>
      <c r="CE99" s="134">
        <f t="shared" si="350"/>
        <v>0</v>
      </c>
      <c r="CF99" s="134">
        <f t="shared" si="350"/>
        <v>0</v>
      </c>
      <c r="CG99" s="33">
        <f>CF99</f>
        <v>0</v>
      </c>
      <c r="CH99" s="134">
        <f t="shared" si="350"/>
        <v>0</v>
      </c>
      <c r="CI99" s="134">
        <f t="shared" si="350"/>
        <v>0</v>
      </c>
      <c r="CJ99" s="134">
        <f t="shared" si="350"/>
        <v>0</v>
      </c>
      <c r="CK99" s="134">
        <f t="shared" si="350"/>
        <v>0</v>
      </c>
      <c r="CL99" s="33">
        <f t="shared" si="345"/>
        <v>0</v>
      </c>
      <c r="CM99" s="32">
        <f>CK99</f>
        <v>0</v>
      </c>
      <c r="CN99" s="32">
        <f t="shared" ref="CN99:CP101" si="351">CM99</f>
        <v>0</v>
      </c>
      <c r="CO99" s="32">
        <f t="shared" si="351"/>
        <v>0</v>
      </c>
      <c r="CP99" s="32">
        <f t="shared" si="351"/>
        <v>0</v>
      </c>
      <c r="CQ99" s="33">
        <f t="shared" si="346"/>
        <v>0</v>
      </c>
      <c r="CR99" s="32">
        <f>CP99</f>
        <v>0</v>
      </c>
      <c r="CS99" s="32">
        <f t="shared" ref="CS99:CS101" si="352">CR99</f>
        <v>0</v>
      </c>
      <c r="CT99" s="32">
        <f t="shared" ref="CT99:CT101" si="353">CS99</f>
        <v>0</v>
      </c>
      <c r="CU99" s="32">
        <f t="shared" ref="CU99:CU101" si="354">CT99</f>
        <v>0</v>
      </c>
      <c r="CV99" s="33">
        <f t="shared" si="347"/>
        <v>0</v>
      </c>
      <c r="CW99" s="32">
        <f>CU99</f>
        <v>0</v>
      </c>
      <c r="CX99" s="32">
        <f t="shared" ref="CX99:CX101" si="355">CW99</f>
        <v>0</v>
      </c>
      <c r="CY99" s="32">
        <f t="shared" ref="CY99:CY101" si="356">CX99</f>
        <v>0</v>
      </c>
      <c r="CZ99" s="32">
        <f t="shared" ref="CZ99:CZ101" si="357">CY99</f>
        <v>0</v>
      </c>
      <c r="DA99" s="33">
        <f t="shared" si="348"/>
        <v>0</v>
      </c>
      <c r="DB99" s="32">
        <f>CZ99</f>
        <v>0</v>
      </c>
      <c r="DC99" s="32">
        <f t="shared" ref="DC99:DC101" si="358">DB99</f>
        <v>0</v>
      </c>
      <c r="DD99" s="32">
        <f t="shared" ref="DD99:DD101" si="359">DC99</f>
        <v>0</v>
      </c>
      <c r="DE99" s="32">
        <f t="shared" ref="DE99:DE101" si="360">DD99</f>
        <v>0</v>
      </c>
      <c r="DF99" s="33">
        <f t="shared" si="349"/>
        <v>0</v>
      </c>
    </row>
    <row r="100" spans="1:118" ht="11.25" hidden="1" customHeight="1" outlineLevel="1" x14ac:dyDescent="0.2">
      <c r="B100" s="721" t="s">
        <v>509</v>
      </c>
      <c r="D100" s="34"/>
      <c r="E100" s="34">
        <v>9.9420000000000002</v>
      </c>
      <c r="F100" s="35">
        <v>31.625</v>
      </c>
      <c r="G100" s="36">
        <v>26.823</v>
      </c>
      <c r="H100" s="36">
        <v>26.120999999999999</v>
      </c>
      <c r="I100" s="425">
        <v>12.917999999999999</v>
      </c>
      <c r="J100" s="28">
        <f t="shared" si="337"/>
        <v>12.917999999999999</v>
      </c>
      <c r="K100" s="35">
        <v>12.891</v>
      </c>
      <c r="L100" s="36">
        <v>52.718000000000004</v>
      </c>
      <c r="M100" s="36">
        <v>11.358000000000001</v>
      </c>
      <c r="N100" s="425">
        <v>28.454000000000001</v>
      </c>
      <c r="O100" s="28">
        <f t="shared" si="338"/>
        <v>28.454000000000001</v>
      </c>
      <c r="P100" s="35">
        <v>41.369</v>
      </c>
      <c r="Q100" s="36">
        <f>32.653</f>
        <v>32.652999999999999</v>
      </c>
      <c r="R100" s="36">
        <v>24.646000000000001</v>
      </c>
      <c r="S100" s="425">
        <v>21.22</v>
      </c>
      <c r="T100" s="28">
        <f t="shared" si="339"/>
        <v>21.22</v>
      </c>
      <c r="U100" s="36">
        <v>23.286999999999999</v>
      </c>
      <c r="V100" s="36">
        <v>27.948</v>
      </c>
      <c r="W100" s="36">
        <v>23.61</v>
      </c>
      <c r="X100" s="134">
        <v>28</v>
      </c>
      <c r="Y100" s="33">
        <f t="shared" si="340"/>
        <v>28</v>
      </c>
      <c r="Z100" s="36">
        <v>23.984999999999999</v>
      </c>
      <c r="AA100" s="36">
        <v>22.594000000000001</v>
      </c>
      <c r="AB100" s="134">
        <v>23.87</v>
      </c>
      <c r="AC100" s="36">
        <v>59.8</v>
      </c>
      <c r="AD100" s="33">
        <f t="shared" si="341"/>
        <v>59.8</v>
      </c>
      <c r="AE100" s="134">
        <v>57.6</v>
      </c>
      <c r="AF100" s="134">
        <v>57</v>
      </c>
      <c r="AG100" s="134">
        <v>25.3</v>
      </c>
      <c r="AH100" s="134">
        <v>21.2</v>
      </c>
      <c r="AI100" s="33">
        <f t="shared" si="342"/>
        <v>21.2</v>
      </c>
      <c r="AJ100" s="36">
        <v>21.3</v>
      </c>
      <c r="AK100" s="134">
        <v>24.2</v>
      </c>
      <c r="AL100" s="134">
        <v>19.600000000000001</v>
      </c>
      <c r="AM100" s="134">
        <f>18.7+2.2</f>
        <v>20.9</v>
      </c>
      <c r="AN100" s="33">
        <f t="shared" si="343"/>
        <v>20.9</v>
      </c>
      <c r="AO100" s="36">
        <f>17+32.7+3.2</f>
        <v>52.900000000000006</v>
      </c>
      <c r="AP100" s="36">
        <f>22.9+3.2+3.5</f>
        <v>29.599999999999998</v>
      </c>
      <c r="AQ100" s="134">
        <f>64.2+2+3.5</f>
        <v>69.7</v>
      </c>
      <c r="AR100" s="36">
        <f>8.4+22.8+4.8</f>
        <v>36</v>
      </c>
      <c r="AS100" s="28">
        <f>AR100</f>
        <v>36</v>
      </c>
      <c r="AT100" s="36">
        <f>24.5+6.1</f>
        <v>30.6</v>
      </c>
      <c r="AU100" s="36">
        <f>1202+24.4+6.3</f>
        <v>1232.7</v>
      </c>
      <c r="AV100" s="134">
        <f>8.1+1202.7+29.6</f>
        <v>1240.3999999999999</v>
      </c>
      <c r="AW100" s="134">
        <f>94.8+9.1</f>
        <v>103.89999999999999</v>
      </c>
      <c r="AX100" s="33">
        <f>AW100</f>
        <v>103.89999999999999</v>
      </c>
      <c r="AY100" s="134">
        <f>27.2+10</f>
        <v>37.200000000000003</v>
      </c>
      <c r="AZ100" s="134">
        <f>48.7+3.9+10.8</f>
        <v>63.400000000000006</v>
      </c>
      <c r="BA100" s="134">
        <f>45.1+10.9</f>
        <v>56</v>
      </c>
      <c r="BB100" s="134">
        <f>177.6+34.4+16.3</f>
        <v>228.3</v>
      </c>
      <c r="BC100" s="33">
        <f>BB100</f>
        <v>228.3</v>
      </c>
      <c r="BD100" s="134">
        <f>48.5+35.7+15.9</f>
        <v>100.10000000000001</v>
      </c>
      <c r="BE100" s="134">
        <f>35.7+39.6+15.9</f>
        <v>91.200000000000017</v>
      </c>
      <c r="BF100" s="134">
        <f>42.7+19.9+25.3</f>
        <v>87.9</v>
      </c>
      <c r="BG100" s="134">
        <f>17.8+15.5+68.7</f>
        <v>102</v>
      </c>
      <c r="BH100" s="33">
        <f>BG100</f>
        <v>102</v>
      </c>
      <c r="BI100" s="134">
        <f>50.4+30</f>
        <v>80.400000000000006</v>
      </c>
      <c r="BJ100" s="36">
        <f>28.9+454.9</f>
        <v>483.79999999999995</v>
      </c>
      <c r="BK100" s="134">
        <f>47.3+437.8</f>
        <v>485.1</v>
      </c>
      <c r="BL100" s="134">
        <f>194.4+19.6+198</f>
        <v>412</v>
      </c>
      <c r="BM100" s="33">
        <f>BL100</f>
        <v>412</v>
      </c>
      <c r="BN100" s="134">
        <f>195.7+17.7+171.1</f>
        <v>384.5</v>
      </c>
      <c r="BO100" s="36">
        <f>197.4+137.8+12.4</f>
        <v>347.6</v>
      </c>
      <c r="BP100" s="36">
        <f>179+19.2+125</f>
        <v>323.2</v>
      </c>
      <c r="BQ100" s="134">
        <v>96.8</v>
      </c>
      <c r="BR100" s="33">
        <f t="shared" si="344"/>
        <v>96.8</v>
      </c>
      <c r="BS100" s="134">
        <f>100.1+20.5</f>
        <v>120.6</v>
      </c>
      <c r="BT100" s="134">
        <v>132.9</v>
      </c>
      <c r="BU100" s="134">
        <f>232.6+23.5</f>
        <v>256.10000000000002</v>
      </c>
      <c r="BV100" s="134">
        <v>242.6</v>
      </c>
      <c r="BW100" s="33">
        <f>BV100</f>
        <v>242.6</v>
      </c>
      <c r="BX100" s="134">
        <v>104.5</v>
      </c>
      <c r="BY100" s="134">
        <v>348.4</v>
      </c>
      <c r="BZ100" s="134">
        <v>354.8</v>
      </c>
      <c r="CA100" s="134">
        <v>128.80000000000001</v>
      </c>
      <c r="CB100" s="33">
        <f>CA100</f>
        <v>128.80000000000001</v>
      </c>
      <c r="CC100" s="134">
        <v>136.9</v>
      </c>
      <c r="CD100" s="134">
        <v>200.8</v>
      </c>
      <c r="CE100" s="134">
        <v>173.9</v>
      </c>
      <c r="CF100" s="134">
        <v>265.10000000000002</v>
      </c>
      <c r="CG100" s="33">
        <f>CF100</f>
        <v>265.10000000000002</v>
      </c>
      <c r="CH100" s="134">
        <v>233.9</v>
      </c>
      <c r="CI100" s="134">
        <v>298.10000000000002</v>
      </c>
      <c r="CJ100" s="134">
        <v>358.7</v>
      </c>
      <c r="CK100" s="134">
        <v>466.3</v>
      </c>
      <c r="CL100" s="33">
        <f t="shared" si="345"/>
        <v>466.3</v>
      </c>
      <c r="CM100" s="32">
        <f>CK100</f>
        <v>466.3</v>
      </c>
      <c r="CN100" s="32">
        <f t="shared" si="351"/>
        <v>466.3</v>
      </c>
      <c r="CO100" s="32">
        <f t="shared" si="351"/>
        <v>466.3</v>
      </c>
      <c r="CP100" s="32">
        <f t="shared" si="351"/>
        <v>466.3</v>
      </c>
      <c r="CQ100" s="33">
        <f t="shared" si="346"/>
        <v>466.3</v>
      </c>
      <c r="CR100" s="32">
        <f>CP100</f>
        <v>466.3</v>
      </c>
      <c r="CS100" s="32">
        <f t="shared" si="352"/>
        <v>466.3</v>
      </c>
      <c r="CT100" s="32">
        <f t="shared" si="353"/>
        <v>466.3</v>
      </c>
      <c r="CU100" s="32">
        <f t="shared" si="354"/>
        <v>466.3</v>
      </c>
      <c r="CV100" s="33">
        <f t="shared" si="347"/>
        <v>466.3</v>
      </c>
      <c r="CW100" s="32">
        <f>CU100</f>
        <v>466.3</v>
      </c>
      <c r="CX100" s="32">
        <f t="shared" si="355"/>
        <v>466.3</v>
      </c>
      <c r="CY100" s="32">
        <f t="shared" si="356"/>
        <v>466.3</v>
      </c>
      <c r="CZ100" s="32">
        <f t="shared" si="357"/>
        <v>466.3</v>
      </c>
      <c r="DA100" s="33">
        <f t="shared" si="348"/>
        <v>466.3</v>
      </c>
      <c r="DB100" s="32">
        <f>CZ100</f>
        <v>466.3</v>
      </c>
      <c r="DC100" s="32">
        <f t="shared" si="358"/>
        <v>466.3</v>
      </c>
      <c r="DD100" s="32">
        <f t="shared" si="359"/>
        <v>466.3</v>
      </c>
      <c r="DE100" s="32">
        <f t="shared" si="360"/>
        <v>466.3</v>
      </c>
      <c r="DF100" s="33">
        <f t="shared" si="349"/>
        <v>466.3</v>
      </c>
    </row>
    <row r="101" spans="1:118" ht="22.5" hidden="1" customHeight="1" outlineLevel="1" x14ac:dyDescent="0.2">
      <c r="B101" s="721" t="s">
        <v>102</v>
      </c>
      <c r="D101" s="34"/>
      <c r="E101" s="34">
        <v>0</v>
      </c>
      <c r="F101" s="134">
        <v>0</v>
      </c>
      <c r="G101" s="134">
        <v>0</v>
      </c>
      <c r="H101" s="134">
        <v>0</v>
      </c>
      <c r="I101" s="134">
        <v>0</v>
      </c>
      <c r="J101" s="33">
        <f t="shared" si="337"/>
        <v>0</v>
      </c>
      <c r="K101" s="134">
        <v>0</v>
      </c>
      <c r="L101" s="134">
        <v>0</v>
      </c>
      <c r="M101" s="134">
        <v>0</v>
      </c>
      <c r="N101" s="134">
        <v>0</v>
      </c>
      <c r="O101" s="33">
        <f t="shared" si="338"/>
        <v>0</v>
      </c>
      <c r="P101" s="134">
        <v>0</v>
      </c>
      <c r="Q101" s="134">
        <v>0</v>
      </c>
      <c r="R101" s="134">
        <v>0</v>
      </c>
      <c r="S101" s="134">
        <v>0</v>
      </c>
      <c r="T101" s="33">
        <f t="shared" si="339"/>
        <v>0</v>
      </c>
      <c r="U101" s="134">
        <v>0</v>
      </c>
      <c r="V101" s="134">
        <v>0</v>
      </c>
      <c r="W101" s="134">
        <v>0</v>
      </c>
      <c r="X101" s="134">
        <v>0</v>
      </c>
      <c r="Y101" s="33">
        <f t="shared" si="340"/>
        <v>0</v>
      </c>
      <c r="Z101" s="134">
        <v>0</v>
      </c>
      <c r="AA101" s="134">
        <v>0</v>
      </c>
      <c r="AB101" s="134">
        <v>0</v>
      </c>
      <c r="AC101" s="134">
        <v>0</v>
      </c>
      <c r="AD101" s="33">
        <f t="shared" si="341"/>
        <v>0</v>
      </c>
      <c r="AE101" s="134">
        <v>0</v>
      </c>
      <c r="AF101" s="134">
        <v>0</v>
      </c>
      <c r="AG101" s="134">
        <v>0</v>
      </c>
      <c r="AH101" s="134">
        <v>0</v>
      </c>
      <c r="AI101" s="33">
        <f t="shared" si="342"/>
        <v>0</v>
      </c>
      <c r="AJ101" s="36">
        <v>0</v>
      </c>
      <c r="AK101" s="134">
        <v>0</v>
      </c>
      <c r="AL101" s="134">
        <v>0</v>
      </c>
      <c r="AM101" s="134">
        <v>40.4</v>
      </c>
      <c r="AN101" s="33">
        <f t="shared" si="343"/>
        <v>40.4</v>
      </c>
      <c r="AO101" s="36"/>
      <c r="AP101" s="30"/>
      <c r="AQ101" s="32"/>
      <c r="AR101" s="30"/>
      <c r="AS101" s="28"/>
      <c r="AT101" s="30"/>
      <c r="AU101" s="30"/>
      <c r="AV101" s="134"/>
      <c r="AW101" s="134"/>
      <c r="AX101" s="33"/>
      <c r="AY101" s="32"/>
      <c r="AZ101" s="32"/>
      <c r="BA101" s="32"/>
      <c r="BB101" s="32"/>
      <c r="BC101" s="33"/>
      <c r="BD101" s="32"/>
      <c r="BE101" s="32"/>
      <c r="BF101" s="32"/>
      <c r="BG101" s="32"/>
      <c r="BH101" s="33"/>
      <c r="BI101" s="32"/>
      <c r="BJ101" s="30"/>
      <c r="BK101" s="32"/>
      <c r="BL101" s="32"/>
      <c r="BM101" s="33"/>
      <c r="BN101" s="32"/>
      <c r="BO101" s="30"/>
      <c r="BP101" s="30"/>
      <c r="BQ101" s="134">
        <v>31</v>
      </c>
      <c r="BR101" s="33">
        <f t="shared" si="344"/>
        <v>31</v>
      </c>
      <c r="BS101" s="134">
        <v>0</v>
      </c>
      <c r="BT101" s="134">
        <v>0</v>
      </c>
      <c r="BU101" s="134">
        <f t="shared" ref="BU101:CK101" si="361">BT101</f>
        <v>0</v>
      </c>
      <c r="BV101" s="134">
        <v>9.1</v>
      </c>
      <c r="BW101" s="33">
        <f t="shared" si="361"/>
        <v>9.1</v>
      </c>
      <c r="BX101" s="134">
        <v>0</v>
      </c>
      <c r="BY101" s="134">
        <v>0</v>
      </c>
      <c r="BZ101" s="134">
        <v>0</v>
      </c>
      <c r="CA101" s="134">
        <v>0</v>
      </c>
      <c r="CB101" s="33">
        <f t="shared" si="361"/>
        <v>0</v>
      </c>
      <c r="CC101" s="134">
        <v>0</v>
      </c>
      <c r="CD101" s="134">
        <f t="shared" si="361"/>
        <v>0</v>
      </c>
      <c r="CE101" s="134">
        <f t="shared" si="361"/>
        <v>0</v>
      </c>
      <c r="CF101" s="134">
        <f t="shared" si="361"/>
        <v>0</v>
      </c>
      <c r="CG101" s="32">
        <f t="shared" si="361"/>
        <v>0</v>
      </c>
      <c r="CH101" s="134">
        <f t="shared" si="361"/>
        <v>0</v>
      </c>
      <c r="CI101" s="134">
        <f t="shared" si="361"/>
        <v>0</v>
      </c>
      <c r="CJ101" s="134">
        <f t="shared" si="361"/>
        <v>0</v>
      </c>
      <c r="CK101" s="134">
        <f t="shared" si="361"/>
        <v>0</v>
      </c>
      <c r="CL101" s="33">
        <f t="shared" si="345"/>
        <v>0</v>
      </c>
      <c r="CM101" s="32">
        <f>CL101</f>
        <v>0</v>
      </c>
      <c r="CN101" s="32">
        <f t="shared" si="351"/>
        <v>0</v>
      </c>
      <c r="CO101" s="32">
        <f t="shared" si="351"/>
        <v>0</v>
      </c>
      <c r="CP101" s="32">
        <f t="shared" si="351"/>
        <v>0</v>
      </c>
      <c r="CQ101" s="33">
        <f t="shared" si="346"/>
        <v>0</v>
      </c>
      <c r="CR101" s="32">
        <f>CQ101</f>
        <v>0</v>
      </c>
      <c r="CS101" s="32">
        <f t="shared" si="352"/>
        <v>0</v>
      </c>
      <c r="CT101" s="32">
        <f t="shared" si="353"/>
        <v>0</v>
      </c>
      <c r="CU101" s="32">
        <f t="shared" si="354"/>
        <v>0</v>
      </c>
      <c r="CV101" s="33">
        <f t="shared" si="347"/>
        <v>0</v>
      </c>
      <c r="CW101" s="32">
        <f>CV101</f>
        <v>0</v>
      </c>
      <c r="CX101" s="32">
        <f t="shared" si="355"/>
        <v>0</v>
      </c>
      <c r="CY101" s="32">
        <f t="shared" si="356"/>
        <v>0</v>
      </c>
      <c r="CZ101" s="32">
        <f t="shared" si="357"/>
        <v>0</v>
      </c>
      <c r="DA101" s="33">
        <f t="shared" si="348"/>
        <v>0</v>
      </c>
      <c r="DB101" s="32">
        <f>DA101</f>
        <v>0</v>
      </c>
      <c r="DC101" s="32">
        <f t="shared" si="358"/>
        <v>0</v>
      </c>
      <c r="DD101" s="32">
        <f t="shared" si="359"/>
        <v>0</v>
      </c>
      <c r="DE101" s="32">
        <f t="shared" si="360"/>
        <v>0</v>
      </c>
      <c r="DF101" s="33">
        <f t="shared" si="349"/>
        <v>0</v>
      </c>
    </row>
    <row r="102" spans="1:118" collapsed="1" x14ac:dyDescent="0.2">
      <c r="B102" s="721" t="s">
        <v>101</v>
      </c>
      <c r="D102" s="28"/>
      <c r="E102" s="28">
        <f t="shared" ref="E102:AC102" si="362">E99+E100+E101</f>
        <v>32.122</v>
      </c>
      <c r="F102" s="32">
        <f t="shared" si="362"/>
        <v>31.625</v>
      </c>
      <c r="G102" s="32">
        <f t="shared" si="362"/>
        <v>26.823</v>
      </c>
      <c r="H102" s="32">
        <f t="shared" si="362"/>
        <v>26.120999999999999</v>
      </c>
      <c r="I102" s="32">
        <f t="shared" si="362"/>
        <v>29.285999999999998</v>
      </c>
      <c r="J102" s="33">
        <f t="shared" si="362"/>
        <v>29.285999999999998</v>
      </c>
      <c r="K102" s="32">
        <f t="shared" si="362"/>
        <v>30.906999999999996</v>
      </c>
      <c r="L102" s="32">
        <f t="shared" si="362"/>
        <v>81.488</v>
      </c>
      <c r="M102" s="32">
        <f t="shared" si="362"/>
        <v>37.46</v>
      </c>
      <c r="N102" s="32">
        <f t="shared" si="362"/>
        <v>54.14</v>
      </c>
      <c r="O102" s="33">
        <f t="shared" si="362"/>
        <v>54.14</v>
      </c>
      <c r="P102" s="32">
        <f t="shared" si="362"/>
        <v>67.061999999999998</v>
      </c>
      <c r="Q102" s="32">
        <f t="shared" si="362"/>
        <v>49.106999999999999</v>
      </c>
      <c r="R102" s="32">
        <f t="shared" si="362"/>
        <v>39.625</v>
      </c>
      <c r="S102" s="32">
        <f t="shared" si="362"/>
        <v>36.566000000000003</v>
      </c>
      <c r="T102" s="33">
        <f t="shared" si="362"/>
        <v>36.566000000000003</v>
      </c>
      <c r="U102" s="32">
        <f t="shared" si="362"/>
        <v>40.442999999999998</v>
      </c>
      <c r="V102" s="32">
        <f t="shared" si="362"/>
        <v>43.972000000000001</v>
      </c>
      <c r="W102" s="32">
        <f t="shared" si="362"/>
        <v>42.033999999999999</v>
      </c>
      <c r="X102" s="32">
        <f t="shared" si="362"/>
        <v>61</v>
      </c>
      <c r="Y102" s="33">
        <f t="shared" si="362"/>
        <v>61</v>
      </c>
      <c r="Z102" s="32">
        <f t="shared" si="362"/>
        <v>62.100999999999999</v>
      </c>
      <c r="AA102" s="32">
        <f t="shared" si="362"/>
        <v>64.271999999999991</v>
      </c>
      <c r="AB102" s="32">
        <f t="shared" si="362"/>
        <v>65.055000000000007</v>
      </c>
      <c r="AC102" s="32">
        <f t="shared" si="362"/>
        <v>112.9</v>
      </c>
      <c r="AD102" s="33">
        <f>AD99+AD100+AD101</f>
        <v>112.9</v>
      </c>
      <c r="AE102" s="32">
        <f t="shared" ref="AE102:CB102" si="363">AE99+AE100+AE101</f>
        <v>109.9</v>
      </c>
      <c r="AF102" s="32">
        <f t="shared" si="363"/>
        <v>117.6</v>
      </c>
      <c r="AG102" s="32">
        <f t="shared" si="363"/>
        <v>88.1</v>
      </c>
      <c r="AH102" s="32">
        <f t="shared" si="363"/>
        <v>112.10000000000001</v>
      </c>
      <c r="AI102" s="33">
        <f t="shared" si="363"/>
        <v>112.10000000000001</v>
      </c>
      <c r="AJ102" s="30">
        <f t="shared" si="363"/>
        <v>125.1</v>
      </c>
      <c r="AK102" s="32">
        <f t="shared" si="363"/>
        <v>131.29999999999998</v>
      </c>
      <c r="AL102" s="32">
        <f t="shared" si="363"/>
        <v>132.9</v>
      </c>
      <c r="AM102" s="32">
        <f t="shared" si="363"/>
        <v>182.4</v>
      </c>
      <c r="AN102" s="33">
        <f t="shared" si="363"/>
        <v>182.4</v>
      </c>
      <c r="AO102" s="30">
        <f t="shared" si="363"/>
        <v>174.2</v>
      </c>
      <c r="AP102" s="30">
        <f t="shared" si="363"/>
        <v>142.80000000000001</v>
      </c>
      <c r="AQ102" s="32">
        <f t="shared" si="363"/>
        <v>183</v>
      </c>
      <c r="AR102" s="30">
        <f t="shared" si="363"/>
        <v>154.19999999999999</v>
      </c>
      <c r="AS102" s="28">
        <f t="shared" si="363"/>
        <v>154.19999999999999</v>
      </c>
      <c r="AT102" s="30">
        <f t="shared" si="363"/>
        <v>150.9</v>
      </c>
      <c r="AU102" s="30">
        <f t="shared" si="363"/>
        <v>1352.4</v>
      </c>
      <c r="AV102" s="32">
        <f t="shared" si="363"/>
        <v>1366.6</v>
      </c>
      <c r="AW102" s="32">
        <f t="shared" si="363"/>
        <v>238.89999999999998</v>
      </c>
      <c r="AX102" s="33">
        <f t="shared" si="363"/>
        <v>238.89999999999998</v>
      </c>
      <c r="AY102" s="32">
        <f t="shared" si="363"/>
        <v>178.2</v>
      </c>
      <c r="AZ102" s="32">
        <f t="shared" si="363"/>
        <v>188.5</v>
      </c>
      <c r="BA102" s="32">
        <f t="shared" si="363"/>
        <v>175.2</v>
      </c>
      <c r="BB102" s="32">
        <f t="shared" si="363"/>
        <v>314.3</v>
      </c>
      <c r="BC102" s="33">
        <f t="shared" si="363"/>
        <v>314.3</v>
      </c>
      <c r="BD102" s="32">
        <f t="shared" si="363"/>
        <v>149.60000000000002</v>
      </c>
      <c r="BE102" s="32">
        <f t="shared" si="363"/>
        <v>134.5</v>
      </c>
      <c r="BF102" s="32">
        <f t="shared" si="363"/>
        <v>132.9</v>
      </c>
      <c r="BG102" s="32">
        <f t="shared" si="363"/>
        <v>147.80000000000001</v>
      </c>
      <c r="BH102" s="33">
        <f t="shared" si="363"/>
        <v>147.80000000000001</v>
      </c>
      <c r="BI102" s="32">
        <f t="shared" si="363"/>
        <v>132.60000000000002</v>
      </c>
      <c r="BJ102" s="32">
        <f t="shared" si="363"/>
        <v>819.69999999999993</v>
      </c>
      <c r="BK102" s="32">
        <f t="shared" si="363"/>
        <v>902.40000000000009</v>
      </c>
      <c r="BL102" s="32">
        <f>BL99+BL100+BL101</f>
        <v>820.5</v>
      </c>
      <c r="BM102" s="33">
        <f t="shared" si="363"/>
        <v>820.5</v>
      </c>
      <c r="BN102" s="32">
        <f t="shared" si="363"/>
        <v>766.4</v>
      </c>
      <c r="BO102" s="32">
        <f t="shared" si="363"/>
        <v>734.90000000000009</v>
      </c>
      <c r="BP102" s="32">
        <f t="shared" si="363"/>
        <v>745.9</v>
      </c>
      <c r="BQ102" s="32">
        <f t="shared" si="363"/>
        <v>583.19999999999993</v>
      </c>
      <c r="BR102" s="33">
        <f t="shared" si="363"/>
        <v>583.19999999999993</v>
      </c>
      <c r="BS102" s="134">
        <f>0</f>
        <v>0</v>
      </c>
      <c r="BT102" s="134">
        <v>0</v>
      </c>
      <c r="BU102" s="134">
        <f t="shared" si="363"/>
        <v>695.6</v>
      </c>
      <c r="BV102" s="32">
        <v>0</v>
      </c>
      <c r="BW102" s="33">
        <f t="shared" si="363"/>
        <v>642.5</v>
      </c>
      <c r="BX102" s="134">
        <f t="shared" si="363"/>
        <v>532.4</v>
      </c>
      <c r="BY102" s="134">
        <f t="shared" si="363"/>
        <v>772.2</v>
      </c>
      <c r="BZ102" s="134">
        <f>BZ99+BZ100+BZ101</f>
        <v>714.7</v>
      </c>
      <c r="CA102" s="134">
        <f>CA99+CA100+CA101</f>
        <v>128.80000000000001</v>
      </c>
      <c r="CB102" s="33">
        <f t="shared" si="363"/>
        <v>128.80000000000001</v>
      </c>
      <c r="CC102" s="134">
        <f>CC99+CC100+CC101</f>
        <v>136.9</v>
      </c>
      <c r="CD102" s="134">
        <f>CD99+CD100+CD101</f>
        <v>200.8</v>
      </c>
      <c r="CE102" s="134">
        <f>CE99+CE100+CE101</f>
        <v>173.9</v>
      </c>
      <c r="CF102" s="134">
        <v>265.10000000000002</v>
      </c>
      <c r="CG102" s="33">
        <f t="shared" ref="CG102:CL102" si="364">CG99+CG100+CG101</f>
        <v>265.10000000000002</v>
      </c>
      <c r="CH102" s="134">
        <v>233.9</v>
      </c>
      <c r="CI102" s="134">
        <v>298.10000000000002</v>
      </c>
      <c r="CJ102" s="134">
        <v>358.7</v>
      </c>
      <c r="CK102" s="134">
        <v>466.3</v>
      </c>
      <c r="CL102" s="33">
        <f t="shared" si="364"/>
        <v>466.3</v>
      </c>
      <c r="CM102" s="32">
        <f t="shared" ref="CM102:CV102" si="365">CM99+CM100+CM101</f>
        <v>466.3</v>
      </c>
      <c r="CN102" s="32">
        <f t="shared" si="365"/>
        <v>466.3</v>
      </c>
      <c r="CO102" s="32">
        <f t="shared" si="365"/>
        <v>466.3</v>
      </c>
      <c r="CP102" s="32">
        <f t="shared" si="365"/>
        <v>466.3</v>
      </c>
      <c r="CQ102" s="33">
        <f t="shared" si="365"/>
        <v>466.3</v>
      </c>
      <c r="CR102" s="32">
        <f t="shared" si="365"/>
        <v>466.3</v>
      </c>
      <c r="CS102" s="32">
        <f t="shared" si="365"/>
        <v>466.3</v>
      </c>
      <c r="CT102" s="32">
        <f t="shared" si="365"/>
        <v>466.3</v>
      </c>
      <c r="CU102" s="32">
        <f t="shared" si="365"/>
        <v>466.3</v>
      </c>
      <c r="CV102" s="33">
        <f t="shared" si="365"/>
        <v>466.3</v>
      </c>
      <c r="CW102" s="32">
        <f t="shared" ref="CW102:DF102" si="366">CW99+CW100+CW101</f>
        <v>466.3</v>
      </c>
      <c r="CX102" s="32">
        <f t="shared" si="366"/>
        <v>466.3</v>
      </c>
      <c r="CY102" s="32">
        <f t="shared" si="366"/>
        <v>466.3</v>
      </c>
      <c r="CZ102" s="32">
        <f t="shared" si="366"/>
        <v>466.3</v>
      </c>
      <c r="DA102" s="33">
        <f t="shared" si="366"/>
        <v>466.3</v>
      </c>
      <c r="DB102" s="32">
        <f t="shared" si="366"/>
        <v>466.3</v>
      </c>
      <c r="DC102" s="32">
        <f t="shared" si="366"/>
        <v>466.3</v>
      </c>
      <c r="DD102" s="32">
        <f t="shared" si="366"/>
        <v>466.3</v>
      </c>
      <c r="DE102" s="32">
        <f t="shared" si="366"/>
        <v>466.3</v>
      </c>
      <c r="DF102" s="33">
        <f t="shared" si="366"/>
        <v>466.3</v>
      </c>
    </row>
    <row r="103" spans="1:118" x14ac:dyDescent="0.2">
      <c r="B103" s="721"/>
      <c r="D103" s="34"/>
      <c r="E103" s="34"/>
      <c r="F103" s="35"/>
      <c r="G103" s="36"/>
      <c r="H103" s="36"/>
      <c r="I103" s="37"/>
      <c r="J103" s="28"/>
      <c r="K103" s="35"/>
      <c r="L103" s="36"/>
      <c r="M103" s="36"/>
      <c r="N103" s="37"/>
      <c r="O103" s="28"/>
      <c r="P103" s="35"/>
      <c r="Q103" s="36"/>
      <c r="R103" s="36"/>
      <c r="S103" s="37"/>
      <c r="T103" s="28"/>
      <c r="U103" s="36"/>
      <c r="V103" s="36"/>
      <c r="W103" s="36"/>
      <c r="X103" s="134"/>
      <c r="Y103" s="33"/>
      <c r="Z103" s="30"/>
      <c r="AA103" s="30"/>
      <c r="AB103" s="32"/>
      <c r="AC103" s="30"/>
      <c r="AD103" s="33"/>
      <c r="AE103" s="134"/>
      <c r="AF103" s="134"/>
      <c r="AG103" s="134"/>
      <c r="AH103" s="134"/>
      <c r="AI103" s="33"/>
      <c r="AJ103" s="36"/>
      <c r="AK103" s="32"/>
      <c r="AL103" s="134"/>
      <c r="AM103" s="32"/>
      <c r="AN103" s="33"/>
      <c r="AO103" s="36"/>
      <c r="AP103" s="30"/>
      <c r="AQ103" s="32"/>
      <c r="AR103" s="30"/>
      <c r="AS103" s="28"/>
      <c r="AT103" s="30"/>
      <c r="AU103" s="30"/>
      <c r="AV103" s="134"/>
      <c r="AW103" s="32"/>
      <c r="AX103" s="33"/>
      <c r="AY103" s="32"/>
      <c r="AZ103" s="32"/>
      <c r="BA103" s="32"/>
      <c r="BB103" s="32"/>
      <c r="BC103" s="33"/>
      <c r="BD103" s="32"/>
      <c r="BE103" s="32"/>
      <c r="BF103" s="32"/>
      <c r="BG103" s="32"/>
      <c r="BH103" s="33"/>
      <c r="BI103" s="32"/>
      <c r="BJ103" s="36"/>
      <c r="BK103" s="32"/>
      <c r="BL103" s="32"/>
      <c r="BM103" s="33"/>
      <c r="BN103" s="32"/>
      <c r="BO103" s="36"/>
      <c r="BP103" s="36"/>
      <c r="BQ103" s="32"/>
      <c r="BR103" s="33"/>
      <c r="BS103" s="32"/>
      <c r="BT103" s="32"/>
      <c r="BU103" s="32"/>
      <c r="BV103" s="32"/>
      <c r="BW103" s="33"/>
      <c r="BX103" s="32"/>
      <c r="BY103" s="32"/>
      <c r="BZ103" s="32"/>
      <c r="CA103" s="32"/>
      <c r="CB103" s="33"/>
      <c r="CC103" s="32"/>
      <c r="CD103" s="32"/>
      <c r="CE103" s="32"/>
      <c r="CF103" s="32"/>
      <c r="CG103" s="33"/>
      <c r="CH103" s="32"/>
      <c r="CI103" s="32"/>
      <c r="CJ103" s="32"/>
      <c r="CK103" s="32"/>
      <c r="CL103" s="33"/>
      <c r="CM103" s="32"/>
      <c r="CN103" s="32"/>
      <c r="CO103" s="32"/>
      <c r="CP103" s="32"/>
      <c r="CQ103" s="33"/>
      <c r="CR103" s="32"/>
      <c r="CS103" s="32"/>
      <c r="CT103" s="32"/>
      <c r="CU103" s="32"/>
      <c r="CV103" s="33"/>
      <c r="CW103" s="32"/>
      <c r="CX103" s="32"/>
      <c r="CY103" s="32"/>
      <c r="CZ103" s="32"/>
      <c r="DA103" s="33"/>
      <c r="DB103" s="32"/>
      <c r="DC103" s="32"/>
      <c r="DD103" s="32"/>
      <c r="DE103" s="32"/>
      <c r="DF103" s="33"/>
    </row>
    <row r="104" spans="1:118" s="670" customFormat="1" x14ac:dyDescent="0.2">
      <c r="B104" s="744" t="s">
        <v>103</v>
      </c>
      <c r="C104" s="666"/>
      <c r="D104" s="667"/>
      <c r="E104" s="667">
        <v>147.709</v>
      </c>
      <c r="F104" s="668">
        <v>147.78700000000001</v>
      </c>
      <c r="G104" s="663">
        <v>145.91399999999999</v>
      </c>
      <c r="H104" s="663">
        <v>154.869</v>
      </c>
      <c r="I104" s="669">
        <v>165.26300000000001</v>
      </c>
      <c r="J104" s="662">
        <f>I104</f>
        <v>165.26300000000001</v>
      </c>
      <c r="K104" s="668">
        <v>150.80799999999999</v>
      </c>
      <c r="L104" s="663">
        <v>155.77799999999999</v>
      </c>
      <c r="M104" s="663">
        <v>156.64699999999999</v>
      </c>
      <c r="N104" s="669">
        <v>168.97300000000001</v>
      </c>
      <c r="O104" s="662">
        <f>N104</f>
        <v>168.97300000000001</v>
      </c>
      <c r="P104" s="668">
        <v>170.011</v>
      </c>
      <c r="Q104" s="663">
        <v>172.55099999999999</v>
      </c>
      <c r="R104" s="663">
        <v>173.11600000000001</v>
      </c>
      <c r="S104" s="669">
        <v>177.31200000000001</v>
      </c>
      <c r="T104" s="662">
        <f>S104</f>
        <v>177.31200000000001</v>
      </c>
      <c r="U104" s="663">
        <v>177.78299999999999</v>
      </c>
      <c r="V104" s="663">
        <v>174.666</v>
      </c>
      <c r="W104" s="663">
        <v>177.76400000000001</v>
      </c>
      <c r="X104" s="663">
        <v>181</v>
      </c>
      <c r="Y104" s="662">
        <f>X104</f>
        <v>181</v>
      </c>
      <c r="Z104" s="663">
        <v>171.79300000000001</v>
      </c>
      <c r="AA104" s="663">
        <v>168.69</v>
      </c>
      <c r="AB104" s="663">
        <v>169.42099999999999</v>
      </c>
      <c r="AC104" s="663">
        <v>201.3</v>
      </c>
      <c r="AD104" s="662">
        <f>AC104</f>
        <v>201.3</v>
      </c>
      <c r="AE104" s="663">
        <v>192.8</v>
      </c>
      <c r="AF104" s="663">
        <v>187.5</v>
      </c>
      <c r="AG104" s="663">
        <v>189.8</v>
      </c>
      <c r="AH104" s="663">
        <v>201.4</v>
      </c>
      <c r="AI104" s="662">
        <f>AH104</f>
        <v>201.4</v>
      </c>
      <c r="AJ104" s="663">
        <v>193.1</v>
      </c>
      <c r="AK104" s="663">
        <v>198.5</v>
      </c>
      <c r="AL104" s="663">
        <v>203.9</v>
      </c>
      <c r="AM104" s="663">
        <v>215.5</v>
      </c>
      <c r="AN104" s="662">
        <f>AM104</f>
        <v>215.5</v>
      </c>
      <c r="AO104" s="663">
        <v>210.1</v>
      </c>
      <c r="AP104" s="663">
        <v>211.8</v>
      </c>
      <c r="AQ104" s="663">
        <v>216.9</v>
      </c>
      <c r="AR104" s="663">
        <v>222.2</v>
      </c>
      <c r="AS104" s="662">
        <f>AR104</f>
        <v>222.2</v>
      </c>
      <c r="AT104" s="663">
        <v>219.6</v>
      </c>
      <c r="AU104" s="663">
        <v>222</v>
      </c>
      <c r="AV104" s="663">
        <v>265.7</v>
      </c>
      <c r="AW104" s="663">
        <v>354.1</v>
      </c>
      <c r="AX104" s="662">
        <f>AW104</f>
        <v>354.1</v>
      </c>
      <c r="AY104" s="663">
        <v>362.9</v>
      </c>
      <c r="AZ104" s="663">
        <v>351.9</v>
      </c>
      <c r="BA104" s="663">
        <v>353.7</v>
      </c>
      <c r="BB104" s="663">
        <v>372.7</v>
      </c>
      <c r="BC104" s="662">
        <f>BB104</f>
        <v>372.7</v>
      </c>
      <c r="BD104" s="663">
        <v>359.1</v>
      </c>
      <c r="BE104" s="134">
        <v>369.8</v>
      </c>
      <c r="BF104" s="663">
        <v>388.8</v>
      </c>
      <c r="BG104" s="663">
        <v>416.2</v>
      </c>
      <c r="BH104" s="662">
        <f>BG104</f>
        <v>416.2</v>
      </c>
      <c r="BI104" s="663">
        <v>405.5</v>
      </c>
      <c r="BJ104" s="36">
        <v>1768.5</v>
      </c>
      <c r="BK104" s="663">
        <v>1710.2</v>
      </c>
      <c r="BL104" s="663">
        <v>1634.3</v>
      </c>
      <c r="BM104" s="662">
        <f>BL104</f>
        <v>1634.3</v>
      </c>
      <c r="BN104" s="663">
        <v>1679.7</v>
      </c>
      <c r="BO104" s="36">
        <v>1663.6</v>
      </c>
      <c r="BP104" s="36">
        <v>1629.2</v>
      </c>
      <c r="BQ104" s="663">
        <v>1658.9</v>
      </c>
      <c r="BR104" s="662">
        <f>BQ104</f>
        <v>1658.9</v>
      </c>
      <c r="BS104" s="663">
        <v>1659.4</v>
      </c>
      <c r="BT104" s="663">
        <v>1644.1</v>
      </c>
      <c r="BU104" s="663">
        <v>1639.9</v>
      </c>
      <c r="BV104" s="663">
        <v>1584</v>
      </c>
      <c r="BW104" s="662">
        <f>BV104</f>
        <v>1584</v>
      </c>
      <c r="BX104" s="663">
        <v>1510.2</v>
      </c>
      <c r="BY104" s="663">
        <v>1411.9</v>
      </c>
      <c r="BZ104" s="663">
        <v>1343.1</v>
      </c>
      <c r="CA104" s="663">
        <v>1291.3</v>
      </c>
      <c r="CB104" s="662">
        <f>CA104</f>
        <v>1291.3</v>
      </c>
      <c r="CC104" s="663">
        <v>1259.7</v>
      </c>
      <c r="CD104" s="663">
        <v>1249.0999999999999</v>
      </c>
      <c r="CE104" s="663">
        <v>1255.5</v>
      </c>
      <c r="CF104" s="663">
        <v>1273.5999999999999</v>
      </c>
      <c r="CG104" s="662">
        <f>CF104</f>
        <v>1273.5999999999999</v>
      </c>
      <c r="CH104" s="663">
        <v>1277.8</v>
      </c>
      <c r="CI104" s="663">
        <v>1255.2</v>
      </c>
      <c r="CJ104" s="663">
        <v>1266.5999999999999</v>
      </c>
      <c r="CK104" s="663">
        <f>551.3+814.9</f>
        <v>1366.1999999999998</v>
      </c>
      <c r="CL104" s="662">
        <f>CK104</f>
        <v>1366.1999999999998</v>
      </c>
      <c r="CM104" s="659">
        <f>CK104-CM145-(CM140+CM31)</f>
        <v>1362.0219999999997</v>
      </c>
      <c r="CN104" s="659">
        <f>CM104-CN145-(CN140+CN31)</f>
        <v>1368.5209999999997</v>
      </c>
      <c r="CO104" s="659">
        <f>CN104-CO145-(CO140+CO31)</f>
        <v>1387.9389999999994</v>
      </c>
      <c r="CP104" s="659">
        <f>CO104-CP145-(CP140+CP31)</f>
        <v>1417.7099999999994</v>
      </c>
      <c r="CQ104" s="662">
        <f>CP104</f>
        <v>1417.7099999999994</v>
      </c>
      <c r="CR104" s="659">
        <f>CP104-CR145-(CR140+CR31)</f>
        <v>1402.1674599999992</v>
      </c>
      <c r="CS104" s="659">
        <f>CR104-CS145-(CS140+CS31)</f>
        <v>1397.9099299999993</v>
      </c>
      <c r="CT104" s="659">
        <f>CS104-CT145-(CT140+CT31)</f>
        <v>1407.2214699999993</v>
      </c>
      <c r="CU104" s="659">
        <f>CT104-CU145-(CU140+CU31)</f>
        <v>1427.5766999999992</v>
      </c>
      <c r="CV104" s="662">
        <f>CU104</f>
        <v>1427.5766999999992</v>
      </c>
      <c r="CW104" s="659">
        <f>CU104-CW145-(CW140+CW31)</f>
        <v>1400.3767737999992</v>
      </c>
      <c r="CX104" s="659">
        <f>CW104-CX145-(CX140+CX31)</f>
        <v>1385.1024928999993</v>
      </c>
      <c r="CY104" s="659">
        <f>CX104-CY145-(CY140+CY31)</f>
        <v>1384.079979099999</v>
      </c>
      <c r="CZ104" s="659">
        <f>CY104-CZ145-(CZ140+CZ31)</f>
        <v>1394.831570999999</v>
      </c>
      <c r="DA104" s="662">
        <f>CZ104</f>
        <v>1394.831570999999</v>
      </c>
      <c r="DB104" s="659">
        <f>CZ104-DB145-(DB140+DB31)</f>
        <v>1355.6750315139989</v>
      </c>
      <c r="DC104" s="659">
        <f>DB104-DC145-(DC140+DC31)</f>
        <v>1329.119095936999</v>
      </c>
      <c r="DD104" s="659">
        <f>DC104-DD145-(DD140+DD31)</f>
        <v>1317.5318867229989</v>
      </c>
      <c r="DE104" s="659">
        <f>DD104-DE145-(DE140+DE31)</f>
        <v>1318.4910666299988</v>
      </c>
      <c r="DF104" s="662">
        <f>DE104</f>
        <v>1318.4910666299988</v>
      </c>
      <c r="DG104"/>
      <c r="DH104"/>
      <c r="DI104"/>
      <c r="DJ104"/>
      <c r="DK104"/>
      <c r="DL104"/>
      <c r="DM104"/>
      <c r="DN104"/>
    </row>
    <row r="105" spans="1:118" x14ac:dyDescent="0.2">
      <c r="B105" s="721" t="s">
        <v>104</v>
      </c>
      <c r="D105" s="34"/>
      <c r="E105" s="34">
        <f>967.017+157.094</f>
        <v>1124.1110000000001</v>
      </c>
      <c r="F105" s="35">
        <f>967.981+160.134</f>
        <v>1128.115</v>
      </c>
      <c r="G105" s="36">
        <f>960.625+156.49</f>
        <v>1117.115</v>
      </c>
      <c r="H105" s="36">
        <f>951.273+164.274</f>
        <v>1115.547</v>
      </c>
      <c r="I105" s="425">
        <v>1107.6289999999999</v>
      </c>
      <c r="J105" s="28">
        <f>I105</f>
        <v>1107.6289999999999</v>
      </c>
      <c r="K105" s="35">
        <f>967.263+169.674</f>
        <v>1136.9370000000001</v>
      </c>
      <c r="L105" s="36">
        <f>1358.385+251.031</f>
        <v>1609.4159999999999</v>
      </c>
      <c r="M105" s="36">
        <f>1381.833+251.926</f>
        <v>1633.759</v>
      </c>
      <c r="N105" s="425">
        <v>1629.547</v>
      </c>
      <c r="O105" s="28">
        <f>N105</f>
        <v>1629.547</v>
      </c>
      <c r="P105" s="35">
        <f>1379.489+247.506</f>
        <v>1626.9950000000001</v>
      </c>
      <c r="Q105" s="36">
        <f>1420.752+241.189</f>
        <v>1661.941</v>
      </c>
      <c r="R105" s="36">
        <f>1420.582+235.762</f>
        <v>1656.3440000000001</v>
      </c>
      <c r="S105" s="425">
        <v>1653.5519999999999</v>
      </c>
      <c r="T105" s="28">
        <f>S105</f>
        <v>1653.5519999999999</v>
      </c>
      <c r="U105" s="36">
        <f>1699.01+259.056</f>
        <v>1958.066</v>
      </c>
      <c r="V105" s="36">
        <f>1705.649+251.073</f>
        <v>1956.722</v>
      </c>
      <c r="W105" s="36">
        <f>1706.842+244.63</f>
        <v>1951.4720000000002</v>
      </c>
      <c r="X105" s="134">
        <f>1709+245</f>
        <v>1954</v>
      </c>
      <c r="Y105" s="33">
        <f>X105</f>
        <v>1954</v>
      </c>
      <c r="Z105" s="36">
        <f>1707.674+237.929</f>
        <v>1945.6030000000001</v>
      </c>
      <c r="AA105" s="36">
        <f>1707.382+230.163</f>
        <v>1937.5450000000001</v>
      </c>
      <c r="AB105" s="134">
        <v>1708.3320000000001</v>
      </c>
      <c r="AC105" s="134">
        <f>2700.1+303.3</f>
        <v>3003.4</v>
      </c>
      <c r="AD105" s="33">
        <f>AC105</f>
        <v>3003.4</v>
      </c>
      <c r="AE105" s="134">
        <f>2703.9+293.2</f>
        <v>2997.1</v>
      </c>
      <c r="AF105" s="36">
        <f>2712.4+282.9</f>
        <v>2995.3</v>
      </c>
      <c r="AG105" s="134">
        <f>2686.8+389.5</f>
        <v>3076.3</v>
      </c>
      <c r="AH105" s="134">
        <f>2686+378.4</f>
        <v>3064.4</v>
      </c>
      <c r="AI105" s="33">
        <f>AH105</f>
        <v>3064.4</v>
      </c>
      <c r="AJ105" s="36">
        <f>2686+368.5</f>
        <v>3054.5</v>
      </c>
      <c r="AK105" s="134">
        <f>2688+360.5</f>
        <v>3048.5</v>
      </c>
      <c r="AL105" s="134">
        <f>2689.5+350.9</f>
        <v>3040.4</v>
      </c>
      <c r="AM105" s="134">
        <f>2695.3+342</f>
        <v>3037.3</v>
      </c>
      <c r="AN105" s="33">
        <f>AM105</f>
        <v>3037.3</v>
      </c>
      <c r="AO105" s="36">
        <f>2694.2+332.5</f>
        <v>3026.7</v>
      </c>
      <c r="AP105" s="36">
        <f>2694+323.5</f>
        <v>3017.5</v>
      </c>
      <c r="AQ105" s="134">
        <f>2905.8+342.8</f>
        <v>3248.6000000000004</v>
      </c>
      <c r="AR105" s="36">
        <f>2881.1+332.6</f>
        <v>3213.7</v>
      </c>
      <c r="AS105" s="28">
        <f>AR105</f>
        <v>3213.7</v>
      </c>
      <c r="AT105" s="36">
        <f>2880.9+323</f>
        <v>3203.9</v>
      </c>
      <c r="AU105" s="36">
        <f>2882.4+327</f>
        <v>3209.4</v>
      </c>
      <c r="AV105" s="134">
        <f>2870.3+317.2</f>
        <v>3187.5</v>
      </c>
      <c r="AW105" s="134">
        <f>5519.2+1882.6</f>
        <v>7401.7999999999993</v>
      </c>
      <c r="AX105" s="33">
        <f>AW105</f>
        <v>7401.7999999999993</v>
      </c>
      <c r="AY105" s="134">
        <f>5521.4+1842.5</f>
        <v>7363.9</v>
      </c>
      <c r="AZ105" s="134">
        <f>5490.3+1800.7</f>
        <v>7291</v>
      </c>
      <c r="BA105" s="134">
        <f>5490.7+1764.5</f>
        <v>7255.2</v>
      </c>
      <c r="BB105" s="134">
        <f>5486.2+1725</f>
        <v>7211.2</v>
      </c>
      <c r="BC105" s="33">
        <f>BB105</f>
        <v>7211.2</v>
      </c>
      <c r="BD105" s="134">
        <f>5486.9+1685.3</f>
        <v>7172.2</v>
      </c>
      <c r="BE105" s="134">
        <f>5486.8+1656.2</f>
        <v>7143</v>
      </c>
      <c r="BF105" s="134">
        <f>5485.4+1665.8</f>
        <v>7151.2</v>
      </c>
      <c r="BG105" s="134">
        <f>5485.7+1620.9</f>
        <v>7106.6</v>
      </c>
      <c r="BH105" s="33">
        <f>BG105</f>
        <v>7106.6</v>
      </c>
      <c r="BI105" s="134">
        <v>5486.3</v>
      </c>
      <c r="BJ105" s="36">
        <f>29358.6+17203.4</f>
        <v>46562</v>
      </c>
      <c r="BK105" s="134">
        <f>29367.5+16735.9</f>
        <v>46103.4</v>
      </c>
      <c r="BL105" s="134">
        <f>29359.8+16037.9</f>
        <v>45397.7</v>
      </c>
      <c r="BM105" s="33">
        <f>BL105</f>
        <v>45397.7</v>
      </c>
      <c r="BN105" s="134">
        <f>29346+15531.3</f>
        <v>44877.3</v>
      </c>
      <c r="BO105" s="36">
        <f>29345.2+15021.3</f>
        <v>44366.5</v>
      </c>
      <c r="BP105" s="36">
        <f>29306.3+14525.9</f>
        <v>43832.2</v>
      </c>
      <c r="BQ105" s="134">
        <f>29305.4+14015.6</f>
        <v>43321</v>
      </c>
      <c r="BR105" s="33">
        <f>BQ105</f>
        <v>43321</v>
      </c>
      <c r="BS105" s="134">
        <f>29304.6+13570.7</f>
        <v>42875.3</v>
      </c>
      <c r="BT105" s="134">
        <f>29305.5+13142.2</f>
        <v>42447.7</v>
      </c>
      <c r="BU105" s="134">
        <f>29304.3+12695.6</f>
        <v>41999.9</v>
      </c>
      <c r="BV105" s="134">
        <f>29280.9+12255.2</f>
        <v>41536.100000000006</v>
      </c>
      <c r="BW105" s="33">
        <f>BV105</f>
        <v>41536.100000000006</v>
      </c>
      <c r="BX105" s="134">
        <f>29279.1+11818.2</f>
        <v>41097.300000000003</v>
      </c>
      <c r="BY105" s="134">
        <f>29279.6+11400.6</f>
        <v>40680.199999999997</v>
      </c>
      <c r="BZ105" s="134">
        <f>29277.9+10961.5</f>
        <v>40239.4</v>
      </c>
      <c r="CA105" s="134">
        <f>29277.3+10469.7</f>
        <v>39747</v>
      </c>
      <c r="CB105" s="33">
        <f>CA105</f>
        <v>39747</v>
      </c>
      <c r="CC105" s="134">
        <f>29278.6+10026.5</f>
        <v>39305.1</v>
      </c>
      <c r="CD105" s="134">
        <f>29278.6+9562.8</f>
        <v>38841.399999999994</v>
      </c>
      <c r="CE105" s="134">
        <f>29278.3+9099.1</f>
        <v>38377.4</v>
      </c>
      <c r="CF105" s="134">
        <f>29277.8+8636.9</f>
        <v>37914.699999999997</v>
      </c>
      <c r="CG105" s="33">
        <f>CF105</f>
        <v>37914.699999999997</v>
      </c>
      <c r="CH105" s="134">
        <f>29278+8274.5</f>
        <v>37552.5</v>
      </c>
      <c r="CI105" s="134">
        <f>29425.5+8063.9</f>
        <v>37489.4</v>
      </c>
      <c r="CJ105" s="134">
        <f>29424.8+7697.8</f>
        <v>37122.6</v>
      </c>
      <c r="CK105" s="134">
        <f>31099.7+9625.9</f>
        <v>40725.599999999999</v>
      </c>
      <c r="CL105" s="33">
        <f>CK105</f>
        <v>40725.599999999999</v>
      </c>
      <c r="CM105" s="32">
        <f>CK105+CM31</f>
        <v>40318.9</v>
      </c>
      <c r="CN105" s="32">
        <f>CM105+CN31</f>
        <v>39912.200000000004</v>
      </c>
      <c r="CO105" s="32">
        <f>CN105+CO31</f>
        <v>39505.500000000007</v>
      </c>
      <c r="CP105" s="32">
        <f>CO105+CP31</f>
        <v>39098.80000000001</v>
      </c>
      <c r="CQ105" s="33">
        <f>CP105</f>
        <v>39098.80000000001</v>
      </c>
      <c r="CR105" s="32">
        <f>CP105+CR31</f>
        <v>38692.100000000013</v>
      </c>
      <c r="CS105" s="32">
        <f>CR105+CS31</f>
        <v>38285.400000000016</v>
      </c>
      <c r="CT105" s="32">
        <f>CS105+CT31</f>
        <v>37878.700000000019</v>
      </c>
      <c r="CU105" s="32">
        <f>CT105+CU31</f>
        <v>37472.000000000022</v>
      </c>
      <c r="CV105" s="33">
        <f>CU105</f>
        <v>37472.000000000022</v>
      </c>
      <c r="CW105" s="32">
        <f>CU105+CW31</f>
        <v>37065.300000000025</v>
      </c>
      <c r="CX105" s="32">
        <f>CW105+CX31</f>
        <v>36658.600000000028</v>
      </c>
      <c r="CY105" s="32">
        <f>CX105+CY31</f>
        <v>36251.900000000031</v>
      </c>
      <c r="CZ105" s="32">
        <f>CY105+CZ31</f>
        <v>35845.200000000033</v>
      </c>
      <c r="DA105" s="33">
        <f>CZ105</f>
        <v>35845.200000000033</v>
      </c>
      <c r="DB105" s="32">
        <f>CZ105+DB31</f>
        <v>35438.500000000036</v>
      </c>
      <c r="DC105" s="32">
        <f>DB105+DC31</f>
        <v>35031.800000000039</v>
      </c>
      <c r="DD105" s="32">
        <f>DC105+DD31</f>
        <v>34625.100000000042</v>
      </c>
      <c r="DE105" s="32">
        <f>DD105+DE31</f>
        <v>34218.400000000045</v>
      </c>
      <c r="DF105" s="33">
        <f>DE105</f>
        <v>34218.400000000045</v>
      </c>
    </row>
    <row r="106" spans="1:118" x14ac:dyDescent="0.2">
      <c r="B106" s="721" t="s">
        <v>105</v>
      </c>
      <c r="D106" s="34"/>
      <c r="E106" s="34">
        <v>6.6550000000000002</v>
      </c>
      <c r="F106" s="35">
        <v>9.7539999999999996</v>
      </c>
      <c r="G106" s="36">
        <v>16.725999999999999</v>
      </c>
      <c r="H106" s="36">
        <v>17.777000000000001</v>
      </c>
      <c r="I106" s="425">
        <v>14.15</v>
      </c>
      <c r="J106" s="28">
        <f>I106</f>
        <v>14.15</v>
      </c>
      <c r="K106" s="35">
        <v>17.327000000000002</v>
      </c>
      <c r="L106" s="36">
        <v>18.042999999999999</v>
      </c>
      <c r="M106" s="36">
        <v>16.143999999999998</v>
      </c>
      <c r="N106" s="425">
        <v>14.651</v>
      </c>
      <c r="O106" s="28">
        <f>N106</f>
        <v>14.651</v>
      </c>
      <c r="P106" s="35">
        <v>16.207999999999998</v>
      </c>
      <c r="Q106" s="36">
        <v>18.814</v>
      </c>
      <c r="R106" s="36">
        <v>20.09</v>
      </c>
      <c r="S106" s="425">
        <v>18.175000000000001</v>
      </c>
      <c r="T106" s="28">
        <f>S106</f>
        <v>18.175000000000001</v>
      </c>
      <c r="U106" s="36">
        <v>21.847000000000001</v>
      </c>
      <c r="V106" s="36">
        <v>31.841999999999999</v>
      </c>
      <c r="W106" s="36">
        <v>34.837000000000003</v>
      </c>
      <c r="X106" s="134">
        <v>22</v>
      </c>
      <c r="Y106" s="33">
        <f>X106</f>
        <v>22</v>
      </c>
      <c r="Z106" s="36">
        <v>21.427</v>
      </c>
      <c r="AA106" s="36">
        <v>23.58</v>
      </c>
      <c r="AB106" s="134">
        <f>222.953+25.954</f>
        <v>248.90700000000001</v>
      </c>
      <c r="AC106" s="134">
        <v>31.4</v>
      </c>
      <c r="AD106" s="33">
        <f>AC106</f>
        <v>31.4</v>
      </c>
      <c r="AE106" s="134">
        <v>28.6</v>
      </c>
      <c r="AF106" s="36">
        <v>31.2</v>
      </c>
      <c r="AG106" s="134">
        <v>31.4</v>
      </c>
      <c r="AH106" s="134">
        <v>70.2</v>
      </c>
      <c r="AI106" s="33">
        <f>AH106</f>
        <v>70.2</v>
      </c>
      <c r="AJ106" s="36">
        <v>72.7</v>
      </c>
      <c r="AK106" s="134">
        <v>41.1</v>
      </c>
      <c r="AL106" s="134">
        <v>43.6</v>
      </c>
      <c r="AM106" s="134">
        <f>30.2+5.6</f>
        <v>35.799999999999997</v>
      </c>
      <c r="AN106" s="33">
        <f>AM106</f>
        <v>35.799999999999997</v>
      </c>
      <c r="AO106" s="36">
        <f>28.4+7.6</f>
        <v>36</v>
      </c>
      <c r="AP106" s="36">
        <v>38.4</v>
      </c>
      <c r="AQ106" s="134">
        <f>36.8</f>
        <v>36.799999999999997</v>
      </c>
      <c r="AR106" s="36">
        <v>29.5</v>
      </c>
      <c r="AS106" s="28">
        <f>AR106</f>
        <v>29.5</v>
      </c>
      <c r="AT106" s="36">
        <v>28.4</v>
      </c>
      <c r="AU106" s="36">
        <v>31</v>
      </c>
      <c r="AV106" s="134">
        <v>32.9</v>
      </c>
      <c r="AW106" s="134">
        <v>31.8</v>
      </c>
      <c r="AX106" s="33">
        <f>AW106</f>
        <v>31.8</v>
      </c>
      <c r="AY106" s="134">
        <v>32.5</v>
      </c>
      <c r="AZ106" s="134">
        <f>31.7+1.6</f>
        <v>33.299999999999997</v>
      </c>
      <c r="BA106" s="134">
        <v>31.8</v>
      </c>
      <c r="BB106" s="134">
        <v>32.6</v>
      </c>
      <c r="BC106" s="33">
        <f>BB106</f>
        <v>32.6</v>
      </c>
      <c r="BD106" s="134">
        <v>28.6</v>
      </c>
      <c r="BE106" s="134">
        <v>28.6</v>
      </c>
      <c r="BF106" s="134">
        <v>25.3</v>
      </c>
      <c r="BG106" s="134">
        <v>26.2</v>
      </c>
      <c r="BH106" s="33">
        <f>BG106</f>
        <v>26.2</v>
      </c>
      <c r="BI106" s="134">
        <f>1587.2+25.1</f>
        <v>1612.3</v>
      </c>
      <c r="BJ106" s="36">
        <v>66.7</v>
      </c>
      <c r="BK106" s="134">
        <v>61.6</v>
      </c>
      <c r="BL106" s="134">
        <f>56.6+265.7</f>
        <v>322.3</v>
      </c>
      <c r="BM106" s="33">
        <f>BL106</f>
        <v>322.3</v>
      </c>
      <c r="BN106" s="134">
        <f>65.1+255.7</f>
        <v>320.79999999999995</v>
      </c>
      <c r="BO106" s="36">
        <f>60.2+188.4</f>
        <v>248.60000000000002</v>
      </c>
      <c r="BP106" s="36">
        <f>56.6+20.8</f>
        <v>77.400000000000006</v>
      </c>
      <c r="BQ106" s="134">
        <f>76.9+22.8</f>
        <v>99.7</v>
      </c>
      <c r="BR106" s="33">
        <f>BQ106</f>
        <v>99.7</v>
      </c>
      <c r="BS106" s="134">
        <v>78</v>
      </c>
      <c r="BT106" s="134">
        <f>89.6+20.6</f>
        <v>110.19999999999999</v>
      </c>
      <c r="BU106" s="134">
        <v>94.7</v>
      </c>
      <c r="BV106" s="134">
        <v>110.7</v>
      </c>
      <c r="BW106" s="33">
        <f>BV106</f>
        <v>110.7</v>
      </c>
      <c r="BX106" s="134">
        <v>126.1</v>
      </c>
      <c r="BY106" s="134">
        <v>138</v>
      </c>
      <c r="BZ106" s="134">
        <v>139.6</v>
      </c>
      <c r="CA106" s="134">
        <v>145.5</v>
      </c>
      <c r="CB106" s="33">
        <f>CA106</f>
        <v>145.5</v>
      </c>
      <c r="CC106" s="134">
        <v>143</v>
      </c>
      <c r="CD106" s="134">
        <v>153.6</v>
      </c>
      <c r="CE106" s="134">
        <v>153.4</v>
      </c>
      <c r="CF106" s="134">
        <v>193.2</v>
      </c>
      <c r="CG106" s="33">
        <f>CF106</f>
        <v>193.2</v>
      </c>
      <c r="CH106" s="134">
        <v>136.5</v>
      </c>
      <c r="CI106" s="134">
        <v>132</v>
      </c>
      <c r="CJ106" s="134">
        <v>138</v>
      </c>
      <c r="CK106" s="134">
        <v>206.9</v>
      </c>
      <c r="CL106" s="33">
        <f>CK106</f>
        <v>206.9</v>
      </c>
      <c r="CM106" s="32">
        <f>CK106</f>
        <v>206.9</v>
      </c>
      <c r="CN106" s="32">
        <f>CM106</f>
        <v>206.9</v>
      </c>
      <c r="CO106" s="32">
        <f>CN106</f>
        <v>206.9</v>
      </c>
      <c r="CP106" s="32">
        <f>CO106</f>
        <v>206.9</v>
      </c>
      <c r="CQ106" s="33">
        <f>CP106</f>
        <v>206.9</v>
      </c>
      <c r="CR106" s="32">
        <f>CP106</f>
        <v>206.9</v>
      </c>
      <c r="CS106" s="32">
        <f>CR106</f>
        <v>206.9</v>
      </c>
      <c r="CT106" s="32">
        <f>CS106</f>
        <v>206.9</v>
      </c>
      <c r="CU106" s="32">
        <f>CT106</f>
        <v>206.9</v>
      </c>
      <c r="CV106" s="33">
        <f>CU106</f>
        <v>206.9</v>
      </c>
      <c r="CW106" s="32">
        <f>CU106</f>
        <v>206.9</v>
      </c>
      <c r="CX106" s="32">
        <f>CW106</f>
        <v>206.9</v>
      </c>
      <c r="CY106" s="32">
        <f>CX106</f>
        <v>206.9</v>
      </c>
      <c r="CZ106" s="32">
        <f>CY106</f>
        <v>206.9</v>
      </c>
      <c r="DA106" s="33">
        <f>CZ106</f>
        <v>206.9</v>
      </c>
      <c r="DB106" s="32">
        <f>CZ106</f>
        <v>206.9</v>
      </c>
      <c r="DC106" s="32">
        <f>DB106</f>
        <v>206.9</v>
      </c>
      <c r="DD106" s="32">
        <f>DC106</f>
        <v>206.9</v>
      </c>
      <c r="DE106" s="32">
        <f>DD106</f>
        <v>206.9</v>
      </c>
      <c r="DF106" s="33">
        <f>DE106</f>
        <v>206.9</v>
      </c>
    </row>
    <row r="107" spans="1:118" s="1761" customFormat="1" x14ac:dyDescent="0.2">
      <c r="A107" s="1755"/>
      <c r="B107" s="743" t="s">
        <v>106</v>
      </c>
      <c r="C107" s="161"/>
      <c r="D107" s="1756"/>
      <c r="E107" s="1756">
        <f t="shared" ref="E107:AF107" si="367">E96+E97+E98+E99+E100+E104+E105+E106</f>
        <v>2276.6440000000002</v>
      </c>
      <c r="F107" s="1757">
        <f t="shared" si="367"/>
        <v>2279.7069999999999</v>
      </c>
      <c r="G107" s="1758">
        <f t="shared" si="367"/>
        <v>2357.5239999999999</v>
      </c>
      <c r="H107" s="1758">
        <f t="shared" si="367"/>
        <v>2360.2979999999998</v>
      </c>
      <c r="I107" s="1759">
        <f t="shared" si="367"/>
        <v>2500.2449999999994</v>
      </c>
      <c r="J107" s="1756">
        <f t="shared" si="367"/>
        <v>2500.2449999999994</v>
      </c>
      <c r="K107" s="1757">
        <f t="shared" si="367"/>
        <v>2507.5120000000006</v>
      </c>
      <c r="L107" s="1758">
        <f t="shared" si="367"/>
        <v>3195.7159999999999</v>
      </c>
      <c r="M107" s="1758">
        <f t="shared" si="367"/>
        <v>3124.0659999999998</v>
      </c>
      <c r="N107" s="1759">
        <f t="shared" si="367"/>
        <v>3206.9919999999993</v>
      </c>
      <c r="O107" s="1756">
        <f t="shared" si="367"/>
        <v>3206.9919999999993</v>
      </c>
      <c r="P107" s="1757">
        <f t="shared" si="367"/>
        <v>3354.2869999999998</v>
      </c>
      <c r="Q107" s="1758">
        <f t="shared" si="367"/>
        <v>3242.1429999999996</v>
      </c>
      <c r="R107" s="1758">
        <f t="shared" si="367"/>
        <v>3294.7910000000002</v>
      </c>
      <c r="S107" s="1759">
        <f t="shared" si="367"/>
        <v>3409.174</v>
      </c>
      <c r="T107" s="1756">
        <f t="shared" si="367"/>
        <v>3409.174</v>
      </c>
      <c r="U107" s="1758">
        <f t="shared" si="367"/>
        <v>3719.6420000000003</v>
      </c>
      <c r="V107" s="1758">
        <f t="shared" si="367"/>
        <v>3544.6550000000002</v>
      </c>
      <c r="W107" s="1758">
        <f t="shared" si="367"/>
        <v>3592.5750000000003</v>
      </c>
      <c r="X107" s="1759">
        <f t="shared" si="367"/>
        <v>3600</v>
      </c>
      <c r="Y107" s="1760">
        <f t="shared" si="367"/>
        <v>3600</v>
      </c>
      <c r="Z107" s="1758">
        <f t="shared" si="367"/>
        <v>3708.8380000000002</v>
      </c>
      <c r="AA107" s="1758">
        <f t="shared" si="367"/>
        <v>3838.7640000000001</v>
      </c>
      <c r="AB107" s="1759">
        <f t="shared" si="367"/>
        <v>3743.1910000000003</v>
      </c>
      <c r="AC107" s="1759">
        <f t="shared" si="367"/>
        <v>5493.5</v>
      </c>
      <c r="AD107" s="1760">
        <f t="shared" si="367"/>
        <v>5493.5</v>
      </c>
      <c r="AE107" s="1759">
        <f t="shared" si="367"/>
        <v>5430.8000000000011</v>
      </c>
      <c r="AF107" s="1759">
        <f t="shared" si="367"/>
        <v>5053.3999999999996</v>
      </c>
      <c r="AG107" s="1759">
        <f t="shared" ref="AG107:AL107" si="368">AG96+AG97+AG98+AG99+AG100+AG104+AG105+AG106</f>
        <v>5023.3999999999996</v>
      </c>
      <c r="AH107" s="1759">
        <f t="shared" si="368"/>
        <v>5108.1000000000004</v>
      </c>
      <c r="AI107" s="1760">
        <f t="shared" si="368"/>
        <v>5108.1000000000004</v>
      </c>
      <c r="AJ107" s="1759">
        <f t="shared" si="368"/>
        <v>5200.2</v>
      </c>
      <c r="AK107" s="1759">
        <f t="shared" si="368"/>
        <v>5032.9000000000005</v>
      </c>
      <c r="AL107" s="1759">
        <f t="shared" si="368"/>
        <v>4984</v>
      </c>
      <c r="AM107" s="1759">
        <f>AM96+AM97+AM98+AM99+AM100+AM104+AM105+AM106+AM101</f>
        <v>5256.4</v>
      </c>
      <c r="AN107" s="1760">
        <f>AN96+AN97+AN98+AN99+AN100+AN104+AN105+AN106+AN101</f>
        <v>5256.4</v>
      </c>
      <c r="AO107" s="1758">
        <f t="shared" ref="AO107:BM107" si="369">AO96+AO97+AO98+AO99+AO100+AO104+AO105+AO106</f>
        <v>5347.5</v>
      </c>
      <c r="AP107" s="1758">
        <f t="shared" si="369"/>
        <v>5080.5</v>
      </c>
      <c r="AQ107" s="1759">
        <f t="shared" si="369"/>
        <v>5299.3</v>
      </c>
      <c r="AR107" s="1758">
        <f t="shared" si="369"/>
        <v>5509.2</v>
      </c>
      <c r="AS107" s="1756">
        <f t="shared" si="369"/>
        <v>5509.2</v>
      </c>
      <c r="AT107" s="1758">
        <f t="shared" si="369"/>
        <v>5708.7</v>
      </c>
      <c r="AU107" s="1758">
        <f t="shared" si="369"/>
        <v>9804.1</v>
      </c>
      <c r="AV107" s="1758">
        <f t="shared" si="369"/>
        <v>10229.099999999999</v>
      </c>
      <c r="AW107" s="1759">
        <f t="shared" si="369"/>
        <v>11931.199999999999</v>
      </c>
      <c r="AX107" s="1760">
        <f t="shared" si="369"/>
        <v>11931.199999999999</v>
      </c>
      <c r="AY107" s="1759">
        <f t="shared" si="369"/>
        <v>11798.9</v>
      </c>
      <c r="AZ107" s="1759">
        <f t="shared" si="369"/>
        <v>11483.599999999999</v>
      </c>
      <c r="BA107" s="1759">
        <f t="shared" si="369"/>
        <v>10194.699999999999</v>
      </c>
      <c r="BB107" s="1759">
        <f t="shared" si="369"/>
        <v>10557.800000000001</v>
      </c>
      <c r="BC107" s="1760">
        <f t="shared" si="369"/>
        <v>10557.800000000001</v>
      </c>
      <c r="BD107" s="1759">
        <f t="shared" si="369"/>
        <v>10708.1</v>
      </c>
      <c r="BE107" s="1759">
        <f t="shared" si="369"/>
        <v>10237.9</v>
      </c>
      <c r="BF107" s="1759">
        <f t="shared" si="369"/>
        <v>10871.699999999999</v>
      </c>
      <c r="BG107" s="1759">
        <f t="shared" si="369"/>
        <v>15607.000000000002</v>
      </c>
      <c r="BH107" s="1760">
        <f t="shared" si="369"/>
        <v>15607.000000000002</v>
      </c>
      <c r="BI107" s="1759">
        <f t="shared" si="369"/>
        <v>19608.2</v>
      </c>
      <c r="BJ107" s="1758">
        <f t="shared" si="369"/>
        <v>58037.7</v>
      </c>
      <c r="BK107" s="1759">
        <f t="shared" si="369"/>
        <v>57302.400000000001</v>
      </c>
      <c r="BL107" s="1759">
        <f t="shared" si="369"/>
        <v>58111.199999999997</v>
      </c>
      <c r="BM107" s="1760">
        <f t="shared" si="369"/>
        <v>58111.199999999997</v>
      </c>
      <c r="BN107" s="1759">
        <f>BN96+BN97+BN98+BN99+BN100+BN104+BN105+BN106</f>
        <v>55585.700000000004</v>
      </c>
      <c r="BO107" s="1758">
        <f>BO96+BO97+BO98+BO99+BO100+BO104+BO105+BO106</f>
        <v>54581.5</v>
      </c>
      <c r="BP107" s="1758">
        <f>BP96+BP97+BP98+BP99+BP100+BP104+BP105+BP106</f>
        <v>54763</v>
      </c>
      <c r="BQ107" s="1759">
        <f>BQ96+BQ97+BQ98+BQ99+BQ100+BQ101+BQ104+BQ105+BQ106</f>
        <v>53548.2</v>
      </c>
      <c r="BR107" s="1760">
        <f>BR96+BR97+BR98+BR99+BR100+BR101+BR104+BR105+BR106</f>
        <v>53548.2</v>
      </c>
      <c r="BS107" s="1759">
        <f>SUM(BS96:BS106)</f>
        <v>52747.100000000006</v>
      </c>
      <c r="BT107" s="1759">
        <f>BT96+BT97+BT98+BT99+BT100+BT101+BT104+BT105+BT106+BT102</f>
        <v>54633.799999999996</v>
      </c>
      <c r="BU107" s="1759">
        <f t="shared" ref="BU107:CG107" si="370">BU96+BU97+BU98+BU99+BU100+BU101+BU104+BU105+BU106</f>
        <v>53439.199999999997</v>
      </c>
      <c r="BV107" s="1759">
        <f t="shared" si="370"/>
        <v>53798.9</v>
      </c>
      <c r="BW107" s="1760">
        <f t="shared" si="370"/>
        <v>53798.9</v>
      </c>
      <c r="BX107" s="1759">
        <f t="shared" si="370"/>
        <v>51905.1</v>
      </c>
      <c r="BY107" s="1759">
        <f>BY96+BY97+BY98+BY99+BY100+BY101+BY104+BY105+BY106</f>
        <v>51867.799999999996</v>
      </c>
      <c r="BZ107" s="1759">
        <f>BZ96+BZ97+BZ98+BZ99+BZ100+BZ101+BZ104+BZ105+BZ106</f>
        <v>51996.5</v>
      </c>
      <c r="CA107" s="1759">
        <f>CA96+CA97+CA98+CA99+CA100+CA101+CA104+CA105+CA106</f>
        <v>53243.3</v>
      </c>
      <c r="CB107" s="1760">
        <f t="shared" si="370"/>
        <v>53243.3</v>
      </c>
      <c r="CC107" s="1759">
        <f>CC96+CC97+CC98+CC99+CC100+CC101+CC104+CC105+CC106</f>
        <v>51107.6</v>
      </c>
      <c r="CD107" s="1759">
        <f>CD96+CD97+CD98+CD99+CD100+CD101+CD104+CD105+CD106</f>
        <v>50858.599999999991</v>
      </c>
      <c r="CE107" s="1759">
        <f>CE96+CE97+CE98+CE99+CE100+CE101+CE104+CE105+CE106</f>
        <v>50909.3</v>
      </c>
      <c r="CF107" s="1759">
        <f>CF96+CF97+CF98+CF99+CF100+CF101+CF104+CF105+CF106</f>
        <v>51744.899999999994</v>
      </c>
      <c r="CG107" s="1760">
        <f t="shared" si="370"/>
        <v>51744.899999999994</v>
      </c>
      <c r="CH107" s="1759">
        <f>CH96+CH97+CH98+CH99+CH100+CH101+CH104+CH105+CH106</f>
        <v>51056</v>
      </c>
      <c r="CI107" s="1759">
        <f>CI96+CI97+CI98+CI99+CI100+CI101+CI104+CI105+CI106</f>
        <v>50513.4</v>
      </c>
      <c r="CJ107" s="1759">
        <f>CJ96+CJ97+CJ98+CJ99+CJ100+CJ101+CJ104+CJ105+CJ106</f>
        <v>51206.2</v>
      </c>
      <c r="CK107" s="1759">
        <f>CK96+CK97+CK98+CK99+CK100+CK101+CK104+CK105+CK106</f>
        <v>54255.799999999996</v>
      </c>
      <c r="CL107" s="1760">
        <f t="shared" ref="CL107:CQ107" si="371">CL96+CL97+CL98+CL99+CL100+CL101+CL104+CL105+CL106</f>
        <v>54255.799999999996</v>
      </c>
      <c r="CM107" s="1759">
        <f t="shared" ca="1" si="371"/>
        <v>52456.81778743022</v>
      </c>
      <c r="CN107" s="1759">
        <f t="shared" ca="1" si="371"/>
        <v>53526.577205640329</v>
      </c>
      <c r="CO107" s="1759">
        <f t="shared" ca="1" si="371"/>
        <v>54774.589565862203</v>
      </c>
      <c r="CP107" s="1759">
        <f t="shared" ca="1" si="371"/>
        <v>55984.293483727655</v>
      </c>
      <c r="CQ107" s="1760">
        <f t="shared" ca="1" si="371"/>
        <v>55984.293483727655</v>
      </c>
      <c r="CR107" s="1759">
        <f t="shared" ref="CR107:CV107" ca="1" si="372">CR96+CR97+CR98+CR99+CR100+CR101+CR104+CR105+CR106</f>
        <v>57171.971058796182</v>
      </c>
      <c r="CS107" s="1759">
        <f t="shared" ca="1" si="372"/>
        <v>56995.47508064047</v>
      </c>
      <c r="CT107" s="1759">
        <f t="shared" ca="1" si="372"/>
        <v>58252.664680452042</v>
      </c>
      <c r="CU107" s="1759">
        <f t="shared" ca="1" si="372"/>
        <v>59411.101920839697</v>
      </c>
      <c r="CV107" s="1760">
        <f t="shared" ca="1" si="372"/>
        <v>59411.101920839697</v>
      </c>
      <c r="CW107" s="1759">
        <f t="shared" ref="CW107:DF107" ca="1" si="373">CW96+CW97+CW98+CW99+CW100+CW101+CW104+CW105+CW106</f>
        <v>58664.266739897554</v>
      </c>
      <c r="CX107" s="1759">
        <f t="shared" ca="1" si="373"/>
        <v>58338.684930476316</v>
      </c>
      <c r="CY107" s="1759">
        <f t="shared" ca="1" si="373"/>
        <v>59441.815841697258</v>
      </c>
      <c r="CZ107" s="1759">
        <f t="shared" ca="1" si="373"/>
        <v>60381.230956211301</v>
      </c>
      <c r="DA107" s="1760">
        <f t="shared" ca="1" si="373"/>
        <v>60381.230956211301</v>
      </c>
      <c r="DB107" s="1759">
        <f t="shared" ca="1" si="373"/>
        <v>59620.220345752408</v>
      </c>
      <c r="DC107" s="1759">
        <f t="shared" ca="1" si="373"/>
        <v>59141.57963274049</v>
      </c>
      <c r="DD107" s="1759">
        <f t="shared" ca="1" si="373"/>
        <v>60097.716203803531</v>
      </c>
      <c r="DE107" s="1759">
        <f t="shared" ca="1" si="373"/>
        <v>60865.803871713135</v>
      </c>
      <c r="DF107" s="1760">
        <f t="shared" ca="1" si="373"/>
        <v>60865.803871713135</v>
      </c>
      <c r="DG107"/>
      <c r="DH107"/>
      <c r="DI107"/>
      <c r="DJ107"/>
      <c r="DK107"/>
      <c r="DL107"/>
      <c r="DM107"/>
      <c r="DN107"/>
    </row>
    <row r="108" spans="1:118" x14ac:dyDescent="0.2">
      <c r="B108" s="721"/>
      <c r="D108" s="128"/>
      <c r="E108" s="128"/>
      <c r="F108" s="29"/>
      <c r="G108" s="30"/>
      <c r="H108" s="30"/>
      <c r="I108" s="31"/>
      <c r="J108" s="28"/>
      <c r="K108" s="29"/>
      <c r="L108" s="30"/>
      <c r="M108" s="30"/>
      <c r="N108" s="31"/>
      <c r="O108" s="28"/>
      <c r="P108" s="29"/>
      <c r="Q108" s="30"/>
      <c r="R108" s="30"/>
      <c r="S108" s="31"/>
      <c r="T108" s="28"/>
      <c r="U108" s="30"/>
      <c r="V108" s="30"/>
      <c r="W108" s="30"/>
      <c r="X108" s="32"/>
      <c r="Y108" s="33"/>
      <c r="Z108" s="30"/>
      <c r="AA108" s="30"/>
      <c r="AB108" s="32"/>
      <c r="AC108" s="32"/>
      <c r="AD108" s="33"/>
      <c r="AE108" s="32"/>
      <c r="AF108" s="32"/>
      <c r="AG108" s="32"/>
      <c r="AH108" s="32"/>
      <c r="AI108" s="33"/>
      <c r="AJ108" s="32"/>
      <c r="AK108" s="32"/>
      <c r="AL108" s="32"/>
      <c r="AM108" s="32"/>
      <c r="AN108" s="33"/>
      <c r="AO108" s="36"/>
      <c r="AP108" s="30"/>
      <c r="AQ108" s="32"/>
      <c r="AR108" s="30"/>
      <c r="AS108" s="28"/>
      <c r="AT108" s="30"/>
      <c r="AU108" s="30"/>
      <c r="AV108" s="32"/>
      <c r="AW108" s="32"/>
      <c r="AX108" s="33"/>
      <c r="AY108" s="32"/>
      <c r="AZ108" s="32"/>
      <c r="BA108" s="32"/>
      <c r="BB108" s="32"/>
      <c r="BC108" s="33"/>
      <c r="BD108" s="32"/>
      <c r="BE108" s="32"/>
      <c r="BF108" s="32"/>
      <c r="BG108" s="32"/>
      <c r="BH108" s="33"/>
      <c r="BI108" s="32"/>
      <c r="BJ108" s="30"/>
      <c r="BK108" s="32"/>
      <c r="BL108" s="32"/>
      <c r="BM108" s="33"/>
      <c r="BN108" s="32"/>
      <c r="BO108" s="30"/>
      <c r="BP108" s="30"/>
      <c r="BQ108" s="32"/>
      <c r="BR108" s="33"/>
      <c r="BS108" s="32"/>
      <c r="BT108" s="32"/>
      <c r="BU108" s="32"/>
      <c r="BV108" s="32"/>
      <c r="BW108" s="33"/>
      <c r="BX108" s="32"/>
      <c r="BY108" s="32"/>
      <c r="BZ108" s="32"/>
      <c r="CA108" s="32"/>
      <c r="CB108" s="33"/>
      <c r="CC108" s="32"/>
      <c r="CD108" s="32"/>
      <c r="CE108" s="32"/>
      <c r="CF108" s="32"/>
      <c r="CG108" s="33"/>
      <c r="CH108" s="32"/>
      <c r="CI108" s="32"/>
      <c r="CJ108" s="32"/>
      <c r="CK108" s="32"/>
      <c r="CL108" s="33"/>
      <c r="CM108" s="32"/>
      <c r="CN108" s="32"/>
      <c r="CO108" s="32"/>
      <c r="CP108" s="32"/>
      <c r="CQ108" s="33"/>
      <c r="CR108" s="32"/>
      <c r="CS108" s="32"/>
      <c r="CT108" s="32"/>
      <c r="CU108" s="32"/>
      <c r="CV108" s="33"/>
      <c r="CW108" s="32"/>
      <c r="CX108" s="32"/>
      <c r="CY108" s="32"/>
      <c r="CZ108" s="32"/>
      <c r="DA108" s="33"/>
      <c r="DB108" s="32"/>
      <c r="DC108" s="32"/>
      <c r="DD108" s="32"/>
      <c r="DE108" s="32"/>
      <c r="DF108" s="33"/>
    </row>
    <row r="109" spans="1:118" x14ac:dyDescent="0.2">
      <c r="B109" s="743" t="s">
        <v>107</v>
      </c>
      <c r="C109" s="161"/>
      <c r="D109" s="28"/>
      <c r="E109" s="28"/>
      <c r="F109" s="29"/>
      <c r="G109" s="30"/>
      <c r="H109" s="30"/>
      <c r="I109" s="31"/>
      <c r="J109" s="28"/>
      <c r="K109" s="29"/>
      <c r="L109" s="30"/>
      <c r="M109" s="30"/>
      <c r="N109" s="31"/>
      <c r="O109" s="28"/>
      <c r="P109" s="29"/>
      <c r="Q109" s="30"/>
      <c r="R109" s="30"/>
      <c r="S109" s="31"/>
      <c r="T109" s="28"/>
      <c r="U109" s="30"/>
      <c r="V109" s="30"/>
      <c r="W109" s="30"/>
      <c r="X109" s="32"/>
      <c r="Y109" s="33"/>
      <c r="Z109" s="30"/>
      <c r="AA109" s="30"/>
      <c r="AB109" s="32"/>
      <c r="AC109" s="32"/>
      <c r="AD109" s="33"/>
      <c r="AE109" s="32"/>
      <c r="AF109" s="32"/>
      <c r="AG109" s="32"/>
      <c r="AH109" s="32"/>
      <c r="AI109" s="33"/>
      <c r="AJ109" s="32"/>
      <c r="AK109" s="32"/>
      <c r="AL109" s="32"/>
      <c r="AM109" s="32"/>
      <c r="AN109" s="33"/>
      <c r="AO109" s="36"/>
      <c r="AP109" s="30"/>
      <c r="AQ109" s="32"/>
      <c r="AR109" s="30"/>
      <c r="AS109" s="28"/>
      <c r="AT109" s="30"/>
      <c r="AU109" s="30"/>
      <c r="AV109" s="32"/>
      <c r="AW109" s="32"/>
      <c r="AX109" s="33"/>
      <c r="AY109" s="32"/>
      <c r="AZ109" s="32"/>
      <c r="BA109" s="32"/>
      <c r="BB109" s="32"/>
      <c r="BC109" s="33"/>
      <c r="BD109" s="32"/>
      <c r="BE109" s="32"/>
      <c r="BF109" s="32"/>
      <c r="BG109" s="32"/>
      <c r="BH109" s="33"/>
      <c r="BI109" s="32"/>
      <c r="BJ109" s="30"/>
      <c r="BK109" s="32"/>
      <c r="BL109" s="32"/>
      <c r="BM109" s="33"/>
      <c r="BN109" s="32"/>
      <c r="BO109" s="30"/>
      <c r="BP109" s="30"/>
      <c r="BQ109" s="32"/>
      <c r="BR109" s="33"/>
      <c r="BS109" s="134"/>
      <c r="BT109" s="32"/>
      <c r="BU109" s="32"/>
      <c r="BV109" s="32"/>
      <c r="BW109" s="33"/>
      <c r="BX109" s="32"/>
      <c r="BY109" s="32"/>
      <c r="BZ109" s="32"/>
      <c r="CA109" s="32"/>
      <c r="CB109" s="33"/>
      <c r="CC109" s="32"/>
      <c r="CD109" s="32"/>
      <c r="CE109" s="32"/>
      <c r="CF109" s="32"/>
      <c r="CG109" s="33"/>
      <c r="CH109" s="32"/>
      <c r="CI109" s="32"/>
      <c r="CJ109" s="32"/>
      <c r="CK109" s="32"/>
      <c r="CL109" s="33"/>
      <c r="CM109" s="32"/>
      <c r="CN109" s="32"/>
      <c r="CO109" s="32"/>
      <c r="CP109" s="32"/>
      <c r="CQ109" s="33"/>
      <c r="CR109" s="32"/>
      <c r="CS109" s="32"/>
      <c r="CT109" s="32"/>
      <c r="CU109" s="32"/>
      <c r="CV109" s="33"/>
      <c r="CW109" s="32"/>
      <c r="CX109" s="32"/>
      <c r="CY109" s="32"/>
      <c r="CZ109" s="32"/>
      <c r="DA109" s="33"/>
      <c r="DB109" s="32"/>
      <c r="DC109" s="32"/>
      <c r="DD109" s="32"/>
      <c r="DE109" s="32"/>
      <c r="DF109" s="33"/>
    </row>
    <row r="110" spans="1:118" x14ac:dyDescent="0.2">
      <c r="B110" s="721" t="s">
        <v>108</v>
      </c>
      <c r="D110" s="34"/>
      <c r="E110" s="34">
        <v>94.406999999999996</v>
      </c>
      <c r="F110" s="35">
        <v>0</v>
      </c>
      <c r="G110" s="36">
        <v>0</v>
      </c>
      <c r="H110" s="36">
        <v>0</v>
      </c>
      <c r="I110" s="37">
        <v>181.78399999999999</v>
      </c>
      <c r="J110" s="28">
        <f>I110</f>
        <v>181.78399999999999</v>
      </c>
      <c r="K110" s="35">
        <v>0</v>
      </c>
      <c r="L110" s="36">
        <v>0</v>
      </c>
      <c r="M110" s="36">
        <v>245.29</v>
      </c>
      <c r="N110" s="37">
        <v>255.245</v>
      </c>
      <c r="O110" s="28">
        <f>N110</f>
        <v>255.245</v>
      </c>
      <c r="P110" s="35">
        <v>206.33600000000001</v>
      </c>
      <c r="Q110" s="36">
        <v>151.755</v>
      </c>
      <c r="R110" s="36">
        <v>196.21100000000001</v>
      </c>
      <c r="S110" s="37">
        <v>232.29</v>
      </c>
      <c r="T110" s="28">
        <f>S110</f>
        <v>232.29</v>
      </c>
      <c r="U110" s="36">
        <v>253.999</v>
      </c>
      <c r="V110" s="36">
        <v>285.697</v>
      </c>
      <c r="W110" s="36">
        <v>306.54700000000003</v>
      </c>
      <c r="X110" s="134">
        <v>323</v>
      </c>
      <c r="Y110" s="33">
        <f>X110</f>
        <v>323</v>
      </c>
      <c r="Z110" s="36">
        <v>348.35899999999998</v>
      </c>
      <c r="AA110" s="36">
        <v>353.28</v>
      </c>
      <c r="AB110" s="134">
        <v>350.34300000000002</v>
      </c>
      <c r="AC110" s="134">
        <v>596.5</v>
      </c>
      <c r="AD110" s="33">
        <f>AC110</f>
        <v>596.5</v>
      </c>
      <c r="AE110" s="134">
        <v>590</v>
      </c>
      <c r="AF110" s="134">
        <v>571.20000000000005</v>
      </c>
      <c r="AG110" s="134">
        <v>595.6</v>
      </c>
      <c r="AH110" s="134">
        <v>576.1</v>
      </c>
      <c r="AI110" s="33">
        <f>AH110</f>
        <v>576.1</v>
      </c>
      <c r="AJ110" s="134">
        <v>581.1</v>
      </c>
      <c r="AK110" s="134">
        <v>570.20000000000005</v>
      </c>
      <c r="AL110" s="134">
        <v>547.20000000000005</v>
      </c>
      <c r="AM110" s="134">
        <v>517.29999999999995</v>
      </c>
      <c r="AN110" s="33">
        <f>AM110</f>
        <v>517.29999999999995</v>
      </c>
      <c r="AO110" s="36">
        <v>532</v>
      </c>
      <c r="AP110" s="36">
        <v>508.5</v>
      </c>
      <c r="AQ110" s="134">
        <v>541.4</v>
      </c>
      <c r="AR110" s="36">
        <v>496.4</v>
      </c>
      <c r="AS110" s="28">
        <f>AR110</f>
        <v>496.4</v>
      </c>
      <c r="AT110" s="36">
        <v>490.9</v>
      </c>
      <c r="AU110" s="36">
        <v>480.4</v>
      </c>
      <c r="AV110" s="134">
        <v>585.1</v>
      </c>
      <c r="AW110" s="134">
        <v>706.9</v>
      </c>
      <c r="AX110" s="33">
        <f>AW110</f>
        <v>706.9</v>
      </c>
      <c r="AY110" s="134">
        <v>736.8</v>
      </c>
      <c r="AZ110" s="134">
        <v>723.7</v>
      </c>
      <c r="BA110" s="134">
        <v>686.1</v>
      </c>
      <c r="BB110" s="134">
        <v>656.7</v>
      </c>
      <c r="BC110" s="33">
        <f>BB110</f>
        <v>656.7</v>
      </c>
      <c r="BD110" s="134">
        <v>673.8</v>
      </c>
      <c r="BE110" s="134">
        <v>745.6</v>
      </c>
      <c r="BF110" s="134">
        <v>744.3</v>
      </c>
      <c r="BG110" s="134">
        <v>928.1</v>
      </c>
      <c r="BH110" s="33">
        <f>BG110</f>
        <v>928.1</v>
      </c>
      <c r="BI110" s="134">
        <v>1117.8</v>
      </c>
      <c r="BJ110" s="36">
        <v>2020.5</v>
      </c>
      <c r="BK110" s="134">
        <v>2139.4</v>
      </c>
      <c r="BL110" s="134">
        <v>2909.1</v>
      </c>
      <c r="BM110" s="33">
        <f>BL110</f>
        <v>2909.1</v>
      </c>
      <c r="BN110" s="134">
        <v>2573.6999999999998</v>
      </c>
      <c r="BO110" s="36">
        <v>2639.3</v>
      </c>
      <c r="BP110" s="36">
        <v>2573.4</v>
      </c>
      <c r="BQ110" s="134">
        <v>2900</v>
      </c>
      <c r="BR110" s="33">
        <f>BQ110</f>
        <v>2900</v>
      </c>
      <c r="BS110" s="134">
        <v>2830.4</v>
      </c>
      <c r="BT110" s="134">
        <v>2959.3</v>
      </c>
      <c r="BU110" s="134">
        <v>2971.5</v>
      </c>
      <c r="BV110" s="134">
        <v>3137.3</v>
      </c>
      <c r="BW110" s="33">
        <f>BV110</f>
        <v>3137.3</v>
      </c>
      <c r="BX110" s="134">
        <v>3038.5</v>
      </c>
      <c r="BY110" s="134">
        <v>3322.7</v>
      </c>
      <c r="BZ110" s="134">
        <v>3273</v>
      </c>
      <c r="CA110" s="134">
        <v>3451.8</v>
      </c>
      <c r="CB110" s="33">
        <f>CA110</f>
        <v>3451.8</v>
      </c>
      <c r="CC110" s="134">
        <v>3681.8</v>
      </c>
      <c r="CD110" s="134">
        <v>4197.3</v>
      </c>
      <c r="CE110" s="134">
        <v>3791.1</v>
      </c>
      <c r="CF110" s="134">
        <v>3875.7</v>
      </c>
      <c r="CG110" s="33">
        <f>CF110</f>
        <v>3875.7</v>
      </c>
      <c r="CH110" s="134">
        <v>3658</v>
      </c>
      <c r="CI110" s="134">
        <v>4383.6000000000004</v>
      </c>
      <c r="CJ110" s="134">
        <v>4377.8999999999996</v>
      </c>
      <c r="CK110" s="134">
        <v>3755.7</v>
      </c>
      <c r="CL110" s="33">
        <f>CK110</f>
        <v>3755.7</v>
      </c>
      <c r="CM110" s="32">
        <f ca="1">(CM129/365)*CM12*4</f>
        <v>3669.120331129544</v>
      </c>
      <c r="CN110" s="32">
        <f ca="1">(CN129/365)*CN12*4</f>
        <v>4379.8692666733259</v>
      </c>
      <c r="CO110" s="32">
        <f ca="1">(CO129/365)*CO12*4</f>
        <v>4509.4409581989648</v>
      </c>
      <c r="CP110" s="32">
        <f ca="1">(CP129/365)*CP12*4</f>
        <v>3857.8699137183121</v>
      </c>
      <c r="CQ110" s="33">
        <f ca="1">CP110</f>
        <v>3857.8699137183121</v>
      </c>
      <c r="CR110" s="32">
        <f ca="1">(CR129/365)*CR12*4</f>
        <v>3850.4232457205226</v>
      </c>
      <c r="CS110" s="32">
        <f ca="1">(CS129/365)*CS12*4</f>
        <v>4635.2957842698424</v>
      </c>
      <c r="CT110" s="32">
        <f ca="1">(CT129/365)*CT12*4</f>
        <v>4788.6760690225528</v>
      </c>
      <c r="CU110" s="32">
        <f ca="1">(CU129/365)*CU12*4</f>
        <v>4099.3344757926834</v>
      </c>
      <c r="CV110" s="33">
        <f ca="1">CU110</f>
        <v>4099.3344757926834</v>
      </c>
      <c r="CW110" s="32">
        <f ca="1">(CW129/365)*CW12*4</f>
        <v>3405.7960913093011</v>
      </c>
      <c r="CX110" s="32">
        <f ca="1">(CX129/365)*CX12*4</f>
        <v>4154.6696710827364</v>
      </c>
      <c r="CY110" s="32">
        <f ca="1">(CY129/365)*CY12*4</f>
        <v>4311.3478345634085</v>
      </c>
      <c r="CZ110" s="32">
        <f ca="1">(CZ129/365)*CZ12*4</f>
        <v>3644.8469100124867</v>
      </c>
      <c r="DA110" s="33">
        <f ca="1">CZ110</f>
        <v>3644.8469100124867</v>
      </c>
      <c r="DB110" s="32">
        <f ca="1">(DB129/365)*DB12*4</f>
        <v>3250.0913097116199</v>
      </c>
      <c r="DC110" s="32">
        <f ca="1">(DC129/365)*DC12*4</f>
        <v>3974.0719977425892</v>
      </c>
      <c r="DD110" s="32">
        <f ca="1">(DD129/365)*DD12*4</f>
        <v>4123.1358397567737</v>
      </c>
      <c r="DE110" s="32">
        <f ca="1">(DE129/365)*DE12*4</f>
        <v>3483.9208162257837</v>
      </c>
      <c r="DF110" s="33">
        <f ca="1">DE110</f>
        <v>3483.9208162257837</v>
      </c>
    </row>
    <row r="111" spans="1:118" x14ac:dyDescent="0.2">
      <c r="B111" s="721" t="s">
        <v>109</v>
      </c>
      <c r="D111" s="34"/>
      <c r="E111" s="34">
        <v>878.62199999999996</v>
      </c>
      <c r="F111" s="35">
        <v>846.63699999999994</v>
      </c>
      <c r="G111" s="36">
        <v>846.33799999999997</v>
      </c>
      <c r="H111" s="36">
        <v>831.60500000000002</v>
      </c>
      <c r="I111" s="37">
        <v>910.36</v>
      </c>
      <c r="J111" s="28">
        <f>I111</f>
        <v>910.36</v>
      </c>
      <c r="K111" s="35">
        <v>867.58500000000004</v>
      </c>
      <c r="L111" s="36">
        <v>1060.999</v>
      </c>
      <c r="M111" s="36">
        <v>1011.136</v>
      </c>
      <c r="N111" s="37">
        <v>1084.9059999999999</v>
      </c>
      <c r="O111" s="28">
        <f>N111</f>
        <v>1084.9059999999999</v>
      </c>
      <c r="P111" s="35">
        <v>1231.241</v>
      </c>
      <c r="Q111" s="36">
        <v>1195.511</v>
      </c>
      <c r="R111" s="36">
        <v>1155.1949999999999</v>
      </c>
      <c r="S111" s="37">
        <v>1178.3209999999999</v>
      </c>
      <c r="T111" s="28">
        <f>S111</f>
        <v>1178.3209999999999</v>
      </c>
      <c r="U111" s="36">
        <v>1224.384</v>
      </c>
      <c r="V111" s="36">
        <v>1169.021</v>
      </c>
      <c r="W111" s="36">
        <v>1178.1199999999999</v>
      </c>
      <c r="X111" s="134">
        <v>1237</v>
      </c>
      <c r="Y111" s="33">
        <f>X111</f>
        <v>1237</v>
      </c>
      <c r="Z111" s="36">
        <v>1213.001</v>
      </c>
      <c r="AA111" s="36">
        <v>1244.386</v>
      </c>
      <c r="AB111" s="134">
        <v>1246.8910000000001</v>
      </c>
      <c r="AC111" s="134">
        <v>1380</v>
      </c>
      <c r="AD111" s="33">
        <f>AC111</f>
        <v>1380</v>
      </c>
      <c r="AE111" s="134">
        <v>1232.4000000000001</v>
      </c>
      <c r="AF111" s="134">
        <v>1204.2</v>
      </c>
      <c r="AG111" s="134">
        <v>1201.0999999999999</v>
      </c>
      <c r="AH111" s="134">
        <v>1275.7</v>
      </c>
      <c r="AI111" s="33">
        <f>AH111</f>
        <v>1275.7</v>
      </c>
      <c r="AJ111" s="134">
        <v>1239</v>
      </c>
      <c r="AK111" s="134">
        <v>1198.3</v>
      </c>
      <c r="AL111" s="134">
        <v>1203.8</v>
      </c>
      <c r="AM111" s="134">
        <v>1258.9000000000001</v>
      </c>
      <c r="AN111" s="33">
        <f>AM111</f>
        <v>1258.9000000000001</v>
      </c>
      <c r="AO111" s="36">
        <v>1286.9000000000001</v>
      </c>
      <c r="AP111" s="36">
        <v>1322.8</v>
      </c>
      <c r="AQ111" s="134">
        <v>1301.4000000000001</v>
      </c>
      <c r="AR111" s="36">
        <v>1380.7</v>
      </c>
      <c r="AS111" s="28">
        <f>AR111</f>
        <v>1380.7</v>
      </c>
      <c r="AT111" s="36">
        <v>1365.4</v>
      </c>
      <c r="AU111" s="36">
        <v>1354.1</v>
      </c>
      <c r="AV111" s="134">
        <v>1400.9</v>
      </c>
      <c r="AW111" s="134">
        <v>2850.7</v>
      </c>
      <c r="AX111" s="33">
        <f>AW111</f>
        <v>2850.7</v>
      </c>
      <c r="AY111" s="134">
        <v>2647</v>
      </c>
      <c r="AZ111" s="134">
        <v>2594.9</v>
      </c>
      <c r="BA111" s="134">
        <v>2597.5</v>
      </c>
      <c r="BB111" s="134">
        <v>2666.5</v>
      </c>
      <c r="BC111" s="33">
        <f>BB111</f>
        <v>2666.5</v>
      </c>
      <c r="BD111" s="134">
        <v>2500</v>
      </c>
      <c r="BE111" s="134">
        <v>2530.9</v>
      </c>
      <c r="BF111" s="134">
        <v>2710.9</v>
      </c>
      <c r="BG111" s="134">
        <v>2874.1</v>
      </c>
      <c r="BH111" s="33">
        <f>BG111</f>
        <v>2874.1</v>
      </c>
      <c r="BI111" s="134">
        <v>2650.3</v>
      </c>
      <c r="BJ111" s="36">
        <v>6904.1</v>
      </c>
      <c r="BK111" s="134">
        <v>6710</v>
      </c>
      <c r="BL111" s="134">
        <v>7440</v>
      </c>
      <c r="BM111" s="33">
        <f>BL111</f>
        <v>7440</v>
      </c>
      <c r="BN111" s="134">
        <v>6645.7</v>
      </c>
      <c r="BO111" s="36">
        <v>5823.4</v>
      </c>
      <c r="BP111" s="36">
        <v>6459.7</v>
      </c>
      <c r="BQ111" s="134">
        <v>6767.8</v>
      </c>
      <c r="BR111" s="33">
        <f>BQ111</f>
        <v>6767.8</v>
      </c>
      <c r="BS111" s="134">
        <v>6348.9</v>
      </c>
      <c r="BT111" s="134">
        <v>7569</v>
      </c>
      <c r="BU111" s="134">
        <v>7815</v>
      </c>
      <c r="BV111" s="134">
        <v>8488.2000000000007</v>
      </c>
      <c r="BW111" s="33">
        <f>BV111</f>
        <v>8488.2000000000007</v>
      </c>
      <c r="BX111" s="134">
        <v>7928.3</v>
      </c>
      <c r="BY111" s="134">
        <v>8213.6</v>
      </c>
      <c r="BZ111" s="134">
        <v>8738.6</v>
      </c>
      <c r="CA111" s="134">
        <v>9397.7000000000007</v>
      </c>
      <c r="CB111" s="33">
        <f>CA111</f>
        <v>9397.7000000000007</v>
      </c>
      <c r="CC111" s="134">
        <v>8956.4</v>
      </c>
      <c r="CD111" s="134">
        <v>8635.9</v>
      </c>
      <c r="CE111" s="134">
        <v>8717.1</v>
      </c>
      <c r="CF111" s="134">
        <v>8836.9</v>
      </c>
      <c r="CG111" s="33">
        <f>CF111</f>
        <v>8836.9</v>
      </c>
      <c r="CH111" s="134">
        <v>8786.2999999999993</v>
      </c>
      <c r="CI111" s="134">
        <v>9081.1</v>
      </c>
      <c r="CJ111" s="134">
        <v>9483.5</v>
      </c>
      <c r="CK111" s="134">
        <v>10188.5</v>
      </c>
      <c r="CL111" s="33">
        <f>CK111</f>
        <v>10188.5</v>
      </c>
      <c r="CM111" s="32">
        <f ca="1">(CM130/365)*CM12*4</f>
        <v>9766.6505242224484</v>
      </c>
      <c r="CN111" s="32">
        <f ca="1">(CN130/365)*CN12*4</f>
        <v>9073.3713836999577</v>
      </c>
      <c r="CO111" s="32">
        <f ca="1">(CO130/365)*CO12*4</f>
        <v>9120.3858114428076</v>
      </c>
      <c r="CP111" s="32">
        <f ca="1">(CP130/365)*CP12*4</f>
        <v>9789.7074000057291</v>
      </c>
      <c r="CQ111" s="33">
        <f ca="1">CP111</f>
        <v>9789.7074000057291</v>
      </c>
      <c r="CR111" s="32">
        <f ca="1">(CR130/365)*CR12*4</f>
        <v>10249.251814458117</v>
      </c>
      <c r="CS111" s="32">
        <f ca="1">(CS130/365)*CS12*4</f>
        <v>9602.5149526719724</v>
      </c>
      <c r="CT111" s="32">
        <f ca="1">(CT130/365)*CT12*4</f>
        <v>9685.1413912185453</v>
      </c>
      <c r="CU111" s="32">
        <f ca="1">(CU130/365)*CU12*4</f>
        <v>10402.446414810991</v>
      </c>
      <c r="CV111" s="33">
        <f ca="1">CU111</f>
        <v>10402.446414810991</v>
      </c>
      <c r="CW111" s="32">
        <f ca="1">(CW130/365)*CW12*4</f>
        <v>9729.8050281474425</v>
      </c>
      <c r="CX111" s="32">
        <f ca="1">(CX130/365)*CX12*4</f>
        <v>9136.4422349718516</v>
      </c>
      <c r="CY111" s="32">
        <f ca="1">(CY130/365)*CY12*4</f>
        <v>9238.782967026651</v>
      </c>
      <c r="CZ111" s="32">
        <f ca="1">(CZ130/365)*CZ12*4</f>
        <v>9910.9850888590536</v>
      </c>
      <c r="DA111" s="33">
        <f ca="1">CZ111</f>
        <v>9910.9850888590536</v>
      </c>
      <c r="DB111" s="32">
        <f ca="1">(DB130/365)*DB12*4</f>
        <v>9046.9053564215046</v>
      </c>
      <c r="DC111" s="32">
        <f ca="1">(DC130/365)*DC12*4</f>
        <v>8494.7614536840047</v>
      </c>
      <c r="DD111" s="32">
        <f ca="1">(DD130/365)*DD12*4</f>
        <v>8590.034124978527</v>
      </c>
      <c r="DE111" s="32">
        <f ca="1">(DE130/365)*DE12*4</f>
        <v>9224.0985422352369</v>
      </c>
      <c r="DF111" s="33">
        <f ca="1">DE111</f>
        <v>9224.0985422352369</v>
      </c>
    </row>
    <row r="112" spans="1:118" x14ac:dyDescent="0.2">
      <c r="B112" s="721" t="s">
        <v>110</v>
      </c>
      <c r="D112" s="34"/>
      <c r="E112" s="34">
        <v>0</v>
      </c>
      <c r="F112" s="35">
        <v>0</v>
      </c>
      <c r="G112" s="36">
        <v>0</v>
      </c>
      <c r="H112" s="36">
        <v>0</v>
      </c>
      <c r="I112" s="37">
        <v>0</v>
      </c>
      <c r="J112" s="28">
        <f>I112</f>
        <v>0</v>
      </c>
      <c r="K112" s="35">
        <v>0</v>
      </c>
      <c r="L112" s="36">
        <v>0</v>
      </c>
      <c r="M112" s="36">
        <v>0</v>
      </c>
      <c r="N112" s="37">
        <v>3.25</v>
      </c>
      <c r="O112" s="28">
        <f>N112</f>
        <v>3.25</v>
      </c>
      <c r="P112" s="35">
        <v>0</v>
      </c>
      <c r="Q112" s="36">
        <v>0</v>
      </c>
      <c r="R112" s="36">
        <v>0</v>
      </c>
      <c r="S112" s="37">
        <v>0</v>
      </c>
      <c r="T112" s="28">
        <f>S112</f>
        <v>0</v>
      </c>
      <c r="U112" s="36">
        <v>22.084</v>
      </c>
      <c r="V112" s="36">
        <v>22</v>
      </c>
      <c r="W112" s="36">
        <v>22.056000000000001</v>
      </c>
      <c r="X112" s="134">
        <v>22</v>
      </c>
      <c r="Y112" s="33">
        <f>X112</f>
        <v>22</v>
      </c>
      <c r="Z112" s="36">
        <f>Debt!Z24</f>
        <v>22.056000000000001</v>
      </c>
      <c r="AA112" s="36">
        <v>22.056000000000001</v>
      </c>
      <c r="AB112" s="134">
        <v>22.056000000000001</v>
      </c>
      <c r="AC112" s="134">
        <v>110</v>
      </c>
      <c r="AD112" s="33">
        <f>AC112</f>
        <v>110</v>
      </c>
      <c r="AE112" s="134">
        <v>110</v>
      </c>
      <c r="AF112" s="134">
        <v>110</v>
      </c>
      <c r="AG112" s="134">
        <v>150</v>
      </c>
      <c r="AH112" s="134">
        <v>180.1</v>
      </c>
      <c r="AI112" s="33">
        <f>AH112</f>
        <v>180.1</v>
      </c>
      <c r="AJ112" s="134">
        <v>200.1</v>
      </c>
      <c r="AK112" s="134">
        <v>220.1</v>
      </c>
      <c r="AL112" s="134">
        <v>240.1</v>
      </c>
      <c r="AM112" s="134">
        <v>260.10000000000002</v>
      </c>
      <c r="AN112" s="33">
        <f>AM112</f>
        <v>260.10000000000002</v>
      </c>
      <c r="AO112" s="36">
        <v>280.10000000000002</v>
      </c>
      <c r="AP112" s="36">
        <v>300.10000000000002</v>
      </c>
      <c r="AQ112" s="134">
        <f>320.1</f>
        <v>320.10000000000002</v>
      </c>
      <c r="AR112" s="36">
        <v>420</v>
      </c>
      <c r="AS112" s="28">
        <f>AR112</f>
        <v>420</v>
      </c>
      <c r="AT112" s="36">
        <v>520.1</v>
      </c>
      <c r="AU112" s="36">
        <v>620</v>
      </c>
      <c r="AV112" s="134">
        <v>540.1</v>
      </c>
      <c r="AW112" s="134">
        <v>1340.1</v>
      </c>
      <c r="AX112" s="33">
        <f>AW112</f>
        <v>1340.1</v>
      </c>
      <c r="AY112" s="134">
        <v>1160.0999999999999</v>
      </c>
      <c r="AZ112" s="134">
        <v>980.1</v>
      </c>
      <c r="BA112" s="134">
        <v>0.1</v>
      </c>
      <c r="BB112" s="134">
        <v>0.1</v>
      </c>
      <c r="BC112" s="33">
        <f>BB112</f>
        <v>0.1</v>
      </c>
      <c r="BD112" s="134">
        <v>0.1</v>
      </c>
      <c r="BE112" s="134">
        <v>999.8</v>
      </c>
      <c r="BF112" s="134">
        <v>999.9</v>
      </c>
      <c r="BG112" s="134">
        <v>999.9</v>
      </c>
      <c r="BH112" s="33">
        <f>BG112</f>
        <v>999.9</v>
      </c>
      <c r="BI112" s="134">
        <v>1000</v>
      </c>
      <c r="BJ112" s="36">
        <f>1039.6+889.7</f>
        <v>1929.3</v>
      </c>
      <c r="BK112" s="134">
        <f>938.6+40</f>
        <v>978.6</v>
      </c>
      <c r="BL112" s="134">
        <v>934.9</v>
      </c>
      <c r="BM112" s="33">
        <f>BL112</f>
        <v>934.9</v>
      </c>
      <c r="BN112" s="134">
        <v>631.6</v>
      </c>
      <c r="BO112" s="36">
        <v>631.6</v>
      </c>
      <c r="BP112" s="36">
        <v>631.6</v>
      </c>
      <c r="BQ112" s="134">
        <v>1584</v>
      </c>
      <c r="BR112" s="33">
        <f>BQ112</f>
        <v>1584</v>
      </c>
      <c r="BS112" s="134">
        <v>2635.2</v>
      </c>
      <c r="BT112" s="134">
        <v>3938.3</v>
      </c>
      <c r="BU112" s="134">
        <v>3245.4</v>
      </c>
      <c r="BV112" s="134">
        <v>2555.3000000000002</v>
      </c>
      <c r="BW112" s="33">
        <f>BV112</f>
        <v>2555.3000000000002</v>
      </c>
      <c r="BX112" s="134">
        <v>1607.1</v>
      </c>
      <c r="BY112" s="134">
        <v>2149.6999999999998</v>
      </c>
      <c r="BZ112" s="134">
        <v>1649.2</v>
      </c>
      <c r="CA112" s="134">
        <v>1646.4</v>
      </c>
      <c r="CB112" s="33">
        <f>CA112</f>
        <v>1646.4</v>
      </c>
      <c r="CC112" s="134">
        <v>2208.6</v>
      </c>
      <c r="CD112" s="134">
        <v>4140.8999999999996</v>
      </c>
      <c r="CE112" s="134">
        <v>1184</v>
      </c>
      <c r="CF112" s="134">
        <v>722.3</v>
      </c>
      <c r="CG112" s="33">
        <f>CF112</f>
        <v>722.3</v>
      </c>
      <c r="CH112" s="134">
        <v>1621.3</v>
      </c>
      <c r="CI112" s="134">
        <v>1151.3</v>
      </c>
      <c r="CJ112" s="134">
        <v>1181.0999999999999</v>
      </c>
      <c r="CK112" s="134">
        <v>1032.9000000000001</v>
      </c>
      <c r="CL112" s="33">
        <f>CK112</f>
        <v>1032.9000000000001</v>
      </c>
      <c r="CM112" s="32">
        <f>Debt!CM24</f>
        <v>0</v>
      </c>
      <c r="CN112" s="32">
        <f>Debt!CN24</f>
        <v>1331.3029999999999</v>
      </c>
      <c r="CO112" s="32">
        <f>Debt!CO24</f>
        <v>1331.3029999999999</v>
      </c>
      <c r="CP112" s="32">
        <f>Debt!CP24</f>
        <v>1331.3029999999999</v>
      </c>
      <c r="CQ112" s="33">
        <f>CP112</f>
        <v>1331.3029999999999</v>
      </c>
      <c r="CR112" s="32">
        <f>Debt!CR24</f>
        <v>1331.3029999999999</v>
      </c>
      <c r="CS112" s="32">
        <f>Debt!CS24</f>
        <v>1331.3029999999999</v>
      </c>
      <c r="CT112" s="32">
        <f>Debt!CT24</f>
        <v>1331.3029999999999</v>
      </c>
      <c r="CU112" s="32">
        <f>Debt!CU24</f>
        <v>1331.3029999999999</v>
      </c>
      <c r="CV112" s="33">
        <f>CU112</f>
        <v>1331.3029999999999</v>
      </c>
      <c r="CW112" s="32">
        <f>Debt!CW24</f>
        <v>1331.3029999999999</v>
      </c>
      <c r="CX112" s="32">
        <f>Debt!CX24</f>
        <v>1331.3029999999999</v>
      </c>
      <c r="CY112" s="32">
        <f>Debt!CY24</f>
        <v>1331.3029999999999</v>
      </c>
      <c r="CZ112" s="32">
        <f>Debt!CZ24</f>
        <v>1331.3029999999999</v>
      </c>
      <c r="DA112" s="33">
        <f>CZ112</f>
        <v>1331.3029999999999</v>
      </c>
      <c r="DB112" s="32">
        <f>Debt!DB24</f>
        <v>1331.3029999999999</v>
      </c>
      <c r="DC112" s="32">
        <f>Debt!DC24</f>
        <v>0</v>
      </c>
      <c r="DD112" s="32">
        <f>Debt!DD24</f>
        <v>0</v>
      </c>
      <c r="DE112" s="32">
        <f>Debt!DE24</f>
        <v>0</v>
      </c>
      <c r="DF112" s="33">
        <f>DE112</f>
        <v>0</v>
      </c>
    </row>
    <row r="113" spans="1:118" x14ac:dyDescent="0.2">
      <c r="B113" s="721" t="s">
        <v>101</v>
      </c>
      <c r="D113" s="34"/>
      <c r="E113" s="34">
        <v>142.91499999999999</v>
      </c>
      <c r="F113" s="35">
        <v>220.89599999999999</v>
      </c>
      <c r="G113" s="36">
        <v>252.678</v>
      </c>
      <c r="H113" s="36">
        <v>290.38799999999998</v>
      </c>
      <c r="I113" s="37">
        <v>153.47300000000001</v>
      </c>
      <c r="J113" s="28">
        <f>I113</f>
        <v>153.47300000000001</v>
      </c>
      <c r="K113" s="35">
        <v>350.61</v>
      </c>
      <c r="L113" s="36">
        <v>407.22199999999998</v>
      </c>
      <c r="M113" s="36">
        <v>186.23699999999999</v>
      </c>
      <c r="N113" s="37">
        <v>200.35599999999999</v>
      </c>
      <c r="O113" s="28">
        <f>N113</f>
        <v>200.35599999999999</v>
      </c>
      <c r="P113" s="35">
        <v>203.44300000000001</v>
      </c>
      <c r="Q113" s="36">
        <f>167.34</f>
        <v>167.34</v>
      </c>
      <c r="R113" s="36">
        <v>185.583</v>
      </c>
      <c r="S113" s="37">
        <v>215.797</v>
      </c>
      <c r="T113" s="28">
        <f>S113</f>
        <v>215.797</v>
      </c>
      <c r="U113" s="36">
        <v>216.54900000000001</v>
      </c>
      <c r="V113" s="36">
        <v>195.25</v>
      </c>
      <c r="W113" s="36">
        <v>218.54</v>
      </c>
      <c r="X113" s="134">
        <v>232</v>
      </c>
      <c r="Y113" s="33">
        <f>X113</f>
        <v>232</v>
      </c>
      <c r="Z113" s="36">
        <f>275.155</f>
        <v>275.15499999999997</v>
      </c>
      <c r="AA113" s="36">
        <v>266.755</v>
      </c>
      <c r="AB113" s="134">
        <v>255.417</v>
      </c>
      <c r="AC113" s="134">
        <v>308.7</v>
      </c>
      <c r="AD113" s="33">
        <f>AC113</f>
        <v>308.7</v>
      </c>
      <c r="AE113" s="134">
        <v>284.5</v>
      </c>
      <c r="AF113" s="134">
        <v>292.39999999999998</v>
      </c>
      <c r="AG113" s="134">
        <v>376</v>
      </c>
      <c r="AH113" s="134">
        <f>387.8+9.7</f>
        <v>397.5</v>
      </c>
      <c r="AI113" s="33">
        <f>AH113</f>
        <v>397.5</v>
      </c>
      <c r="AJ113" s="134">
        <v>422.1</v>
      </c>
      <c r="AK113" s="134">
        <v>346.4</v>
      </c>
      <c r="AL113" s="134">
        <v>401.2</v>
      </c>
      <c r="AM113" s="134">
        <f>6.2+432.5</f>
        <v>438.7</v>
      </c>
      <c r="AN113" s="33">
        <f>AM113</f>
        <v>438.7</v>
      </c>
      <c r="AO113" s="36">
        <f>459.4+6.4</f>
        <v>465.79999999999995</v>
      </c>
      <c r="AP113" s="36">
        <f>384.8+3.3</f>
        <v>388.1</v>
      </c>
      <c r="AQ113" s="134">
        <f>388.3+1.1</f>
        <v>389.40000000000003</v>
      </c>
      <c r="AR113" s="36">
        <f>420.5+4.1</f>
        <v>424.6</v>
      </c>
      <c r="AS113" s="28">
        <f>AR113</f>
        <v>424.6</v>
      </c>
      <c r="AT113" s="36">
        <f>489.9+4.9</f>
        <v>494.79999999999995</v>
      </c>
      <c r="AU113" s="36">
        <f>404.3+6.9</f>
        <v>411.2</v>
      </c>
      <c r="AV113" s="134">
        <f>524.2+5.6</f>
        <v>529.80000000000007</v>
      </c>
      <c r="AW113" s="134">
        <f>6.7+552.4</f>
        <v>559.1</v>
      </c>
      <c r="AX113" s="33">
        <f>AW113</f>
        <v>559.1</v>
      </c>
      <c r="AY113" s="134">
        <v>645.6</v>
      </c>
      <c r="AZ113" s="134">
        <f>567.9+2.5</f>
        <v>570.4</v>
      </c>
      <c r="BA113" s="134">
        <v>682.9</v>
      </c>
      <c r="BB113" s="134">
        <v>593.9</v>
      </c>
      <c r="BC113" s="33">
        <f>BB113</f>
        <v>593.9</v>
      </c>
      <c r="BD113" s="134">
        <v>537</v>
      </c>
      <c r="BE113" s="134">
        <v>487.2</v>
      </c>
      <c r="BF113" s="134">
        <v>688.6</v>
      </c>
      <c r="BG113" s="134">
        <v>656</v>
      </c>
      <c r="BH113" s="33">
        <f>BG113</f>
        <v>656</v>
      </c>
      <c r="BI113" s="134">
        <v>899.2</v>
      </c>
      <c r="BJ113" s="36">
        <v>1989.9</v>
      </c>
      <c r="BK113" s="134">
        <f>1964.9</f>
        <v>1964.9</v>
      </c>
      <c r="BL113" s="134">
        <f>1630+143.4</f>
        <v>1773.4</v>
      </c>
      <c r="BM113" s="33">
        <f>BL113</f>
        <v>1773.4</v>
      </c>
      <c r="BN113" s="134">
        <f>1535.4+137.7</f>
        <v>1673.1000000000001</v>
      </c>
      <c r="BO113" s="36">
        <f>1403.1+120.9</f>
        <v>1524</v>
      </c>
      <c r="BP113" s="36">
        <f>1496.7+64.8</f>
        <v>1561.5</v>
      </c>
      <c r="BQ113" s="134">
        <f>1982.2+1.3</f>
        <v>1983.5</v>
      </c>
      <c r="BR113" s="33">
        <f>BQ113</f>
        <v>1983.5</v>
      </c>
      <c r="BS113" s="134">
        <v>1760.4</v>
      </c>
      <c r="BT113" s="134">
        <v>1517.8</v>
      </c>
      <c r="BU113" s="134">
        <v>1890.6</v>
      </c>
      <c r="BV113" s="134">
        <v>2836.1</v>
      </c>
      <c r="BW113" s="33">
        <f>BV113</f>
        <v>2836.1</v>
      </c>
      <c r="BX113" s="134">
        <v>2326.3000000000002</v>
      </c>
      <c r="BY113" s="134">
        <v>2182.8000000000002</v>
      </c>
      <c r="BZ113" s="134">
        <v>2353</v>
      </c>
      <c r="CA113" s="134">
        <v>2659.4</v>
      </c>
      <c r="CB113" s="33">
        <f>CA113</f>
        <v>2659.4</v>
      </c>
      <c r="CC113" s="134">
        <v>2390.1</v>
      </c>
      <c r="CD113" s="134">
        <v>2162.4</v>
      </c>
      <c r="CE113" s="134">
        <v>2286.3000000000002</v>
      </c>
      <c r="CF113" s="134">
        <v>2993.2</v>
      </c>
      <c r="CG113" s="33">
        <f>CF113</f>
        <v>2993.2</v>
      </c>
      <c r="CH113" s="134">
        <v>2976.1</v>
      </c>
      <c r="CI113" s="134">
        <v>2163.3000000000002</v>
      </c>
      <c r="CJ113" s="134">
        <v>2314.3000000000002</v>
      </c>
      <c r="CK113" s="134">
        <v>2869.3</v>
      </c>
      <c r="CL113" s="33">
        <f>CK113</f>
        <v>2869.3</v>
      </c>
      <c r="CM113" s="32">
        <f>CK113+115/4</f>
        <v>2898.05</v>
      </c>
      <c r="CN113" s="32">
        <f>CM113+115/4</f>
        <v>2926.8</v>
      </c>
      <c r="CO113" s="32">
        <f>CN113+115/4</f>
        <v>2955.55</v>
      </c>
      <c r="CP113" s="32">
        <f>CO113+115/4</f>
        <v>2984.3</v>
      </c>
      <c r="CQ113" s="33">
        <f>CP113</f>
        <v>2984.3</v>
      </c>
      <c r="CR113" s="32">
        <f>CP113+115/4</f>
        <v>3013.05</v>
      </c>
      <c r="CS113" s="32">
        <f>CR113+115/4</f>
        <v>3041.8</v>
      </c>
      <c r="CT113" s="32">
        <f>CS113+115/4</f>
        <v>3070.55</v>
      </c>
      <c r="CU113" s="32">
        <f>CT113+115/4</f>
        <v>3099.3</v>
      </c>
      <c r="CV113" s="33">
        <f>CU113</f>
        <v>3099.3</v>
      </c>
      <c r="CW113" s="32">
        <f>CU113+115/4</f>
        <v>3128.05</v>
      </c>
      <c r="CX113" s="32">
        <f>CW113+115/4</f>
        <v>3156.8</v>
      </c>
      <c r="CY113" s="32">
        <f>CX113+115/4</f>
        <v>3185.55</v>
      </c>
      <c r="CZ113" s="32">
        <f>CY113+115/4</f>
        <v>3214.3</v>
      </c>
      <c r="DA113" s="33">
        <f>CZ113</f>
        <v>3214.3</v>
      </c>
      <c r="DB113" s="32">
        <f>CZ113+115/4</f>
        <v>3243.05</v>
      </c>
      <c r="DC113" s="32">
        <f>DB113+115/4</f>
        <v>3271.8</v>
      </c>
      <c r="DD113" s="32">
        <f>DC113+115/4</f>
        <v>3300.55</v>
      </c>
      <c r="DE113" s="32">
        <f>DD113+115/4</f>
        <v>3329.3</v>
      </c>
      <c r="DF113" s="33">
        <f>DE113</f>
        <v>3329.3</v>
      </c>
    </row>
    <row r="114" spans="1:118" x14ac:dyDescent="0.2">
      <c r="B114" s="721"/>
      <c r="D114" s="34"/>
      <c r="E114" s="34"/>
      <c r="F114" s="35"/>
      <c r="G114" s="36"/>
      <c r="H114" s="36"/>
      <c r="I114" s="37"/>
      <c r="J114" s="28"/>
      <c r="K114" s="35"/>
      <c r="L114" s="36"/>
      <c r="M114" s="36"/>
      <c r="N114" s="37"/>
      <c r="O114" s="28"/>
      <c r="P114" s="35"/>
      <c r="Q114" s="36"/>
      <c r="R114" s="36"/>
      <c r="S114" s="37"/>
      <c r="T114" s="28"/>
      <c r="U114" s="36"/>
      <c r="V114" s="36"/>
      <c r="W114" s="36"/>
      <c r="X114" s="134"/>
      <c r="Y114" s="33"/>
      <c r="Z114" s="32"/>
      <c r="AA114" s="134"/>
      <c r="AB114" s="32"/>
      <c r="AC114" s="32"/>
      <c r="AD114" s="33"/>
      <c r="AE114" s="32"/>
      <c r="AF114" s="32"/>
      <c r="AG114" s="32"/>
      <c r="AH114" s="134"/>
      <c r="AI114" s="33"/>
      <c r="AJ114" s="134"/>
      <c r="AK114" s="134"/>
      <c r="AL114" s="134"/>
      <c r="AM114" s="32"/>
      <c r="AN114" s="33"/>
      <c r="AO114" s="30"/>
      <c r="AP114" s="30"/>
      <c r="AQ114" s="32"/>
      <c r="AR114" s="30"/>
      <c r="AS114" s="28"/>
      <c r="AT114" s="30"/>
      <c r="AU114" s="30"/>
      <c r="AV114" s="134"/>
      <c r="AW114" s="134"/>
      <c r="AX114" s="33"/>
      <c r="AY114" s="134"/>
      <c r="AZ114" s="134"/>
      <c r="BA114" s="32"/>
      <c r="BB114" s="134"/>
      <c r="BC114" s="33"/>
      <c r="BD114" s="32"/>
      <c r="BE114" s="32"/>
      <c r="BF114" s="134"/>
      <c r="BG114" s="134"/>
      <c r="BH114" s="33"/>
      <c r="BI114" s="32"/>
      <c r="BJ114" s="30"/>
      <c r="BK114" s="32"/>
      <c r="BL114" s="32"/>
      <c r="BM114" s="33"/>
      <c r="BN114" s="32"/>
      <c r="BO114" s="30"/>
      <c r="BP114" s="30"/>
      <c r="BQ114" s="134"/>
      <c r="BR114" s="33"/>
      <c r="BS114" s="134"/>
      <c r="BT114" s="134"/>
      <c r="BU114" s="134"/>
      <c r="BV114" s="134"/>
      <c r="BW114" s="33"/>
      <c r="BX114" s="134"/>
      <c r="BY114" s="134"/>
      <c r="BZ114" s="134"/>
      <c r="CA114" s="134"/>
      <c r="CB114" s="33"/>
      <c r="CC114" s="134"/>
      <c r="CD114" s="134"/>
      <c r="CE114" s="134"/>
      <c r="CF114" s="134"/>
      <c r="CG114" s="33"/>
      <c r="CH114" s="134"/>
      <c r="CI114" s="134"/>
      <c r="CJ114" s="134"/>
      <c r="CK114" s="134"/>
      <c r="CL114" s="33"/>
      <c r="CM114" s="32"/>
      <c r="CN114" s="32"/>
      <c r="CO114" s="32"/>
      <c r="CP114" s="32"/>
      <c r="CQ114" s="33"/>
      <c r="CR114" s="32"/>
      <c r="CS114" s="32"/>
      <c r="CT114" s="32"/>
      <c r="CU114" s="32"/>
      <c r="CV114" s="33"/>
      <c r="CW114" s="32"/>
      <c r="CX114" s="32"/>
      <c r="CY114" s="32"/>
      <c r="CZ114" s="32"/>
      <c r="DA114" s="33"/>
      <c r="DB114" s="32"/>
      <c r="DC114" s="32"/>
      <c r="DD114" s="32"/>
      <c r="DE114" s="32"/>
      <c r="DF114" s="33"/>
    </row>
    <row r="115" spans="1:118" x14ac:dyDescent="0.2">
      <c r="B115" s="721" t="s">
        <v>111</v>
      </c>
      <c r="D115" s="34"/>
      <c r="E115" s="34">
        <v>396.44099999999997</v>
      </c>
      <c r="F115" s="35">
        <v>396.36</v>
      </c>
      <c r="G115" s="36">
        <v>396.279</v>
      </c>
      <c r="H115" s="36">
        <v>346.19900000000001</v>
      </c>
      <c r="I115" s="37">
        <v>346.11900000000003</v>
      </c>
      <c r="J115" s="28">
        <f>I115</f>
        <v>346.11900000000003</v>
      </c>
      <c r="K115" s="35">
        <v>346.04</v>
      </c>
      <c r="L115" s="36">
        <v>705.96199999999999</v>
      </c>
      <c r="M115" s="36">
        <v>620.88400000000001</v>
      </c>
      <c r="N115" s="37">
        <v>562.55600000000004</v>
      </c>
      <c r="O115" s="28">
        <f>N115</f>
        <v>562.55600000000004</v>
      </c>
      <c r="P115" s="35">
        <v>540.72900000000004</v>
      </c>
      <c r="Q115" s="36">
        <v>480.161</v>
      </c>
      <c r="R115" s="36">
        <v>455.089</v>
      </c>
      <c r="S115" s="37">
        <v>455.01799999999997</v>
      </c>
      <c r="T115" s="28">
        <f>S115</f>
        <v>455.01799999999997</v>
      </c>
      <c r="U115" s="36">
        <v>582.947</v>
      </c>
      <c r="V115" s="36">
        <v>397.65</v>
      </c>
      <c r="W115" s="36">
        <v>417.60700000000003</v>
      </c>
      <c r="X115" s="134">
        <v>412</v>
      </c>
      <c r="Y115" s="33">
        <f>X115</f>
        <v>412</v>
      </c>
      <c r="Z115" s="134">
        <v>356.50799999999998</v>
      </c>
      <c r="AA115" s="134">
        <v>350.95100000000002</v>
      </c>
      <c r="AB115" s="134">
        <v>345.45100000000002</v>
      </c>
      <c r="AC115" s="134">
        <v>1400.5</v>
      </c>
      <c r="AD115" s="33">
        <f>AC115</f>
        <v>1400.5</v>
      </c>
      <c r="AE115" s="134">
        <v>1360.5</v>
      </c>
      <c r="AF115" s="36">
        <v>1605.4</v>
      </c>
      <c r="AG115" s="134">
        <v>1480.4</v>
      </c>
      <c r="AH115" s="134">
        <v>1270.4000000000001</v>
      </c>
      <c r="AI115" s="33">
        <f>AH115</f>
        <v>1270.4000000000001</v>
      </c>
      <c r="AJ115" s="134">
        <v>1160.4000000000001</v>
      </c>
      <c r="AK115" s="134">
        <v>1700.3</v>
      </c>
      <c r="AL115" s="134">
        <v>1740.3</v>
      </c>
      <c r="AM115" s="134">
        <v>1760.3</v>
      </c>
      <c r="AN115" s="33">
        <f>AM115</f>
        <v>1760.3</v>
      </c>
      <c r="AO115" s="36">
        <v>1680.3</v>
      </c>
      <c r="AP115" s="36">
        <v>1600.3</v>
      </c>
      <c r="AQ115" s="134">
        <f>1520.3</f>
        <v>1520.3</v>
      </c>
      <c r="AR115" s="36">
        <v>1340.3</v>
      </c>
      <c r="AS115" s="28">
        <f>AR115</f>
        <v>1340.3</v>
      </c>
      <c r="AT115" s="36">
        <v>1160.3</v>
      </c>
      <c r="AU115" s="36">
        <v>3471.9</v>
      </c>
      <c r="AV115" s="134">
        <v>3472.2</v>
      </c>
      <c r="AW115" s="134">
        <v>2492.5</v>
      </c>
      <c r="AX115" s="33">
        <f>AW115</f>
        <v>2492.5</v>
      </c>
      <c r="AY115" s="134">
        <v>2492.8000000000002</v>
      </c>
      <c r="AZ115" s="134">
        <v>2493.1</v>
      </c>
      <c r="BA115" s="134">
        <v>2493.4</v>
      </c>
      <c r="BB115" s="134">
        <v>2493.6999999999998</v>
      </c>
      <c r="BC115" s="33">
        <f>BB115</f>
        <v>2493.6999999999998</v>
      </c>
      <c r="BD115" s="134">
        <v>2494</v>
      </c>
      <c r="BE115" s="134">
        <v>3088.7</v>
      </c>
      <c r="BF115" s="134">
        <v>2989.3</v>
      </c>
      <c r="BG115" s="134">
        <v>7076.4</v>
      </c>
      <c r="BH115" s="33">
        <f>BG115</f>
        <v>7076.4</v>
      </c>
      <c r="BI115" s="134">
        <v>10537.1</v>
      </c>
      <c r="BJ115" s="36">
        <v>16312.3</v>
      </c>
      <c r="BK115" s="134">
        <v>16146.3</v>
      </c>
      <c r="BL115" s="134">
        <v>14980.1</v>
      </c>
      <c r="BM115" s="33">
        <f>BL115</f>
        <v>14980.1</v>
      </c>
      <c r="BN115" s="134">
        <v>13815.1</v>
      </c>
      <c r="BO115" s="36">
        <v>13648.5</v>
      </c>
      <c r="BP115" s="36">
        <v>13482</v>
      </c>
      <c r="BQ115" s="134">
        <v>12363</v>
      </c>
      <c r="BR115" s="33">
        <f>BQ115</f>
        <v>12363</v>
      </c>
      <c r="BS115" s="134">
        <v>11145.1</v>
      </c>
      <c r="BT115" s="134">
        <v>12165.5</v>
      </c>
      <c r="BU115" s="134">
        <v>11442</v>
      </c>
      <c r="BV115" s="134">
        <v>11012.7</v>
      </c>
      <c r="BW115" s="33">
        <f>BV115</f>
        <v>11012.7</v>
      </c>
      <c r="BX115" s="134">
        <v>10741.2</v>
      </c>
      <c r="BY115" s="134">
        <v>14583.9</v>
      </c>
      <c r="BZ115" s="134">
        <v>14037.7</v>
      </c>
      <c r="CA115" s="134">
        <v>13946.3</v>
      </c>
      <c r="CB115" s="33">
        <f>CA115</f>
        <v>13946.3</v>
      </c>
      <c r="CC115" s="134">
        <v>14382.7</v>
      </c>
      <c r="CD115" s="134">
        <v>11842.6</v>
      </c>
      <c r="CE115" s="134">
        <v>14924.5</v>
      </c>
      <c r="CF115" s="134">
        <v>14846</v>
      </c>
      <c r="CG115" s="33">
        <f>CF115</f>
        <v>14846</v>
      </c>
      <c r="CH115" s="134">
        <v>13906.2</v>
      </c>
      <c r="CI115" s="134">
        <v>13835.2</v>
      </c>
      <c r="CJ115" s="134">
        <v>13726.7</v>
      </c>
      <c r="CK115" s="134">
        <v>14981.5</v>
      </c>
      <c r="CL115" s="33">
        <f>CK115</f>
        <v>14981.5</v>
      </c>
      <c r="CM115" s="32">
        <f>Debt!CM26</f>
        <v>14200.203000000003</v>
      </c>
      <c r="CN115" s="32">
        <f>Debt!CN26</f>
        <v>12868.900000000003</v>
      </c>
      <c r="CO115" s="32">
        <f>Debt!CO26</f>
        <v>12868.900000000003</v>
      </c>
      <c r="CP115" s="32">
        <f>Debt!CP26</f>
        <v>12868.900000000003</v>
      </c>
      <c r="CQ115" s="33">
        <f>CP115</f>
        <v>12868.900000000003</v>
      </c>
      <c r="CR115" s="32">
        <f>Debt!CR26</f>
        <v>12868.900000000003</v>
      </c>
      <c r="CS115" s="32">
        <f>Debt!CS26</f>
        <v>11537.597000000003</v>
      </c>
      <c r="CT115" s="32">
        <f>Debt!CT26</f>
        <v>11537.597000000003</v>
      </c>
      <c r="CU115" s="32">
        <f>Debt!CU26</f>
        <v>11537.597000000003</v>
      </c>
      <c r="CV115" s="33">
        <f>CU115</f>
        <v>11537.597000000003</v>
      </c>
      <c r="CW115" s="32">
        <f>Debt!CW26</f>
        <v>11537.597000000003</v>
      </c>
      <c r="CX115" s="32">
        <f>Debt!CX26</f>
        <v>10206.294000000002</v>
      </c>
      <c r="CY115" s="32">
        <f>Debt!CY26</f>
        <v>10206.294000000002</v>
      </c>
      <c r="CZ115" s="32">
        <f>Debt!CZ26</f>
        <v>10206.294000000002</v>
      </c>
      <c r="DA115" s="33">
        <f>CZ115</f>
        <v>10206.294000000002</v>
      </c>
      <c r="DB115" s="32">
        <f>Debt!DB26</f>
        <v>10206.294000000002</v>
      </c>
      <c r="DC115" s="32">
        <f>Debt!DC26</f>
        <v>10206.294000000002</v>
      </c>
      <c r="DD115" s="32">
        <f>Debt!DD26</f>
        <v>10206.294000000002</v>
      </c>
      <c r="DE115" s="32">
        <f>Debt!DE26</f>
        <v>10206.294000000002</v>
      </c>
      <c r="DF115" s="33">
        <f>DE115</f>
        <v>10206.294000000002</v>
      </c>
    </row>
    <row r="116" spans="1:118" x14ac:dyDescent="0.2">
      <c r="B116" s="721" t="s">
        <v>101</v>
      </c>
      <c r="D116" s="34"/>
      <c r="E116" s="34">
        <v>59.015000000000001</v>
      </c>
      <c r="F116" s="35">
        <v>62.573</v>
      </c>
      <c r="G116" s="36">
        <v>67.759</v>
      </c>
      <c r="H116" s="36">
        <v>76.328999999999994</v>
      </c>
      <c r="I116" s="37">
        <v>76.512</v>
      </c>
      <c r="J116" s="28">
        <f>I116</f>
        <v>76.512</v>
      </c>
      <c r="K116" s="35">
        <v>64.611999999999995</v>
      </c>
      <c r="L116" s="36">
        <v>78.105999999999995</v>
      </c>
      <c r="M116" s="36">
        <v>89.741</v>
      </c>
      <c r="N116" s="37">
        <v>97.823999999999998</v>
      </c>
      <c r="O116" s="28">
        <f>N116</f>
        <v>97.823999999999998</v>
      </c>
      <c r="P116" s="35">
        <v>104.259</v>
      </c>
      <c r="Q116" s="36">
        <v>110.97</v>
      </c>
      <c r="R116" s="36">
        <v>124.46</v>
      </c>
      <c r="S116" s="37">
        <v>133.755</v>
      </c>
      <c r="T116" s="28">
        <f>S116</f>
        <v>133.755</v>
      </c>
      <c r="U116" s="36">
        <v>141.422</v>
      </c>
      <c r="V116" s="36">
        <v>156.67699999999999</v>
      </c>
      <c r="W116" s="36">
        <v>176.82400000000001</v>
      </c>
      <c r="X116" s="134">
        <v>178</v>
      </c>
      <c r="Y116" s="33">
        <f>X116</f>
        <v>178</v>
      </c>
      <c r="Z116" s="134">
        <v>186.505</v>
      </c>
      <c r="AA116" s="134">
        <v>184.53299999999999</v>
      </c>
      <c r="AB116" s="134">
        <v>189.88900000000001</v>
      </c>
      <c r="AC116" s="134">
        <v>233</v>
      </c>
      <c r="AD116" s="33">
        <f>AC116</f>
        <v>233</v>
      </c>
      <c r="AE116" s="134">
        <v>236.8</v>
      </c>
      <c r="AF116" s="36">
        <v>236.8</v>
      </c>
      <c r="AG116" s="134">
        <v>249.6</v>
      </c>
      <c r="AH116" s="134">
        <v>283.39999999999998</v>
      </c>
      <c r="AI116" s="33">
        <f>AH116</f>
        <v>283.39999999999998</v>
      </c>
      <c r="AJ116" s="134">
        <v>309.5</v>
      </c>
      <c r="AK116" s="134">
        <v>310.2</v>
      </c>
      <c r="AL116" s="134">
        <v>314</v>
      </c>
      <c r="AM116" s="134">
        <v>324.7</v>
      </c>
      <c r="AN116" s="33">
        <f>AM116</f>
        <v>324.7</v>
      </c>
      <c r="AO116" s="36">
        <v>325.2</v>
      </c>
      <c r="AP116" s="36">
        <v>332.9</v>
      </c>
      <c r="AQ116" s="134">
        <f>361.2</f>
        <v>361.2</v>
      </c>
      <c r="AR116" s="36">
        <v>369</v>
      </c>
      <c r="AS116" s="28">
        <f>AR116</f>
        <v>369</v>
      </c>
      <c r="AT116" s="36">
        <v>377.2</v>
      </c>
      <c r="AU116" s="36">
        <v>382.3</v>
      </c>
      <c r="AV116" s="134">
        <v>393.5</v>
      </c>
      <c r="AW116" s="134">
        <v>430.1</v>
      </c>
      <c r="AX116" s="33">
        <f>AW116</f>
        <v>430.1</v>
      </c>
      <c r="AY116" s="134">
        <v>469.6</v>
      </c>
      <c r="AZ116" s="134">
        <v>474.6</v>
      </c>
      <c r="BA116" s="134">
        <v>514.70000000000005</v>
      </c>
      <c r="BB116" s="134">
        <v>540.29999999999995</v>
      </c>
      <c r="BC116" s="33">
        <f>BB116</f>
        <v>540.29999999999995</v>
      </c>
      <c r="BD116" s="134">
        <v>540</v>
      </c>
      <c r="BE116" s="134">
        <v>557.70000000000005</v>
      </c>
      <c r="BF116" s="134">
        <v>574</v>
      </c>
      <c r="BG116" s="134">
        <v>598.79999999999995</v>
      </c>
      <c r="BH116" s="33">
        <f>BG116</f>
        <v>598.79999999999995</v>
      </c>
      <c r="BI116" s="134">
        <v>628.29999999999995</v>
      </c>
      <c r="BJ116" s="36">
        <v>6774.1</v>
      </c>
      <c r="BK116" s="134">
        <v>6623.6</v>
      </c>
      <c r="BL116" s="134">
        <f>5948.8+692.9+36.3</f>
        <v>6678</v>
      </c>
      <c r="BM116" s="33">
        <f>BL116</f>
        <v>6678</v>
      </c>
      <c r="BN116" s="134">
        <f>5783.6+775.8+59.6</f>
        <v>6619.0000000000009</v>
      </c>
      <c r="BO116" s="36">
        <f>5662+734.2+41.8</f>
        <v>6438</v>
      </c>
      <c r="BP116" s="36">
        <f>5589+746.3+0.4</f>
        <v>6335.7</v>
      </c>
      <c r="BQ116" s="134">
        <f>5440.6+664.4+0.1</f>
        <v>6105.1</v>
      </c>
      <c r="BR116" s="33">
        <f>BQ116</f>
        <v>6105.1</v>
      </c>
      <c r="BS116" s="134">
        <f>5470.8+671</f>
        <v>6141.8</v>
      </c>
      <c r="BT116" s="134">
        <f>5351.4+673.9</f>
        <v>6025.2999999999993</v>
      </c>
      <c r="BU116" s="134">
        <f>5209.5+696.9</f>
        <v>5906.4</v>
      </c>
      <c r="BV116" s="134">
        <f>4923.2+782.1</f>
        <v>5705.3</v>
      </c>
      <c r="BW116" s="33">
        <f>BV116</f>
        <v>5705.3</v>
      </c>
      <c r="BX116" s="134">
        <f>4846.1+802.9</f>
        <v>5649</v>
      </c>
      <c r="BY116" s="134">
        <f>4761.7+822.4</f>
        <v>5584.0999999999995</v>
      </c>
      <c r="BZ116" s="134">
        <f>4621.8+777</f>
        <v>5398.8</v>
      </c>
      <c r="CA116" s="134">
        <f>4069.8+691.4</f>
        <v>4761.2</v>
      </c>
      <c r="CB116" s="33">
        <f>CA116</f>
        <v>4761.2</v>
      </c>
      <c r="CC116" s="134">
        <f>3957+681.8</f>
        <v>4638.8</v>
      </c>
      <c r="CD116" s="134">
        <f>3857.1+611.6</f>
        <v>4468.7</v>
      </c>
      <c r="CE116" s="134">
        <f>3734.8+662.5</f>
        <v>4397.3</v>
      </c>
      <c r="CF116" s="134">
        <f>3603.3+623.7</f>
        <v>4227</v>
      </c>
      <c r="CG116" s="33">
        <f>CF116</f>
        <v>4227</v>
      </c>
      <c r="CH116" s="134">
        <f>3537.3+641.2</f>
        <v>4178.5</v>
      </c>
      <c r="CI116" s="134">
        <f>3471.2+677.6</f>
        <v>4148.8</v>
      </c>
      <c r="CJ116" s="134">
        <f>3401.9+798.5</f>
        <v>4200.3999999999996</v>
      </c>
      <c r="CK116" s="134">
        <f>2562.4+740.2</f>
        <v>3302.6000000000004</v>
      </c>
      <c r="CL116" s="33">
        <f>CK116</f>
        <v>3302.6000000000004</v>
      </c>
      <c r="CM116" s="32">
        <f>CK116</f>
        <v>3302.6000000000004</v>
      </c>
      <c r="CN116" s="32">
        <f>CM116</f>
        <v>3302.6000000000004</v>
      </c>
      <c r="CO116" s="32">
        <f>CN116</f>
        <v>3302.6000000000004</v>
      </c>
      <c r="CP116" s="32">
        <f>CO116</f>
        <v>3302.6000000000004</v>
      </c>
      <c r="CQ116" s="33">
        <f>CP116</f>
        <v>3302.6000000000004</v>
      </c>
      <c r="CR116" s="32">
        <f>CP116</f>
        <v>3302.6000000000004</v>
      </c>
      <c r="CS116" s="32">
        <f>CR116</f>
        <v>3302.6000000000004</v>
      </c>
      <c r="CT116" s="32">
        <f>CS116</f>
        <v>3302.6000000000004</v>
      </c>
      <c r="CU116" s="32">
        <f>CT116</f>
        <v>3302.6000000000004</v>
      </c>
      <c r="CV116" s="33">
        <f>CU116</f>
        <v>3302.6000000000004</v>
      </c>
      <c r="CW116" s="32">
        <f>CU116</f>
        <v>3302.6000000000004</v>
      </c>
      <c r="CX116" s="32">
        <f>CW116</f>
        <v>3302.6000000000004</v>
      </c>
      <c r="CY116" s="32">
        <f>CX116</f>
        <v>3302.6000000000004</v>
      </c>
      <c r="CZ116" s="32">
        <f>CY116</f>
        <v>3302.6000000000004</v>
      </c>
      <c r="DA116" s="33">
        <f>CZ116</f>
        <v>3302.6000000000004</v>
      </c>
      <c r="DB116" s="32">
        <f>CZ116</f>
        <v>3302.6000000000004</v>
      </c>
      <c r="DC116" s="32">
        <f>DB116</f>
        <v>3302.6000000000004</v>
      </c>
      <c r="DD116" s="32">
        <f>DC116</f>
        <v>3302.6000000000004</v>
      </c>
      <c r="DE116" s="32">
        <f>DD116</f>
        <v>3302.6000000000004</v>
      </c>
      <c r="DF116" s="33">
        <f>DE116</f>
        <v>3302.6000000000004</v>
      </c>
    </row>
    <row r="117" spans="1:118" x14ac:dyDescent="0.2">
      <c r="B117" s="721" t="s">
        <v>112</v>
      </c>
      <c r="D117" s="28"/>
      <c r="E117" s="28">
        <f t="shared" ref="E117:AE117" si="374">E110+E111+E112+E113+E115+E116</f>
        <v>1571.4</v>
      </c>
      <c r="F117" s="29">
        <f t="shared" si="374"/>
        <v>1526.4660000000001</v>
      </c>
      <c r="G117" s="30">
        <f t="shared" si="374"/>
        <v>1563.0540000000001</v>
      </c>
      <c r="H117" s="30">
        <f t="shared" si="374"/>
        <v>1544.521</v>
      </c>
      <c r="I117" s="32">
        <f t="shared" si="374"/>
        <v>1668.2479999999998</v>
      </c>
      <c r="J117" s="28">
        <f t="shared" si="374"/>
        <v>1668.2479999999998</v>
      </c>
      <c r="K117" s="29">
        <f t="shared" si="374"/>
        <v>1628.8470000000002</v>
      </c>
      <c r="L117" s="30">
        <f t="shared" si="374"/>
        <v>2252.2889999999998</v>
      </c>
      <c r="M117" s="30">
        <f t="shared" si="374"/>
        <v>2153.288</v>
      </c>
      <c r="N117" s="32">
        <f t="shared" si="374"/>
        <v>2204.1370000000002</v>
      </c>
      <c r="O117" s="28">
        <f t="shared" si="374"/>
        <v>2204.1370000000002</v>
      </c>
      <c r="P117" s="29">
        <f t="shared" si="374"/>
        <v>2286.0079999999998</v>
      </c>
      <c r="Q117" s="30">
        <f t="shared" si="374"/>
        <v>2105.7370000000001</v>
      </c>
      <c r="R117" s="30">
        <f t="shared" si="374"/>
        <v>2116.538</v>
      </c>
      <c r="S117" s="32">
        <f t="shared" si="374"/>
        <v>2215.181</v>
      </c>
      <c r="T117" s="28">
        <f t="shared" si="374"/>
        <v>2215.181</v>
      </c>
      <c r="U117" s="30">
        <f t="shared" si="374"/>
        <v>2441.3850000000002</v>
      </c>
      <c r="V117" s="30">
        <f t="shared" si="374"/>
        <v>2226.2950000000001</v>
      </c>
      <c r="W117" s="30">
        <f t="shared" si="374"/>
        <v>2319.694</v>
      </c>
      <c r="X117" s="32">
        <f t="shared" si="374"/>
        <v>2404</v>
      </c>
      <c r="Y117" s="33">
        <f t="shared" si="374"/>
        <v>2404</v>
      </c>
      <c r="Z117" s="32">
        <f t="shared" si="374"/>
        <v>2401.5839999999998</v>
      </c>
      <c r="AA117" s="32">
        <f t="shared" si="374"/>
        <v>2421.9609999999998</v>
      </c>
      <c r="AB117" s="32">
        <f t="shared" si="374"/>
        <v>2410.0470000000005</v>
      </c>
      <c r="AC117" s="32">
        <f t="shared" si="374"/>
        <v>4028.7</v>
      </c>
      <c r="AD117" s="33">
        <f t="shared" si="374"/>
        <v>4028.7</v>
      </c>
      <c r="AE117" s="32">
        <f t="shared" si="374"/>
        <v>3814.2000000000003</v>
      </c>
      <c r="AF117" s="32">
        <f>SUM(AF110:AF116)</f>
        <v>4020.0000000000005</v>
      </c>
      <c r="AG117" s="32">
        <f t="shared" ref="AG117:BM117" si="375">AG110+AG111+AG112+AG113+AG115+AG116</f>
        <v>4052.7</v>
      </c>
      <c r="AH117" s="32">
        <f t="shared" si="375"/>
        <v>3983.2000000000003</v>
      </c>
      <c r="AI117" s="33">
        <f t="shared" si="375"/>
        <v>3983.2000000000003</v>
      </c>
      <c r="AJ117" s="32">
        <f t="shared" si="375"/>
        <v>3912.2</v>
      </c>
      <c r="AK117" s="32">
        <f t="shared" si="375"/>
        <v>4345.5</v>
      </c>
      <c r="AL117" s="32">
        <f t="shared" si="375"/>
        <v>4446.5999999999995</v>
      </c>
      <c r="AM117" s="32">
        <f t="shared" si="375"/>
        <v>4560</v>
      </c>
      <c r="AN117" s="33">
        <f t="shared" si="375"/>
        <v>4560</v>
      </c>
      <c r="AO117" s="30">
        <f t="shared" si="375"/>
        <v>4570.3</v>
      </c>
      <c r="AP117" s="30">
        <f t="shared" si="375"/>
        <v>4452.7</v>
      </c>
      <c r="AQ117" s="32">
        <f t="shared" si="375"/>
        <v>4433.8</v>
      </c>
      <c r="AR117" s="30">
        <f t="shared" si="375"/>
        <v>4431</v>
      </c>
      <c r="AS117" s="28">
        <f t="shared" si="375"/>
        <v>4431</v>
      </c>
      <c r="AT117" s="30">
        <f t="shared" si="375"/>
        <v>4408.7</v>
      </c>
      <c r="AU117" s="30">
        <f t="shared" si="375"/>
        <v>6719.9000000000005</v>
      </c>
      <c r="AV117" s="32">
        <f t="shared" si="375"/>
        <v>6921.6</v>
      </c>
      <c r="AW117" s="32">
        <f t="shared" si="375"/>
        <v>8379.4</v>
      </c>
      <c r="AX117" s="33">
        <f t="shared" si="375"/>
        <v>8379.4</v>
      </c>
      <c r="AY117" s="32">
        <f t="shared" si="375"/>
        <v>8151.9000000000005</v>
      </c>
      <c r="AZ117" s="32">
        <f t="shared" si="375"/>
        <v>7836.8000000000011</v>
      </c>
      <c r="BA117" s="32">
        <f t="shared" si="375"/>
        <v>6974.7</v>
      </c>
      <c r="BB117" s="32">
        <f t="shared" si="375"/>
        <v>6951.2</v>
      </c>
      <c r="BC117" s="33">
        <f t="shared" si="375"/>
        <v>6951.2</v>
      </c>
      <c r="BD117" s="32">
        <f t="shared" si="375"/>
        <v>6744.9</v>
      </c>
      <c r="BE117" s="32">
        <f t="shared" si="375"/>
        <v>8409.9</v>
      </c>
      <c r="BF117" s="32">
        <f t="shared" si="375"/>
        <v>8707</v>
      </c>
      <c r="BG117" s="32">
        <f t="shared" si="375"/>
        <v>13133.3</v>
      </c>
      <c r="BH117" s="33">
        <f t="shared" si="375"/>
        <v>13133.3</v>
      </c>
      <c r="BI117" s="32">
        <f t="shared" si="375"/>
        <v>16832.7</v>
      </c>
      <c r="BJ117" s="30">
        <f t="shared" si="375"/>
        <v>35930.199999999997</v>
      </c>
      <c r="BK117" s="32">
        <f t="shared" si="375"/>
        <v>34562.799999999996</v>
      </c>
      <c r="BL117" s="32">
        <f t="shared" si="375"/>
        <v>34715.5</v>
      </c>
      <c r="BM117" s="33">
        <f t="shared" si="375"/>
        <v>34715.5</v>
      </c>
      <c r="BN117" s="32">
        <f t="shared" ref="BN117:BW117" si="376">BN110+BN111+BN112+BN113+BN115+BN116</f>
        <v>31958.2</v>
      </c>
      <c r="BO117" s="30">
        <f t="shared" si="376"/>
        <v>30704.800000000003</v>
      </c>
      <c r="BP117" s="30">
        <f t="shared" si="376"/>
        <v>31043.9</v>
      </c>
      <c r="BQ117" s="32">
        <f t="shared" si="376"/>
        <v>31703.4</v>
      </c>
      <c r="BR117" s="33">
        <f t="shared" si="376"/>
        <v>31703.4</v>
      </c>
      <c r="BS117" s="32">
        <f t="shared" si="376"/>
        <v>30861.8</v>
      </c>
      <c r="BT117" s="32">
        <f t="shared" si="376"/>
        <v>34175.199999999997</v>
      </c>
      <c r="BU117" s="32">
        <f t="shared" si="376"/>
        <v>33270.9</v>
      </c>
      <c r="BV117" s="32">
        <f t="shared" si="376"/>
        <v>33734.9</v>
      </c>
      <c r="BW117" s="33">
        <f t="shared" si="376"/>
        <v>33734.9</v>
      </c>
      <c r="BX117" s="32">
        <f t="shared" ref="BX117:CG117" si="377">BX110+BX111+BX112+BX113+BX115+BX116</f>
        <v>31290.400000000001</v>
      </c>
      <c r="BY117" s="32">
        <f>BY110+BY111+BY112+BY113+BY115+BY116</f>
        <v>36036.799999999996</v>
      </c>
      <c r="BZ117" s="32">
        <f>BZ110+BZ111+BZ112+BZ113+BZ115+BZ116</f>
        <v>35450.300000000003</v>
      </c>
      <c r="CA117" s="32">
        <f>CA110+CA111+CA112+CA113+CA115+CA116</f>
        <v>35862.799999999996</v>
      </c>
      <c r="CB117" s="33">
        <f t="shared" si="377"/>
        <v>35862.799999999996</v>
      </c>
      <c r="CC117" s="32">
        <f t="shared" ref="CC117:CD117" si="378">CC110+CC111+CC112+CC113+CC115+CC116</f>
        <v>36258.400000000001</v>
      </c>
      <c r="CD117" s="32">
        <f t="shared" si="378"/>
        <v>35447.799999999996</v>
      </c>
      <c r="CE117" s="32">
        <f t="shared" ref="CE117" si="379">CE110+CE111+CE112+CE113+CE115+CE116</f>
        <v>35300.300000000003</v>
      </c>
      <c r="CF117" s="32">
        <f t="shared" si="377"/>
        <v>35501.1</v>
      </c>
      <c r="CG117" s="33">
        <f t="shared" si="377"/>
        <v>35501.1</v>
      </c>
      <c r="CH117" s="32">
        <f t="shared" ref="CH117:CI117" si="380">CH110+CH111+CH112+CH113+CH115+CH116</f>
        <v>35126.399999999994</v>
      </c>
      <c r="CI117" s="32">
        <f t="shared" si="380"/>
        <v>34763.300000000003</v>
      </c>
      <c r="CJ117" s="32">
        <f t="shared" ref="CJ117:CK117" si="381">CJ110+CJ111+CJ112+CJ113+CJ115+CJ116</f>
        <v>35283.9</v>
      </c>
      <c r="CK117" s="32">
        <f t="shared" si="381"/>
        <v>36130.5</v>
      </c>
      <c r="CL117" s="33">
        <f t="shared" ref="CL117:CQ117" si="382">CL110+CL111+CL112+CL113+CL115+CL116</f>
        <v>36130.5</v>
      </c>
      <c r="CM117" s="32">
        <f t="shared" ca="1" si="382"/>
        <v>33836.623855351994</v>
      </c>
      <c r="CN117" s="32">
        <f t="shared" ca="1" si="382"/>
        <v>33882.843650373288</v>
      </c>
      <c r="CO117" s="32">
        <f t="shared" ca="1" si="382"/>
        <v>34088.179769641771</v>
      </c>
      <c r="CP117" s="32">
        <f t="shared" ca="1" si="382"/>
        <v>34134.680313724042</v>
      </c>
      <c r="CQ117" s="33">
        <f t="shared" ca="1" si="382"/>
        <v>34134.680313724042</v>
      </c>
      <c r="CR117" s="32">
        <f t="shared" ref="CR117:CV117" ca="1" si="383">CR110+CR111+CR112+CR113+CR115+CR116</f>
        <v>34615.528060178643</v>
      </c>
      <c r="CS117" s="32">
        <f t="shared" ca="1" si="383"/>
        <v>33451.110736941817</v>
      </c>
      <c r="CT117" s="32">
        <f t="shared" ca="1" si="383"/>
        <v>33715.867460241097</v>
      </c>
      <c r="CU117" s="32">
        <f t="shared" ca="1" si="383"/>
        <v>33772.580890603676</v>
      </c>
      <c r="CV117" s="33">
        <f t="shared" ca="1" si="383"/>
        <v>33772.580890603676</v>
      </c>
      <c r="CW117" s="32">
        <f t="shared" ref="CW117:DF117" ca="1" si="384">CW110+CW111+CW112+CW113+CW115+CW116</f>
        <v>32435.151119456743</v>
      </c>
      <c r="CX117" s="32">
        <f t="shared" ca="1" si="384"/>
        <v>31288.108906054593</v>
      </c>
      <c r="CY117" s="32">
        <f t="shared" ca="1" si="384"/>
        <v>31575.877801590061</v>
      </c>
      <c r="CZ117" s="32">
        <f t="shared" ca="1" si="384"/>
        <v>31610.328998871541</v>
      </c>
      <c r="DA117" s="33">
        <f t="shared" ca="1" si="384"/>
        <v>31610.328998871541</v>
      </c>
      <c r="DB117" s="32">
        <f t="shared" ca="1" si="384"/>
        <v>30380.243666133123</v>
      </c>
      <c r="DC117" s="32">
        <f t="shared" ca="1" si="384"/>
        <v>29249.527451426598</v>
      </c>
      <c r="DD117" s="32">
        <f t="shared" ca="1" si="384"/>
        <v>29522.613964735305</v>
      </c>
      <c r="DE117" s="32">
        <f t="shared" ca="1" si="384"/>
        <v>29546.21335846102</v>
      </c>
      <c r="DF117" s="33">
        <f t="shared" ca="1" si="384"/>
        <v>29546.21335846102</v>
      </c>
    </row>
    <row r="118" spans="1:118" x14ac:dyDescent="0.2">
      <c r="B118" s="721"/>
      <c r="D118" s="28"/>
      <c r="E118" s="28"/>
      <c r="F118" s="35"/>
      <c r="G118" s="36"/>
      <c r="H118" s="36"/>
      <c r="I118" s="37"/>
      <c r="J118" s="28"/>
      <c r="K118" s="35"/>
      <c r="L118" s="36"/>
      <c r="M118" s="36"/>
      <c r="N118" s="37"/>
      <c r="O118" s="28"/>
      <c r="P118" s="35"/>
      <c r="Q118" s="36"/>
      <c r="R118" s="36"/>
      <c r="S118" s="37"/>
      <c r="T118" s="28"/>
      <c r="U118" s="30"/>
      <c r="V118" s="30"/>
      <c r="W118" s="30"/>
      <c r="X118" s="32"/>
      <c r="Y118" s="33"/>
      <c r="Z118" s="32"/>
      <c r="AA118" s="32"/>
      <c r="AB118" s="32"/>
      <c r="AC118" s="32"/>
      <c r="AD118" s="33"/>
      <c r="AE118" s="32"/>
      <c r="AF118" s="32"/>
      <c r="AG118" s="32"/>
      <c r="AH118" s="32"/>
      <c r="AI118" s="33"/>
      <c r="AJ118" s="32"/>
      <c r="AK118" s="32"/>
      <c r="AL118" s="32"/>
      <c r="AM118" s="32"/>
      <c r="AN118" s="33"/>
      <c r="AO118" s="30"/>
      <c r="AP118" s="30"/>
      <c r="AQ118" s="32"/>
      <c r="AR118" s="30"/>
      <c r="AS118" s="28"/>
      <c r="AT118" s="30"/>
      <c r="AU118" s="30"/>
      <c r="AV118" s="32"/>
      <c r="AW118" s="32"/>
      <c r="AX118" s="33"/>
      <c r="AY118" s="32"/>
      <c r="AZ118" s="32"/>
      <c r="BA118" s="32"/>
      <c r="BB118" s="32"/>
      <c r="BC118" s="33"/>
      <c r="BD118" s="32"/>
      <c r="BE118" s="32"/>
      <c r="BF118" s="32"/>
      <c r="BG118" s="32"/>
      <c r="BH118" s="33"/>
      <c r="BI118" s="32"/>
      <c r="BJ118" s="30"/>
      <c r="BK118" s="32"/>
      <c r="BL118" s="32"/>
      <c r="BM118" s="33"/>
      <c r="BN118" s="32"/>
      <c r="BO118" s="30"/>
      <c r="BP118" s="30"/>
      <c r="BQ118" s="32"/>
      <c r="BR118" s="33"/>
      <c r="BS118" s="32"/>
      <c r="BT118" s="32"/>
      <c r="BU118" s="32"/>
      <c r="BV118" s="32"/>
      <c r="BW118" s="33"/>
      <c r="BX118" s="32"/>
      <c r="BY118" s="32"/>
      <c r="BZ118" s="32"/>
      <c r="CA118" s="32"/>
      <c r="CB118" s="33"/>
      <c r="CC118" s="32"/>
      <c r="CD118" s="32"/>
      <c r="CE118" s="32"/>
      <c r="CF118" s="32"/>
      <c r="CG118" s="33"/>
      <c r="CH118" s="32"/>
      <c r="CI118" s="32"/>
      <c r="CJ118" s="32"/>
      <c r="CK118" s="32"/>
      <c r="CL118" s="33"/>
      <c r="CM118" s="32"/>
      <c r="CN118" s="32"/>
      <c r="CO118" s="32"/>
      <c r="CP118" s="32"/>
      <c r="CQ118" s="33"/>
      <c r="CR118" s="32"/>
      <c r="CS118" s="32"/>
      <c r="CT118" s="32"/>
      <c r="CU118" s="32"/>
      <c r="CV118" s="33"/>
      <c r="CW118" s="32"/>
      <c r="CX118" s="32"/>
      <c r="CY118" s="32"/>
      <c r="CZ118" s="32"/>
      <c r="DA118" s="33"/>
      <c r="DB118" s="32"/>
      <c r="DC118" s="32"/>
      <c r="DD118" s="32"/>
      <c r="DE118" s="32"/>
      <c r="DF118" s="33"/>
    </row>
    <row r="119" spans="1:118" x14ac:dyDescent="0.2">
      <c r="B119" s="743" t="s">
        <v>113</v>
      </c>
      <c r="C119" s="161"/>
      <c r="D119" s="28"/>
      <c r="E119" s="28"/>
      <c r="F119" s="35"/>
      <c r="G119" s="36"/>
      <c r="H119" s="36"/>
      <c r="I119" s="37"/>
      <c r="J119" s="28"/>
      <c r="K119" s="35"/>
      <c r="L119" s="36"/>
      <c r="M119" s="36"/>
      <c r="N119" s="37"/>
      <c r="O119" s="28"/>
      <c r="P119" s="35"/>
      <c r="Q119" s="36"/>
      <c r="R119" s="36"/>
      <c r="S119" s="37"/>
      <c r="T119" s="28"/>
      <c r="U119" s="30"/>
      <c r="V119" s="30"/>
      <c r="W119" s="30"/>
      <c r="X119" s="32"/>
      <c r="Y119" s="33"/>
      <c r="Z119" s="32"/>
      <c r="AA119" s="32"/>
      <c r="AB119" s="32"/>
      <c r="AC119" s="32"/>
      <c r="AD119" s="33"/>
      <c r="AE119" s="32"/>
      <c r="AF119" s="32"/>
      <c r="AG119" s="32"/>
      <c r="AH119" s="32"/>
      <c r="AI119" s="33"/>
      <c r="AJ119" s="32"/>
      <c r="AK119" s="32"/>
      <c r="AL119" s="32"/>
      <c r="AM119" s="32"/>
      <c r="AN119" s="33"/>
      <c r="AO119" s="30"/>
      <c r="AP119" s="30"/>
      <c r="AQ119" s="32"/>
      <c r="AR119" s="30"/>
      <c r="AS119" s="28"/>
      <c r="AT119" s="30"/>
      <c r="AU119" s="30"/>
      <c r="AV119" s="32"/>
      <c r="AW119" s="32"/>
      <c r="AX119" s="33"/>
      <c r="AY119" s="32"/>
      <c r="AZ119" s="32"/>
      <c r="BA119" s="32"/>
      <c r="BB119" s="32"/>
      <c r="BC119" s="33"/>
      <c r="BD119" s="32"/>
      <c r="BE119" s="32"/>
      <c r="BF119" s="32"/>
      <c r="BG119" s="32"/>
      <c r="BH119" s="33"/>
      <c r="BI119" s="32"/>
      <c r="BJ119" s="30"/>
      <c r="BK119" s="32"/>
      <c r="BL119" s="32"/>
      <c r="BM119" s="33"/>
      <c r="BN119" s="32"/>
      <c r="BO119" s="30"/>
      <c r="BP119" s="30"/>
      <c r="BQ119" s="32"/>
      <c r="BR119" s="33"/>
      <c r="BS119" s="32"/>
      <c r="BT119" s="32"/>
      <c r="BU119" s="32"/>
      <c r="BV119" s="32"/>
      <c r="BW119" s="33"/>
      <c r="BX119" s="32"/>
      <c r="BY119" s="32"/>
      <c r="BZ119" s="32"/>
      <c r="CA119" s="32"/>
      <c r="CB119" s="33"/>
      <c r="CC119" s="32"/>
      <c r="CD119" s="32"/>
      <c r="CE119" s="32"/>
      <c r="CF119" s="32"/>
      <c r="CG119" s="33"/>
      <c r="CH119" s="32"/>
      <c r="CI119" s="32"/>
      <c r="CJ119" s="32"/>
      <c r="CK119" s="32"/>
      <c r="CL119" s="33"/>
      <c r="CM119" s="32"/>
      <c r="CN119" s="32"/>
      <c r="CO119" s="32"/>
      <c r="CP119" s="32"/>
      <c r="CQ119" s="33"/>
      <c r="CR119" s="32"/>
      <c r="CS119" s="32"/>
      <c r="CT119" s="32"/>
      <c r="CU119" s="32"/>
      <c r="CV119" s="33"/>
      <c r="CW119" s="32"/>
      <c r="CX119" s="32"/>
      <c r="CY119" s="32"/>
      <c r="CZ119" s="32"/>
      <c r="DA119" s="33"/>
      <c r="DB119" s="32"/>
      <c r="DC119" s="32"/>
      <c r="DD119" s="32"/>
      <c r="DE119" s="32"/>
      <c r="DF119" s="33"/>
    </row>
    <row r="120" spans="1:118" x14ac:dyDescent="0.2">
      <c r="B120" s="721" t="s">
        <v>114</v>
      </c>
      <c r="D120" s="34"/>
      <c r="E120" s="34">
        <v>441.387</v>
      </c>
      <c r="F120" s="35">
        <v>453.084</v>
      </c>
      <c r="G120" s="36">
        <v>472.39699999999999</v>
      </c>
      <c r="H120" s="36">
        <v>488.142</v>
      </c>
      <c r="I120" s="37">
        <v>492.22899999999998</v>
      </c>
      <c r="J120" s="28">
        <f>I120</f>
        <v>492.22899999999998</v>
      </c>
      <c r="K120" s="35">
        <v>481.20299999999997</v>
      </c>
      <c r="L120" s="36">
        <v>506.91699999999997</v>
      </c>
      <c r="M120" s="36">
        <v>507.40199999999999</v>
      </c>
      <c r="N120" s="37">
        <v>503.74599999999998</v>
      </c>
      <c r="O120" s="28">
        <f>N120</f>
        <v>503.74599999999998</v>
      </c>
      <c r="P120" s="35">
        <v>498.315</v>
      </c>
      <c r="Q120" s="36">
        <v>487.37400000000002</v>
      </c>
      <c r="R120" s="36">
        <v>482.75400000000002</v>
      </c>
      <c r="S120" s="37">
        <v>484.66300000000001</v>
      </c>
      <c r="T120" s="28">
        <f>S120</f>
        <v>484.66300000000001</v>
      </c>
      <c r="U120" s="36">
        <v>476.70699999999999</v>
      </c>
      <c r="V120" s="36">
        <v>479.87400000000002</v>
      </c>
      <c r="W120" s="36">
        <v>468.63499999999999</v>
      </c>
      <c r="X120" s="134">
        <v>467</v>
      </c>
      <c r="Y120" s="33">
        <f>X120</f>
        <v>467</v>
      </c>
      <c r="Z120" s="134">
        <v>465.209</v>
      </c>
      <c r="AA120" s="134">
        <v>462.851</v>
      </c>
      <c r="AB120" s="134">
        <v>465.72199999999998</v>
      </c>
      <c r="AC120" s="134">
        <f>1.6+473.5</f>
        <v>475.1</v>
      </c>
      <c r="AD120" s="33">
        <f>AC120</f>
        <v>475.1</v>
      </c>
      <c r="AE120" s="134">
        <f>516.6+1.6</f>
        <v>518.20000000000005</v>
      </c>
      <c r="AF120" s="36">
        <f>516.8+1.6</f>
        <v>518.4</v>
      </c>
      <c r="AG120" s="134">
        <f>1.6+524.2</f>
        <v>525.80000000000007</v>
      </c>
      <c r="AH120" s="134">
        <f>1.6+495.3</f>
        <v>496.90000000000003</v>
      </c>
      <c r="AI120" s="33">
        <f>AH120</f>
        <v>496.90000000000003</v>
      </c>
      <c r="AJ120" s="134">
        <f>1.6+506.4</f>
        <v>508</v>
      </c>
      <c r="AK120" s="134">
        <v>538.1</v>
      </c>
      <c r="AL120" s="134">
        <v>550.4</v>
      </c>
      <c r="AM120" s="134">
        <f>3.2+564.5</f>
        <v>567.70000000000005</v>
      </c>
      <c r="AN120" s="33">
        <f>AM120</f>
        <v>567.70000000000005</v>
      </c>
      <c r="AO120" s="36">
        <v>581.4</v>
      </c>
      <c r="AP120" s="36">
        <v>603</v>
      </c>
      <c r="AQ120" s="134">
        <f>627.2</f>
        <v>627.20000000000005</v>
      </c>
      <c r="AR120" s="36">
        <v>640.79999999999995</v>
      </c>
      <c r="AS120" s="28">
        <f>AR120</f>
        <v>640.79999999999995</v>
      </c>
      <c r="AT120" s="36">
        <v>645.70000000000005</v>
      </c>
      <c r="AU120" s="36">
        <v>2228.5</v>
      </c>
      <c r="AV120" s="134">
        <v>2244</v>
      </c>
      <c r="AW120" s="134">
        <v>2260</v>
      </c>
      <c r="AX120" s="33">
        <f>AW120</f>
        <v>2260</v>
      </c>
      <c r="AY120" s="134">
        <v>2283</v>
      </c>
      <c r="AZ120" s="134">
        <v>2298.1</v>
      </c>
      <c r="BA120" s="134">
        <v>2314.3000000000002</v>
      </c>
      <c r="BB120" s="134">
        <v>2354.4</v>
      </c>
      <c r="BC120" s="33">
        <f>BB120</f>
        <v>2354.4</v>
      </c>
      <c r="BD120" s="134">
        <v>2371</v>
      </c>
      <c r="BE120" s="134">
        <v>2406.8000000000002</v>
      </c>
      <c r="BF120" s="134">
        <v>2422.5</v>
      </c>
      <c r="BG120" s="134">
        <v>2438.1999999999998</v>
      </c>
      <c r="BH120" s="33">
        <f>BG120</f>
        <v>2438.1999999999998</v>
      </c>
      <c r="BI120" s="134">
        <v>2457.4</v>
      </c>
      <c r="BJ120" s="36">
        <v>20918.099999999999</v>
      </c>
      <c r="BK120" s="134">
        <v>21156.1</v>
      </c>
      <c r="BL120" s="134">
        <v>21289.7</v>
      </c>
      <c r="BM120" s="33">
        <f>BL120</f>
        <v>21289.7</v>
      </c>
      <c r="BN120" s="134">
        <v>21451.599999999999</v>
      </c>
      <c r="BO120" s="36">
        <v>21662.2</v>
      </c>
      <c r="BP120" s="36">
        <v>21820.2</v>
      </c>
      <c r="BQ120" s="134">
        <v>21809.9</v>
      </c>
      <c r="BR120" s="33">
        <f>BQ120</f>
        <v>21809.9</v>
      </c>
      <c r="BS120" s="134">
        <f>22138.9</f>
        <v>22138.9</v>
      </c>
      <c r="BT120" s="134">
        <v>22389.4</v>
      </c>
      <c r="BU120" s="134">
        <v>22532.3</v>
      </c>
      <c r="BV120" s="134">
        <v>22671.4</v>
      </c>
      <c r="BW120" s="33">
        <f>BV120</f>
        <v>22671.4</v>
      </c>
      <c r="BX120" s="134">
        <v>22788.9</v>
      </c>
      <c r="BY120" s="134">
        <v>22078.7</v>
      </c>
      <c r="BZ120" s="134">
        <v>22140.400000000001</v>
      </c>
      <c r="CA120" s="134">
        <v>22204.7</v>
      </c>
      <c r="CB120" s="33">
        <f>CA120</f>
        <v>22204.7</v>
      </c>
      <c r="CC120" s="134">
        <f>22514.7</f>
        <v>22514.7</v>
      </c>
      <c r="CD120" s="134">
        <v>22567.200000000001</v>
      </c>
      <c r="CE120" s="134">
        <f>23175.7</f>
        <v>23175.7</v>
      </c>
      <c r="CF120" s="134">
        <v>23233.599999999999</v>
      </c>
      <c r="CG120" s="33">
        <f>CF120</f>
        <v>23233.599999999999</v>
      </c>
      <c r="CH120" s="134">
        <v>23275.3</v>
      </c>
      <c r="CI120" s="134">
        <v>23446.799999999999</v>
      </c>
      <c r="CJ120" s="134">
        <v>23486.1</v>
      </c>
      <c r="CK120" s="134">
        <f>23537.8</f>
        <v>23537.8</v>
      </c>
      <c r="CL120" s="33">
        <f>CK120</f>
        <v>23537.8</v>
      </c>
      <c r="CM120" s="32">
        <f>CK120+CM142</f>
        <v>23537.8</v>
      </c>
      <c r="CN120" s="32">
        <f>CM120+CN142</f>
        <v>23537.8</v>
      </c>
      <c r="CO120" s="32">
        <f>CN120+CO142</f>
        <v>23537.8</v>
      </c>
      <c r="CP120" s="32">
        <f>CO120+CP142</f>
        <v>23537.8</v>
      </c>
      <c r="CQ120" s="33">
        <f>CP120</f>
        <v>23537.8</v>
      </c>
      <c r="CR120" s="32">
        <f>CP120+CR142</f>
        <v>23537.8</v>
      </c>
      <c r="CS120" s="32">
        <f>CR120+CS142</f>
        <v>23537.8</v>
      </c>
      <c r="CT120" s="32">
        <f>CS120+CT142</f>
        <v>23537.8</v>
      </c>
      <c r="CU120" s="32">
        <f>CT120+CU142</f>
        <v>23537.8</v>
      </c>
      <c r="CV120" s="33">
        <f>CU120</f>
        <v>23537.8</v>
      </c>
      <c r="CW120" s="32">
        <f>CU120+CW142</f>
        <v>23537.8</v>
      </c>
      <c r="CX120" s="32">
        <f>CW120+CX142</f>
        <v>23537.8</v>
      </c>
      <c r="CY120" s="32">
        <f>CX120+CY142</f>
        <v>23537.8</v>
      </c>
      <c r="CZ120" s="32">
        <f>CY120+CZ142</f>
        <v>23537.8</v>
      </c>
      <c r="DA120" s="33">
        <f>CZ120</f>
        <v>23537.8</v>
      </c>
      <c r="DB120" s="32">
        <f>CZ120+DB142</f>
        <v>23537.8</v>
      </c>
      <c r="DC120" s="32">
        <f>DB120+DC142</f>
        <v>23537.8</v>
      </c>
      <c r="DD120" s="32">
        <f>DC120+DD142</f>
        <v>23537.8</v>
      </c>
      <c r="DE120" s="32">
        <f>DD120+DE142</f>
        <v>23537.8</v>
      </c>
      <c r="DF120" s="33">
        <f>DE120</f>
        <v>23537.8</v>
      </c>
    </row>
    <row r="121" spans="1:118" x14ac:dyDescent="0.2">
      <c r="B121" s="721" t="s">
        <v>115</v>
      </c>
      <c r="D121" s="34"/>
      <c r="E121" s="34">
        <v>287.41399999999999</v>
      </c>
      <c r="F121" s="35">
        <v>315.49299999999999</v>
      </c>
      <c r="G121" s="36">
        <v>345.73700000000002</v>
      </c>
      <c r="H121" s="36">
        <v>377.928</v>
      </c>
      <c r="I121" s="37">
        <v>412.11399999999998</v>
      </c>
      <c r="J121" s="28">
        <f>I121</f>
        <v>412.11399999999998</v>
      </c>
      <c r="K121" s="35">
        <v>456.08300000000003</v>
      </c>
      <c r="L121" s="36">
        <v>504.78300000000002</v>
      </c>
      <c r="M121" s="36">
        <v>558.22500000000002</v>
      </c>
      <c r="N121" s="37">
        <v>614.95000000000005</v>
      </c>
      <c r="O121" s="28">
        <f>N121</f>
        <v>614.95000000000005</v>
      </c>
      <c r="P121" s="35">
        <v>673.57100000000003</v>
      </c>
      <c r="Q121" s="36">
        <f>732.577</f>
        <v>732.577</v>
      </c>
      <c r="R121" s="36">
        <v>797.11900000000003</v>
      </c>
      <c r="S121" s="37">
        <v>864.55</v>
      </c>
      <c r="T121" s="28">
        <f>S121</f>
        <v>864.55</v>
      </c>
      <c r="U121" s="36">
        <v>934.51300000000003</v>
      </c>
      <c r="V121" s="36">
        <v>999.93299999999999</v>
      </c>
      <c r="W121" s="36">
        <v>1061.8499999999999</v>
      </c>
      <c r="X121" s="134">
        <v>1143</v>
      </c>
      <c r="Y121" s="33">
        <f>X121</f>
        <v>1143</v>
      </c>
      <c r="Z121" s="134">
        <v>1228.0329999999999</v>
      </c>
      <c r="AA121" s="134">
        <v>1330.0329999999999</v>
      </c>
      <c r="AB121" s="134">
        <v>1431.7270000000001</v>
      </c>
      <c r="AC121" s="134">
        <v>1542.9</v>
      </c>
      <c r="AD121" s="33">
        <f>AC121</f>
        <v>1542.9</v>
      </c>
      <c r="AE121" s="134">
        <v>1647.5</v>
      </c>
      <c r="AF121" s="134">
        <v>1755.3</v>
      </c>
      <c r="AG121" s="134">
        <v>1870</v>
      </c>
      <c r="AH121" s="134">
        <v>2017.3</v>
      </c>
      <c r="AI121" s="33">
        <f>AH121</f>
        <v>2017.3</v>
      </c>
      <c r="AJ121" s="134">
        <v>2150.8000000000002</v>
      </c>
      <c r="AK121" s="134">
        <v>2303.5</v>
      </c>
      <c r="AL121" s="134">
        <v>2446.4</v>
      </c>
      <c r="AM121" s="134">
        <v>2584.9</v>
      </c>
      <c r="AN121" s="33">
        <f>AM121</f>
        <v>2584.9</v>
      </c>
      <c r="AO121" s="36">
        <v>2762.1</v>
      </c>
      <c r="AP121" s="36">
        <v>2952.2</v>
      </c>
      <c r="AQ121" s="134">
        <f>3154.2</f>
        <v>3154.2</v>
      </c>
      <c r="AR121" s="36">
        <v>3361</v>
      </c>
      <c r="AS121" s="28">
        <f>AR121</f>
        <v>3361</v>
      </c>
      <c r="AT121" s="36">
        <v>3575.4</v>
      </c>
      <c r="AU121" s="36">
        <v>3767.7</v>
      </c>
      <c r="AV121" s="134">
        <v>3965.3</v>
      </c>
      <c r="AW121" s="134">
        <v>4188.6000000000004</v>
      </c>
      <c r="AX121" s="33">
        <f>AW121</f>
        <v>4188.6000000000004</v>
      </c>
      <c r="AY121" s="134">
        <v>4448.8</v>
      </c>
      <c r="AZ121" s="134">
        <v>4738.7</v>
      </c>
      <c r="BA121" s="134">
        <v>5040.2</v>
      </c>
      <c r="BB121" s="134">
        <v>5369.8</v>
      </c>
      <c r="BC121" s="33">
        <f>BB121</f>
        <v>5369.8</v>
      </c>
      <c r="BD121" s="134">
        <v>5696.3</v>
      </c>
      <c r="BE121" s="134">
        <v>6030.5</v>
      </c>
      <c r="BF121" s="134">
        <v>6355.2</v>
      </c>
      <c r="BG121" s="134">
        <v>6645.6</v>
      </c>
      <c r="BH121" s="33">
        <f>BG121</f>
        <v>6645.6</v>
      </c>
      <c r="BI121" s="134">
        <v>6913.4</v>
      </c>
      <c r="BJ121" s="134">
        <v>1194</v>
      </c>
      <c r="BK121" s="134">
        <v>1564.1</v>
      </c>
      <c r="BL121" s="134">
        <v>2068.1999999999998</v>
      </c>
      <c r="BM121" s="33">
        <f>BL121</f>
        <v>2068.1999999999998</v>
      </c>
      <c r="BN121" s="134">
        <v>2441.1999999999998</v>
      </c>
      <c r="BO121" s="134">
        <v>2984.2</v>
      </c>
      <c r="BP121" s="134">
        <v>3410.9</v>
      </c>
      <c r="BQ121" s="134">
        <v>3912.8</v>
      </c>
      <c r="BR121" s="33">
        <f>BQ121</f>
        <v>3912.8</v>
      </c>
      <c r="BS121" s="134">
        <f>4241.1</f>
        <v>4241.1000000000004</v>
      </c>
      <c r="BT121" s="134">
        <v>4756.3</v>
      </c>
      <c r="BU121" s="134">
        <v>5338.6</v>
      </c>
      <c r="BV121" s="134">
        <v>5920.4</v>
      </c>
      <c r="BW121" s="33">
        <f>BV121</f>
        <v>5920.4</v>
      </c>
      <c r="BX121" s="134">
        <v>6361.5</v>
      </c>
      <c r="BY121" s="134">
        <v>6961.6</v>
      </c>
      <c r="BZ121" s="134">
        <v>7623.3</v>
      </c>
      <c r="CA121" s="134">
        <v>8396.7999999999993</v>
      </c>
      <c r="CB121" s="33">
        <f>CA121</f>
        <v>8396.7999999999993</v>
      </c>
      <c r="CC121" s="134">
        <f>8922.9</f>
        <v>8922.9</v>
      </c>
      <c r="CD121" s="134">
        <v>9643.6</v>
      </c>
      <c r="CE121" s="134">
        <f>10366.5</f>
        <v>10366.5</v>
      </c>
      <c r="CF121" s="134">
        <v>11801.2</v>
      </c>
      <c r="CG121" s="33">
        <f>CF121</f>
        <v>11801.2</v>
      </c>
      <c r="CH121" s="134">
        <v>12347.5</v>
      </c>
      <c r="CI121" s="134">
        <v>13149.3</v>
      </c>
      <c r="CJ121" s="134">
        <v>13991</v>
      </c>
      <c r="CK121" s="134">
        <f>16318.6</f>
        <v>16318.6</v>
      </c>
      <c r="CL121" s="33">
        <f>CK121</f>
        <v>16318.6</v>
      </c>
      <c r="CM121" s="32">
        <f ca="1">CK121+CM41</f>
        <v>17013.493932078225</v>
      </c>
      <c r="CN121" s="32">
        <f ca="1">CM121+CN41</f>
        <v>18037.033555267037</v>
      </c>
      <c r="CO121" s="32">
        <f ca="1">CN121+CO41</f>
        <v>19079.709796220421</v>
      </c>
      <c r="CP121" s="32">
        <f ca="1">CO121+CP41</f>
        <v>20242.913170003598</v>
      </c>
      <c r="CQ121" s="33">
        <f ca="1">CP121</f>
        <v>20242.913170003598</v>
      </c>
      <c r="CR121" s="32">
        <f ca="1">CP121+CR41</f>
        <v>20949.742998617523</v>
      </c>
      <c r="CS121" s="32">
        <f ca="1">CR121+CS41</f>
        <v>21937.664343698641</v>
      </c>
      <c r="CT121" s="32">
        <f ca="1">CS121+CT41</f>
        <v>22930.097220210926</v>
      </c>
      <c r="CU121" s="32">
        <f ca="1">CT121+CU41</f>
        <v>24031.821030236009</v>
      </c>
      <c r="CV121" s="33">
        <f ca="1">CU121</f>
        <v>24031.821030236009</v>
      </c>
      <c r="CW121" s="32">
        <f ca="1">CU121+CW41</f>
        <v>24622.415620440785</v>
      </c>
      <c r="CX121" s="32">
        <f ca="1">CW121+CX41</f>
        <v>25443.876024421701</v>
      </c>
      <c r="CY121" s="32">
        <f ca="1">CX121+CY41</f>
        <v>26259.238040107171</v>
      </c>
      <c r="CZ121" s="32">
        <f ca="1">CY121+CZ41</f>
        <v>27164.201957339727</v>
      </c>
      <c r="DA121" s="33">
        <f ca="1">CZ121</f>
        <v>27164.201957339727</v>
      </c>
      <c r="DB121" s="32">
        <f ca="1">CZ121+DB41</f>
        <v>27633.276679619252</v>
      </c>
      <c r="DC121" s="32">
        <f ca="1">DB121+DC41</f>
        <v>28285.352181313858</v>
      </c>
      <c r="DD121" s="32">
        <f ca="1">DC121+DD41</f>
        <v>28968.402239068193</v>
      </c>
      <c r="DE121" s="32">
        <f ca="1">DD121+DE41</f>
        <v>29712.890513252078</v>
      </c>
      <c r="DF121" s="33">
        <f ca="1">DE121</f>
        <v>29712.890513252078</v>
      </c>
    </row>
    <row r="122" spans="1:118" x14ac:dyDescent="0.2">
      <c r="B122" s="721" t="s">
        <v>101</v>
      </c>
      <c r="D122" s="34"/>
      <c r="E122" s="34">
        <f>0.39-13.676-0.097-10.174</f>
        <v>-23.556999999999999</v>
      </c>
      <c r="F122" s="35">
        <f>-12.978-2.749+0.391</f>
        <v>-15.336</v>
      </c>
      <c r="G122" s="36">
        <f>-22.568-1.883+0.787</f>
        <v>-23.664000000000001</v>
      </c>
      <c r="H122" s="36">
        <f>-19.116-4.914-27.055+0.792</f>
        <v>-50.292999999999999</v>
      </c>
      <c r="I122" s="37">
        <v>-72.346000000000004</v>
      </c>
      <c r="J122" s="28">
        <f>I122</f>
        <v>-72.346000000000004</v>
      </c>
      <c r="K122" s="35">
        <f>-13.018-4.033-42.362+0.792</f>
        <v>-58.621000000000002</v>
      </c>
      <c r="L122" s="36">
        <f>-10.856-3.327-54.887+0.797</f>
        <v>-68.272999999999996</v>
      </c>
      <c r="M122" s="36">
        <f>-10.685-5.122-79.84+0.798</f>
        <v>-94.849000000000004</v>
      </c>
      <c r="N122" s="37">
        <v>-115.84099999999999</v>
      </c>
      <c r="O122" s="28">
        <f>N122</f>
        <v>-115.84099999999999</v>
      </c>
      <c r="P122" s="35">
        <f>-7.157-2.131-95.116+0.797</f>
        <v>-103.607</v>
      </c>
      <c r="Q122" s="36">
        <f>-28.812+1.234-56.764+0.797</f>
        <v>-83.545000000000016</v>
      </c>
      <c r="R122" s="36">
        <f>-25.413+1.744-78.748+0.797</f>
        <v>-101.62</v>
      </c>
      <c r="S122" s="37">
        <v>-155.22</v>
      </c>
      <c r="T122" s="28">
        <f>S122</f>
        <v>-155.22</v>
      </c>
      <c r="U122" s="426">
        <f>-22.728+3.655-114.687+0.797</f>
        <v>-132.96299999999999</v>
      </c>
      <c r="V122" s="426">
        <f>-22.427+3.585-143.402+0.797</f>
        <v>-161.44699999999997</v>
      </c>
      <c r="W122" s="426">
        <f>0.797-22.051+5.975-242.325</f>
        <v>-257.60399999999998</v>
      </c>
      <c r="X122" s="426">
        <v>-414</v>
      </c>
      <c r="Y122" s="33">
        <f>X122</f>
        <v>-414</v>
      </c>
      <c r="Z122" s="134">
        <f>0.798-11.817+8.023-382.992</f>
        <v>-385.988</v>
      </c>
      <c r="AA122" s="426">
        <f>1.595-9.75+7.478-375.404</f>
        <v>-376.08100000000002</v>
      </c>
      <c r="AB122" s="426">
        <f>-7.806+1.595+9.785-567.879</f>
        <v>-564.30500000000006</v>
      </c>
      <c r="AC122" s="426">
        <f>-5.8+9.8-557.2</f>
        <v>-553.20000000000005</v>
      </c>
      <c r="AD122" s="33">
        <f>AC122</f>
        <v>-553.20000000000005</v>
      </c>
      <c r="AE122" s="426">
        <f>-42.9+9.9-516.1</f>
        <v>-549.1</v>
      </c>
      <c r="AF122" s="426">
        <f>-37+12-1215.3</f>
        <v>-1240.3</v>
      </c>
      <c r="AG122" s="426">
        <f>-1407.9-29.6+12.4</f>
        <v>-1425.1</v>
      </c>
      <c r="AH122" s="426">
        <f>11.9-1401.2</f>
        <v>-1389.3</v>
      </c>
      <c r="AI122" s="33">
        <f>AH122</f>
        <v>-1389.3</v>
      </c>
      <c r="AJ122" s="426">
        <f>-1383.1+12.3</f>
        <v>-1370.8</v>
      </c>
      <c r="AK122" s="426">
        <f>15+3.2+-2172.4</f>
        <v>-2154.2000000000003</v>
      </c>
      <c r="AL122" s="426">
        <f>-2482+3.2+19.4</f>
        <v>-2459.4</v>
      </c>
      <c r="AM122" s="426">
        <f>-2477.1+20.9</f>
        <v>-2456.1999999999998</v>
      </c>
      <c r="AN122" s="33">
        <f>AM122</f>
        <v>-2456.1999999999998</v>
      </c>
      <c r="AO122" s="433">
        <f>-2587.3+17.8+3.2</f>
        <v>-2566.3000000000002</v>
      </c>
      <c r="AP122" s="433">
        <f>-2949.1+3.2+18.5</f>
        <v>-2927.4</v>
      </c>
      <c r="AQ122" s="426">
        <f>3.2+16.9-2936</f>
        <v>-2915.9</v>
      </c>
      <c r="AR122" s="433">
        <f>-2933+3.2+6.2</f>
        <v>-2923.6000000000004</v>
      </c>
      <c r="AS122" s="28">
        <f>AR122</f>
        <v>-2923.6000000000004</v>
      </c>
      <c r="AT122" s="433">
        <f>-2929.2+3.2+4.9</f>
        <v>-2921.1</v>
      </c>
      <c r="AU122" s="433">
        <f>-2925.4+3.5+9.9</f>
        <v>-2912</v>
      </c>
      <c r="AV122" s="426">
        <f>-2919.5+3.5+14.2</f>
        <v>-2901.8</v>
      </c>
      <c r="AW122" s="426">
        <f>-2914.4+3.5+14.1</f>
        <v>-2896.8</v>
      </c>
      <c r="AX122" s="33">
        <f>AW122</f>
        <v>-2896.8</v>
      </c>
      <c r="AY122" s="426">
        <f>-3106.3+3.5+18</f>
        <v>-3084.8</v>
      </c>
      <c r="AZ122" s="426">
        <f>-3412.8+6.9+15.9</f>
        <v>-3390</v>
      </c>
      <c r="BA122" s="426">
        <f>-4158.8+6.9+17.4</f>
        <v>-4134.5000000000009</v>
      </c>
      <c r="BB122" s="426">
        <f>-4144.3+6.9+19.8</f>
        <v>-4117.6000000000004</v>
      </c>
      <c r="BC122" s="33">
        <f>BB122</f>
        <v>-4117.6000000000004</v>
      </c>
      <c r="BD122" s="426">
        <f>-4132.1+21.1+6.9</f>
        <v>-4104.1000000000004</v>
      </c>
      <c r="BE122" s="426">
        <f>-6636.9+20.7+6.9</f>
        <v>-6609.3</v>
      </c>
      <c r="BF122" s="426">
        <f>-6635.5+15.6+6.9</f>
        <v>-6613</v>
      </c>
      <c r="BG122" s="426">
        <f>-6634+6.9+17</f>
        <v>-6610.1</v>
      </c>
      <c r="BH122" s="33">
        <f>BG122</f>
        <v>-6610.1</v>
      </c>
      <c r="BI122" s="426">
        <f>-6620.8+6.9+18.6</f>
        <v>-6595.3</v>
      </c>
      <c r="BJ122" s="426">
        <f>8.1+8.1-20.8</f>
        <v>-4.6000000000000014</v>
      </c>
      <c r="BK122" s="426">
        <f>16.6+8.1-5.3</f>
        <v>19.400000000000002</v>
      </c>
      <c r="BL122" s="426">
        <f>18.9+8.2+10.7</f>
        <v>37.799999999999997</v>
      </c>
      <c r="BM122" s="33">
        <f>BL122</f>
        <v>37.799999999999997</v>
      </c>
      <c r="BN122" s="426">
        <f>8.2+16.8-300+9.7</f>
        <v>-265.3</v>
      </c>
      <c r="BO122" s="426">
        <f>8.2+12.9+10.2-801</f>
        <v>-769.7</v>
      </c>
      <c r="BP122" s="426">
        <f>8.3+15.4-1552.5+16.8</f>
        <v>-1512</v>
      </c>
      <c r="BQ122" s="426">
        <f>8.3+11.7-3905.3+7.4</f>
        <v>-3877.9</v>
      </c>
      <c r="BR122" s="33">
        <f>BQ122</f>
        <v>-3877.9</v>
      </c>
      <c r="BS122" s="426">
        <f>-4523.5+8.4+9.4+11</f>
        <v>-4494.7000000000007</v>
      </c>
      <c r="BT122" s="426">
        <f>8.4+12.9-6715.1+6.7</f>
        <v>-6687.1</v>
      </c>
      <c r="BU122" s="426">
        <f>-7728.7+8.5+7+10.6</f>
        <v>-7702.5999999999995</v>
      </c>
      <c r="BV122" s="426">
        <f>-8548.2+8.5+2.1+9.8</f>
        <v>-8527.8000000000011</v>
      </c>
      <c r="BW122" s="33">
        <f>BV122</f>
        <v>-8527.8000000000011</v>
      </c>
      <c r="BX122" s="426">
        <f>8.5-5.9-8548.2+9.9</f>
        <v>-8535.7000000000007</v>
      </c>
      <c r="BY122" s="426">
        <f>-13223.2+8.5-3.4+8.8</f>
        <v>-13209.300000000001</v>
      </c>
      <c r="BZ122" s="426">
        <f>-13223.2-10.7+8.5+7.9</f>
        <v>-13217.500000000002</v>
      </c>
      <c r="CA122" s="426">
        <f>-13223.2-14+8.5+7.7</f>
        <v>-13221</v>
      </c>
      <c r="CB122" s="33">
        <f>CA122</f>
        <v>-13221</v>
      </c>
      <c r="CC122" s="426">
        <f>-16597.4-7.7+8.6+8.1</f>
        <v>-16588.400000000005</v>
      </c>
      <c r="CD122" s="426">
        <f>-16808.4+7.7-7.9+8.6</f>
        <v>-16800.000000000004</v>
      </c>
      <c r="CE122" s="426">
        <f>-17940.9+8.6-9.6+8.7</f>
        <v>-17933.2</v>
      </c>
      <c r="CF122" s="426">
        <f>-18795.1+7.8-12.3+8.6</f>
        <v>-18791</v>
      </c>
      <c r="CG122" s="33">
        <f>CF122</f>
        <v>-18791</v>
      </c>
      <c r="CH122" s="426">
        <f>8.6-11.1-19697.7+7</f>
        <v>-19693.2</v>
      </c>
      <c r="CI122" s="426">
        <f>-20852.5+8.6-7.6+5.5</f>
        <v>-20846</v>
      </c>
      <c r="CJ122" s="426">
        <f>-21565.3+8.6-3.9+5.8</f>
        <v>-21554.800000000003</v>
      </c>
      <c r="CK122" s="426">
        <f>-21742.5+8.6-2.9+5.7</f>
        <v>-21731.100000000002</v>
      </c>
      <c r="CL122" s="33">
        <f>CK122</f>
        <v>-21731.100000000002</v>
      </c>
      <c r="CM122" s="431">
        <f>CK122-CM56</f>
        <v>-21931.100000000002</v>
      </c>
      <c r="CN122" s="431">
        <f>CM122-CN56</f>
        <v>-21931.100000000002</v>
      </c>
      <c r="CO122" s="431">
        <f>CN122-CO56</f>
        <v>-21931.100000000002</v>
      </c>
      <c r="CP122" s="431">
        <f>CO122-CP56</f>
        <v>-21931.100000000002</v>
      </c>
      <c r="CQ122" s="33">
        <f>CP122</f>
        <v>-21931.100000000002</v>
      </c>
      <c r="CR122" s="431">
        <f>CP122-CR56</f>
        <v>-21931.100000000002</v>
      </c>
      <c r="CS122" s="431">
        <f>CR122-CS56</f>
        <v>-21931.100000000002</v>
      </c>
      <c r="CT122" s="431">
        <f>CS122-CT56</f>
        <v>-21931.100000000002</v>
      </c>
      <c r="CU122" s="431">
        <f>CT122-CU56</f>
        <v>-21931.100000000002</v>
      </c>
      <c r="CV122" s="33">
        <f>CU122</f>
        <v>-21931.100000000002</v>
      </c>
      <c r="CW122" s="431">
        <f>CU122-CW56</f>
        <v>-21931.100000000002</v>
      </c>
      <c r="CX122" s="431">
        <f>CW122-CX56</f>
        <v>-21931.100000000002</v>
      </c>
      <c r="CY122" s="431">
        <f>CX122-CY56</f>
        <v>-21931.100000000002</v>
      </c>
      <c r="CZ122" s="431">
        <f>CY122-CZ56</f>
        <v>-21931.100000000002</v>
      </c>
      <c r="DA122" s="33">
        <f>CZ122</f>
        <v>-21931.100000000002</v>
      </c>
      <c r="DB122" s="431">
        <f>CZ122-DB56</f>
        <v>-21931.100000000002</v>
      </c>
      <c r="DC122" s="431">
        <f>DB122-DC56</f>
        <v>-21931.100000000002</v>
      </c>
      <c r="DD122" s="431">
        <f>DC122-DD56</f>
        <v>-21931.100000000002</v>
      </c>
      <c r="DE122" s="431">
        <f>DD122-DE56</f>
        <v>-21931.100000000002</v>
      </c>
      <c r="DF122" s="33">
        <f>DE122</f>
        <v>-21931.100000000002</v>
      </c>
    </row>
    <row r="123" spans="1:118" x14ac:dyDescent="0.2">
      <c r="B123" s="721" t="s">
        <v>116</v>
      </c>
      <c r="D123" s="427"/>
      <c r="E123" s="427">
        <f t="shared" ref="E123:AD123" si="385">E120+E121+E122</f>
        <v>705.24399999999991</v>
      </c>
      <c r="F123" s="428">
        <f t="shared" si="385"/>
        <v>753.24099999999999</v>
      </c>
      <c r="G123" s="429">
        <f t="shared" si="385"/>
        <v>794.47</v>
      </c>
      <c r="H123" s="429">
        <f t="shared" si="385"/>
        <v>815.77699999999993</v>
      </c>
      <c r="I123" s="430">
        <f t="shared" si="385"/>
        <v>831.99699999999996</v>
      </c>
      <c r="J123" s="427">
        <f t="shared" si="385"/>
        <v>831.99699999999996</v>
      </c>
      <c r="K123" s="428">
        <f t="shared" si="385"/>
        <v>878.66500000000008</v>
      </c>
      <c r="L123" s="429">
        <f t="shared" si="385"/>
        <v>943.42700000000002</v>
      </c>
      <c r="M123" s="429">
        <f t="shared" si="385"/>
        <v>970.77799999999991</v>
      </c>
      <c r="N123" s="430">
        <f t="shared" si="385"/>
        <v>1002.8549999999999</v>
      </c>
      <c r="O123" s="427">
        <f t="shared" si="385"/>
        <v>1002.8549999999999</v>
      </c>
      <c r="P123" s="428">
        <f t="shared" si="385"/>
        <v>1068.279</v>
      </c>
      <c r="Q123" s="429">
        <f t="shared" si="385"/>
        <v>1136.4059999999999</v>
      </c>
      <c r="R123" s="429">
        <f t="shared" si="385"/>
        <v>1178.2530000000002</v>
      </c>
      <c r="S123" s="430">
        <f t="shared" si="385"/>
        <v>1193.9929999999999</v>
      </c>
      <c r="T123" s="427">
        <f t="shared" si="385"/>
        <v>1193.9929999999999</v>
      </c>
      <c r="U123" s="429">
        <f t="shared" si="385"/>
        <v>1278.2570000000001</v>
      </c>
      <c r="V123" s="429">
        <f t="shared" si="385"/>
        <v>1318.3600000000001</v>
      </c>
      <c r="W123" s="429">
        <f t="shared" si="385"/>
        <v>1272.8809999999999</v>
      </c>
      <c r="X123" s="431">
        <f t="shared" si="385"/>
        <v>1196</v>
      </c>
      <c r="Y123" s="412">
        <f t="shared" si="385"/>
        <v>1196</v>
      </c>
      <c r="Z123" s="431">
        <f t="shared" si="385"/>
        <v>1307.2539999999999</v>
      </c>
      <c r="AA123" s="431">
        <f t="shared" si="385"/>
        <v>1416.8029999999999</v>
      </c>
      <c r="AB123" s="431">
        <f t="shared" si="385"/>
        <v>1333.144</v>
      </c>
      <c r="AC123" s="431">
        <f t="shared" si="385"/>
        <v>1464.8</v>
      </c>
      <c r="AD123" s="412">
        <f t="shared" si="385"/>
        <v>1464.8</v>
      </c>
      <c r="AE123" s="431">
        <f>SUM(AE120:AE122)</f>
        <v>1616.6</v>
      </c>
      <c r="AF123" s="431">
        <f>SUM(AF120:AF122)</f>
        <v>1033.3999999999999</v>
      </c>
      <c r="AG123" s="431">
        <f t="shared" ref="AG123:BM123" si="386">AG120+AG121+AG122</f>
        <v>970.70000000000027</v>
      </c>
      <c r="AH123" s="431">
        <f t="shared" si="386"/>
        <v>1124.8999999999999</v>
      </c>
      <c r="AI123" s="412">
        <f t="shared" si="386"/>
        <v>1124.8999999999999</v>
      </c>
      <c r="AJ123" s="431">
        <f t="shared" si="386"/>
        <v>1288.0000000000002</v>
      </c>
      <c r="AK123" s="431">
        <f t="shared" si="386"/>
        <v>687.39999999999964</v>
      </c>
      <c r="AL123" s="431">
        <f t="shared" si="386"/>
        <v>537.40000000000009</v>
      </c>
      <c r="AM123" s="431">
        <f t="shared" si="386"/>
        <v>696.40000000000055</v>
      </c>
      <c r="AN123" s="412">
        <f t="shared" si="386"/>
        <v>696.40000000000055</v>
      </c>
      <c r="AO123" s="429">
        <f t="shared" si="386"/>
        <v>777.19999999999982</v>
      </c>
      <c r="AP123" s="429">
        <f t="shared" si="386"/>
        <v>627.79999999999973</v>
      </c>
      <c r="AQ123" s="431">
        <f t="shared" si="386"/>
        <v>865.49999999999955</v>
      </c>
      <c r="AR123" s="429">
        <f t="shared" si="386"/>
        <v>1078.1999999999998</v>
      </c>
      <c r="AS123" s="427">
        <f t="shared" si="386"/>
        <v>1078.1999999999998</v>
      </c>
      <c r="AT123" s="429">
        <f t="shared" si="386"/>
        <v>1300.0000000000005</v>
      </c>
      <c r="AU123" s="429">
        <f t="shared" si="386"/>
        <v>3084.2</v>
      </c>
      <c r="AV123" s="431">
        <f t="shared" si="386"/>
        <v>3307.5</v>
      </c>
      <c r="AW123" s="431">
        <f t="shared" si="386"/>
        <v>3551.8</v>
      </c>
      <c r="AX123" s="412">
        <f t="shared" si="386"/>
        <v>3551.8</v>
      </c>
      <c r="AY123" s="431">
        <f t="shared" si="386"/>
        <v>3647</v>
      </c>
      <c r="AZ123" s="431">
        <f t="shared" si="386"/>
        <v>3646.7999999999993</v>
      </c>
      <c r="BA123" s="431">
        <f t="shared" si="386"/>
        <v>3219.9999999999991</v>
      </c>
      <c r="BB123" s="431">
        <f t="shared" si="386"/>
        <v>3606.6000000000004</v>
      </c>
      <c r="BC123" s="412">
        <f t="shared" si="386"/>
        <v>3606.6000000000004</v>
      </c>
      <c r="BD123" s="431">
        <f t="shared" si="386"/>
        <v>3963.2</v>
      </c>
      <c r="BE123" s="431">
        <f t="shared" si="386"/>
        <v>1827.9999999999991</v>
      </c>
      <c r="BF123" s="431">
        <f t="shared" si="386"/>
        <v>2164.7000000000007</v>
      </c>
      <c r="BG123" s="431">
        <f t="shared" si="386"/>
        <v>2473.6999999999989</v>
      </c>
      <c r="BH123" s="412">
        <f t="shared" si="386"/>
        <v>2473.6999999999989</v>
      </c>
      <c r="BI123" s="431">
        <f t="shared" si="386"/>
        <v>2775.4999999999991</v>
      </c>
      <c r="BJ123" s="431">
        <f t="shared" si="386"/>
        <v>22107.5</v>
      </c>
      <c r="BK123" s="431">
        <f t="shared" si="386"/>
        <v>22739.599999999999</v>
      </c>
      <c r="BL123" s="431">
        <f t="shared" si="386"/>
        <v>23395.7</v>
      </c>
      <c r="BM123" s="412">
        <f t="shared" si="386"/>
        <v>23395.7</v>
      </c>
      <c r="BN123" s="431">
        <f t="shared" ref="BN123:BW123" si="387">BN120+BN121+BN122</f>
        <v>23627.5</v>
      </c>
      <c r="BO123" s="431">
        <f t="shared" si="387"/>
        <v>23876.7</v>
      </c>
      <c r="BP123" s="431">
        <f t="shared" si="387"/>
        <v>23719.100000000002</v>
      </c>
      <c r="BQ123" s="431">
        <f t="shared" si="387"/>
        <v>21844.799999999999</v>
      </c>
      <c r="BR123" s="412">
        <f t="shared" si="387"/>
        <v>21844.799999999999</v>
      </c>
      <c r="BS123" s="431">
        <f t="shared" si="387"/>
        <v>21885.3</v>
      </c>
      <c r="BT123" s="431">
        <f t="shared" si="387"/>
        <v>20458.599999999999</v>
      </c>
      <c r="BU123" s="431">
        <f t="shared" si="387"/>
        <v>20168.300000000003</v>
      </c>
      <c r="BV123" s="431">
        <f t="shared" si="387"/>
        <v>20064</v>
      </c>
      <c r="BW123" s="412">
        <f t="shared" si="387"/>
        <v>20064</v>
      </c>
      <c r="BX123" s="431">
        <f t="shared" ref="BX123:CG123" si="388">BX120+BX121+BX122</f>
        <v>20614.7</v>
      </c>
      <c r="BY123" s="431">
        <f>BY120+BY121+BY122</f>
        <v>15831.000000000002</v>
      </c>
      <c r="BZ123" s="431">
        <f>BZ120+BZ121+BZ122</f>
        <v>16546.199999999997</v>
      </c>
      <c r="CA123" s="431">
        <f>CA120+CA121+CA122</f>
        <v>17380.5</v>
      </c>
      <c r="CB123" s="412">
        <f t="shared" si="388"/>
        <v>17380.5</v>
      </c>
      <c r="CC123" s="431">
        <f t="shared" ref="CC123:CD123" si="389">CC120+CC121+CC122</f>
        <v>14849.199999999993</v>
      </c>
      <c r="CD123" s="431">
        <f t="shared" si="389"/>
        <v>15410.8</v>
      </c>
      <c r="CE123" s="431">
        <f t="shared" ref="CE123" si="390">CE120+CE121+CE122</f>
        <v>15608.999999999996</v>
      </c>
      <c r="CF123" s="431">
        <f t="shared" si="388"/>
        <v>16243.800000000003</v>
      </c>
      <c r="CG123" s="412">
        <f t="shared" si="388"/>
        <v>16243.800000000003</v>
      </c>
      <c r="CH123" s="431">
        <f t="shared" ref="CH123:CI123" si="391">CH120+CH121+CH122</f>
        <v>15929.600000000002</v>
      </c>
      <c r="CI123" s="431">
        <f t="shared" si="391"/>
        <v>15750.099999999999</v>
      </c>
      <c r="CJ123" s="431">
        <f t="shared" ref="CJ123:CK123" si="392">CJ120+CJ121+CJ122</f>
        <v>15922.299999999996</v>
      </c>
      <c r="CK123" s="431">
        <f t="shared" si="392"/>
        <v>18125.3</v>
      </c>
      <c r="CL123" s="412">
        <f t="shared" ref="CL123:CQ123" si="393">CL120+CL121+CL122</f>
        <v>18125.3</v>
      </c>
      <c r="CM123" s="431">
        <f t="shared" ca="1" si="393"/>
        <v>18620.193932078222</v>
      </c>
      <c r="CN123" s="431">
        <f t="shared" ca="1" si="393"/>
        <v>19643.73355526703</v>
      </c>
      <c r="CO123" s="431">
        <f t="shared" ca="1" si="393"/>
        <v>20686.409796220414</v>
      </c>
      <c r="CP123" s="431">
        <f t="shared" ca="1" si="393"/>
        <v>21849.613170003595</v>
      </c>
      <c r="CQ123" s="412">
        <f t="shared" ca="1" si="393"/>
        <v>21849.613170003595</v>
      </c>
      <c r="CR123" s="431">
        <f t="shared" ref="CR123:CV123" ca="1" si="394">CR120+CR121+CR122</f>
        <v>22556.44299861752</v>
      </c>
      <c r="CS123" s="431">
        <f t="shared" ca="1" si="394"/>
        <v>23544.364343698635</v>
      </c>
      <c r="CT123" s="431">
        <f t="shared" ca="1" si="394"/>
        <v>24536.797220210927</v>
      </c>
      <c r="CU123" s="431">
        <f t="shared" ca="1" si="394"/>
        <v>25638.52103023601</v>
      </c>
      <c r="CV123" s="412">
        <f t="shared" ca="1" si="394"/>
        <v>25638.52103023601</v>
      </c>
      <c r="CW123" s="431">
        <f t="shared" ref="CW123:DF123" ca="1" si="395">CW120+CW121+CW122</f>
        <v>26229.115620440778</v>
      </c>
      <c r="CX123" s="431">
        <f t="shared" ca="1" si="395"/>
        <v>27050.576024421698</v>
      </c>
      <c r="CY123" s="431">
        <f t="shared" ca="1" si="395"/>
        <v>27865.938040107172</v>
      </c>
      <c r="CZ123" s="431">
        <f t="shared" ca="1" si="395"/>
        <v>28770.901957339727</v>
      </c>
      <c r="DA123" s="412">
        <f t="shared" ca="1" si="395"/>
        <v>28770.901957339727</v>
      </c>
      <c r="DB123" s="431">
        <f t="shared" ca="1" si="395"/>
        <v>29239.976679619245</v>
      </c>
      <c r="DC123" s="431">
        <f t="shared" ca="1" si="395"/>
        <v>29892.052181313851</v>
      </c>
      <c r="DD123" s="431">
        <f t="shared" ca="1" si="395"/>
        <v>30575.102239068194</v>
      </c>
      <c r="DE123" s="431">
        <f t="shared" ca="1" si="395"/>
        <v>31319.590513252075</v>
      </c>
      <c r="DF123" s="412">
        <f t="shared" ca="1" si="395"/>
        <v>31319.590513252075</v>
      </c>
    </row>
    <row r="124" spans="1:118" s="1761" customFormat="1" ht="13.5" thickBot="1" x14ac:dyDescent="0.25">
      <c r="A124" s="1755"/>
      <c r="B124" s="743" t="s">
        <v>117</v>
      </c>
      <c r="C124" s="161"/>
      <c r="D124" s="1762"/>
      <c r="E124" s="1762">
        <f t="shared" ref="E124:AJ124" si="396">E117+E123</f>
        <v>2276.6440000000002</v>
      </c>
      <c r="F124" s="1763">
        <f t="shared" si="396"/>
        <v>2279.7070000000003</v>
      </c>
      <c r="G124" s="1764">
        <f t="shared" si="396"/>
        <v>2357.5240000000003</v>
      </c>
      <c r="H124" s="1764">
        <f t="shared" si="396"/>
        <v>2360.2979999999998</v>
      </c>
      <c r="I124" s="1765">
        <f t="shared" si="396"/>
        <v>2500.2449999999999</v>
      </c>
      <c r="J124" s="1762">
        <f t="shared" si="396"/>
        <v>2500.2449999999999</v>
      </c>
      <c r="K124" s="1763">
        <f t="shared" si="396"/>
        <v>2507.5120000000002</v>
      </c>
      <c r="L124" s="1764">
        <f t="shared" si="396"/>
        <v>3195.7159999999999</v>
      </c>
      <c r="M124" s="1764">
        <f t="shared" si="396"/>
        <v>3124.0659999999998</v>
      </c>
      <c r="N124" s="1765">
        <f t="shared" si="396"/>
        <v>3206.9920000000002</v>
      </c>
      <c r="O124" s="1762">
        <f t="shared" si="396"/>
        <v>3206.9920000000002</v>
      </c>
      <c r="P124" s="1763">
        <f t="shared" si="396"/>
        <v>3354.2869999999998</v>
      </c>
      <c r="Q124" s="1764">
        <f t="shared" si="396"/>
        <v>3242.143</v>
      </c>
      <c r="R124" s="1764">
        <f t="shared" si="396"/>
        <v>3294.7910000000002</v>
      </c>
      <c r="S124" s="1765">
        <f t="shared" si="396"/>
        <v>3409.174</v>
      </c>
      <c r="T124" s="1762">
        <f t="shared" si="396"/>
        <v>3409.174</v>
      </c>
      <c r="U124" s="1764">
        <f t="shared" si="396"/>
        <v>3719.6420000000003</v>
      </c>
      <c r="V124" s="1764">
        <f t="shared" si="396"/>
        <v>3544.6550000000002</v>
      </c>
      <c r="W124" s="1764">
        <f t="shared" si="396"/>
        <v>3592.5749999999998</v>
      </c>
      <c r="X124" s="1766">
        <f t="shared" si="396"/>
        <v>3600</v>
      </c>
      <c r="Y124" s="1767">
        <f t="shared" si="396"/>
        <v>3600</v>
      </c>
      <c r="Z124" s="1766">
        <f t="shared" si="396"/>
        <v>3708.8379999999997</v>
      </c>
      <c r="AA124" s="1766">
        <f t="shared" si="396"/>
        <v>3838.7639999999997</v>
      </c>
      <c r="AB124" s="1766">
        <f t="shared" si="396"/>
        <v>3743.1910000000007</v>
      </c>
      <c r="AC124" s="1766">
        <f t="shared" si="396"/>
        <v>5493.5</v>
      </c>
      <c r="AD124" s="1767">
        <f t="shared" si="396"/>
        <v>5493.5</v>
      </c>
      <c r="AE124" s="1766">
        <f t="shared" si="396"/>
        <v>5430.8</v>
      </c>
      <c r="AF124" s="1766">
        <f t="shared" si="396"/>
        <v>5053.4000000000005</v>
      </c>
      <c r="AG124" s="1766">
        <f t="shared" si="396"/>
        <v>5023.3999999999996</v>
      </c>
      <c r="AH124" s="1766">
        <f t="shared" si="396"/>
        <v>5108.1000000000004</v>
      </c>
      <c r="AI124" s="1767">
        <f t="shared" si="396"/>
        <v>5108.1000000000004</v>
      </c>
      <c r="AJ124" s="1766">
        <f t="shared" si="396"/>
        <v>5200.2</v>
      </c>
      <c r="AK124" s="1766">
        <f t="shared" ref="AK124:CB124" si="397">AK117+AK123</f>
        <v>5032.8999999999996</v>
      </c>
      <c r="AL124" s="1766">
        <f t="shared" si="397"/>
        <v>4984</v>
      </c>
      <c r="AM124" s="1766">
        <f t="shared" si="397"/>
        <v>5256.4000000000005</v>
      </c>
      <c r="AN124" s="1767">
        <f t="shared" si="397"/>
        <v>5256.4000000000005</v>
      </c>
      <c r="AO124" s="1764">
        <f t="shared" si="397"/>
        <v>5347.5</v>
      </c>
      <c r="AP124" s="1764">
        <f t="shared" si="397"/>
        <v>5080.5</v>
      </c>
      <c r="AQ124" s="1766">
        <f t="shared" si="397"/>
        <v>5299.2999999999993</v>
      </c>
      <c r="AR124" s="1764">
        <f t="shared" si="397"/>
        <v>5509.2</v>
      </c>
      <c r="AS124" s="1762">
        <f t="shared" si="397"/>
        <v>5509.2</v>
      </c>
      <c r="AT124" s="1764">
        <f t="shared" si="397"/>
        <v>5708.7000000000007</v>
      </c>
      <c r="AU124" s="1764">
        <f t="shared" si="397"/>
        <v>9804.1</v>
      </c>
      <c r="AV124" s="1764">
        <f t="shared" si="397"/>
        <v>10229.1</v>
      </c>
      <c r="AW124" s="1766">
        <f t="shared" si="397"/>
        <v>11931.2</v>
      </c>
      <c r="AX124" s="1767">
        <f t="shared" si="397"/>
        <v>11931.2</v>
      </c>
      <c r="AY124" s="1766">
        <f t="shared" si="397"/>
        <v>11798.900000000001</v>
      </c>
      <c r="AZ124" s="1766">
        <f t="shared" si="397"/>
        <v>11483.6</v>
      </c>
      <c r="BA124" s="1766">
        <f t="shared" si="397"/>
        <v>10194.699999999999</v>
      </c>
      <c r="BB124" s="1766">
        <f t="shared" si="397"/>
        <v>10557.8</v>
      </c>
      <c r="BC124" s="1767">
        <f t="shared" si="397"/>
        <v>10557.8</v>
      </c>
      <c r="BD124" s="1766">
        <f t="shared" si="397"/>
        <v>10708.099999999999</v>
      </c>
      <c r="BE124" s="1766">
        <f t="shared" si="397"/>
        <v>10237.899999999998</v>
      </c>
      <c r="BF124" s="1766">
        <f t="shared" si="397"/>
        <v>10871.7</v>
      </c>
      <c r="BG124" s="1766">
        <f t="shared" si="397"/>
        <v>15606.999999999998</v>
      </c>
      <c r="BH124" s="1767">
        <f t="shared" si="397"/>
        <v>15606.999999999998</v>
      </c>
      <c r="BI124" s="1766">
        <f t="shared" si="397"/>
        <v>19608.2</v>
      </c>
      <c r="BJ124" s="1764">
        <f t="shared" si="397"/>
        <v>58037.7</v>
      </c>
      <c r="BK124" s="1766">
        <f t="shared" si="397"/>
        <v>57302.399999999994</v>
      </c>
      <c r="BL124" s="1766">
        <f t="shared" si="397"/>
        <v>58111.199999999997</v>
      </c>
      <c r="BM124" s="1767">
        <f t="shared" si="397"/>
        <v>58111.199999999997</v>
      </c>
      <c r="BN124" s="1766">
        <f t="shared" si="397"/>
        <v>55585.7</v>
      </c>
      <c r="BO124" s="1764">
        <f t="shared" si="397"/>
        <v>54581.5</v>
      </c>
      <c r="BP124" s="1764">
        <f t="shared" si="397"/>
        <v>54763</v>
      </c>
      <c r="BQ124" s="1766">
        <f t="shared" si="397"/>
        <v>53548.2</v>
      </c>
      <c r="BR124" s="1767">
        <f t="shared" si="397"/>
        <v>53548.2</v>
      </c>
      <c r="BS124" s="1766">
        <f t="shared" si="397"/>
        <v>52747.1</v>
      </c>
      <c r="BT124" s="1764">
        <f t="shared" si="397"/>
        <v>54633.799999999996</v>
      </c>
      <c r="BU124" s="1764">
        <f t="shared" si="397"/>
        <v>53439.200000000004</v>
      </c>
      <c r="BV124" s="1764">
        <f t="shared" si="397"/>
        <v>53798.9</v>
      </c>
      <c r="BW124" s="1767">
        <f t="shared" si="397"/>
        <v>53798.9</v>
      </c>
      <c r="BX124" s="1766">
        <f t="shared" si="397"/>
        <v>51905.100000000006</v>
      </c>
      <c r="BY124" s="1766">
        <f>BY117+BY123</f>
        <v>51867.799999999996</v>
      </c>
      <c r="BZ124" s="1766">
        <f>BZ117+BZ123</f>
        <v>51996.5</v>
      </c>
      <c r="CA124" s="1766">
        <f>CA117+CA123</f>
        <v>53243.299999999996</v>
      </c>
      <c r="CB124" s="1767">
        <f t="shared" si="397"/>
        <v>53243.299999999996</v>
      </c>
      <c r="CC124" s="1766">
        <f t="shared" ref="CC124:CD124" si="398">CC117+CC123</f>
        <v>51107.599999999991</v>
      </c>
      <c r="CD124" s="1766">
        <f t="shared" si="398"/>
        <v>50858.599999999991</v>
      </c>
      <c r="CE124" s="1766">
        <f t="shared" ref="CE124" si="399">CE117+CE123</f>
        <v>50909.3</v>
      </c>
      <c r="CF124" s="1766">
        <f t="shared" ref="CF124:CL124" si="400">CF117+CF123</f>
        <v>51744.9</v>
      </c>
      <c r="CG124" s="1767">
        <f t="shared" si="400"/>
        <v>51744.9</v>
      </c>
      <c r="CH124" s="1766">
        <f t="shared" ref="CH124:CI124" si="401">CH117+CH123</f>
        <v>51056</v>
      </c>
      <c r="CI124" s="1766">
        <f t="shared" si="401"/>
        <v>50513.4</v>
      </c>
      <c r="CJ124" s="1766">
        <f t="shared" ref="CJ124:CK124" si="402">CJ117+CJ123</f>
        <v>51206.2</v>
      </c>
      <c r="CK124" s="1766">
        <f t="shared" si="402"/>
        <v>54255.8</v>
      </c>
      <c r="CL124" s="1767">
        <f t="shared" si="400"/>
        <v>54255.8</v>
      </c>
      <c r="CM124" s="1766">
        <f t="shared" ref="CM124:CV124" ca="1" si="403">CM117+CM123</f>
        <v>52456.81778743022</v>
      </c>
      <c r="CN124" s="1764">
        <f t="shared" ca="1" si="403"/>
        <v>53526.577205640322</v>
      </c>
      <c r="CO124" s="1766">
        <f t="shared" ca="1" si="403"/>
        <v>54774.589565862188</v>
      </c>
      <c r="CP124" s="1766">
        <f t="shared" ca="1" si="403"/>
        <v>55984.293483727641</v>
      </c>
      <c r="CQ124" s="1767">
        <f t="shared" ca="1" si="403"/>
        <v>55984.293483727641</v>
      </c>
      <c r="CR124" s="1766">
        <f t="shared" ca="1" si="403"/>
        <v>57171.97105879616</v>
      </c>
      <c r="CS124" s="1764">
        <f t="shared" ca="1" si="403"/>
        <v>56995.475080640448</v>
      </c>
      <c r="CT124" s="1766">
        <f t="shared" ca="1" si="403"/>
        <v>58252.664680452028</v>
      </c>
      <c r="CU124" s="1766">
        <f t="shared" ca="1" si="403"/>
        <v>59411.10192083969</v>
      </c>
      <c r="CV124" s="1767">
        <f t="shared" ca="1" si="403"/>
        <v>59411.10192083969</v>
      </c>
      <c r="CW124" s="1766">
        <f t="shared" ref="CW124:DF124" ca="1" si="404">CW117+CW123</f>
        <v>58664.266739897517</v>
      </c>
      <c r="CX124" s="1764">
        <f t="shared" ca="1" si="404"/>
        <v>58338.684930476287</v>
      </c>
      <c r="CY124" s="1766">
        <f t="shared" ca="1" si="404"/>
        <v>59441.815841697229</v>
      </c>
      <c r="CZ124" s="1766">
        <f t="shared" ca="1" si="404"/>
        <v>60381.230956211264</v>
      </c>
      <c r="DA124" s="1767">
        <f t="shared" ca="1" si="404"/>
        <v>60381.230956211264</v>
      </c>
      <c r="DB124" s="1766">
        <f t="shared" ca="1" si="404"/>
        <v>59620.220345752372</v>
      </c>
      <c r="DC124" s="1764">
        <f t="shared" ca="1" si="404"/>
        <v>59141.579632740453</v>
      </c>
      <c r="DD124" s="1766">
        <f t="shared" ca="1" si="404"/>
        <v>60097.716203803502</v>
      </c>
      <c r="DE124" s="1766">
        <f t="shared" ca="1" si="404"/>
        <v>60865.803871713098</v>
      </c>
      <c r="DF124" s="1767">
        <f t="shared" ca="1" si="404"/>
        <v>60865.803871713098</v>
      </c>
      <c r="DG124"/>
      <c r="DH124"/>
      <c r="DI124"/>
      <c r="DJ124"/>
      <c r="DK124"/>
      <c r="DL124"/>
      <c r="DM124"/>
      <c r="DN124"/>
    </row>
    <row r="125" spans="1:118" ht="12" hidden="1" customHeight="1" outlineLevel="1" thickBot="1" x14ac:dyDescent="0.25">
      <c r="B125" s="745" t="s">
        <v>118</v>
      </c>
      <c r="C125" s="131"/>
      <c r="D125" s="129"/>
      <c r="E125" s="129">
        <f t="shared" ref="E125:AM125" si="405">E107-E124</f>
        <v>0</v>
      </c>
      <c r="F125" s="131">
        <f t="shared" si="405"/>
        <v>0</v>
      </c>
      <c r="G125" s="131">
        <f t="shared" si="405"/>
        <v>0</v>
      </c>
      <c r="H125" s="131">
        <f t="shared" si="405"/>
        <v>0</v>
      </c>
      <c r="I125" s="131">
        <f t="shared" si="405"/>
        <v>0</v>
      </c>
      <c r="J125" s="129">
        <f t="shared" si="405"/>
        <v>0</v>
      </c>
      <c r="K125" s="131">
        <f t="shared" si="405"/>
        <v>0</v>
      </c>
      <c r="L125" s="131">
        <f t="shared" si="405"/>
        <v>0</v>
      </c>
      <c r="M125" s="131">
        <f t="shared" si="405"/>
        <v>0</v>
      </c>
      <c r="N125" s="131">
        <f t="shared" si="405"/>
        <v>0</v>
      </c>
      <c r="O125" s="129">
        <f t="shared" si="405"/>
        <v>0</v>
      </c>
      <c r="P125" s="130">
        <f t="shared" si="405"/>
        <v>0</v>
      </c>
      <c r="Q125" s="131">
        <f t="shared" si="405"/>
        <v>0</v>
      </c>
      <c r="R125" s="131">
        <f t="shared" si="405"/>
        <v>0</v>
      </c>
      <c r="S125" s="132">
        <f t="shared" si="405"/>
        <v>0</v>
      </c>
      <c r="T125" s="129">
        <f t="shared" si="405"/>
        <v>0</v>
      </c>
      <c r="U125" s="131">
        <f t="shared" si="405"/>
        <v>0</v>
      </c>
      <c r="V125" s="131">
        <f t="shared" si="405"/>
        <v>0</v>
      </c>
      <c r="W125" s="131">
        <f t="shared" si="405"/>
        <v>0</v>
      </c>
      <c r="X125" s="131">
        <f t="shared" si="405"/>
        <v>0</v>
      </c>
      <c r="Y125" s="129">
        <f t="shared" si="405"/>
        <v>0</v>
      </c>
      <c r="Z125" s="131">
        <f t="shared" si="405"/>
        <v>0</v>
      </c>
      <c r="AA125" s="131">
        <f t="shared" si="405"/>
        <v>0</v>
      </c>
      <c r="AB125" s="131">
        <f t="shared" si="405"/>
        <v>0</v>
      </c>
      <c r="AC125" s="131">
        <f t="shared" si="405"/>
        <v>0</v>
      </c>
      <c r="AD125" s="129">
        <f t="shared" si="405"/>
        <v>0</v>
      </c>
      <c r="AE125" s="131">
        <f t="shared" si="405"/>
        <v>0</v>
      </c>
      <c r="AF125" s="131">
        <f t="shared" si="405"/>
        <v>0</v>
      </c>
      <c r="AG125" s="131">
        <f t="shared" si="405"/>
        <v>0</v>
      </c>
      <c r="AH125" s="131">
        <f t="shared" si="405"/>
        <v>0</v>
      </c>
      <c r="AI125" s="129">
        <f t="shared" si="405"/>
        <v>0</v>
      </c>
      <c r="AJ125" s="131">
        <f t="shared" si="405"/>
        <v>0</v>
      </c>
      <c r="AK125" s="131">
        <f t="shared" si="405"/>
        <v>0</v>
      </c>
      <c r="AL125" s="131">
        <f t="shared" si="405"/>
        <v>0</v>
      </c>
      <c r="AM125" s="131">
        <f t="shared" si="405"/>
        <v>0</v>
      </c>
      <c r="AN125" s="129"/>
      <c r="AO125" s="131">
        <f t="shared" ref="AO125:AW125" si="406">AO107-AO124</f>
        <v>0</v>
      </c>
      <c r="AP125" s="131">
        <f t="shared" si="406"/>
        <v>0</v>
      </c>
      <c r="AQ125" s="131">
        <f t="shared" si="406"/>
        <v>0</v>
      </c>
      <c r="AR125" s="131">
        <f t="shared" si="406"/>
        <v>0</v>
      </c>
      <c r="AS125" s="129">
        <f t="shared" si="406"/>
        <v>0</v>
      </c>
      <c r="AT125" s="131">
        <f t="shared" si="406"/>
        <v>0</v>
      </c>
      <c r="AU125" s="131">
        <f t="shared" si="406"/>
        <v>0</v>
      </c>
      <c r="AV125" s="131">
        <f t="shared" si="406"/>
        <v>0</v>
      </c>
      <c r="AW125" s="230">
        <f t="shared" si="406"/>
        <v>0</v>
      </c>
      <c r="AX125" s="129"/>
      <c r="AY125" s="131">
        <f t="shared" ref="AY125:CB125" si="407">AY107-AY124</f>
        <v>0</v>
      </c>
      <c r="AZ125" s="131">
        <f t="shared" si="407"/>
        <v>0</v>
      </c>
      <c r="BA125" s="131">
        <f t="shared" si="407"/>
        <v>0</v>
      </c>
      <c r="BB125" s="131">
        <f t="shared" si="407"/>
        <v>0</v>
      </c>
      <c r="BC125" s="129">
        <f t="shared" si="407"/>
        <v>0</v>
      </c>
      <c r="BD125" s="131">
        <f t="shared" si="407"/>
        <v>0</v>
      </c>
      <c r="BE125" s="131">
        <f t="shared" si="407"/>
        <v>0</v>
      </c>
      <c r="BF125" s="131">
        <f t="shared" si="407"/>
        <v>0</v>
      </c>
      <c r="BG125" s="131">
        <f t="shared" si="407"/>
        <v>0</v>
      </c>
      <c r="BH125" s="129">
        <f t="shared" si="407"/>
        <v>0</v>
      </c>
      <c r="BI125" s="131">
        <f t="shared" si="407"/>
        <v>0</v>
      </c>
      <c r="BJ125" s="131">
        <f t="shared" si="407"/>
        <v>0</v>
      </c>
      <c r="BK125" s="1440">
        <f t="shared" si="407"/>
        <v>0</v>
      </c>
      <c r="BL125" s="131">
        <f t="shared" si="407"/>
        <v>0</v>
      </c>
      <c r="BM125" s="129">
        <f t="shared" si="407"/>
        <v>0</v>
      </c>
      <c r="BN125" s="131">
        <f t="shared" si="407"/>
        <v>0</v>
      </c>
      <c r="BO125" s="131">
        <f t="shared" si="407"/>
        <v>0</v>
      </c>
      <c r="BP125" s="131">
        <f t="shared" si="407"/>
        <v>0</v>
      </c>
      <c r="BQ125" s="131">
        <f t="shared" si="407"/>
        <v>0</v>
      </c>
      <c r="BR125" s="129">
        <f t="shared" si="407"/>
        <v>0</v>
      </c>
      <c r="BS125" s="131">
        <f t="shared" si="407"/>
        <v>0</v>
      </c>
      <c r="BT125" s="131">
        <f t="shared" si="407"/>
        <v>0</v>
      </c>
      <c r="BU125" s="1440">
        <f t="shared" si="407"/>
        <v>0</v>
      </c>
      <c r="BV125" s="131">
        <f t="shared" si="407"/>
        <v>0</v>
      </c>
      <c r="BW125" s="1768">
        <f t="shared" si="407"/>
        <v>0</v>
      </c>
      <c r="BX125" s="131">
        <f t="shared" si="407"/>
        <v>0</v>
      </c>
      <c r="BY125" s="131">
        <f t="shared" si="407"/>
        <v>0</v>
      </c>
      <c r="BZ125" s="131">
        <f>BZ107-BZ124</f>
        <v>0</v>
      </c>
      <c r="CA125" s="131">
        <f>CA107-CA124</f>
        <v>0</v>
      </c>
      <c r="CB125" s="1768">
        <f t="shared" si="407"/>
        <v>0</v>
      </c>
      <c r="CC125" s="131">
        <f t="shared" ref="CC125:CD125" si="408">CC107-CC124</f>
        <v>0</v>
      </c>
      <c r="CD125" s="131">
        <f t="shared" si="408"/>
        <v>0</v>
      </c>
      <c r="CE125" s="131">
        <f t="shared" ref="CE125" si="409">CE107-CE124</f>
        <v>0</v>
      </c>
      <c r="CF125" s="131">
        <f t="shared" ref="CF125:CL125" si="410">CF107-CF124</f>
        <v>0</v>
      </c>
      <c r="CG125" s="129">
        <f t="shared" si="410"/>
        <v>0</v>
      </c>
      <c r="CH125" s="131">
        <f t="shared" ref="CH125" si="411">CH107-CH124</f>
        <v>0</v>
      </c>
      <c r="CI125" s="131">
        <f t="shared" si="410"/>
        <v>0</v>
      </c>
      <c r="CJ125" s="1440">
        <f t="shared" si="410"/>
        <v>0</v>
      </c>
      <c r="CK125" s="1440">
        <f t="shared" ref="CK125" si="412">CK107-CK124</f>
        <v>0</v>
      </c>
      <c r="CL125" s="129">
        <f t="shared" si="410"/>
        <v>0</v>
      </c>
      <c r="CM125" s="131">
        <f t="shared" ref="CM125:CV125" ca="1" si="413">CM107-CM124</f>
        <v>0</v>
      </c>
      <c r="CN125" s="131">
        <f t="shared" ca="1" si="413"/>
        <v>0</v>
      </c>
      <c r="CO125" s="1440">
        <f t="shared" ca="1" si="413"/>
        <v>0</v>
      </c>
      <c r="CP125" s="131">
        <f t="shared" ca="1" si="413"/>
        <v>0</v>
      </c>
      <c r="CQ125" s="129">
        <f t="shared" ca="1" si="413"/>
        <v>0</v>
      </c>
      <c r="CR125" s="131">
        <f t="shared" ca="1" si="413"/>
        <v>0</v>
      </c>
      <c r="CS125" s="131">
        <f t="shared" ca="1" si="413"/>
        <v>0</v>
      </c>
      <c r="CT125" s="1440">
        <f t="shared" ca="1" si="413"/>
        <v>0</v>
      </c>
      <c r="CU125" s="131">
        <f t="shared" ca="1" si="413"/>
        <v>0</v>
      </c>
      <c r="CV125" s="129">
        <f t="shared" ca="1" si="413"/>
        <v>0</v>
      </c>
      <c r="CW125" s="131">
        <f t="shared" ref="CW125:DF125" ca="1" si="414">CW107-CW124</f>
        <v>0</v>
      </c>
      <c r="CX125" s="131">
        <f t="shared" ca="1" si="414"/>
        <v>0</v>
      </c>
      <c r="CY125" s="1440">
        <f t="shared" ca="1" si="414"/>
        <v>0</v>
      </c>
      <c r="CZ125" s="131">
        <f t="shared" ca="1" si="414"/>
        <v>0</v>
      </c>
      <c r="DA125" s="129">
        <f t="shared" ca="1" si="414"/>
        <v>0</v>
      </c>
      <c r="DB125" s="131">
        <f t="shared" ca="1" si="414"/>
        <v>0</v>
      </c>
      <c r="DC125" s="131">
        <f t="shared" ca="1" si="414"/>
        <v>0</v>
      </c>
      <c r="DD125" s="1440">
        <f t="shared" ca="1" si="414"/>
        <v>0</v>
      </c>
      <c r="DE125" s="131">
        <f t="shared" ca="1" si="414"/>
        <v>0</v>
      </c>
      <c r="DF125" s="129">
        <f t="shared" ca="1" si="414"/>
        <v>0</v>
      </c>
    </row>
    <row r="126" spans="1:118" ht="13.5" collapsed="1" thickBot="1" x14ac:dyDescent="0.25">
      <c r="B126" s="746"/>
      <c r="C126" s="622"/>
      <c r="D126" s="714"/>
      <c r="E126" s="714"/>
      <c r="F126" s="710"/>
      <c r="G126" s="710"/>
      <c r="H126" s="710"/>
      <c r="I126" s="710"/>
      <c r="J126" s="710"/>
      <c r="K126" s="710"/>
      <c r="L126" s="710"/>
      <c r="M126" s="710"/>
      <c r="N126" s="710"/>
      <c r="O126" s="710"/>
      <c r="P126" s="710"/>
      <c r="Q126" s="710"/>
      <c r="R126" s="710"/>
      <c r="S126" s="710"/>
      <c r="T126" s="710"/>
      <c r="U126" s="710"/>
      <c r="V126" s="710"/>
      <c r="W126" s="710"/>
      <c r="X126" s="711"/>
      <c r="Y126" s="715"/>
      <c r="Z126" s="622"/>
      <c r="AA126" s="622"/>
      <c r="AB126" s="622"/>
      <c r="AC126" s="622"/>
      <c r="AD126" s="622"/>
      <c r="AE126" s="712"/>
      <c r="AF126" s="622"/>
      <c r="AG126" s="622"/>
      <c r="AH126" s="622"/>
      <c r="AI126" s="622"/>
      <c r="AJ126" s="622"/>
      <c r="AK126" s="622"/>
      <c r="AL126" s="622"/>
      <c r="AM126" s="622"/>
      <c r="AN126" s="622"/>
      <c r="AO126" s="713"/>
      <c r="AP126" s="713"/>
      <c r="AQ126" s="622"/>
      <c r="AR126" s="622"/>
      <c r="AS126" s="622"/>
      <c r="AT126" s="713"/>
      <c r="AU126" s="713"/>
      <c r="AV126" s="622"/>
      <c r="AW126" s="622"/>
      <c r="AX126" s="622"/>
      <c r="AY126" s="622"/>
      <c r="AZ126" s="622"/>
      <c r="BA126" s="622"/>
      <c r="BB126" s="622"/>
      <c r="BC126" s="622"/>
      <c r="BD126" s="622"/>
      <c r="BE126" s="622"/>
      <c r="BF126" s="622"/>
      <c r="BG126" s="622"/>
      <c r="BH126" s="622"/>
      <c r="BI126" s="622"/>
      <c r="BJ126" s="622"/>
      <c r="BK126" s="622"/>
      <c r="BL126" s="622"/>
      <c r="BM126" s="622"/>
      <c r="BN126" s="622"/>
      <c r="BO126" s="622"/>
      <c r="BP126" s="622"/>
      <c r="BQ126" s="622"/>
      <c r="BR126" s="622"/>
      <c r="BS126" s="622"/>
      <c r="BT126" s="622"/>
      <c r="BU126" s="622"/>
      <c r="BV126" s="622"/>
      <c r="BW126" s="1426"/>
      <c r="BX126" s="622"/>
      <c r="BY126" s="622"/>
      <c r="BZ126" s="622"/>
      <c r="CA126" s="622"/>
      <c r="CB126" s="1426"/>
      <c r="CC126" s="622"/>
      <c r="CD126" s="622"/>
      <c r="CE126" s="622"/>
      <c r="CF126" s="1426"/>
      <c r="CG126" s="1426"/>
      <c r="CH126" s="1426"/>
      <c r="CI126" s="622"/>
      <c r="CJ126" s="622"/>
      <c r="CK126" s="622"/>
      <c r="CL126" s="1426"/>
      <c r="CM126" s="622"/>
      <c r="CN126" s="622"/>
      <c r="CO126" s="622"/>
      <c r="CP126" s="622"/>
      <c r="CQ126" s="622"/>
      <c r="CR126" s="622"/>
      <c r="CS126" s="622"/>
      <c r="CT126" s="622"/>
      <c r="CU126" s="622"/>
      <c r="CV126" s="622"/>
      <c r="CW126" s="622"/>
      <c r="CX126" s="622"/>
      <c r="CY126" s="622"/>
      <c r="CZ126" s="622"/>
      <c r="DA126" s="622"/>
      <c r="DB126" s="622"/>
      <c r="DC126" s="622"/>
      <c r="DD126" s="622"/>
      <c r="DE126" s="622"/>
      <c r="DF126" s="622"/>
    </row>
    <row r="127" spans="1:118" x14ac:dyDescent="0.2">
      <c r="B127" s="1566" t="s">
        <v>119</v>
      </c>
      <c r="C127" s="53"/>
      <c r="D127" s="1567"/>
      <c r="E127" s="1567">
        <f>+E97/E11*365</f>
        <v>42.396080763961365</v>
      </c>
      <c r="F127" s="1568">
        <f>365*(F97/(F11*4))</f>
        <v>34.56338075329819</v>
      </c>
      <c r="G127" s="1568">
        <f>365*(G97/(G11*4))</f>
        <v>33.784226528838722</v>
      </c>
      <c r="H127" s="1568">
        <f>365*(H97/(H11*4))</f>
        <v>31.879360626258794</v>
      </c>
      <c r="I127" s="1568">
        <f>365*(I97/(I11*4))</f>
        <v>43.154114261864827</v>
      </c>
      <c r="J127" s="1567">
        <f>+J97/J11*365</f>
        <v>37.563676641825801</v>
      </c>
      <c r="K127" s="1568">
        <f>365*(K97/(K11*4))</f>
        <v>20.448730803726018</v>
      </c>
      <c r="L127" s="1568">
        <f>365*(L97/(L11*4))</f>
        <v>19.606911709110964</v>
      </c>
      <c r="M127" s="1568">
        <f>365*(M97/(M11*4))</f>
        <v>18.786017325526405</v>
      </c>
      <c r="N127" s="1568">
        <f>365*(N97/(N11*4))</f>
        <v>23.485357008271482</v>
      </c>
      <c r="O127" s="1567">
        <f>+O97/O11*365</f>
        <v>20.844749406082297</v>
      </c>
      <c r="P127" s="1569">
        <f>365*(P97/(P11*4))</f>
        <v>20.426030473066902</v>
      </c>
      <c r="Q127" s="1568">
        <f>365*(Q97/(Q11*4))</f>
        <v>19.333552999453669</v>
      </c>
      <c r="R127" s="1568">
        <f>365*(R97/(R11*4))</f>
        <v>19.611745413393539</v>
      </c>
      <c r="S127" s="1570">
        <f>365*(S97/(S11*4))</f>
        <v>19.362124310862352</v>
      </c>
      <c r="T127" s="1567">
        <f>+T97/T11*365</f>
        <v>19.873882276159737</v>
      </c>
      <c r="U127" s="1568">
        <f>365*(U97/(U11*4))</f>
        <v>19.830927576033471</v>
      </c>
      <c r="V127" s="1568">
        <f>365*(V97/(V11*4))</f>
        <v>19.117704436603649</v>
      </c>
      <c r="W127" s="1568">
        <f>365*(W97/(W11*4))</f>
        <v>19.092671095494829</v>
      </c>
      <c r="X127" s="1568">
        <f>365*(X97/(X11*4))</f>
        <v>18.070826981146823</v>
      </c>
      <c r="Y127" s="701">
        <f>+Y97/Y11*365</f>
        <v>18.67310391558976</v>
      </c>
      <c r="Z127" s="1568">
        <f>365*(Z97/(Z11*4))</f>
        <v>18.764802298480017</v>
      </c>
      <c r="AA127" s="1568">
        <f>365*(AA97/(AA11*4))</f>
        <v>18.230637174449075</v>
      </c>
      <c r="AB127" s="1568">
        <f>365*(AB97/(AB11*4))</f>
        <v>17.386950426733069</v>
      </c>
      <c r="AC127" s="1568">
        <f>365*(AC97/(AC11*4))</f>
        <v>21.028350423380616</v>
      </c>
      <c r="AD127" s="701">
        <f>+AD97/AD11*365</f>
        <v>23.078996813985789</v>
      </c>
      <c r="AE127" s="1568">
        <f>365*(AE97/(AE11*4))</f>
        <v>21.702993322382515</v>
      </c>
      <c r="AF127" s="700">
        <f>365*(AF97/(AF11*4))</f>
        <v>21.116626728616374</v>
      </c>
      <c r="AG127" s="700">
        <f>365*(AG97/(AG11*4))</f>
        <v>22.467262469182629</v>
      </c>
      <c r="AH127" s="700">
        <f>365*(AH97/(AH11*4))</f>
        <v>22.59617347412178</v>
      </c>
      <c r="AI127" s="701">
        <f>+AI97/AI11*365</f>
        <v>22.414711932735987</v>
      </c>
      <c r="AJ127" s="700">
        <f>365*(AJ97/(AJ11*4))</f>
        <v>22.31824507467574</v>
      </c>
      <c r="AK127" s="700">
        <f>365*(AK97/(AK11*4))</f>
        <v>21.559583778788486</v>
      </c>
      <c r="AL127" s="700">
        <f>365*(AL97/(AL11*4))</f>
        <v>22.282016348773844</v>
      </c>
      <c r="AM127" s="700">
        <f>365*(AM97/(AM11*4))</f>
        <v>19.464607267619837</v>
      </c>
      <c r="AN127" s="701">
        <f>+AN97/AN11*365</f>
        <v>19.718662495325479</v>
      </c>
      <c r="AO127" s="1568">
        <f>365*(AO97/(AO11*4))</f>
        <v>20.309722626939603</v>
      </c>
      <c r="AP127" s="1568">
        <f>365*(AP97/(AP11*4))</f>
        <v>19.565591776958126</v>
      </c>
      <c r="AQ127" s="700">
        <f>365*(AQ97/(AQ11*4))</f>
        <v>20.563686817723145</v>
      </c>
      <c r="AR127" s="700">
        <f>365*(AR97/(AR11*4))</f>
        <v>19.156881708712476</v>
      </c>
      <c r="AS127" s="701">
        <f>+AS97/AS11*365</f>
        <v>19.196628446628448</v>
      </c>
      <c r="AT127" s="1568">
        <f>365*(AT97/(AT11*4))</f>
        <v>20.205982149443091</v>
      </c>
      <c r="AU127" s="1568">
        <f>365*(AU97/(AU11*4))</f>
        <v>19.036600766812636</v>
      </c>
      <c r="AV127" s="1568">
        <f>365*(AV97/(AV11*4))</f>
        <v>20.294737872370714</v>
      </c>
      <c r="AW127" s="1568">
        <f>365*(AW97/(AW11*4))</f>
        <v>28.011968975635892</v>
      </c>
      <c r="AX127" s="1571">
        <f>+(AX97-828.3)/AX11*365</f>
        <v>24.957529565723142</v>
      </c>
      <c r="AY127" s="1568">
        <f>365*(AY97/(AY11*4))</f>
        <v>17.325608195195304</v>
      </c>
      <c r="AZ127" s="1568">
        <f>365*(AZ97/(AZ11*4))</f>
        <v>13.624482825830802</v>
      </c>
      <c r="BA127" s="1568">
        <f>365*(BA97/(BA11*4))</f>
        <v>14.524381000505306</v>
      </c>
      <c r="BB127" s="1568">
        <f>365*(BB97/(BB11*4))</f>
        <v>13.868787921608803</v>
      </c>
      <c r="BC127" s="701">
        <f>+BC97/BC11*365</f>
        <v>13.938989452473999</v>
      </c>
      <c r="BD127" s="1568">
        <f>365*(BD97/(BD11*4))</f>
        <v>15.644497887260632</v>
      </c>
      <c r="BE127" s="1568">
        <f>365*(BE97/(BE11*4))</f>
        <v>15.537471795186965</v>
      </c>
      <c r="BF127" s="1568">
        <f>365*(BF97/(BF11*4))</f>
        <v>13.929598258545628</v>
      </c>
      <c r="BG127" s="1568">
        <f>365*(BG97/(BG11*4))</f>
        <v>14.375745277510507</v>
      </c>
      <c r="BH127" s="701">
        <f>+BH97/BH11*365</f>
        <v>15.111211243011477</v>
      </c>
      <c r="BI127" s="1568">
        <f>365*(BI97/(BI11*4))</f>
        <v>15.069894993051616</v>
      </c>
      <c r="BJ127" s="1568">
        <f>365*(BJ97/(BJ11*4))</f>
        <v>19.877865187719511</v>
      </c>
      <c r="BK127" s="1568">
        <f>365*(BK97/(BK11*4))</f>
        <v>19.448683244717515</v>
      </c>
      <c r="BL127" s="1568">
        <f>365*(BL97/(BL11*4))</f>
        <v>18.225923131869735</v>
      </c>
      <c r="BM127" s="701">
        <f>+BM97/BM11*365</f>
        <v>21.28737146450915</v>
      </c>
      <c r="BN127" s="1568">
        <f>365*(BN97/(BN11*4))</f>
        <v>15.017788360193935</v>
      </c>
      <c r="BO127" s="1568">
        <f>365*(BO97/(BO11*4))</f>
        <v>15.70465155839492</v>
      </c>
      <c r="BP127" s="1568">
        <f>365*(BP97/(BP11*4))</f>
        <v>17.981217309523167</v>
      </c>
      <c r="BQ127" s="1568">
        <f>365*(BQ97/(BQ11*4))</f>
        <v>14.222822444100908</v>
      </c>
      <c r="BR127" s="701">
        <f>+BR97/BR11*365</f>
        <v>14.07835645595835</v>
      </c>
      <c r="BS127" s="1568">
        <f>365*(BS97/(BS11*4))</f>
        <v>15.035364876547115</v>
      </c>
      <c r="BT127" s="1568">
        <f>365*(BT97/(BT11*4))</f>
        <v>18.795550826388748</v>
      </c>
      <c r="BU127" s="1568">
        <f>365*(BU97/(BU11*4))</f>
        <v>22.574713256093307</v>
      </c>
      <c r="BV127" s="1568">
        <f>365*(BV97/(BV11*4))</f>
        <v>20.716291121699349</v>
      </c>
      <c r="BW127" s="701">
        <f>+BW97/BW11*365</f>
        <v>21.610275298392565</v>
      </c>
      <c r="BX127" s="1568">
        <f>365*(BX97/(BX11*4))</f>
        <v>21.306091865475818</v>
      </c>
      <c r="BY127" s="1568">
        <f>365*(BY97/(BY11*4))</f>
        <v>23.260190164063115</v>
      </c>
      <c r="BZ127" s="1568">
        <f>365*(BZ97/(BZ11*4))</f>
        <v>26.714219651118579</v>
      </c>
      <c r="CA127" s="1568">
        <f>365*(CA97/(CA11*4))</f>
        <v>23.409911981709296</v>
      </c>
      <c r="CB127" s="701">
        <f>+CB97/CB11*365</f>
        <v>24.087866199167578</v>
      </c>
      <c r="CC127" s="1568">
        <f>365*(CC97/(CC11*4))</f>
        <v>24.840953673754637</v>
      </c>
      <c r="CD127" s="1568">
        <f>365*(CD97/(CD11*4))</f>
        <v>26.617967615724531</v>
      </c>
      <c r="CE127" s="1568">
        <f>365*(CE97/(CE11*4))</f>
        <v>24.964707152814594</v>
      </c>
      <c r="CF127" s="1568">
        <f>365*(CF97/(CF11*4))</f>
        <v>25.860764205195295</v>
      </c>
      <c r="CG127" s="701">
        <f>+CG97/CG11*365</f>
        <v>25.651485749542235</v>
      </c>
      <c r="CH127" s="1568">
        <f>365*(CH97/(CH11*4))</f>
        <v>25.613575108355622</v>
      </c>
      <c r="CI127" s="1568">
        <f>365*(CI97/(CI11*4))</f>
        <v>25.387234331513334</v>
      </c>
      <c r="CJ127" s="1568">
        <f>365*(CJ97/(CJ11*4))</f>
        <v>25.345787790838681</v>
      </c>
      <c r="CK127" s="1568">
        <f>365*(CK97/(CK11*4))</f>
        <v>25.315810011716508</v>
      </c>
      <c r="CL127" s="701">
        <f>+CL97/CL11*365</f>
        <v>25.681993135645783</v>
      </c>
      <c r="CM127" s="1572">
        <f>CH127</f>
        <v>25.613575108355622</v>
      </c>
      <c r="CN127" s="1572">
        <f t="shared" ref="CN127:CP127" si="415">CI127</f>
        <v>25.387234331513334</v>
      </c>
      <c r="CO127" s="1572">
        <f t="shared" si="415"/>
        <v>25.345787790838681</v>
      </c>
      <c r="CP127" s="1572">
        <f t="shared" si="415"/>
        <v>25.315810011716508</v>
      </c>
      <c r="CQ127" s="701">
        <f ca="1">+CQ97/CQ11*365</f>
        <v>25.88501496538758</v>
      </c>
      <c r="CR127" s="1572">
        <f>CM127</f>
        <v>25.613575108355622</v>
      </c>
      <c r="CS127" s="1572">
        <f t="shared" ref="CS127" si="416">CN127</f>
        <v>25.387234331513334</v>
      </c>
      <c r="CT127" s="1572">
        <f t="shared" ref="CT127" si="417">CO127</f>
        <v>25.345787790838681</v>
      </c>
      <c r="CU127" s="1572">
        <f t="shared" ref="CU127" si="418">CP127</f>
        <v>25.315810011716508</v>
      </c>
      <c r="CV127" s="701">
        <f ca="1">+CV97/CV11*365</f>
        <v>25.939860176165535</v>
      </c>
      <c r="CW127" s="134">
        <f>CR127+1</f>
        <v>26.613575108355622</v>
      </c>
      <c r="CX127" s="134">
        <f t="shared" ref="CX127" si="419">CS127+1</f>
        <v>26.387234331513334</v>
      </c>
      <c r="CY127" s="134">
        <f t="shared" ref="CY127" si="420">CT127+1</f>
        <v>26.345787790838681</v>
      </c>
      <c r="CZ127" s="134">
        <f t="shared" ref="CZ127" si="421">CU127+1</f>
        <v>26.315810011716508</v>
      </c>
      <c r="DA127" s="701">
        <f ca="1">+DA97/DA11*365</f>
        <v>26.956974060875897</v>
      </c>
      <c r="DB127" s="1572">
        <f>CW127+1</f>
        <v>27.613575108355622</v>
      </c>
      <c r="DC127" s="1572">
        <f t="shared" ref="DC127:DE128" si="422">CX127+1</f>
        <v>27.387234331513334</v>
      </c>
      <c r="DD127" s="1572">
        <f t="shared" si="422"/>
        <v>27.345787790838681</v>
      </c>
      <c r="DE127" s="1572">
        <f t="shared" si="422"/>
        <v>27.315810011716508</v>
      </c>
      <c r="DF127" s="701">
        <f ca="1">+DF97/DF11*365</f>
        <v>27.974436996788342</v>
      </c>
    </row>
    <row r="128" spans="1:118" ht="11.25" hidden="1" customHeight="1" outlineLevel="1" x14ac:dyDescent="0.2">
      <c r="B128" s="721" t="s">
        <v>242</v>
      </c>
      <c r="D128" s="33"/>
      <c r="E128" s="33">
        <f>E12/E98/4</f>
        <v>14.475938865819197</v>
      </c>
      <c r="F128" s="30">
        <f>F12/F98</f>
        <v>22.761891948805545</v>
      </c>
      <c r="G128" s="30">
        <f>G12/G98</f>
        <v>21.409265857418507</v>
      </c>
      <c r="H128" s="30">
        <f>H12/H98</f>
        <v>20.475444650915851</v>
      </c>
      <c r="I128" s="30">
        <f>I12/I98</f>
        <v>13.994958120531154</v>
      </c>
      <c r="J128" s="33">
        <f>J12/J98/4</f>
        <v>16.327133810010213</v>
      </c>
      <c r="K128" s="30">
        <f>K12/K98</f>
        <v>23.739108988005608</v>
      </c>
      <c r="L128" s="30">
        <f>L12/L98</f>
        <v>35.043907426766275</v>
      </c>
      <c r="M128" s="30">
        <f>M12/M98</f>
        <v>37.361651478519612</v>
      </c>
      <c r="N128" s="30">
        <f>N12/N98</f>
        <v>22.530072344111193</v>
      </c>
      <c r="O128" s="33">
        <f>O12/O98/4</f>
        <v>25.682451723858598</v>
      </c>
      <c r="P128" s="30">
        <f>P12/P98</f>
        <v>22.043239324515461</v>
      </c>
      <c r="Q128" s="30">
        <f>Q12/Q98</f>
        <v>28.732418524871353</v>
      </c>
      <c r="R128" s="30">
        <f>R12/R98</f>
        <v>33.569643310045883</v>
      </c>
      <c r="S128" s="30">
        <f>S12/S98</f>
        <v>38.948769065520963</v>
      </c>
      <c r="T128" s="33">
        <f>T12/T98/4</f>
        <v>38.032925886143936</v>
      </c>
      <c r="U128" s="30">
        <f>U12/U98</f>
        <v>37.391336127462033</v>
      </c>
      <c r="V128" s="30">
        <f>V12/V98</f>
        <v>36.029028919596527</v>
      </c>
      <c r="W128" s="30">
        <f>W12/W98</f>
        <v>32.301350433101781</v>
      </c>
      <c r="X128" s="30">
        <f>X12/X98</f>
        <v>31.915849056603768</v>
      </c>
      <c r="Y128" s="33">
        <f>Y12/Y98/4</f>
        <v>31.011006289308177</v>
      </c>
      <c r="Z128" s="30">
        <f>Z12/Z98</f>
        <v>31.971491602348937</v>
      </c>
      <c r="AA128" s="30">
        <f>AA12/AA98</f>
        <v>34.721742957746478</v>
      </c>
      <c r="AB128" s="30">
        <f>AB12/AB98</f>
        <v>34.491449519881691</v>
      </c>
      <c r="AC128" s="30">
        <f>AC12/AC98</f>
        <v>20.780303584491588</v>
      </c>
      <c r="AD128" s="33">
        <f>AD12/AD98/4</f>
        <v>19.051389904901242</v>
      </c>
      <c r="AE128" s="30">
        <f>AE12/AE98</f>
        <v>20.146416251437334</v>
      </c>
      <c r="AF128" s="32">
        <f>AF12/AF98</f>
        <v>19.567484662576685</v>
      </c>
      <c r="AG128" s="32">
        <f>AG12/AG98</f>
        <v>18.049742078113486</v>
      </c>
      <c r="AH128" s="32">
        <f>AH12/AH98</f>
        <v>25.668036998972251</v>
      </c>
      <c r="AI128" s="33">
        <f>AI12/AI98/4</f>
        <v>26.01888489208633</v>
      </c>
      <c r="AJ128" s="32">
        <f>AJ12/AJ98</f>
        <v>25.04086656819301</v>
      </c>
      <c r="AK128" s="32">
        <f>AK12/AK98</f>
        <v>25.602822580645157</v>
      </c>
      <c r="AL128" s="32">
        <f>AL12/AL98</f>
        <v>30.970403022670027</v>
      </c>
      <c r="AM128" s="32">
        <f>AM12/AM98</f>
        <v>30.650210716435883</v>
      </c>
      <c r="AN128" s="33">
        <f>AN12/AN98/4</f>
        <v>30.364990969295604</v>
      </c>
      <c r="AO128" s="30">
        <f>AO12/AO98</f>
        <v>30.178378378378376</v>
      </c>
      <c r="AP128" s="30">
        <f>AP12/AP98</f>
        <v>29.876411170528815</v>
      </c>
      <c r="AQ128" s="30">
        <f>AQ12/AQ98</f>
        <v>31.085119798234555</v>
      </c>
      <c r="AR128" s="30">
        <f>AR12/AR98</f>
        <v>24.404433497536946</v>
      </c>
      <c r="AS128" s="33">
        <f>AS12/AS98/4</f>
        <v>24.55307881773399</v>
      </c>
      <c r="AT128" s="30">
        <f>AT12/AT98</f>
        <v>27.144364242087729</v>
      </c>
      <c r="AU128" s="30">
        <f>AU12/AU98</f>
        <v>27.243618201997784</v>
      </c>
      <c r="AV128" s="30">
        <f>AV12/AV98</f>
        <v>27.181324647122697</v>
      </c>
      <c r="AW128" s="30">
        <f>AW12/AW98</f>
        <v>23.9814696485623</v>
      </c>
      <c r="AX128" s="662">
        <f>AX12/(AX98-61.1)/4</f>
        <v>22.142715363239379</v>
      </c>
      <c r="AY128" s="30">
        <f>AY12/AY98</f>
        <v>35.195286195286194</v>
      </c>
      <c r="AZ128" s="30">
        <f>AZ12/AZ98</f>
        <v>34.753968253968253</v>
      </c>
      <c r="BA128" s="30">
        <f>BA12/BA98</f>
        <v>33.16212792906903</v>
      </c>
      <c r="BB128" s="30">
        <f>BB12/BB98</f>
        <v>27.429393305439334</v>
      </c>
      <c r="BC128" s="33">
        <f>BB128</f>
        <v>27.429393305439334</v>
      </c>
      <c r="BD128" s="30">
        <f>BD12/BD98</f>
        <v>31.794162826420891</v>
      </c>
      <c r="BE128" s="30">
        <f>BE12/BE98</f>
        <v>31.897768395657415</v>
      </c>
      <c r="BF128" s="30">
        <f>BF12/BF98</f>
        <v>31.555555555555557</v>
      </c>
      <c r="BG128" s="30">
        <f>BG12/BG98</f>
        <v>30.066506410256412</v>
      </c>
      <c r="BH128" s="33">
        <f>BG128</f>
        <v>30.066506410256412</v>
      </c>
      <c r="BI128" s="30">
        <f>BI12/BI98</f>
        <v>29.321743642968347</v>
      </c>
      <c r="BJ128" s="30">
        <f>BJ12/BJ98</f>
        <v>17.843517347942125</v>
      </c>
      <c r="BK128" s="30">
        <f>BK12/BK98</f>
        <v>15.806455744844371</v>
      </c>
      <c r="BL128" s="30">
        <f>BL12/BL98</f>
        <v>15.098261026535891</v>
      </c>
      <c r="BM128" s="33">
        <f>BL128</f>
        <v>15.098261026535891</v>
      </c>
      <c r="BN128" s="30">
        <f>BN12/BN98</f>
        <v>14.511825751176541</v>
      </c>
      <c r="BO128" s="30">
        <f>BO12/BO98</f>
        <v>14.508219259967722</v>
      </c>
      <c r="BP128" s="30">
        <f>BP12/BP98</f>
        <v>14.519712825504991</v>
      </c>
      <c r="BQ128" s="30">
        <f>BQ12/BQ98</f>
        <v>12.62359040136818</v>
      </c>
      <c r="BR128" s="33">
        <f>BQ128</f>
        <v>12.62359040136818</v>
      </c>
      <c r="BS128" s="30">
        <f>BS12/BS98</f>
        <v>12.63636889943843</v>
      </c>
      <c r="BT128" s="30">
        <f>BT12/BT98</f>
        <v>13.013412563667233</v>
      </c>
      <c r="BU128" s="30">
        <f>BU12/BU98</f>
        <v>13.208459045703432</v>
      </c>
      <c r="BV128" s="30">
        <f>BV12/BV98</f>
        <v>11.37502366079879</v>
      </c>
      <c r="BW128" s="33">
        <f>BV128</f>
        <v>11.37502366079879</v>
      </c>
      <c r="BX128" s="30">
        <f>BX12/BX98</f>
        <v>12.201548332361206</v>
      </c>
      <c r="BY128" s="30">
        <f>BY12/BY98</f>
        <v>14.110484848484848</v>
      </c>
      <c r="BZ128" s="30">
        <f>BZ12/BZ98</f>
        <v>13.293978270920016</v>
      </c>
      <c r="CA128" s="30">
        <f>CA12/CA98</f>
        <v>11.781325688300136</v>
      </c>
      <c r="CB128" s="33">
        <f>CA128</f>
        <v>11.781325688300136</v>
      </c>
      <c r="CC128" s="30">
        <f>CC12/CC98</f>
        <v>13.236875504788276</v>
      </c>
      <c r="CD128" s="30">
        <f>CD12/CD98</f>
        <v>13.441219327388239</v>
      </c>
      <c r="CE128" s="30">
        <f>CE12/CE98</f>
        <v>13.79277453201383</v>
      </c>
      <c r="CF128" s="30">
        <f>CF12/CF98</f>
        <v>11.498264420622768</v>
      </c>
      <c r="CG128" s="33">
        <f>CF128</f>
        <v>11.498264420622768</v>
      </c>
      <c r="CH128" s="30">
        <f>CH12/CH98</f>
        <v>12.978352512247923</v>
      </c>
      <c r="CI128" s="30">
        <f>CI12/CI98</f>
        <v>12.084380048991505</v>
      </c>
      <c r="CJ128" s="30">
        <f>CJ12/CJ98</f>
        <v>10.932485751863219</v>
      </c>
      <c r="CK128" s="30">
        <f>CK12/CK98</f>
        <v>10.770200950632972</v>
      </c>
      <c r="CL128" s="33">
        <f>CK128</f>
        <v>10.770200950632972</v>
      </c>
      <c r="CM128" s="134">
        <f>CH128</f>
        <v>12.978352512247923</v>
      </c>
      <c r="CN128" s="134">
        <f t="shared" ref="CN128:CN129" si="423">CI128</f>
        <v>12.084380048991505</v>
      </c>
      <c r="CO128" s="134">
        <f t="shared" ref="CO128:CO129" si="424">CJ128</f>
        <v>10.932485751863219</v>
      </c>
      <c r="CP128" s="134">
        <f t="shared" ref="CP128:CP129" si="425">CK128</f>
        <v>10.770200950632972</v>
      </c>
      <c r="CQ128" s="33">
        <f>CP128</f>
        <v>10.770200950632972</v>
      </c>
      <c r="CR128" s="134">
        <f>CM128</f>
        <v>12.978352512247923</v>
      </c>
      <c r="CS128" s="134">
        <f t="shared" ref="CS128:CS129" si="426">CN128</f>
        <v>12.084380048991505</v>
      </c>
      <c r="CT128" s="134">
        <f t="shared" ref="CT128:CT129" si="427">CO128</f>
        <v>10.932485751863219</v>
      </c>
      <c r="CU128" s="134">
        <v>10</v>
      </c>
      <c r="CV128" s="33">
        <f>CU128</f>
        <v>10</v>
      </c>
      <c r="CW128" s="134">
        <f>CR128+1</f>
        <v>13.978352512247923</v>
      </c>
      <c r="CX128" s="134">
        <f t="shared" ref="CX128:CZ128" si="428">CS128+1</f>
        <v>13.084380048991505</v>
      </c>
      <c r="CY128" s="134">
        <f t="shared" si="428"/>
        <v>11.932485751863219</v>
      </c>
      <c r="CZ128" s="134">
        <f t="shared" si="428"/>
        <v>11</v>
      </c>
      <c r="DA128" s="33">
        <f>CZ128</f>
        <v>11</v>
      </c>
      <c r="DB128" s="134">
        <f>CW128+1</f>
        <v>14.978352512247923</v>
      </c>
      <c r="DC128" s="134">
        <f t="shared" si="422"/>
        <v>14.084380048991505</v>
      </c>
      <c r="DD128" s="134">
        <f t="shared" si="422"/>
        <v>12.932485751863219</v>
      </c>
      <c r="DE128" s="134">
        <f t="shared" si="422"/>
        <v>12</v>
      </c>
      <c r="DF128" s="33">
        <f>DE128</f>
        <v>12</v>
      </c>
    </row>
    <row r="129" spans="1:119" ht="11.25" hidden="1" customHeight="1" outlineLevel="1" x14ac:dyDescent="0.2">
      <c r="B129" s="735" t="s">
        <v>243</v>
      </c>
      <c r="C129" s="77"/>
      <c r="D129" s="28"/>
      <c r="E129" s="28">
        <f>365*E110/E12</f>
        <v>5.4073993461260468</v>
      </c>
      <c r="F129" s="30">
        <f>365*F110/(F12*4)</f>
        <v>0</v>
      </c>
      <c r="G129" s="30">
        <f>365*G110/(G12*4)</f>
        <v>0</v>
      </c>
      <c r="H129" s="30">
        <f>365*H110/(H12*4)</f>
        <v>0</v>
      </c>
      <c r="I129" s="30">
        <f>365*I110/(I12*4)</f>
        <v>9.6855485092252707</v>
      </c>
      <c r="J129" s="28">
        <f>365*J110/J12</f>
        <v>8.30206007608483</v>
      </c>
      <c r="K129" s="30">
        <f>365*K110/(K12*4)</f>
        <v>0</v>
      </c>
      <c r="L129" s="30">
        <f>365*L110/(L12*4)</f>
        <v>0</v>
      </c>
      <c r="M129" s="30">
        <f>365*M110/(M12*4)</f>
        <v>4.8441633433990843</v>
      </c>
      <c r="N129" s="30">
        <f>365*N110/(N12*4)</f>
        <v>6.441670347841427</v>
      </c>
      <c r="O129" s="28">
        <f>365*O110/O12</f>
        <v>5.6509908210577322</v>
      </c>
      <c r="P129" s="29">
        <f>365*P110/(P12*4)</f>
        <v>4.3302527960228625</v>
      </c>
      <c r="Q129" s="30">
        <f>365*Q110/(Q12*4)</f>
        <v>3.1078031813160747</v>
      </c>
      <c r="R129" s="30">
        <f>365*R110/(R12*4)</f>
        <v>4.0991027730595873</v>
      </c>
      <c r="S129" s="31">
        <f>365*S110/(S12*4)</f>
        <v>4.6763817429180126</v>
      </c>
      <c r="T129" s="28">
        <f>365*T110/T12</f>
        <v>4.7889902846914199</v>
      </c>
      <c r="U129" s="30">
        <f>365*U110/(U12*4)</f>
        <v>4.8199529159816148</v>
      </c>
      <c r="V129" s="30">
        <f>365*V110/(V12*4)</f>
        <v>5.2735924313099032</v>
      </c>
      <c r="W129" s="30">
        <f>365*W110/(W12*4)</f>
        <v>5.7130035796629723</v>
      </c>
      <c r="X129" s="30">
        <f>365*X110/(X12*4)</f>
        <v>5.8080703579775443</v>
      </c>
      <c r="Y129" s="33">
        <f>365*Y110/Y12</f>
        <v>5.9775389139583224</v>
      </c>
      <c r="Z129" s="30">
        <f>365*Z110/(Z12*4)</f>
        <v>6.2848262545132734</v>
      </c>
      <c r="AA129" s="30">
        <f>365*AA110/(AA12*4)</f>
        <v>6.2867866670229011</v>
      </c>
      <c r="AB129" s="30">
        <f>365*AB110/(AB12*4)</f>
        <v>6.4353319946856704</v>
      </c>
      <c r="AC129" s="30">
        <f>365*AC110/(AC12*4)</f>
        <v>9.5806047346266343</v>
      </c>
      <c r="AD129" s="33">
        <f>365*AD110/AD12</f>
        <v>10.450044637286053</v>
      </c>
      <c r="AE129" s="30">
        <f>365*AE110/(AE12*4)</f>
        <v>10.242665804193143</v>
      </c>
      <c r="AF129" s="32">
        <f>365*AF110/(AF12*4)</f>
        <v>10.21359147201756</v>
      </c>
      <c r="AG129" s="32">
        <f>365*AG110/(AG12*4)</f>
        <v>11.094474044134158</v>
      </c>
      <c r="AH129" s="32">
        <f>365*AH110/(AH12*4)</f>
        <v>10.524349349349349</v>
      </c>
      <c r="AI129" s="33">
        <f>365*AI110/AI12</f>
        <v>10.382435281512461</v>
      </c>
      <c r="AJ129" s="32">
        <f>365*AJ110/(AJ12*4)</f>
        <v>10.426162059066419</v>
      </c>
      <c r="AK129" s="32">
        <f>365*AK110/(AK12*4)</f>
        <v>10.243080163792428</v>
      </c>
      <c r="AL129" s="32">
        <f>365*AL110/(AL12*4)</f>
        <v>10.152701246416299</v>
      </c>
      <c r="AM129" s="32">
        <f>365*AM110/(AM12*4)</f>
        <v>9.2719750540168917</v>
      </c>
      <c r="AN129" s="33">
        <f>365*AN110/AN12</f>
        <v>9.3590671392103886</v>
      </c>
      <c r="AO129" s="30">
        <f>365*AO110/(AO12*4)</f>
        <v>9.661273309849344</v>
      </c>
      <c r="AP129" s="30">
        <f>365*AP110/(AP12*4)</f>
        <v>9.2280786364901957</v>
      </c>
      <c r="AQ129" s="32">
        <f>365*AQ110/(AQ12*4)</f>
        <v>10.020638526601894</v>
      </c>
      <c r="AR129" s="32">
        <f>365*AR110/(AR12*4)</f>
        <v>9.1432348963484777</v>
      </c>
      <c r="AS129" s="33">
        <f>365*AS110/AS12</f>
        <v>9.0878813869619961</v>
      </c>
      <c r="AT129" s="30">
        <f>365*AT110/(AT12*4)</f>
        <v>9.1628909526049878</v>
      </c>
      <c r="AU129" s="30">
        <f>365*AU110/(AU12*4)</f>
        <v>8.9292770863463211</v>
      </c>
      <c r="AV129" s="30">
        <f>365*AV110/(AV12*4)</f>
        <v>10.663572541343772</v>
      </c>
      <c r="AW129" s="30">
        <f>365*AW110/(AW12*4)</f>
        <v>8.5935126961711656</v>
      </c>
      <c r="AX129" s="662">
        <f>365*AX110/AX12</f>
        <v>11.56463179597508</v>
      </c>
      <c r="AY129" s="30">
        <f>365*AY110/(AY12*4)</f>
        <v>6.4319334162441404</v>
      </c>
      <c r="AZ129" s="30">
        <f>365*AZ110/(AZ12*4)</f>
        <v>6.2835526566187117</v>
      </c>
      <c r="BA129" s="30">
        <f>365*BA110/(BA12*4)</f>
        <v>5.9781358019975936</v>
      </c>
      <c r="BB129" s="30">
        <f>365*BB110/(BB12*4)</f>
        <v>5.7130207836781395</v>
      </c>
      <c r="BC129" s="33">
        <f>365*BC110/BC12</f>
        <v>5.7173541773009395</v>
      </c>
      <c r="BD129" s="30">
        <f>365*BD110/(BD12*4)</f>
        <v>5.9410812638902302</v>
      </c>
      <c r="BE129" s="30">
        <f>365*BE110/(BE12*4)</f>
        <v>6.432265322908493</v>
      </c>
      <c r="BF129" s="30">
        <f>365*BF110/(BF12*4)</f>
        <v>6.3266054661301139</v>
      </c>
      <c r="BG129" s="30">
        <f>365*BG110/(BG12*4)</f>
        <v>7.5233079266938505</v>
      </c>
      <c r="BH129" s="33">
        <f>365*BH110/BH12</f>
        <v>7.8930365530867874</v>
      </c>
      <c r="BI129" s="30">
        <f>365*BI110/(BI12*4)</f>
        <v>9.0260030440861545</v>
      </c>
      <c r="BJ129" s="30">
        <f>365*BJ110/(BJ12*4)</f>
        <v>7.2570860361495111</v>
      </c>
      <c r="BK129" s="30">
        <f>365*BK110/(BK12*4)</f>
        <v>7.9099946515830499</v>
      </c>
      <c r="BL129" s="30">
        <f>365*BL110/(BL12*4)</f>
        <v>10.579367562311194</v>
      </c>
      <c r="BM129" s="33">
        <f>365*BM110/BM12</f>
        <v>12.278487526336118</v>
      </c>
      <c r="BN129" s="30">
        <f>365*BN110/(BN12*4)</f>
        <v>9.7643065620595451</v>
      </c>
      <c r="BO129" s="30">
        <f>365*BO110/(BO12*4)</f>
        <v>9.9228754305585305</v>
      </c>
      <c r="BP129" s="30">
        <f>365*BP110/(BP12*4)</f>
        <v>9.8397940883149086</v>
      </c>
      <c r="BQ129" s="30">
        <f>365*BQ110/(BQ12*4)</f>
        <v>11.203429297205759</v>
      </c>
      <c r="BR129" s="33">
        <f>365*BR110/BR12</f>
        <v>11.048218663922269</v>
      </c>
      <c r="BS129" s="30">
        <f>365*BS110/(BS12*4)</f>
        <v>11.832884344017447</v>
      </c>
      <c r="BT129" s="30">
        <f>365*BT110/(BT12*4)</f>
        <v>11.743407176436309</v>
      </c>
      <c r="BU129" s="30">
        <f>365*BU110/(BU12*4)</f>
        <v>11.46969712992534</v>
      </c>
      <c r="BV129" s="30">
        <f>365*BV110/(BV12*4)</f>
        <v>11.909568095117253</v>
      </c>
      <c r="BW129" s="33">
        <f>365*BW110/BW12</f>
        <v>12.37965636645308</v>
      </c>
      <c r="BX129" s="30">
        <f>365*BX110/(BX12*4)</f>
        <v>12.049208201330675</v>
      </c>
      <c r="BY129" s="30">
        <f>365*BY110/(BY12*4)</f>
        <v>13.02261267142851</v>
      </c>
      <c r="BZ129" s="30">
        <f>365*BZ110/(BZ12*4)</f>
        <v>12.983070261999053</v>
      </c>
      <c r="CA129" s="30">
        <f>365*CA110/(CA12*4)</f>
        <v>13.214994461879268</v>
      </c>
      <c r="CB129" s="33">
        <f>365*CB110/CB12</f>
        <v>13.528200326633517</v>
      </c>
      <c r="CC129" s="30">
        <f>365*CC110/(CC12*4)</f>
        <v>14.642282783027092</v>
      </c>
      <c r="CD129" s="30">
        <f>365*CD110/(CD12*4)</f>
        <v>16.608211446982146</v>
      </c>
      <c r="CE129" s="30">
        <f>365*CE110/(CE12*4)</f>
        <v>14.952363200207468</v>
      </c>
      <c r="CF129" s="30">
        <f>365*CF110/(CF12*4)</f>
        <v>15.700601773133082</v>
      </c>
      <c r="CG129" s="33">
        <f>365*CG110/CG12</f>
        <v>15.432276609903237</v>
      </c>
      <c r="CH129" s="30">
        <f>365*CH110/(CH12*4)</f>
        <v>14.651460350624607</v>
      </c>
      <c r="CI129" s="30">
        <f>365*CI110/(CI12*4)</f>
        <v>17.251717609105377</v>
      </c>
      <c r="CJ129" s="30">
        <f>365*CJ110/(CJ12*4)</f>
        <v>17.799671839702711</v>
      </c>
      <c r="CK129" s="30">
        <f>365*CK110/(CK12*4)</f>
        <v>14.974814949138322</v>
      </c>
      <c r="CL129" s="33">
        <f>365*CL110/CL12</f>
        <v>15.015000427175359</v>
      </c>
      <c r="CM129" s="134">
        <f>CH129</f>
        <v>14.651460350624607</v>
      </c>
      <c r="CN129" s="134">
        <f t="shared" si="423"/>
        <v>17.251717609105377</v>
      </c>
      <c r="CO129" s="134">
        <f t="shared" si="424"/>
        <v>17.799671839702711</v>
      </c>
      <c r="CP129" s="134">
        <f t="shared" si="425"/>
        <v>14.974814949138322</v>
      </c>
      <c r="CQ129" s="33">
        <f ca="1">365*CQ110/CQ12</f>
        <v>15.199309424046774</v>
      </c>
      <c r="CR129" s="134">
        <f>CM129</f>
        <v>14.651460350624607</v>
      </c>
      <c r="CS129" s="134">
        <f t="shared" si="426"/>
        <v>17.251717609105377</v>
      </c>
      <c r="CT129" s="134">
        <f t="shared" si="427"/>
        <v>17.799671839702711</v>
      </c>
      <c r="CU129" s="134">
        <f t="shared" ref="CU129" si="429">CP129</f>
        <v>14.974814949138322</v>
      </c>
      <c r="CV129" s="33">
        <f ca="1">365*CV110/CV12</f>
        <v>15.263735818294597</v>
      </c>
      <c r="CW129" s="134">
        <f>CR129-1</f>
        <v>13.651460350624607</v>
      </c>
      <c r="CX129" s="134">
        <f t="shared" ref="CX129:CZ129" si="430">CS129-1</f>
        <v>16.251717609105377</v>
      </c>
      <c r="CY129" s="134">
        <f t="shared" si="430"/>
        <v>16.799671839702711</v>
      </c>
      <c r="CZ129" s="134">
        <f t="shared" si="430"/>
        <v>13.974814949138322</v>
      </c>
      <c r="DA129" s="33">
        <f ca="1">365*DA110/DA12</f>
        <v>14.257518516189771</v>
      </c>
      <c r="DB129" s="134">
        <f>CW129</f>
        <v>13.651460350624607</v>
      </c>
      <c r="DC129" s="134">
        <f>CX129</f>
        <v>16.251717609105377</v>
      </c>
      <c r="DD129" s="134">
        <f>CY129</f>
        <v>16.799671839702711</v>
      </c>
      <c r="DE129" s="134">
        <f>CZ129</f>
        <v>13.974814949138322</v>
      </c>
      <c r="DF129" s="33">
        <f ca="1">365*DF110/DF12</f>
        <v>14.258810821732835</v>
      </c>
    </row>
    <row r="130" spans="1:119" collapsed="1" x14ac:dyDescent="0.2">
      <c r="B130" s="735" t="s">
        <v>244</v>
      </c>
      <c r="C130" s="77"/>
      <c r="D130" s="28"/>
      <c r="E130" s="28">
        <f>365*E111/E12</f>
        <v>50.325293974937864</v>
      </c>
      <c r="F130" s="30">
        <f>365*F111/(F12*4)</f>
        <v>39.707030356576574</v>
      </c>
      <c r="G130" s="30">
        <f>365*G111/(G12*4)</f>
        <v>36.826976494223572</v>
      </c>
      <c r="H130" s="30">
        <f>365*H111/(H12*4)</f>
        <v>33.925245965328131</v>
      </c>
      <c r="I130" s="30">
        <f>365*I111/(I12*4)</f>
        <v>48.504466514425459</v>
      </c>
      <c r="J130" s="28">
        <f>365*J111/J12</f>
        <v>41.576065059986504</v>
      </c>
      <c r="K130" s="30">
        <f>365*K111/(K12*4)</f>
        <v>21.644959292222186</v>
      </c>
      <c r="L130" s="30">
        <f>365*L111/(L12*4)</f>
        <v>21.080861561223191</v>
      </c>
      <c r="M130" s="30">
        <f>365*M111/(M12*4)</f>
        <v>19.968640981659167</v>
      </c>
      <c r="N130" s="30">
        <f>365*N111/(N12*4)</f>
        <v>27.379994947580759</v>
      </c>
      <c r="O130" s="28">
        <f>365*O111/O12</f>
        <v>24.019251494487492</v>
      </c>
      <c r="P130" s="29">
        <f>365*P111/(P12*4)</f>
        <v>25.839333818761556</v>
      </c>
      <c r="Q130" s="30">
        <f>365*Q111/(Q12*4)</f>
        <v>24.482968528867993</v>
      </c>
      <c r="R130" s="30">
        <f>365*R111/(R12*4)</f>
        <v>24.1335247663208</v>
      </c>
      <c r="S130" s="31">
        <f>365*S111/(S12*4)</f>
        <v>23.721549837259012</v>
      </c>
      <c r="T130" s="28">
        <f>365*T111/T12</f>
        <v>24.292771196555506</v>
      </c>
      <c r="U130" s="30">
        <f>365*U111/(U12*4)</f>
        <v>23.234238052438137</v>
      </c>
      <c r="V130" s="30">
        <f>365*V111/(V12*4)</f>
        <v>21.57859654683925</v>
      </c>
      <c r="W130" s="30">
        <f>365*W111/(W12*4)</f>
        <v>21.956188699522553</v>
      </c>
      <c r="X130" s="30">
        <f>365*X111/(X12*4)</f>
        <v>22.243291123276229</v>
      </c>
      <c r="Y130" s="33">
        <f>365*Y111/Y12</f>
        <v>22.892308472341934</v>
      </c>
      <c r="Z130" s="30">
        <f>365*Z111/(Z12*4)</f>
        <v>21.884034951159165</v>
      </c>
      <c r="AA130" s="30">
        <f>365*AA111/(AA12*4)</f>
        <v>22.144444388105637</v>
      </c>
      <c r="AB130" s="30">
        <f>365*AB111/(AB12*4)</f>
        <v>22.903718773275362</v>
      </c>
      <c r="AC130" s="30">
        <f>365*AC111/(AC12*4)</f>
        <v>22.164684884802607</v>
      </c>
      <c r="AD130" s="33">
        <f>365*AD111/AD12</f>
        <v>24.17613009129045</v>
      </c>
      <c r="AE130" s="30">
        <f>365*AE111/(AE12*4)</f>
        <v>21.395019215402765</v>
      </c>
      <c r="AF130" s="32">
        <f>365*AF111/(AF12*4)</f>
        <v>21.532224878507606</v>
      </c>
      <c r="AG130" s="32">
        <f>365*AG111/(AG12*4)</f>
        <v>22.373359258578805</v>
      </c>
      <c r="AH130" s="32">
        <f>365*AH111/(AH12*4)</f>
        <v>23.304829829829831</v>
      </c>
      <c r="AI130" s="33">
        <f>365*AI111/AI12</f>
        <v>22.990579219971266</v>
      </c>
      <c r="AJ130" s="32">
        <f>365*AJ111/(AJ12*4)</f>
        <v>22.230278422273781</v>
      </c>
      <c r="AK130" s="32">
        <f>365*AK111/(AK12*4)</f>
        <v>21.52627667532877</v>
      </c>
      <c r="AL130" s="32">
        <f>365*AL111/(AL12*4)</f>
        <v>22.335200585591995</v>
      </c>
      <c r="AM130" s="32">
        <f>365*AM111/(AM12*4)</f>
        <v>22.564255549008056</v>
      </c>
      <c r="AN130" s="33">
        <f>365*AN111/AN12</f>
        <v>22.776202632035492</v>
      </c>
      <c r="AO130" s="30">
        <f>365*AO111/(AO12*4)</f>
        <v>23.370474854220156</v>
      </c>
      <c r="AP130" s="30">
        <f>365*AP111/(AP12*4)</f>
        <v>24.005707807963088</v>
      </c>
      <c r="AQ130" s="32">
        <f>365*AQ111/(AQ12*4)</f>
        <v>24.087290318654794</v>
      </c>
      <c r="AR130" s="32">
        <f>365*AR111/(AR12*4)</f>
        <v>25.431233725601015</v>
      </c>
      <c r="AS130" s="33">
        <f>365*AS111/AS12</f>
        <v>25.277272020504487</v>
      </c>
      <c r="AT130" s="30">
        <f>365*AT111/(AT12*4)</f>
        <v>25.485865362979936</v>
      </c>
      <c r="AU130" s="30">
        <f>365*AU111/(AU12*4)</f>
        <v>25.168888639928294</v>
      </c>
      <c r="AV130" s="30">
        <f>365*AV111/(AV12*4)</f>
        <v>25.531701885435808</v>
      </c>
      <c r="AW130" s="30">
        <f>365*AW111/(AW12*4)</f>
        <v>34.654868641922675</v>
      </c>
      <c r="AX130" s="662">
        <f>365*(AX111-(808.9+518.7))/AX12</f>
        <v>24.917372596477072</v>
      </c>
      <c r="AY130" s="30">
        <f>365*AY111/(AY12*4)</f>
        <v>23.107122357218024</v>
      </c>
      <c r="AZ130" s="30">
        <f>365*AZ111/(AZ12*4)</f>
        <v>22.530317519220525</v>
      </c>
      <c r="BA130" s="30">
        <f>365*BA111/(BA12*4)</f>
        <v>22.632572140633652</v>
      </c>
      <c r="BB130" s="30">
        <f>365*BB111/(BB12*4)</f>
        <v>23.197456859567165</v>
      </c>
      <c r="BC130" s="33">
        <f>365*BC111/BC12</f>
        <v>23.215052404100735</v>
      </c>
      <c r="BD130" s="30">
        <f>365*BD111/(BD12*4)</f>
        <v>22.043192578993139</v>
      </c>
      <c r="BE130" s="30">
        <f>365*BE111/(BE12*4)</f>
        <v>21.833986461573371</v>
      </c>
      <c r="BF130" s="30">
        <f>365*BF111/(BF12*4)</f>
        <v>23.042852019524553</v>
      </c>
      <c r="BG130" s="30">
        <f>365*BG111/(BG12*4)</f>
        <v>23.297855093320543</v>
      </c>
      <c r="BH130" s="33">
        <f>365*BH111/BH12</f>
        <v>24.442814736802863</v>
      </c>
      <c r="BI130" s="30">
        <f>365*BI111/(BI12*4)</f>
        <v>21.400622533316817</v>
      </c>
      <c r="BJ130" s="30">
        <f>365*BJ111/(BJ12*4)</f>
        <v>24.797647959504992</v>
      </c>
      <c r="BK130" s="30">
        <f>365*BK111/(BK12*4)</f>
        <v>24.808854871516438</v>
      </c>
      <c r="BL130" s="30">
        <f>365*BL111/(BL12*4)</f>
        <v>27.056647988585912</v>
      </c>
      <c r="BM130" s="33">
        <f>365*BM111/BM12</f>
        <v>31.402133716936756</v>
      </c>
      <c r="BN130" s="30">
        <f>365*BN111/(BN12*4)</f>
        <v>25.212982134467545</v>
      </c>
      <c r="BO130" s="30">
        <f>365*BO111/(BO12*4)</f>
        <v>21.894014618389171</v>
      </c>
      <c r="BP130" s="30">
        <f>365*BP111/(BP12*4)</f>
        <v>24.699664984956797</v>
      </c>
      <c r="BQ130" s="30">
        <f>365*BQ111/(BQ12*4)</f>
        <v>26.145713378492804</v>
      </c>
      <c r="BR130" s="33">
        <f>365*BR111/BR12</f>
        <v>25.783494577135563</v>
      </c>
      <c r="BS130" s="30">
        <f>365*BS111/(BS12*4)</f>
        <v>26.542467287921273</v>
      </c>
      <c r="BT130" s="30">
        <f>365*BT111/(BT12*4)</f>
        <v>30.036106146198907</v>
      </c>
      <c r="BU130" s="30">
        <f>365*BU111/(BU12*4)</f>
        <v>30.165129756138828</v>
      </c>
      <c r="BV130" s="30">
        <f>365*BV111/(BV12*4)</f>
        <v>32.222228000183051</v>
      </c>
      <c r="BW130" s="33">
        <f>365*BW111/BW12</f>
        <v>33.494087007849764</v>
      </c>
      <c r="BX130" s="30">
        <f>365*BX111/(BX12*4)</f>
        <v>31.439768761760735</v>
      </c>
      <c r="BY130" s="30">
        <f>365*BY111/(BY12*4)</f>
        <v>32.191450157415723</v>
      </c>
      <c r="BZ130" s="30">
        <f>365*BZ111/(BZ12*4)</f>
        <v>34.663567916744555</v>
      </c>
      <c r="CA130" s="30">
        <f>365*CA111/(CA12*4)</f>
        <v>35.978490484501656</v>
      </c>
      <c r="CB130" s="33">
        <f>365*CB111/CB12</f>
        <v>36.831209284895948</v>
      </c>
      <c r="CC130" s="30">
        <f>365*CC111/(CC12*4)</f>
        <v>35.61902914821659</v>
      </c>
      <c r="CD130" s="30">
        <f>365*CD111/(CD12*4)</f>
        <v>34.171217981796183</v>
      </c>
      <c r="CE130" s="30">
        <f>365*CE111/(CE12*4)</f>
        <v>34.380851270746888</v>
      </c>
      <c r="CF130" s="30">
        <f>365*CF111/(CF12*4)</f>
        <v>35.798603557808839</v>
      </c>
      <c r="CG130" s="33">
        <f>365*CG111/CG12</f>
        <v>35.186801138904947</v>
      </c>
      <c r="CH130" s="30">
        <f>365*CH111/(CH12*4)</f>
        <v>35.191942613092664</v>
      </c>
      <c r="CI130" s="30">
        <f>365*CI111/(CI12*4)</f>
        <v>35.738792951009856</v>
      </c>
      <c r="CJ130" s="30">
        <f>365*CJ111/(CJ12*4)</f>
        <v>38.558027340007925</v>
      </c>
      <c r="CK130" s="30">
        <f>365*CK111/(CK12*4)</f>
        <v>40.623825680777429</v>
      </c>
      <c r="CL130" s="33">
        <f>365*CL111/CL12</f>
        <v>40.732841241919253</v>
      </c>
      <c r="CM130" s="134">
        <v>39</v>
      </c>
      <c r="CN130" s="134">
        <f t="shared" ref="CN130" si="431">CI130</f>
        <v>35.738792951009856</v>
      </c>
      <c r="CO130" s="134">
        <v>36</v>
      </c>
      <c r="CP130" s="134">
        <v>38</v>
      </c>
      <c r="CQ130" s="33">
        <f ca="1">365*CQ111/CQ12</f>
        <v>38.569675824075006</v>
      </c>
      <c r="CR130" s="134">
        <f>CM130</f>
        <v>39</v>
      </c>
      <c r="CS130" s="134">
        <f t="shared" ref="CS130" si="432">CN130</f>
        <v>35.738792951009856</v>
      </c>
      <c r="CT130" s="134">
        <f t="shared" ref="CT130" si="433">CO130</f>
        <v>36</v>
      </c>
      <c r="CU130" s="134">
        <f t="shared" ref="CU130" si="434">CP130</f>
        <v>38</v>
      </c>
      <c r="CV130" s="33">
        <f ca="1">365*CV111/CV12</f>
        <v>38.733163853124623</v>
      </c>
      <c r="CW130" s="134">
        <f>CR130</f>
        <v>39</v>
      </c>
      <c r="CX130" s="134">
        <f t="shared" ref="CX130" si="435">CS130</f>
        <v>35.738792951009856</v>
      </c>
      <c r="CY130" s="134">
        <f t="shared" ref="CY130" si="436">CT130</f>
        <v>36</v>
      </c>
      <c r="CZ130" s="134">
        <f t="shared" ref="CZ130" si="437">CU130</f>
        <v>38</v>
      </c>
      <c r="DA130" s="33">
        <f ca="1">365*DA111/DA12</f>
        <v>38.768721130623447</v>
      </c>
      <c r="DB130" s="134">
        <f>CW130-1</f>
        <v>38</v>
      </c>
      <c r="DC130" s="134">
        <f t="shared" ref="DC130" si="438">CX130-1</f>
        <v>34.738792951009856</v>
      </c>
      <c r="DD130" s="134">
        <f t="shared" ref="DD130" si="439">CY130-1</f>
        <v>35</v>
      </c>
      <c r="DE130" s="134">
        <f t="shared" ref="DE130" si="440">CZ130-1</f>
        <v>37</v>
      </c>
      <c r="DF130" s="33">
        <f ca="1">365*DF111/DF12</f>
        <v>37.751913161229005</v>
      </c>
    </row>
    <row r="131" spans="1:119" x14ac:dyDescent="0.2">
      <c r="B131" s="747" t="s">
        <v>120</v>
      </c>
      <c r="C131" s="66"/>
      <c r="D131" s="136"/>
      <c r="E131" s="136">
        <f>E25/E123</f>
        <v>-1.1373368649716031E-2</v>
      </c>
      <c r="F131" s="66">
        <f>(F25/AVERAGE(F123,E123)*4)</f>
        <v>0.15401735362379393</v>
      </c>
      <c r="G131" s="66">
        <f>(G25/AVERAGE(G123,F123)*4)</f>
        <v>0.1563289270412869</v>
      </c>
      <c r="H131" s="66">
        <f>(H25/AVERAGE(H123,G123)*4)</f>
        <v>0.16177890721112964</v>
      </c>
      <c r="I131" s="66">
        <f>(I25/AVERAGE(I123,H123)*4)</f>
        <v>0.16606646299795974</v>
      </c>
      <c r="J131" s="136">
        <f>J25/AVERAGE(J123,E123)</f>
        <v>0.16274741566221618</v>
      </c>
      <c r="K131" s="66">
        <f>(K25/AVERAGE(K123,J123)*4)</f>
        <v>0.20562332009479228</v>
      </c>
      <c r="L131" s="66">
        <f>(L25/AVERAGE(L123,K123)*4)</f>
        <v>0.21382015836741219</v>
      </c>
      <c r="M131" s="66">
        <f>(M25/AVERAGE(M123,L123)*4)</f>
        <v>0.22334744711251067</v>
      </c>
      <c r="N131" s="66">
        <f>(N25/AVERAGE(N123,M123)*4)</f>
        <v>0.22989238627445546</v>
      </c>
      <c r="O131" s="136">
        <f>O25/AVERAGE(O123,J123)</f>
        <v>0.22108159132180857</v>
      </c>
      <c r="P131" s="66">
        <f>(P25/AVERAGE(P123,O123)*4)</f>
        <v>0.23040131638030639</v>
      </c>
      <c r="Q131" s="66">
        <f>(Q25/AVERAGE(Q123,P123)*4)</f>
        <v>0.21411131295400693</v>
      </c>
      <c r="R131" s="66">
        <f>(R25/AVERAGE(R123,Q123)*4)</f>
        <v>0.2230721674337344</v>
      </c>
      <c r="S131" s="66">
        <f>(S25/AVERAGE(S123,R123)*4)</f>
        <v>0.22739968789070908</v>
      </c>
      <c r="T131" s="136">
        <f>T25/AVERAGE(T123,O123)</f>
        <v>0.22817054252274138</v>
      </c>
      <c r="U131" s="66">
        <f>(U25/AVERAGE(U123,T123)*4)</f>
        <v>0.22376054201638268</v>
      </c>
      <c r="V131" s="66">
        <f>(V25/AVERAGE(V123,U123)*4)</f>
        <v>0.22494807667052921</v>
      </c>
      <c r="W131" s="66">
        <f>(W25/AVERAGE(W123,V123)*4)</f>
        <v>0.23881993222552381</v>
      </c>
      <c r="X131" s="66">
        <f ca="1">(X25/AVERAGE(X123,W123)*4)</f>
        <v>0.26079183241314285</v>
      </c>
      <c r="Y131" s="118">
        <f ca="1">Y25/AVERAGE(Y123,T123)</f>
        <v>0.25104676038800117</v>
      </c>
      <c r="Z131" s="66">
        <f>(Z25/AVERAGE(Z123,Y123)*4)</f>
        <v>0.26517804425759423</v>
      </c>
      <c r="AA131" s="66">
        <f>(AA25/AVERAGE(AA123,Z123)*4)</f>
        <v>0.26724844597598185</v>
      </c>
      <c r="AB131" s="66">
        <f>(AB25/AVERAGE(AB123,AA123)*4)</f>
        <v>0.29143834408444913</v>
      </c>
      <c r="AC131" s="66">
        <f>(AC25/AVERAGE(AC123,AB123)*4)</f>
        <v>0.32722313241437467</v>
      </c>
      <c r="AD131" s="118">
        <f>AD25/AVERAGE(AD123,Y123)</f>
        <v>0.29209260372820262</v>
      </c>
      <c r="AE131" s="66">
        <f>(AE25/AVERAGE(AE123,AD123)*4)</f>
        <v>0.27182449535925329</v>
      </c>
      <c r="AF131" s="66">
        <f>(AF25/AVERAGE(AF123,AE123)*4)</f>
        <v>0.32543396226415205</v>
      </c>
      <c r="AG131" s="66">
        <f>(AG25/AVERAGE(AG123,AF123)*4)</f>
        <v>0.45786138416246763</v>
      </c>
      <c r="AH131" s="66">
        <f>(AH25/AVERAGE(AH123,AG123)*4)</f>
        <v>0.5378889100973423</v>
      </c>
      <c r="AI131" s="118">
        <f>AI25/AVERAGE(AI123,AD123)</f>
        <v>0.36150905510290826</v>
      </c>
      <c r="AJ131" s="66">
        <f>(AJ25/AVERAGE(AJ123,AI123)*4)</f>
        <v>0.47013966596211781</v>
      </c>
      <c r="AK131" s="66">
        <f>(AK25/AVERAGE(AK123,AJ123)*4)</f>
        <v>0.61557152981674768</v>
      </c>
      <c r="AL131" s="66">
        <f>(AL25/AVERAGE(AL123,AK123)*4)</f>
        <v>1.0320052253429097</v>
      </c>
      <c r="AM131" s="66">
        <f>(AM25/AVERAGE(AM123,AL123)*4)</f>
        <v>1.1535094828983599</v>
      </c>
      <c r="AN131" s="118">
        <f>AN25/AVERAGE(AN123,AI123)</f>
        <v>0.6914841047603375</v>
      </c>
      <c r="AO131" s="66">
        <f>(AO25/AVERAGE(AO123,AN123)*4)</f>
        <v>0.96796959826275975</v>
      </c>
      <c r="AP131" s="66">
        <f>(AP25/AVERAGE(AP123,AO123)*4)</f>
        <v>1.09266903914591</v>
      </c>
      <c r="AQ131" s="66">
        <f>(AQ25/AVERAGE(AQ123,AP123)*4)</f>
        <v>1.087524275095425</v>
      </c>
      <c r="AR131" s="66">
        <f>(AR25/AVERAGE(AR123,AQ123)*4)</f>
        <v>0.84951381386016078</v>
      </c>
      <c r="AS131" s="118">
        <f>AS25/AVERAGE(AS123,AN123)</f>
        <v>0.87862053420489306</v>
      </c>
      <c r="AT131" s="66">
        <f>(AT25/AVERAGE(AT123,AS123)*4)</f>
        <v>0.74140105962492753</v>
      </c>
      <c r="AU131" s="66">
        <f>(AU25/AVERAGE(AU123,AT123)*4)</f>
        <v>0.42425071848911988</v>
      </c>
      <c r="AV131" s="66">
        <f>(AV25/AVERAGE(AV123,AU123)*4)</f>
        <v>0.28887463429134591</v>
      </c>
      <c r="AW131" s="66">
        <f>(AW25/AVERAGE(AW123,AV123)*4)</f>
        <v>0.31595060720481666</v>
      </c>
      <c r="AX131" s="118">
        <f>AX25/AVERAGE(AX123,AS123)</f>
        <v>0.41235421166306763</v>
      </c>
      <c r="AY131" s="66">
        <f>(AY25/AVERAGE(AY123,AX123)*4)</f>
        <v>0.3387231205200863</v>
      </c>
      <c r="AZ131" s="66">
        <f>(AZ25/AVERAGE(AZ123,AY123)*4)</f>
        <v>0.36085442430557541</v>
      </c>
      <c r="BA131" s="68">
        <f>(4*BA25/AVERAGE(BA123,AZ123))</f>
        <v>0.40612803634880756</v>
      </c>
      <c r="BB131" s="68">
        <f>(4*BB25/AVERAGE(BB123,BA123))</f>
        <v>0.44273869862010462</v>
      </c>
      <c r="BC131" s="118">
        <f>BC25/AVERAGE(BC123,AX123)</f>
        <v>0.38002905677246313</v>
      </c>
      <c r="BD131" s="66">
        <f>(BD25/AVERAGE(BD123,BC123)*4)</f>
        <v>0.37105339639092177</v>
      </c>
      <c r="BE131" s="66">
        <f>(BE25/AVERAGE(BE123,BD123)*4)</f>
        <v>0.49537228899019259</v>
      </c>
      <c r="BF131" s="66">
        <f>(BF25/AVERAGE(BF123,BE123)*4)</f>
        <v>0.77982317729856843</v>
      </c>
      <c r="BG131" s="66">
        <f ca="1">(BG25/AVERAGE(BG123,BF123)*4)</f>
        <v>0.70368599393590803</v>
      </c>
      <c r="BH131" s="118">
        <f ca="1">BH25/AVERAGE(BH123,BC123)</f>
        <v>0.49566539127478609</v>
      </c>
      <c r="BI131" s="66">
        <f>(BI25/AVERAGE(BI123,BH123)*4)</f>
        <v>0.54652137468566664</v>
      </c>
      <c r="BJ131" s="66">
        <f>(BJ25/AVERAGE(BJ123,BI123)*4)</f>
        <v>0.22627496684483384</v>
      </c>
      <c r="BK131" s="66">
        <f>(BK25/AVERAGE(BK123,BJ123)*4)</f>
        <v>0.15365987990304839</v>
      </c>
      <c r="BL131" s="68">
        <f>(4*BL25/AVERAGE(BL123,BK123))</f>
        <v>0.15158891347839962</v>
      </c>
      <c r="BM131" s="118">
        <f>BM25/AVERAGE(BM123,BH123)</f>
        <v>0.21631734790911278</v>
      </c>
      <c r="BN131" s="68">
        <f>(4*BN25/AVERAGE(BN123,BM123))</f>
        <v>0.14013508225726845</v>
      </c>
      <c r="BO131" s="66">
        <f>(BO25/AVERAGE(BO123,BN123)*4)</f>
        <v>0.15816706733299321</v>
      </c>
      <c r="BP131" s="66">
        <f>(BP25/AVERAGE(BP123,BO123)*4)</f>
        <v>0.15191256371360434</v>
      </c>
      <c r="BQ131" s="66">
        <f>(BQ25/AVERAGE(BQ123,BP123)*4)</f>
        <v>0.15731752549715916</v>
      </c>
      <c r="BR131" s="118">
        <f>BR25/AVERAGE(BR123,BM123)</f>
        <v>0.15750046971187287</v>
      </c>
      <c r="BS131" s="66">
        <f>(BS25/AVERAGE(BS123,BR123)*4)</f>
        <v>0.14254712429196381</v>
      </c>
      <c r="BT131" s="68">
        <f>(4*BT25/AVERAGE(BT123,BS123))</f>
        <v>0.17748010929555369</v>
      </c>
      <c r="BU131" s="68">
        <f>(4*BU25/AVERAGE(BU123,BT123))</f>
        <v>0.18952959738498384</v>
      </c>
      <c r="BV131" s="68">
        <f>(4*BV25/AVERAGE(BV123,BU123))</f>
        <v>0.20343853073276949</v>
      </c>
      <c r="BW131" s="118">
        <f>BW25/AVERAGE(BW123,BR123)</f>
        <v>0.17677432901920362</v>
      </c>
      <c r="BX131" s="66">
        <f>(BX25/AVERAGE(BX123,BW123)*4)</f>
        <v>0.15910046289581525</v>
      </c>
      <c r="BY131" s="66">
        <f>(BY25/AVERAGE(BY123,BX123)*4)</f>
        <v>0.21491698609163765</v>
      </c>
      <c r="BZ131" s="66">
        <f>(BZ25/AVERAGE(BZ123,BY123)*4)</f>
        <v>0.24456716454789174</v>
      </c>
      <c r="CA131" s="66">
        <f>(CA25/AVERAGE(CA123,BZ123)*4)</f>
        <v>0.25072877703991253</v>
      </c>
      <c r="CB131" s="118">
        <f>CB25/AVERAGE(CB123,BW123)</f>
        <v>0.20516764811921642</v>
      </c>
      <c r="CC131" s="66">
        <f>(CC25/AVERAGE(CC123,CB123)*4)</f>
        <v>0.19403221252447281</v>
      </c>
      <c r="CD131" s="66">
        <f>(CD25/AVERAGE(CD123,CC123)*4)</f>
        <v>0.26403172504957045</v>
      </c>
      <c r="CE131" s="66">
        <f>(CE25/AVERAGE(CE123,CD123)*4)</f>
        <v>0.28152341407746029</v>
      </c>
      <c r="CF131" s="66">
        <f>(CF25/AVERAGE(CF123,CE123)*4)</f>
        <v>0.28958207755676113</v>
      </c>
      <c r="CG131" s="118">
        <f>CG25/AVERAGE(CG123,CB123)</f>
        <v>0.23941018846488996</v>
      </c>
      <c r="CH131" s="66">
        <f>(CH25/AVERAGE(CH123,CG123)*4)</f>
        <v>0.20026481503353696</v>
      </c>
      <c r="CI131" s="66">
        <f>(CI25/AVERAGE(CI123,CH123)*4)</f>
        <v>0.25578525049163969</v>
      </c>
      <c r="CJ131" s="66">
        <f>(CJ25/AVERAGE(CJ123,CI123)*4)</f>
        <v>0.27622788295171824</v>
      </c>
      <c r="CK131" s="66">
        <f>(CK25/AVERAGE(CK123,CJ123)*4)</f>
        <v>0.28877218952290329</v>
      </c>
      <c r="CL131" s="118">
        <f>CL25/AVERAGE(CL123,CG123)</f>
        <v>0.24096644951424384</v>
      </c>
      <c r="CM131" s="68">
        <f ca="1">(4*CM25/AVERAGE(CM123,CL123))</f>
        <v>0.21686336483476176</v>
      </c>
      <c r="CN131" s="68">
        <f ca="1">(4*CN25/AVERAGE(CN123,CM123))</f>
        <v>0.27696887594759995</v>
      </c>
      <c r="CO131" s="68">
        <f ca="1">(4*CO25/AVERAGE(CO123,CN123))</f>
        <v>0.26657504869073462</v>
      </c>
      <c r="CP131" s="68">
        <f ca="1">(4*CP25/AVERAGE(CP123,CO123))</f>
        <v>0.27541895488367496</v>
      </c>
      <c r="CQ131" s="118">
        <f ca="1">CQ25/AVERAGE(CQ123,CL123)</f>
        <v>0.25661660092622218</v>
      </c>
      <c r="CR131" s="68">
        <f ca="1">(4*CR25/AVERAGE(CR123,CQ123))</f>
        <v>0.18160222556782443</v>
      </c>
      <c r="CS131" s="68">
        <f ca="1">(4*CS25/AVERAGE(CS123,CR123))</f>
        <v>0.22370477558171975</v>
      </c>
      <c r="CT131" s="68">
        <f ca="1">(4*CT25/AVERAGE(CT123,CS123))</f>
        <v>0.21524153484400071</v>
      </c>
      <c r="CU131" s="68">
        <f ca="1">(4*CU25/AVERAGE(CU123,CT123))</f>
        <v>0.22368349362887563</v>
      </c>
      <c r="CV131" s="118">
        <f ca="1">CV25/AVERAGE(CV123,CQ123)</f>
        <v>0.2103139213335197</v>
      </c>
      <c r="CW131" s="68">
        <f ca="1">(4*CW25/AVERAGE(CW123,CV123))</f>
        <v>0.13754929243619438</v>
      </c>
      <c r="CX131" s="68">
        <f ca="1">(4*CX25/AVERAGE(CX123,CW123))</f>
        <v>0.16856860380710109</v>
      </c>
      <c r="CY131" s="68">
        <f ca="1">(4*CY25/AVERAGE(CY123,CX123))</f>
        <v>0.1626559201297402</v>
      </c>
      <c r="CZ131" s="68">
        <f ca="1">(4*CZ25/AVERAGE(CZ123,CY123))</f>
        <v>0.17037164040746994</v>
      </c>
      <c r="DA131" s="118">
        <f ca="1">DA25/AVERAGE(DA123,CV123)</f>
        <v>0.15942756562936178</v>
      </c>
      <c r="DB131" s="68">
        <f ca="1">(4*DB25/AVERAGE(DB123,DA123))</f>
        <v>0.10622486545670498</v>
      </c>
      <c r="DC131" s="68">
        <f ca="1">(4*DC25/AVERAGE(DC123,DB123))</f>
        <v>0.12896909104019016</v>
      </c>
      <c r="DD131" s="68">
        <f ca="1">(4*DD25/AVERAGE(DD123,DC123))</f>
        <v>0.13021946439372289</v>
      </c>
      <c r="DE131" s="68">
        <f ca="1">(4*DE25/AVERAGE(DE123,DD123))</f>
        <v>0.13515708409680224</v>
      </c>
      <c r="DF131" s="118">
        <f ca="1">DF25/AVERAGE(DF123,DA123)</f>
        <v>0.12492786800671682</v>
      </c>
    </row>
    <row r="132" spans="1:119" x14ac:dyDescent="0.2">
      <c r="B132" s="748" t="s">
        <v>121</v>
      </c>
      <c r="C132" s="509"/>
      <c r="D132" s="28"/>
      <c r="E132" s="28">
        <f t="shared" ref="E132:AJ132" si="441">E62/(-E20)</f>
        <v>1.3056637417296217</v>
      </c>
      <c r="F132" s="30">
        <f t="shared" si="441"/>
        <v>8.1038932633420693</v>
      </c>
      <c r="G132" s="30">
        <f t="shared" si="441"/>
        <v>8.910997798122569</v>
      </c>
      <c r="H132" s="30">
        <f t="shared" si="441"/>
        <v>9.6078175121777338</v>
      </c>
      <c r="I132" s="30">
        <f t="shared" si="441"/>
        <v>10.557927590511856</v>
      </c>
      <c r="J132" s="28">
        <f t="shared" si="441"/>
        <v>9.2524269005848083</v>
      </c>
      <c r="K132" s="30">
        <f t="shared" si="441"/>
        <v>13.093380905511772</v>
      </c>
      <c r="L132" s="30">
        <f t="shared" si="441"/>
        <v>9.7479835249699125</v>
      </c>
      <c r="M132" s="30">
        <f t="shared" si="441"/>
        <v>8.8656673622505409</v>
      </c>
      <c r="N132" s="30">
        <f t="shared" si="441"/>
        <v>10.588016536073338</v>
      </c>
      <c r="O132" s="28">
        <f t="shared" si="441"/>
        <v>10.336287015945365</v>
      </c>
      <c r="P132" s="29">
        <f t="shared" si="441"/>
        <v>11.305363483461147</v>
      </c>
      <c r="Q132" s="30">
        <f t="shared" si="441"/>
        <v>8.7970797720798135</v>
      </c>
      <c r="R132" s="30">
        <f t="shared" si="441"/>
        <v>15.039620403321477</v>
      </c>
      <c r="S132" s="31">
        <f t="shared" si="441"/>
        <v>15.993935718617081</v>
      </c>
      <c r="T132" s="28">
        <f t="shared" si="441"/>
        <v>12.148513895260393</v>
      </c>
      <c r="U132" s="30">
        <f t="shared" si="441"/>
        <v>15.010757409440204</v>
      </c>
      <c r="V132" s="30">
        <f t="shared" si="441"/>
        <v>18.310305343511441</v>
      </c>
      <c r="W132" s="30">
        <f t="shared" si="441"/>
        <v>34.664783427495252</v>
      </c>
      <c r="X132" s="32">
        <f t="shared" si="441"/>
        <v>32.228565453784832</v>
      </c>
      <c r="Y132" s="33">
        <f t="shared" si="441"/>
        <v>22.386153846153846</v>
      </c>
      <c r="Z132" s="32">
        <f t="shared" si="441"/>
        <v>33.307352011796915</v>
      </c>
      <c r="AA132" s="32">
        <f t="shared" si="441"/>
        <v>35.857356395472856</v>
      </c>
      <c r="AB132" s="32">
        <f t="shared" si="441"/>
        <v>35.572941176470557</v>
      </c>
      <c r="AC132" s="32">
        <f t="shared" si="441"/>
        <v>11.693057763646031</v>
      </c>
      <c r="AD132" s="33">
        <f t="shared" si="441"/>
        <v>21.799401197604809</v>
      </c>
      <c r="AE132" s="32">
        <f t="shared" si="441"/>
        <v>10.209756097560994</v>
      </c>
      <c r="AF132" s="32">
        <f t="shared" si="441"/>
        <v>9.2236286919831372</v>
      </c>
      <c r="AG132" s="32">
        <f t="shared" si="441"/>
        <v>8.6931818181818254</v>
      </c>
      <c r="AH132" s="32">
        <f t="shared" si="441"/>
        <v>10.685258964143378</v>
      </c>
      <c r="AI132" s="33">
        <f t="shared" si="441"/>
        <v>9.6718913270637472</v>
      </c>
      <c r="AJ132" s="32">
        <f t="shared" si="441"/>
        <v>12.112612612612581</v>
      </c>
      <c r="AK132" s="32">
        <f t="shared" ref="AK132:BN132" si="442">AK62/(-AK20)</f>
        <v>11.289062500000012</v>
      </c>
      <c r="AL132" s="32">
        <f t="shared" si="442"/>
        <v>9.8083067092651586</v>
      </c>
      <c r="AM132" s="32">
        <f t="shared" si="442"/>
        <v>10.94880546075084</v>
      </c>
      <c r="AN132" s="33">
        <f t="shared" si="442"/>
        <v>10.938191881918833</v>
      </c>
      <c r="AO132" s="30">
        <f t="shared" si="442"/>
        <v>13.695278969957096</v>
      </c>
      <c r="AP132" s="30">
        <f t="shared" si="442"/>
        <v>20.105882352941201</v>
      </c>
      <c r="AQ132" s="32">
        <f t="shared" si="442"/>
        <v>22.547770700636921</v>
      </c>
      <c r="AR132" s="32">
        <f t="shared" si="442"/>
        <v>16.819444444444411</v>
      </c>
      <c r="AS132" s="33">
        <f t="shared" si="442"/>
        <v>17.760309278350537</v>
      </c>
      <c r="AT132" s="30">
        <f t="shared" si="442"/>
        <v>22.736842105263179</v>
      </c>
      <c r="AU132" s="30">
        <f t="shared" si="442"/>
        <v>21.380208333333339</v>
      </c>
      <c r="AV132" s="30">
        <f t="shared" si="442"/>
        <v>9.0749999999999886</v>
      </c>
      <c r="AW132" s="30">
        <f t="shared" si="442"/>
        <v>11.705035971223021</v>
      </c>
      <c r="AX132" s="33">
        <f t="shared" si="442"/>
        <v>13.674603174603188</v>
      </c>
      <c r="AY132" s="30">
        <f t="shared" si="442"/>
        <v>12.749415887850459</v>
      </c>
      <c r="AZ132" s="30">
        <f t="shared" si="442"/>
        <v>13.950000000000015</v>
      </c>
      <c r="BA132" s="32">
        <f t="shared" si="442"/>
        <v>14.623222748815165</v>
      </c>
      <c r="BB132" s="32">
        <f t="shared" si="442"/>
        <v>16.431421446384039</v>
      </c>
      <c r="BC132" s="33">
        <f t="shared" si="442"/>
        <v>14.409186116098143</v>
      </c>
      <c r="BD132" s="30">
        <f t="shared" si="442"/>
        <v>15.498740554156171</v>
      </c>
      <c r="BE132" s="30">
        <f t="shared" si="442"/>
        <v>12.775347912524859</v>
      </c>
      <c r="BF132" s="30">
        <f t="shared" si="442"/>
        <v>13.151051625238992</v>
      </c>
      <c r="BG132" s="30">
        <f t="shared" si="442"/>
        <v>13.875717017208411</v>
      </c>
      <c r="BH132" s="33">
        <f t="shared" si="442"/>
        <v>13.727646454265166</v>
      </c>
      <c r="BI132" s="30">
        <f>BI62/(-BI20)</f>
        <v>12.544761904761906</v>
      </c>
      <c r="BJ132" s="30">
        <f t="shared" si="442"/>
        <v>8.6366330764671027</v>
      </c>
      <c r="BK132" s="30">
        <f t="shared" si="442"/>
        <v>10.515463917525771</v>
      </c>
      <c r="BL132" s="32">
        <f t="shared" si="442"/>
        <v>10.459974587039399</v>
      </c>
      <c r="BM132" s="33">
        <f t="shared" si="442"/>
        <v>10.104908205320335</v>
      </c>
      <c r="BN132" s="32">
        <f t="shared" si="442"/>
        <v>10.871341048332189</v>
      </c>
      <c r="BO132" s="30">
        <f>BO62/(-BO20)</f>
        <v>13.615203761755463</v>
      </c>
      <c r="BP132" s="30">
        <f>BP62/(-BP20)</f>
        <v>13.044740973312374</v>
      </c>
      <c r="BQ132" s="30">
        <f>BQ62/(-BQ20)</f>
        <v>13.272076372315047</v>
      </c>
      <c r="BR132" s="33">
        <f t="shared" ref="BR132:CB132" si="443">BR62/(-BR20)</f>
        <v>12.631728582259282</v>
      </c>
      <c r="BS132" s="30">
        <f>BS62/(-BS20)</f>
        <v>11.815261044176706</v>
      </c>
      <c r="BT132" s="32">
        <f t="shared" si="443"/>
        <v>12.881959910913142</v>
      </c>
      <c r="BU132" s="32">
        <f t="shared" si="443"/>
        <v>8.6269841269841283</v>
      </c>
      <c r="BV132" s="32">
        <f t="shared" si="443"/>
        <v>15.20966420966421</v>
      </c>
      <c r="BW132" s="33">
        <f t="shared" si="443"/>
        <v>11.670097786927435</v>
      </c>
      <c r="BX132" s="30">
        <f>BX62/(-BX20)</f>
        <v>12.384111384111383</v>
      </c>
      <c r="BY132" s="30">
        <f>BY62/(-BY20)</f>
        <v>13.56386999244142</v>
      </c>
      <c r="BZ132" s="30">
        <f>BZ62/(-BZ20)</f>
        <v>14.083333333333332</v>
      </c>
      <c r="CA132" s="30">
        <f>CA62/(-CA20)</f>
        <v>15.681818181818182</v>
      </c>
      <c r="CB132" s="33">
        <f t="shared" si="443"/>
        <v>13.926679841897233</v>
      </c>
      <c r="CC132" s="30">
        <f>CC62/(-CC20)</f>
        <v>10.533910533910534</v>
      </c>
      <c r="CD132" s="30">
        <f>CD62/(-CD20)</f>
        <v>13.144005847953215</v>
      </c>
      <c r="CE132" s="30">
        <f>CE62/(-CE20)</f>
        <v>13.207457627118643</v>
      </c>
      <c r="CF132" s="30">
        <f>CF62/(-CF20)</f>
        <v>14.06986301369863</v>
      </c>
      <c r="CG132" s="33">
        <f t="shared" ref="CG132:CL132" si="444">CG62/(-CG20)</f>
        <v>12.762172613816137</v>
      </c>
      <c r="CH132" s="30">
        <f>CH62/(-CH20)</f>
        <v>10.269045984900481</v>
      </c>
      <c r="CI132" s="30">
        <f>CI62/(-CI20)</f>
        <v>12.451194539249146</v>
      </c>
      <c r="CJ132" s="30">
        <f>CJ62/(-CJ20)</f>
        <v>13.18483412322275</v>
      </c>
      <c r="CK132" s="30">
        <f>CK62/(-CK20)</f>
        <v>14.290751829673985</v>
      </c>
      <c r="CL132" s="33">
        <f t="shared" si="444"/>
        <v>12.564554388342891</v>
      </c>
      <c r="CM132" s="32">
        <f t="shared" ref="CM132:CV132" ca="1" si="445">CM62/(-CM20)</f>
        <v>11.290167821245229</v>
      </c>
      <c r="CN132" s="32">
        <f t="shared" ca="1" si="445"/>
        <v>15.296778526433277</v>
      </c>
      <c r="CO132" s="32">
        <f t="shared" ca="1" si="445"/>
        <v>15.451832606800213</v>
      </c>
      <c r="CP132" s="32">
        <f t="shared" ca="1" si="445"/>
        <v>16.69650696035395</v>
      </c>
      <c r="CQ132" s="33">
        <f t="shared" ca="1" si="445"/>
        <v>14.633735097787165</v>
      </c>
      <c r="CR132" s="32">
        <f t="shared" ca="1" si="445"/>
        <v>11.949202982253496</v>
      </c>
      <c r="CS132" s="32">
        <f t="shared" ca="1" si="445"/>
        <v>15.488800908471442</v>
      </c>
      <c r="CT132" s="32">
        <f t="shared" ca="1" si="445"/>
        <v>16.229318102040846</v>
      </c>
      <c r="CU132" s="32">
        <f t="shared" ca="1" si="445"/>
        <v>17.470878202210027</v>
      </c>
      <c r="CV132" s="33">
        <f t="shared" ca="1" si="445"/>
        <v>15.206981981791683</v>
      </c>
      <c r="CW132" s="32">
        <f t="shared" ref="CW132:DF132" ca="1" si="446">CW62/(-CW20)</f>
        <v>11.598137477445544</v>
      </c>
      <c r="CX132" s="32">
        <f t="shared" ca="1" si="446"/>
        <v>14.926050210181236</v>
      </c>
      <c r="CY132" s="32">
        <f t="shared" ca="1" si="446"/>
        <v>15.608476414922187</v>
      </c>
      <c r="CZ132" s="32">
        <f t="shared" ca="1" si="446"/>
        <v>16.726696036946855</v>
      </c>
      <c r="DA132" s="33">
        <f t="shared" ca="1" si="446"/>
        <v>14.634932728703346</v>
      </c>
      <c r="DB132" s="32">
        <f t="shared" ca="1" si="446"/>
        <v>11.128048436020277</v>
      </c>
      <c r="DC132" s="32">
        <f t="shared" ca="1" si="446"/>
        <v>14.181820426192235</v>
      </c>
      <c r="DD132" s="32">
        <f t="shared" ca="1" si="446"/>
        <v>15.433026657496614</v>
      </c>
      <c r="DE132" s="32">
        <f t="shared" ca="1" si="446"/>
        <v>16.291713787962333</v>
      </c>
      <c r="DF132" s="33">
        <f t="shared" ca="1" si="446"/>
        <v>14.164566937213571</v>
      </c>
    </row>
    <row r="133" spans="1:119" x14ac:dyDescent="0.2">
      <c r="B133" s="735" t="s">
        <v>122</v>
      </c>
      <c r="C133" s="77"/>
      <c r="D133" s="136"/>
      <c r="E133" s="136">
        <f t="shared" ref="E133:AJ133" si="447">(E112+E115)/E123</f>
        <v>0.56213310570525954</v>
      </c>
      <c r="F133" s="66">
        <f t="shared" si="447"/>
        <v>0.52620608809132807</v>
      </c>
      <c r="G133" s="66">
        <f t="shared" si="447"/>
        <v>0.49879668206477273</v>
      </c>
      <c r="H133" s="66">
        <f t="shared" si="447"/>
        <v>0.42437945664072418</v>
      </c>
      <c r="I133" s="66">
        <f t="shared" si="447"/>
        <v>0.41600991349728428</v>
      </c>
      <c r="J133" s="136">
        <f t="shared" si="447"/>
        <v>0.41600991349728428</v>
      </c>
      <c r="K133" s="66">
        <f t="shared" si="447"/>
        <v>0.39382472273278213</v>
      </c>
      <c r="L133" s="66">
        <f t="shared" si="447"/>
        <v>0.74829531060696797</v>
      </c>
      <c r="M133" s="66">
        <f t="shared" si="447"/>
        <v>0.63957362033338216</v>
      </c>
      <c r="N133" s="66">
        <f t="shared" si="447"/>
        <v>0.56419522263936472</v>
      </c>
      <c r="O133" s="136">
        <f t="shared" si="447"/>
        <v>0.56419522263936472</v>
      </c>
      <c r="P133" s="137">
        <f t="shared" si="447"/>
        <v>0.50616833243001125</v>
      </c>
      <c r="Q133" s="66">
        <f t="shared" si="447"/>
        <v>0.42252592823339546</v>
      </c>
      <c r="R133" s="66">
        <f t="shared" si="447"/>
        <v>0.38624047636628123</v>
      </c>
      <c r="S133" s="138">
        <f t="shared" si="447"/>
        <v>0.38108933636964371</v>
      </c>
      <c r="T133" s="136">
        <f t="shared" si="447"/>
        <v>0.38108933636964371</v>
      </c>
      <c r="U133" s="66">
        <f t="shared" si="447"/>
        <v>0.47332500428317614</v>
      </c>
      <c r="V133" s="66">
        <f t="shared" si="447"/>
        <v>0.31831214539276065</v>
      </c>
      <c r="W133" s="66">
        <f t="shared" si="447"/>
        <v>0.34540777967461223</v>
      </c>
      <c r="X133" s="68">
        <f t="shared" si="447"/>
        <v>0.36287625418060199</v>
      </c>
      <c r="Y133" s="118">
        <f t="shared" si="447"/>
        <v>0.36287625418060199</v>
      </c>
      <c r="Z133" s="68">
        <f t="shared" si="447"/>
        <v>0.28958718045613169</v>
      </c>
      <c r="AA133" s="68">
        <f t="shared" si="447"/>
        <v>0.26327372259940163</v>
      </c>
      <c r="AB133" s="68">
        <f t="shared" si="447"/>
        <v>0.27566939505409771</v>
      </c>
      <c r="AC133" s="68">
        <f t="shared" si="447"/>
        <v>1.0311987984707811</v>
      </c>
      <c r="AD133" s="118">
        <f t="shared" si="447"/>
        <v>1.0311987984707811</v>
      </c>
      <c r="AE133" s="68">
        <f t="shared" si="447"/>
        <v>0.90962513918099719</v>
      </c>
      <c r="AF133" s="68">
        <f t="shared" si="447"/>
        <v>1.6599574221018001</v>
      </c>
      <c r="AG133" s="68">
        <f t="shared" si="447"/>
        <v>1.6796126506644686</v>
      </c>
      <c r="AH133" s="68">
        <f t="shared" si="447"/>
        <v>1.2894479509289716</v>
      </c>
      <c r="AI133" s="118">
        <f t="shared" si="447"/>
        <v>1.2894479509289716</v>
      </c>
      <c r="AJ133" s="68">
        <f t="shared" si="447"/>
        <v>1.0562888198757763</v>
      </c>
      <c r="AK133" s="68">
        <f t="shared" ref="AK133:BM133" si="448">(AK112+AK115)/AK123</f>
        <v>2.7937154495199317</v>
      </c>
      <c r="AL133" s="68">
        <f t="shared" si="448"/>
        <v>3.6851507257164116</v>
      </c>
      <c r="AM133" s="68">
        <f t="shared" si="448"/>
        <v>2.9012062033314168</v>
      </c>
      <c r="AN133" s="118">
        <f t="shared" si="448"/>
        <v>2.9012062033314168</v>
      </c>
      <c r="AO133" s="66">
        <f t="shared" si="448"/>
        <v>2.5223880597014934</v>
      </c>
      <c r="AP133" s="66">
        <f t="shared" si="448"/>
        <v>3.0270786874800906</v>
      </c>
      <c r="AQ133" s="68">
        <f t="shared" si="448"/>
        <v>2.126400924321203</v>
      </c>
      <c r="AR133" s="68">
        <f t="shared" si="448"/>
        <v>1.6326284548321279</v>
      </c>
      <c r="AS133" s="118">
        <f t="shared" si="448"/>
        <v>1.6326284548321279</v>
      </c>
      <c r="AT133" s="66">
        <f t="shared" si="448"/>
        <v>1.2926153846153843</v>
      </c>
      <c r="AU133" s="66">
        <f t="shared" si="448"/>
        <v>1.3267297840606966</v>
      </c>
      <c r="AV133" s="66">
        <f>(AV112+AV115)/AV123</f>
        <v>1.2130914588057444</v>
      </c>
      <c r="AW133" s="66">
        <f>(AW112+AW115)/AW123</f>
        <v>1.0790585055464834</v>
      </c>
      <c r="AX133" s="118">
        <f t="shared" si="448"/>
        <v>1.0790585055464834</v>
      </c>
      <c r="AY133" s="66">
        <f>(AY112+AY115)/AY123</f>
        <v>1.0016177680285165</v>
      </c>
      <c r="AZ133" s="66">
        <f>(AZ112+AZ115)/AZ123</f>
        <v>0.95239662169573336</v>
      </c>
      <c r="BA133" s="68">
        <f t="shared" si="448"/>
        <v>0.77437888198757787</v>
      </c>
      <c r="BB133" s="68">
        <f>(BB112+BB115)/BB123</f>
        <v>0.6914545555370708</v>
      </c>
      <c r="BC133" s="118">
        <f t="shared" si="448"/>
        <v>0.6914545555370708</v>
      </c>
      <c r="BD133" s="66">
        <f>(BD112+BD115)/BD123</f>
        <v>0.62931469519580141</v>
      </c>
      <c r="BE133" s="66">
        <f>(BE112+BE115)/BE123</f>
        <v>2.2365973741794321</v>
      </c>
      <c r="BF133" s="66">
        <f>(BF112+BF115)/BF123</f>
        <v>1.8428419642444676</v>
      </c>
      <c r="BG133" s="66">
        <f>(BG112+BG115)/BG123</f>
        <v>3.2648663944698235</v>
      </c>
      <c r="BH133" s="118">
        <f t="shared" si="448"/>
        <v>3.2648663944698235</v>
      </c>
      <c r="BI133" s="66">
        <f>(BI112+BI115)/BI123</f>
        <v>4.1567645469284829</v>
      </c>
      <c r="BJ133" s="66">
        <f>(BJ112+BJ115)/BJ123</f>
        <v>0.8251317426212823</v>
      </c>
      <c r="BK133" s="66">
        <f>(BK112+BK115)/BK123</f>
        <v>0.75308712554310542</v>
      </c>
      <c r="BL133" s="68">
        <f t="shared" si="448"/>
        <v>0.68025320892300722</v>
      </c>
      <c r="BM133" s="118">
        <f t="shared" si="448"/>
        <v>0.68025320892300722</v>
      </c>
      <c r="BN133" s="68">
        <f t="shared" ref="BN133:BW133" si="449">(BN112+BN115)/BN123</f>
        <v>0.61143582689662468</v>
      </c>
      <c r="BO133" s="66">
        <f>(BO112+BO115)/BO123</f>
        <v>0.59807678615554072</v>
      </c>
      <c r="BP133" s="66">
        <f>(BP112+BP115)/BP123</f>
        <v>0.59503100876508797</v>
      </c>
      <c r="BQ133" s="68">
        <f t="shared" si="449"/>
        <v>0.63845858053175131</v>
      </c>
      <c r="BR133" s="118">
        <f t="shared" si="449"/>
        <v>0.63845858053175131</v>
      </c>
      <c r="BS133" s="68">
        <f>(BS112+BS115)/BS123</f>
        <v>0.62966009147692747</v>
      </c>
      <c r="BT133" s="68">
        <f t="shared" si="449"/>
        <v>0.78714086007840223</v>
      </c>
      <c r="BU133" s="68">
        <f t="shared" si="449"/>
        <v>0.72824184487537358</v>
      </c>
      <c r="BV133" s="68">
        <f t="shared" si="449"/>
        <v>0.6762360446570973</v>
      </c>
      <c r="BW133" s="118">
        <f t="shared" si="449"/>
        <v>0.6762360446570973</v>
      </c>
      <c r="BX133" s="68">
        <f>(BX112+BX115)/BX123</f>
        <v>0.59900459380927207</v>
      </c>
      <c r="BY133" s="68">
        <f>(BY112+BY115)/BY123</f>
        <v>1.0570147179584357</v>
      </c>
      <c r="BZ133" s="68">
        <f>(BZ112+BZ115)/BZ123</f>
        <v>0.9480666255696174</v>
      </c>
      <c r="CA133" s="68">
        <f>(CA112+CA115)/CA123</f>
        <v>0.89713759673196969</v>
      </c>
      <c r="CB133" s="118">
        <f t="shared" ref="CB133:CG133" si="450">(CB112+CB115)/CB123</f>
        <v>0.89713759673196969</v>
      </c>
      <c r="CC133" s="68">
        <f>(CC112+CC115)/CC123</f>
        <v>1.1173194515529461</v>
      </c>
      <c r="CD133" s="68">
        <f>(CD112+CD115)/CD123</f>
        <v>1.037162249850754</v>
      </c>
      <c r="CE133" s="68">
        <f>(CE112+CE115)/CE123</f>
        <v>1.0320007687872383</v>
      </c>
      <c r="CF133" s="68">
        <f>(CF112+CF115)/CF123</f>
        <v>0.95841490291680498</v>
      </c>
      <c r="CG133" s="118">
        <f t="shared" si="450"/>
        <v>0.95841490291680498</v>
      </c>
      <c r="CH133" s="68">
        <f>(CH112+CH115)/CH123</f>
        <v>0.97475768380875838</v>
      </c>
      <c r="CI133" s="68">
        <f>(CI112+CI115)/CI123</f>
        <v>0.95151776814115474</v>
      </c>
      <c r="CJ133" s="68">
        <f>(CJ112+CJ115)/CJ123</f>
        <v>0.93628433078135731</v>
      </c>
      <c r="CK133" s="68">
        <f>(CK112+CK115)/CK123</f>
        <v>0.88353847936310026</v>
      </c>
      <c r="CL133" s="118">
        <f t="shared" ref="CL133:CQ133" si="451">(CL112+CL115)/CL123</f>
        <v>0.88353847936310026</v>
      </c>
      <c r="CM133" s="68">
        <f t="shared" ca="1" si="451"/>
        <v>0.76262379714189699</v>
      </c>
      <c r="CN133" s="68">
        <f t="shared" ca="1" si="451"/>
        <v>0.72288717213803455</v>
      </c>
      <c r="CO133" s="68">
        <f t="shared" ca="1" si="451"/>
        <v>0.68645082157245585</v>
      </c>
      <c r="CP133" s="68">
        <f t="shared" ca="1" si="451"/>
        <v>0.64990638001293577</v>
      </c>
      <c r="CQ133" s="118">
        <f t="shared" ca="1" si="451"/>
        <v>0.64990638001293577</v>
      </c>
      <c r="CR133" s="68">
        <f t="shared" ref="CR133:CV133" ca="1" si="452">(CR112+CR115)/CR123</f>
        <v>0.62954088110746587</v>
      </c>
      <c r="CS133" s="68">
        <f t="shared" ca="1" si="452"/>
        <v>0.54658090624749478</v>
      </c>
      <c r="CT133" s="68">
        <f t="shared" ca="1" si="452"/>
        <v>0.52447350338779786</v>
      </c>
      <c r="CU133" s="68">
        <f t="shared" ca="1" si="452"/>
        <v>0.50193612903113471</v>
      </c>
      <c r="CV133" s="118">
        <f t="shared" ca="1" si="452"/>
        <v>0.50193612903113471</v>
      </c>
      <c r="CW133" s="68">
        <f t="shared" ref="CW133:DF133" ca="1" si="453">(CW112+CW115)/CW123</f>
        <v>0.49063415580703224</v>
      </c>
      <c r="CX133" s="68">
        <f t="shared" ca="1" si="453"/>
        <v>0.42651945709339689</v>
      </c>
      <c r="CY133" s="68">
        <f t="shared" ca="1" si="453"/>
        <v>0.41403942632019247</v>
      </c>
      <c r="CZ133" s="68">
        <f t="shared" ca="1" si="453"/>
        <v>0.40101617311502646</v>
      </c>
      <c r="DA133" s="118">
        <f t="shared" ca="1" si="453"/>
        <v>0.40101617311502646</v>
      </c>
      <c r="DB133" s="68">
        <f t="shared" ca="1" si="453"/>
        <v>0.39458297543861931</v>
      </c>
      <c r="DC133" s="68">
        <f t="shared" ca="1" si="453"/>
        <v>0.34143838429333967</v>
      </c>
      <c r="DD133" s="68">
        <f t="shared" ca="1" si="453"/>
        <v>0.33381062539698148</v>
      </c>
      <c r="DE133" s="68">
        <f t="shared" ca="1" si="453"/>
        <v>0.32587571653216452</v>
      </c>
      <c r="DF133" s="118">
        <f t="shared" ca="1" si="453"/>
        <v>0.32587571653216452</v>
      </c>
    </row>
    <row r="134" spans="1:119" x14ac:dyDescent="0.2">
      <c r="B134" s="735" t="s">
        <v>123</v>
      </c>
      <c r="C134" s="77"/>
      <c r="D134" s="139"/>
      <c r="E134" s="139">
        <f>(E115+E112)/E62</f>
        <v>1.4247654986522928</v>
      </c>
      <c r="F134" s="79">
        <f>(F115+F112)/(F62*4)</f>
        <v>1.3372108715014459</v>
      </c>
      <c r="G134" s="79">
        <f>(G115+G112)/(G62*4)</f>
        <v>1.2884105185127444</v>
      </c>
      <c r="H134" s="79">
        <f>(H115+H112)/(H62*4)</f>
        <v>1.0702463243022668</v>
      </c>
      <c r="I134" s="42">
        <f>(I115+I112)/(I62*4)</f>
        <v>1.0231852097104139</v>
      </c>
      <c r="J134" s="41">
        <f>(J115+J112)/J62</f>
        <v>1.0938144883751049</v>
      </c>
      <c r="K134" s="79">
        <f>(K115+K112)/(K62*4)</f>
        <v>0.81288819146237423</v>
      </c>
      <c r="L134" s="79">
        <f>(L115+L112)/(L62*4)</f>
        <v>1.5535725288944922</v>
      </c>
      <c r="M134" s="79">
        <f>(M115+M112)/(M62*4)</f>
        <v>1.3944678022135923</v>
      </c>
      <c r="N134" s="42">
        <f>(N115+N112)/(N62*4)</f>
        <v>1.1554135184806882</v>
      </c>
      <c r="O134" s="41">
        <f>(O115+O112)/O62</f>
        <v>1.2469196474811701</v>
      </c>
      <c r="P134" s="79">
        <f>(P115+P112)/(P62*4)</f>
        <v>1.1173010166129322</v>
      </c>
      <c r="Q134" s="79">
        <f>(Q115+Q112)/(Q62*4)</f>
        <v>0.97189926403315852</v>
      </c>
      <c r="R134" s="79">
        <f>(R115+R112)/(R62*4)</f>
        <v>0.8973707250126195</v>
      </c>
      <c r="S134" s="42">
        <f>(S115+S112)/(S62*4)</f>
        <v>0.86262607113067269</v>
      </c>
      <c r="T134" s="41">
        <f>(T115+T112)/T62</f>
        <v>0.90432967972096112</v>
      </c>
      <c r="U134" s="79">
        <f>(U115+U112)/(U62*4)</f>
        <v>1.1061057565741341</v>
      </c>
      <c r="V134" s="79">
        <f>(V115+V112)/(V62*4)</f>
        <v>0.72896907288127388</v>
      </c>
      <c r="W134" s="79">
        <f>(W115+W112)/(W62*4)</f>
        <v>0.74642629162818586</v>
      </c>
      <c r="X134" s="42">
        <f>(X115+X112)/(X62*4)</f>
        <v>0.70401058935744043</v>
      </c>
      <c r="Y134" s="41">
        <f>(Y115+Y112)/Y62</f>
        <v>0.74565321970998566</v>
      </c>
      <c r="Z134" s="79">
        <f>(Z115+Z112)/(Z62*4)</f>
        <v>0.5985769401049903</v>
      </c>
      <c r="AA134" s="79">
        <f>(AA115+AA112)/(AA62*4)</f>
        <v>0.55533438542163138</v>
      </c>
      <c r="AB134" s="79">
        <f>(AB115+AB112)/(AB62*4)</f>
        <v>0.50642562644001332</v>
      </c>
      <c r="AC134" s="79">
        <f>(AC115+AC112)/(AC62*4)</f>
        <v>1.7114363148544238</v>
      </c>
      <c r="AD134" s="41">
        <f>(AD115+AD112)/AD62</f>
        <v>2.0745776679027585</v>
      </c>
      <c r="AE134" s="79">
        <f>(AE115+AE112)/(AE62*4)</f>
        <v>1.7564500716674598</v>
      </c>
      <c r="AF134" s="79">
        <f>(AF115+AF112)/(AF62*4)</f>
        <v>1.9618023787740133</v>
      </c>
      <c r="AG134" s="79">
        <f>(AG115+AG112)/(AG62*4)</f>
        <v>1.7760348583877981</v>
      </c>
      <c r="AH134" s="79">
        <f>(AH115+AH112)/(AH62*4)</f>
        <v>1.3520693512304309</v>
      </c>
      <c r="AI134" s="41">
        <f>(AI115+AI112)/AI62</f>
        <v>1.5670916162489184</v>
      </c>
      <c r="AJ134" s="79">
        <f>(AJ115+AJ112)/(AJ62*4)</f>
        <v>1.264875418371145</v>
      </c>
      <c r="AK134" s="79">
        <f>(AK115+AK112)/(AK62*4)</f>
        <v>1.6612456747404825</v>
      </c>
      <c r="AL134" s="79">
        <f>(AL115+AL112)/(AL62*4)</f>
        <v>1.6127035830618919</v>
      </c>
      <c r="AM134" s="42">
        <f>(AM115+AM112)/(AM62*4)</f>
        <v>1.574501246882795</v>
      </c>
      <c r="AN134" s="41">
        <f>(AN115+AN112)/AN62</f>
        <v>1.7039723370161066</v>
      </c>
      <c r="AO134" s="79">
        <f>(AO115+AO112)/(AO62*4)</f>
        <v>1.5358821685991835</v>
      </c>
      <c r="AP134" s="79">
        <f>(AP115+AP112)/(AP62*4)</f>
        <v>1.3899941486249252</v>
      </c>
      <c r="AQ134" s="42">
        <f>(AQ115+AQ112)/(AQ62*4)</f>
        <v>1.2997175141242951</v>
      </c>
      <c r="AR134" s="42">
        <f>(AR115+AR112)/(AR62*4)</f>
        <v>1.2113267272226833</v>
      </c>
      <c r="AS134" s="41">
        <f>(AS115+AS112)/AS62</f>
        <v>1.2772456827746321</v>
      </c>
      <c r="AT134" s="79">
        <f>(AT115+AT112)/(AT62*4)</f>
        <v>1.0805041152263364</v>
      </c>
      <c r="AU134" s="79">
        <f>(AU115+AU112)/(AU62*4)</f>
        <v>2.4920219244823385</v>
      </c>
      <c r="AV134" s="79">
        <f>(AV115+AV112)/(AV62*4)</f>
        <v>2.3027433425160724</v>
      </c>
      <c r="AW134" s="79">
        <f>(AW115+AW112)/(AW62*4)</f>
        <v>1.9630198729768489</v>
      </c>
      <c r="AX134" s="41">
        <f>(AX115+AX112)/AX62</f>
        <v>2.2243760882182215</v>
      </c>
      <c r="AY134" s="79">
        <f>(AY115+AY112)/(AY62*4)</f>
        <v>1.6735694323544246</v>
      </c>
      <c r="AZ134" s="79">
        <f>(AZ115+AZ112)/(AZ62*4)</f>
        <v>1.481993514251577</v>
      </c>
      <c r="BA134" s="79">
        <f>(BA115+BA112)/(BA62*4)</f>
        <v>1.010168530222006</v>
      </c>
      <c r="BB134" s="79">
        <f>(BB115+BB112)/(BB62*4)</f>
        <v>0.94619820913643948</v>
      </c>
      <c r="BC134" s="41">
        <f>(BC115+BC112)/BC62</f>
        <v>1.0357280061467538</v>
      </c>
      <c r="BD134" s="79">
        <f>(BD115+BD112)/(BD62*4)</f>
        <v>1.013367463026166</v>
      </c>
      <c r="BE134" s="79">
        <f>(BE115+BE112)/(BE62*4)</f>
        <v>1.5906084656084647</v>
      </c>
      <c r="BF134" s="79">
        <f>(BF115+BF112)/(BF62*4)</f>
        <v>1.4499854608897951</v>
      </c>
      <c r="BG134" s="79">
        <f>(BG115+BG112)/(BG62*4)</f>
        <v>2.7822447292269534</v>
      </c>
      <c r="BH134" s="41">
        <f>(BH115+BH112)/BH62</f>
        <v>3.0232462379276765</v>
      </c>
      <c r="BI134" s="79">
        <f>(BI115+BI112)/(BI62*4)</f>
        <v>4.3794032796841789</v>
      </c>
      <c r="BJ134" s="79">
        <f>(BJ115+BJ112)/(BJ62*4)</f>
        <v>3.1299931365820175</v>
      </c>
      <c r="BK134" s="79">
        <f>(BK115+BK112)/(BK62*4)</f>
        <v>2.6232996323529409</v>
      </c>
      <c r="BL134" s="42">
        <f>(BL115+BL112)/(BL62*4)</f>
        <v>2.4166362973760913</v>
      </c>
      <c r="BM134" s="41">
        <f>(BM115+BM112)/BM62</f>
        <v>2.9505005561735289</v>
      </c>
      <c r="BN134" s="79">
        <f>(BN115+BN112)/(BN62*4)</f>
        <v>2.2615372573575474</v>
      </c>
      <c r="BO134" s="79">
        <f>(BO115+BO112)/(BO62*4)</f>
        <v>2.0549271858631246</v>
      </c>
      <c r="BP134" s="79">
        <f>(BP115+BP112)/(BP62*4)</f>
        <v>2.1231121006077429</v>
      </c>
      <c r="BQ134" s="42">
        <f>(BQ115+BQ112)/(BQ62*4)</f>
        <v>2.0900017982377253</v>
      </c>
      <c r="BR134" s="41">
        <f>(BR115+BR112)/BR62</f>
        <v>2.0927301372946214</v>
      </c>
      <c r="BS134" s="42">
        <f>(BS115+BS112)/(BS62*4)</f>
        <v>2.3419952413324268</v>
      </c>
      <c r="BT134" s="79">
        <f>(BT115+BT112)/(BT62*4)</f>
        <v>2.3201648224988474</v>
      </c>
      <c r="BU134" s="79">
        <f>(BU115+BU112)/(BU62*4)</f>
        <v>2.1112293008279668</v>
      </c>
      <c r="BV134" s="42">
        <f>(BV115+BV112)/(BV62*4)</f>
        <v>1.8265036885466588</v>
      </c>
      <c r="BW134" s="41">
        <f>(BW115+BW112)/BW62</f>
        <v>1.9945608232267544</v>
      </c>
      <c r="BX134" s="42">
        <f>(BX115+BX112)/(BX62*4)</f>
        <v>2.0415812446266783</v>
      </c>
      <c r="BY134" s="42">
        <f>(BY115+BY112)/(BY62*4)</f>
        <v>2.3312343271106157</v>
      </c>
      <c r="BZ134" s="42">
        <f>(BZ115+BZ112)/(BZ62*4)</f>
        <v>2.1687358292318755</v>
      </c>
      <c r="CA134" s="42">
        <f>(CA115+CA112)/(CA62*4)</f>
        <v>2.0176889233954451</v>
      </c>
      <c r="CB134" s="41">
        <f>(CB115+CB112)/CB62</f>
        <v>2.212703458258241</v>
      </c>
      <c r="CC134" s="42">
        <f>(CC115+CC112)/(CC62*4)</f>
        <v>2.84097602739726</v>
      </c>
      <c r="CD134" s="42">
        <f>(CD115+CD112)/(CD62*4)</f>
        <v>2.2222762916411769</v>
      </c>
      <c r="CE134" s="42">
        <f>(CE115+CE112)/(CE62*4)</f>
        <v>2.0672065089061138</v>
      </c>
      <c r="CF134" s="42">
        <f>(CF115+CF112)/(CF62*4)</f>
        <v>1.8946913640346608</v>
      </c>
      <c r="CG134" s="41">
        <f>(CG115+CG112)/CG62</f>
        <v>2.1442757974767233</v>
      </c>
      <c r="CH134" s="42">
        <f>(CH115+CH112)/(CH62*4)</f>
        <v>2.5944893730784653</v>
      </c>
      <c r="CI134" s="42">
        <f>(CI115+CI112)/(CI62*4)</f>
        <v>2.0539581163313416</v>
      </c>
      <c r="CJ134" s="42">
        <f>(CJ115+CJ112)/(CJ62*4)</f>
        <v>1.9138081544623602</v>
      </c>
      <c r="CK134" s="42">
        <f>(CK115+CK112)/(CK62*4)</f>
        <v>1.863960147120443</v>
      </c>
      <c r="CL134" s="41">
        <f>(CL115+CL112)/CL62</f>
        <v>2.1595555315820776</v>
      </c>
      <c r="CM134" s="79">
        <f ca="1">(CM115+CM112)/(CM62*4)</f>
        <v>2.2972913974279461</v>
      </c>
      <c r="CN134" s="79">
        <f ca="1">(CN115+CN112)/(CN62*4)</f>
        <v>1.79717126539085</v>
      </c>
      <c r="CO134" s="79">
        <f ca="1">(CO115+CO112)/(CO62*4)</f>
        <v>1.779137240242634</v>
      </c>
      <c r="CP134" s="42">
        <f ca="1">(CP115+CP112)/(CP62*4)</f>
        <v>1.6465079124652364</v>
      </c>
      <c r="CQ134" s="41">
        <f ca="1">(CQ115+CQ112)/CQ62</f>
        <v>1.8508737840869955</v>
      </c>
      <c r="CR134" s="79">
        <f ca="1">(CR115+CR112)/(CR62*4)</f>
        <v>2.3006497472326952</v>
      </c>
      <c r="CS134" s="79">
        <f ca="1">(CS115+CS112)/(CS62*4)</f>
        <v>1.6847541997365392</v>
      </c>
      <c r="CT134" s="79">
        <f ca="1">(CT115+CT112)/(CT62*4)</f>
        <v>1.6879108144109347</v>
      </c>
      <c r="CU134" s="42">
        <f ca="1">(CU115+CU112)/(CU62*4)</f>
        <v>1.5679601916911456</v>
      </c>
      <c r="CV134" s="41">
        <f ca="1">(CV115+CV112)/CV62</f>
        <v>1.7365603664253195</v>
      </c>
      <c r="CW134" s="79">
        <f ca="1">(CW115+CW112)/(CW62*4)</f>
        <v>2.361900054057926</v>
      </c>
      <c r="CX134" s="79">
        <f ca="1">(CX115+CX112)/(CX62*4)</f>
        <v>1.731615522620181</v>
      </c>
      <c r="CY134" s="79">
        <f ca="1">(CY115+CY112)/(CY62*4)</f>
        <v>1.7474377805489523</v>
      </c>
      <c r="CZ134" s="42">
        <f ca="1">(CZ115+CZ112)/(CZ62*4)</f>
        <v>1.6306173869601093</v>
      </c>
      <c r="DA134" s="41">
        <f ca="1">(DA115+DA112)/DA62</f>
        <v>1.7894942561550389</v>
      </c>
      <c r="DB134" s="79">
        <f ca="1">(DB115+DB112)/(DB62*4)</f>
        <v>2.4509995208105506</v>
      </c>
      <c r="DC134" s="79">
        <f ca="1">(DC115+DC112)/(DC62*4)</f>
        <v>1.8008510499970101</v>
      </c>
      <c r="DD134" s="79">
        <f ca="1">(DD115+DD112)/(DD62*4)</f>
        <v>1.7576921306610747</v>
      </c>
      <c r="DE134" s="42">
        <f ca="1">(DE115+DE112)/(DE62*4)</f>
        <v>1.6650494761458245</v>
      </c>
      <c r="DF134" s="41">
        <f ca="1">(DF115+DF112)/DF62</f>
        <v>1.8298100177845382</v>
      </c>
    </row>
    <row r="135" spans="1:119" ht="13.5" thickBot="1" x14ac:dyDescent="0.25">
      <c r="B135" s="723" t="s">
        <v>124</v>
      </c>
      <c r="C135" s="269"/>
      <c r="D135" s="141"/>
      <c r="E135" s="141">
        <f t="shared" ref="E135:AJ135" si="454">(E112+E115)/(E112+E115+E123)</f>
        <v>0.35984968480100937</v>
      </c>
      <c r="F135" s="140">
        <f t="shared" si="454"/>
        <v>0.344780493405973</v>
      </c>
      <c r="G135" s="140">
        <f t="shared" si="454"/>
        <v>0.33279809598832333</v>
      </c>
      <c r="H135" s="140">
        <f t="shared" si="454"/>
        <v>0.29793988860355125</v>
      </c>
      <c r="I135" s="140">
        <f t="shared" si="454"/>
        <v>0.29379025494942773</v>
      </c>
      <c r="J135" s="141">
        <f t="shared" si="454"/>
        <v>0.29379025494942773</v>
      </c>
      <c r="K135" s="140">
        <f t="shared" si="454"/>
        <v>0.28254967522791202</v>
      </c>
      <c r="L135" s="140">
        <f t="shared" si="454"/>
        <v>0.42801425255048986</v>
      </c>
      <c r="M135" s="140">
        <f t="shared" si="454"/>
        <v>0.39008533218736147</v>
      </c>
      <c r="N135" s="140">
        <f t="shared" si="454"/>
        <v>0.3606936106654019</v>
      </c>
      <c r="O135" s="141">
        <f t="shared" si="454"/>
        <v>0.3606936106654019</v>
      </c>
      <c r="P135" s="1573">
        <f t="shared" si="454"/>
        <v>0.33606358700516098</v>
      </c>
      <c r="Q135" s="140">
        <f t="shared" si="454"/>
        <v>0.29702511556898042</v>
      </c>
      <c r="R135" s="140">
        <f t="shared" si="454"/>
        <v>0.27862443995195124</v>
      </c>
      <c r="S135" s="1574">
        <f t="shared" si="454"/>
        <v>0.27593387794259711</v>
      </c>
      <c r="T135" s="141">
        <f t="shared" si="454"/>
        <v>0.27593387794259711</v>
      </c>
      <c r="U135" s="140">
        <f t="shared" si="454"/>
        <v>0.32126313128953188</v>
      </c>
      <c r="V135" s="140">
        <f t="shared" si="454"/>
        <v>0.24145430693724429</v>
      </c>
      <c r="W135" s="140">
        <f t="shared" si="454"/>
        <v>0.25673092195003461</v>
      </c>
      <c r="X135" s="120">
        <f t="shared" si="454"/>
        <v>0.26625766871165646</v>
      </c>
      <c r="Y135" s="121">
        <f t="shared" si="454"/>
        <v>0.26625766871165646</v>
      </c>
      <c r="Z135" s="120">
        <f t="shared" si="454"/>
        <v>0.22455804837770152</v>
      </c>
      <c r="AA135" s="120">
        <f t="shared" si="454"/>
        <v>0.20840592018147178</v>
      </c>
      <c r="AB135" s="120">
        <f t="shared" si="454"/>
        <v>0.21609783547594422</v>
      </c>
      <c r="AC135" s="120">
        <f t="shared" si="454"/>
        <v>0.50767989782542933</v>
      </c>
      <c r="AD135" s="121">
        <f t="shared" si="454"/>
        <v>0.50767989782542933</v>
      </c>
      <c r="AE135" s="120">
        <f t="shared" si="454"/>
        <v>0.4763370153218231</v>
      </c>
      <c r="AF135" s="120">
        <f t="shared" si="454"/>
        <v>0.62405413271245636</v>
      </c>
      <c r="AG135" s="120">
        <f t="shared" si="454"/>
        <v>0.62681173349736641</v>
      </c>
      <c r="AH135" s="120">
        <f t="shared" si="454"/>
        <v>0.56321348140094751</v>
      </c>
      <c r="AI135" s="121">
        <f t="shared" si="454"/>
        <v>0.56321348140094751</v>
      </c>
      <c r="AJ135" s="120">
        <f t="shared" si="454"/>
        <v>0.51368699263734185</v>
      </c>
      <c r="AK135" s="120">
        <f t="shared" ref="AK135:BM135" si="455">(AK112+AK115)/(AK112+AK115+AK123)</f>
        <v>0.73640616611703369</v>
      </c>
      <c r="AL135" s="120">
        <f t="shared" si="455"/>
        <v>0.78655969497180067</v>
      </c>
      <c r="AM135" s="120">
        <f t="shared" si="455"/>
        <v>0.74366902237926957</v>
      </c>
      <c r="AN135" s="121">
        <f t="shared" si="455"/>
        <v>0.74366902237926957</v>
      </c>
      <c r="AO135" s="140">
        <f t="shared" si="455"/>
        <v>0.71610169491525433</v>
      </c>
      <c r="AP135" s="140">
        <f t="shared" si="455"/>
        <v>0.7516810378925719</v>
      </c>
      <c r="AQ135" s="120">
        <f t="shared" si="455"/>
        <v>0.68014339036919336</v>
      </c>
      <c r="AR135" s="120">
        <f t="shared" si="455"/>
        <v>0.62015148846221591</v>
      </c>
      <c r="AS135" s="121">
        <f t="shared" si="455"/>
        <v>0.62015148846221591</v>
      </c>
      <c r="AT135" s="140">
        <f t="shared" si="455"/>
        <v>0.56381693732384908</v>
      </c>
      <c r="AU135" s="140">
        <f t="shared" si="455"/>
        <v>0.5702122322710107</v>
      </c>
      <c r="AV135" s="140">
        <f>(AV112+AV115)/(AV112+AV115+AV123)</f>
        <v>0.54814339189595351</v>
      </c>
      <c r="AW135" s="140">
        <f>(AW112+AW115)/(AW112+AW115+AW123)</f>
        <v>0.5190130545474243</v>
      </c>
      <c r="AX135" s="121">
        <f t="shared" si="455"/>
        <v>0.5190130545474243</v>
      </c>
      <c r="AY135" s="140">
        <f>(AY112+AY115)/(AY112+AY115+AY123)</f>
        <v>0.50040411512486471</v>
      </c>
      <c r="AZ135" s="140">
        <f>(AZ112+AZ115)/(AZ112+AZ115+AZ123)</f>
        <v>0.48780898876404499</v>
      </c>
      <c r="BA135" s="120">
        <f t="shared" si="455"/>
        <v>0.4364225080948631</v>
      </c>
      <c r="BB135" s="120">
        <f>(BB112+BB115)/(BB112+BB115+BB123)</f>
        <v>0.408792866041571</v>
      </c>
      <c r="BC135" s="121">
        <f t="shared" si="455"/>
        <v>0.408792866041571</v>
      </c>
      <c r="BD135" s="140">
        <f>(BD112+BD115)/(BD112+BD115+BD123)</f>
        <v>0.38624502501045332</v>
      </c>
      <c r="BE135" s="140">
        <f>(BE112+BE115)/(BE112+BE115+BE123)</f>
        <v>0.691033550240852</v>
      </c>
      <c r="BF135" s="140">
        <f>(BF112+BF115)/(BF112+BF115+BF123)</f>
        <v>0.64823932790588068</v>
      </c>
      <c r="BG135" s="140">
        <f>(BG112+BG115)/(BG112+BG115+BG123)</f>
        <v>0.76552606635071097</v>
      </c>
      <c r="BH135" s="121">
        <f t="shared" si="455"/>
        <v>0.76552606635071097</v>
      </c>
      <c r="BI135" s="140">
        <f>(BI112+BI115)/(BI112+BI115+BI123)</f>
        <v>0.80607995751994754</v>
      </c>
      <c r="BJ135" s="140">
        <f>(BJ112+BJ115)/(BJ112+BJ115+BJ123)</f>
        <v>0.45209434659013459</v>
      </c>
      <c r="BK135" s="140">
        <f>(BK112+BK115)/(BK112+BK115+BK123)</f>
        <v>0.42957769443991517</v>
      </c>
      <c r="BL135" s="120">
        <f t="shared" si="455"/>
        <v>0.40485160528812769</v>
      </c>
      <c r="BM135" s="121">
        <f t="shared" si="455"/>
        <v>0.40485160528812769</v>
      </c>
      <c r="BN135" s="120">
        <f t="shared" ref="BN135:BW135" si="456">(BN112+BN115)/(BN112+BN115+BN123)</f>
        <v>0.37943541820970633</v>
      </c>
      <c r="BO135" s="140">
        <f>(BO112+BO115)/(BO112+BO115+BO123)</f>
        <v>0.3742478404897685</v>
      </c>
      <c r="BP135" s="140">
        <f>(BP112+BP115)/(BP112+BP115+BP123)</f>
        <v>0.37305294097434227</v>
      </c>
      <c r="BQ135" s="120">
        <f t="shared" si="456"/>
        <v>0.38967025966841562</v>
      </c>
      <c r="BR135" s="121">
        <f t="shared" si="456"/>
        <v>0.38967025966841562</v>
      </c>
      <c r="BS135" s="120">
        <f>(BS112+BS115)/(BS112+BS115+BS123)</f>
        <v>0.38637510654524249</v>
      </c>
      <c r="BT135" s="120">
        <f t="shared" si="456"/>
        <v>0.44044701660722496</v>
      </c>
      <c r="BU135" s="120">
        <f t="shared" si="456"/>
        <v>0.42137727832176652</v>
      </c>
      <c r="BV135" s="120">
        <f t="shared" si="456"/>
        <v>0.40342530922930542</v>
      </c>
      <c r="BW135" s="121">
        <f t="shared" si="456"/>
        <v>0.40342530922930542</v>
      </c>
      <c r="BX135" s="120">
        <f>(BX112+BX115)/(BX112+BX115+BX123)</f>
        <v>0.37461092740345237</v>
      </c>
      <c r="BY135" s="120">
        <f>(BY112+BY115)/(BY112+BY115+BY123)</f>
        <v>0.5138586071992286</v>
      </c>
      <c r="BZ135" s="120">
        <f>(BZ112+BZ115)/(BZ112+BZ115+BZ123)</f>
        <v>0.48667053432651536</v>
      </c>
      <c r="CA135" s="120">
        <f>(CA112+CA115)/(CA112+CA115+CA123)</f>
        <v>0.47289010469108245</v>
      </c>
      <c r="CB135" s="121">
        <f t="shared" ref="CB135:CG135" si="457">(CB112+CB115)/(CB112+CB115+CB123)</f>
        <v>0.47289010469108245</v>
      </c>
      <c r="CC135" s="120">
        <f>(CC112+CC115)/(CC112+CC115+CC123)</f>
        <v>0.52770471207518976</v>
      </c>
      <c r="CD135" s="120">
        <f>(CD112+CD115)/(CD112+CD115+CD123)</f>
        <v>0.5091210824894965</v>
      </c>
      <c r="CE135" s="120">
        <f>(CE112+CE115)/(CE112+CE115+CE123)</f>
        <v>0.50787420193899269</v>
      </c>
      <c r="CF135" s="120">
        <f>(CF112+CF115)/(CF112+CF115+CF123)</f>
        <v>0.48938297063067193</v>
      </c>
      <c r="CG135" s="121">
        <f t="shared" si="457"/>
        <v>0.48938297063067193</v>
      </c>
      <c r="CH135" s="120">
        <f>(CH112+CH115)/(CH112+CH115+CH123)</f>
        <v>0.49360875605189286</v>
      </c>
      <c r="CI135" s="120">
        <f>(CI112+CI115)/(CI112+CI115+CI123)</f>
        <v>0.48757832681558794</v>
      </c>
      <c r="CJ135" s="120">
        <f>(CJ112+CJ115)/(CJ112+CJ115+CJ123)</f>
        <v>0.48354692329898386</v>
      </c>
      <c r="CK135" s="120">
        <f>(CK112+CK115)/(CK112+CK115+CK123)</f>
        <v>0.46908437976900796</v>
      </c>
      <c r="CL135" s="121">
        <f t="shared" ref="CL135:CQ135" si="458">(CL112+CL115)/(CL112+CL115+CL123)</f>
        <v>0.46908437976900796</v>
      </c>
      <c r="CM135" s="120">
        <f t="shared" ca="1" si="458"/>
        <v>0.43266396288220726</v>
      </c>
      <c r="CN135" s="120">
        <f t="shared" ca="1" si="458"/>
        <v>0.41957893925285905</v>
      </c>
      <c r="CO135" s="120">
        <f t="shared" ca="1" si="458"/>
        <v>0.40703874242381133</v>
      </c>
      <c r="CP135" s="120">
        <f t="shared" ca="1" si="458"/>
        <v>0.39390500448143023</v>
      </c>
      <c r="CQ135" s="121">
        <f t="shared" ca="1" si="458"/>
        <v>0.39390500448143023</v>
      </c>
      <c r="CR135" s="120">
        <f t="shared" ref="CR135:CV135" ca="1" si="459">(CR112+CR115)/(CR112+CR115+CR123)</f>
        <v>0.3863302163242559</v>
      </c>
      <c r="CS135" s="120">
        <f t="shared" ca="1" si="459"/>
        <v>0.35341242352052354</v>
      </c>
      <c r="CT135" s="120">
        <f t="shared" ca="1" si="459"/>
        <v>0.3440358275970517</v>
      </c>
      <c r="CU135" s="120">
        <f t="shared" ca="1" si="459"/>
        <v>0.33419272586173315</v>
      </c>
      <c r="CV135" s="121">
        <f t="shared" ca="1" si="459"/>
        <v>0.33419272586173315</v>
      </c>
      <c r="CW135" s="120">
        <f t="shared" ref="CW135:DF135" ca="1" si="460">(CW112+CW115)/(CW112+CW115+CW123)</f>
        <v>0.32914458178465789</v>
      </c>
      <c r="CX135" s="120">
        <f t="shared" ca="1" si="460"/>
        <v>0.29899308766699273</v>
      </c>
      <c r="CY135" s="120">
        <f t="shared" ca="1" si="460"/>
        <v>0.29280614006475242</v>
      </c>
      <c r="CZ135" s="120">
        <f t="shared" ca="1" si="460"/>
        <v>0.28623236534336721</v>
      </c>
      <c r="DA135" s="121">
        <f t="shared" ca="1" si="460"/>
        <v>0.28623236534336721</v>
      </c>
      <c r="DB135" s="120">
        <f t="shared" ca="1" si="460"/>
        <v>0.28293976219989092</v>
      </c>
      <c r="DC135" s="120">
        <f t="shared" ca="1" si="460"/>
        <v>0.25453154486346907</v>
      </c>
      <c r="DD135" s="120">
        <f t="shared" ca="1" si="460"/>
        <v>0.25026838071381347</v>
      </c>
      <c r="DE135" s="120">
        <f t="shared" ca="1" si="460"/>
        <v>0.24578149555713583</v>
      </c>
      <c r="DF135" s="121">
        <f t="shared" ca="1" si="460"/>
        <v>0.24578149555713583</v>
      </c>
    </row>
    <row r="136" spans="1:119" ht="13.5" thickBot="1" x14ac:dyDescent="0.25">
      <c r="B136" s="724"/>
      <c r="D136" s="77"/>
      <c r="E136" s="77"/>
      <c r="F136" s="30"/>
      <c r="G136" s="30"/>
      <c r="H136" s="30"/>
      <c r="I136" s="30"/>
      <c r="J136" s="30"/>
      <c r="K136" s="30"/>
      <c r="L136" s="30"/>
      <c r="M136" s="30"/>
      <c r="N136" s="30"/>
      <c r="O136" s="30"/>
      <c r="P136" s="30"/>
      <c r="Q136" s="30"/>
      <c r="R136" s="30"/>
      <c r="S136" s="30"/>
      <c r="T136" s="30"/>
      <c r="U136" s="30"/>
      <c r="V136" s="30"/>
      <c r="W136" s="30"/>
      <c r="X136" s="134"/>
      <c r="Y136" s="32"/>
      <c r="Z136" s="10"/>
      <c r="AA136" s="10"/>
      <c r="AB136" s="10"/>
      <c r="AC136" s="10"/>
      <c r="AD136" s="10"/>
      <c r="AE136" s="10"/>
      <c r="AF136" s="10"/>
      <c r="AG136" s="10"/>
      <c r="AH136" s="10"/>
      <c r="AI136" s="10"/>
      <c r="AJ136" s="10"/>
      <c r="AK136" s="10"/>
      <c r="AL136" s="10"/>
      <c r="AM136" s="10"/>
      <c r="AN136" s="10"/>
      <c r="AO136" s="30"/>
      <c r="AP136" s="77"/>
      <c r="AQ136" s="10"/>
      <c r="AR136" s="10"/>
      <c r="AS136" s="10"/>
      <c r="AT136" s="77"/>
      <c r="AU136" s="77"/>
      <c r="AV136" s="127"/>
      <c r="AW136" s="10"/>
      <c r="AX136" s="10"/>
      <c r="AY136" s="10"/>
      <c r="AZ136" s="10"/>
      <c r="BA136" s="10"/>
      <c r="BB136" s="10"/>
      <c r="BC136" s="10"/>
      <c r="BD136" s="10"/>
      <c r="BE136" s="10"/>
      <c r="BF136" s="10"/>
      <c r="BG136" s="10"/>
      <c r="BH136" s="10"/>
      <c r="BI136" s="10"/>
      <c r="BJ136" s="10"/>
      <c r="BK136" s="10"/>
      <c r="BL136" s="10"/>
      <c r="BM136" s="10"/>
      <c r="BN136" s="10"/>
      <c r="BO136" s="10"/>
      <c r="BP136" s="10"/>
      <c r="BQ136" s="10"/>
      <c r="BR136" s="10"/>
      <c r="BS136" s="10"/>
      <c r="BT136" s="10"/>
      <c r="BU136" s="10"/>
      <c r="BV136" s="10"/>
      <c r="BW136" s="10"/>
      <c r="BX136" s="10"/>
      <c r="BY136" s="10"/>
      <c r="BZ136" s="10"/>
      <c r="CA136" s="10"/>
      <c r="CB136" s="10"/>
      <c r="CC136" s="10"/>
      <c r="CD136" s="10"/>
      <c r="CE136" s="10"/>
      <c r="CF136" s="10"/>
      <c r="CG136" s="10"/>
      <c r="CH136" s="10"/>
      <c r="CI136" s="10"/>
      <c r="CJ136" s="10"/>
      <c r="CK136" s="10"/>
      <c r="CL136" s="10"/>
      <c r="CM136" s="10"/>
      <c r="CN136" s="10"/>
      <c r="CO136" s="10"/>
      <c r="CP136" s="10"/>
      <c r="CQ136" s="10"/>
      <c r="CR136" s="10"/>
      <c r="CS136" s="10"/>
      <c r="CT136" s="10"/>
      <c r="CU136" s="10"/>
      <c r="CV136" s="10"/>
      <c r="CW136" s="10"/>
      <c r="CX136" s="10"/>
      <c r="CY136" s="10"/>
      <c r="CZ136" s="10"/>
      <c r="DA136" s="10"/>
      <c r="DB136" s="10"/>
      <c r="DC136" s="10"/>
      <c r="DD136" s="10"/>
      <c r="DE136" s="10"/>
      <c r="DF136" s="10"/>
      <c r="DO136"/>
    </row>
    <row r="137" spans="1:119" ht="13.5" thickBot="1" x14ac:dyDescent="0.25">
      <c r="A137" s="10"/>
      <c r="B137" s="1556" t="s">
        <v>125</v>
      </c>
      <c r="C137" s="830"/>
      <c r="D137" s="806"/>
      <c r="E137" s="806"/>
      <c r="F137" s="1177" t="s">
        <v>26</v>
      </c>
      <c r="G137" s="805"/>
      <c r="H137" s="805"/>
      <c r="I137" s="1178"/>
      <c r="J137" s="806"/>
      <c r="K137" s="1177" t="s">
        <v>27</v>
      </c>
      <c r="L137" s="805"/>
      <c r="M137" s="805"/>
      <c r="N137" s="1178"/>
      <c r="O137" s="806"/>
      <c r="P137" s="1177" t="s">
        <v>28</v>
      </c>
      <c r="Q137" s="805"/>
      <c r="R137" s="805"/>
      <c r="S137" s="1178"/>
      <c r="T137" s="806"/>
      <c r="U137" s="1177" t="s">
        <v>29</v>
      </c>
      <c r="V137" s="805"/>
      <c r="W137" s="805"/>
      <c r="X137" s="1178"/>
      <c r="Y137" s="806"/>
      <c r="Z137" s="1177" t="s">
        <v>30</v>
      </c>
      <c r="AA137" s="805"/>
      <c r="AB137" s="805"/>
      <c r="AC137" s="805"/>
      <c r="AD137" s="806"/>
      <c r="AE137" s="805" t="s">
        <v>31</v>
      </c>
      <c r="AF137" s="805"/>
      <c r="AG137" s="805"/>
      <c r="AH137" s="805"/>
      <c r="AI137" s="806"/>
      <c r="AJ137" s="805" t="s">
        <v>32</v>
      </c>
      <c r="AK137" s="805"/>
      <c r="AL137" s="805"/>
      <c r="AM137" s="805"/>
      <c r="AN137" s="806"/>
      <c r="AO137" s="805" t="s">
        <v>33</v>
      </c>
      <c r="AP137" s="805"/>
      <c r="AQ137" s="805"/>
      <c r="AR137" s="805"/>
      <c r="AS137" s="806"/>
      <c r="AT137" s="805" t="s">
        <v>34</v>
      </c>
      <c r="AU137" s="805"/>
      <c r="AV137" s="805"/>
      <c r="AW137" s="805"/>
      <c r="AX137" s="806"/>
      <c r="AY137" s="805" t="s">
        <v>35</v>
      </c>
      <c r="AZ137" s="805"/>
      <c r="BA137" s="805"/>
      <c r="BB137" s="805"/>
      <c r="BC137" s="806"/>
      <c r="BD137" s="805" t="s">
        <v>36</v>
      </c>
      <c r="BE137" s="805"/>
      <c r="BF137" s="805"/>
      <c r="BG137" s="805"/>
      <c r="BH137" s="806"/>
      <c r="BI137" s="805" t="s">
        <v>37</v>
      </c>
      <c r="BJ137" s="805"/>
      <c r="BK137" s="805"/>
      <c r="BL137" s="805"/>
      <c r="BM137" s="806"/>
      <c r="BN137" s="805" t="s">
        <v>331</v>
      </c>
      <c r="BO137" s="805"/>
      <c r="BP137" s="805"/>
      <c r="BQ137" s="805"/>
      <c r="BR137" s="806"/>
      <c r="BS137" s="805" t="s">
        <v>334</v>
      </c>
      <c r="BT137" s="805"/>
      <c r="BU137" s="805"/>
      <c r="BV137" s="805"/>
      <c r="BW137" s="806"/>
      <c r="BX137" s="805" t="s">
        <v>356</v>
      </c>
      <c r="BY137" s="805"/>
      <c r="BZ137" s="805"/>
      <c r="CA137" s="805"/>
      <c r="CB137" s="806"/>
      <c r="CC137" s="805" t="str">
        <f>CC93</f>
        <v>Fiscal Year End, Dec 31 2016</v>
      </c>
      <c r="CD137" s="805"/>
      <c r="CE137" s="805"/>
      <c r="CF137" s="805"/>
      <c r="CG137" s="806"/>
      <c r="CH137" s="805" t="str">
        <f>CH93</f>
        <v>Fiscal Year End, Dec 31 2017</v>
      </c>
      <c r="CI137" s="805"/>
      <c r="CJ137" s="805"/>
      <c r="CK137" s="805"/>
      <c r="CL137" s="806"/>
      <c r="CM137" s="805" t="str">
        <f>CM93</f>
        <v>Fiscal Year End, Dec 31 2018</v>
      </c>
      <c r="CN137" s="805"/>
      <c r="CO137" s="805"/>
      <c r="CP137" s="805"/>
      <c r="CQ137" s="806"/>
      <c r="CR137" s="805" t="str">
        <f>CR93</f>
        <v>Fiscal Year End, Dec 31 2019</v>
      </c>
      <c r="CS137" s="805"/>
      <c r="CT137" s="805"/>
      <c r="CU137" s="805"/>
      <c r="CV137" s="806"/>
      <c r="CW137" s="805" t="str">
        <f>CW93</f>
        <v>Fiscal Year End, Dec 31 2020</v>
      </c>
      <c r="CX137" s="805"/>
      <c r="CY137" s="805"/>
      <c r="CZ137" s="805"/>
      <c r="DA137" s="806"/>
      <c r="DB137" s="805" t="str">
        <f>DB93</f>
        <v>Fiscal Year End, Dec 31 2021</v>
      </c>
      <c r="DC137" s="805"/>
      <c r="DD137" s="805"/>
      <c r="DE137" s="805"/>
      <c r="DF137" s="806"/>
      <c r="DO137"/>
    </row>
    <row r="138" spans="1:119" ht="13.5" thickBot="1" x14ac:dyDescent="0.25">
      <c r="B138" s="1014" t="s">
        <v>358</v>
      </c>
      <c r="C138" s="808"/>
      <c r="D138" s="828" t="str">
        <f t="shared" ref="D138:AI138" si="461">D9</f>
        <v>1999A</v>
      </c>
      <c r="E138" s="828" t="str">
        <f t="shared" si="461"/>
        <v>2000A</v>
      </c>
      <c r="F138" s="810" t="str">
        <f t="shared" si="461"/>
        <v>1Q01A</v>
      </c>
      <c r="G138" s="810" t="str">
        <f t="shared" si="461"/>
        <v>2Q01A</v>
      </c>
      <c r="H138" s="810" t="str">
        <f t="shared" si="461"/>
        <v>3Q01A</v>
      </c>
      <c r="I138" s="810" t="str">
        <f t="shared" si="461"/>
        <v>4Q01A</v>
      </c>
      <c r="J138" s="828" t="str">
        <f t="shared" si="461"/>
        <v>2001A</v>
      </c>
      <c r="K138" s="810" t="str">
        <f t="shared" si="461"/>
        <v>1Q02A</v>
      </c>
      <c r="L138" s="810" t="str">
        <f t="shared" si="461"/>
        <v>2Q02A</v>
      </c>
      <c r="M138" s="810" t="str">
        <f t="shared" si="461"/>
        <v>3Q02A</v>
      </c>
      <c r="N138" s="810" t="str">
        <f t="shared" si="461"/>
        <v>4Q02A</v>
      </c>
      <c r="O138" s="828" t="str">
        <f t="shared" si="461"/>
        <v>2002A</v>
      </c>
      <c r="P138" s="811" t="str">
        <f t="shared" si="461"/>
        <v>1Q03A</v>
      </c>
      <c r="Q138" s="810" t="str">
        <f t="shared" si="461"/>
        <v>2Q03A</v>
      </c>
      <c r="R138" s="810" t="str">
        <f t="shared" si="461"/>
        <v>3Q03A</v>
      </c>
      <c r="S138" s="812" t="str">
        <f t="shared" si="461"/>
        <v>4Q03A</v>
      </c>
      <c r="T138" s="828" t="str">
        <f t="shared" si="461"/>
        <v>2003A</v>
      </c>
      <c r="U138" s="810" t="str">
        <f t="shared" si="461"/>
        <v>1QA</v>
      </c>
      <c r="V138" s="810" t="str">
        <f t="shared" si="461"/>
        <v>2QA</v>
      </c>
      <c r="W138" s="810" t="str">
        <f t="shared" si="461"/>
        <v>3QA</v>
      </c>
      <c r="X138" s="810" t="str">
        <f t="shared" si="461"/>
        <v>4QA</v>
      </c>
      <c r="Y138" s="828" t="str">
        <f t="shared" si="461"/>
        <v>2004A</v>
      </c>
      <c r="Z138" s="810" t="str">
        <f t="shared" si="461"/>
        <v>1QA</v>
      </c>
      <c r="AA138" s="810" t="str">
        <f t="shared" si="461"/>
        <v>2QA</v>
      </c>
      <c r="AB138" s="810" t="str">
        <f t="shared" si="461"/>
        <v>3QA</v>
      </c>
      <c r="AC138" s="810" t="str">
        <f t="shared" si="461"/>
        <v>4QA</v>
      </c>
      <c r="AD138" s="829" t="str">
        <f t="shared" si="461"/>
        <v>2005A</v>
      </c>
      <c r="AE138" s="810" t="str">
        <f t="shared" si="461"/>
        <v>1QA</v>
      </c>
      <c r="AF138" s="810" t="str">
        <f t="shared" si="461"/>
        <v>2QA</v>
      </c>
      <c r="AG138" s="810" t="str">
        <f t="shared" si="461"/>
        <v>3QA</v>
      </c>
      <c r="AH138" s="810" t="str">
        <f t="shared" si="461"/>
        <v>4QA</v>
      </c>
      <c r="AI138" s="829" t="str">
        <f t="shared" si="461"/>
        <v>2006A</v>
      </c>
      <c r="AJ138" s="810" t="str">
        <f t="shared" ref="AJ138:BO138" si="462">AJ9</f>
        <v>1QA</v>
      </c>
      <c r="AK138" s="810" t="str">
        <f t="shared" si="462"/>
        <v>2QA</v>
      </c>
      <c r="AL138" s="810" t="str">
        <f t="shared" si="462"/>
        <v>3QA</v>
      </c>
      <c r="AM138" s="810" t="str">
        <f t="shared" si="462"/>
        <v>4QA</v>
      </c>
      <c r="AN138" s="813" t="str">
        <f t="shared" si="462"/>
        <v>2007A</v>
      </c>
      <c r="AO138" s="810" t="str">
        <f t="shared" si="462"/>
        <v>1QA</v>
      </c>
      <c r="AP138" s="810" t="str">
        <f t="shared" si="462"/>
        <v>2QA</v>
      </c>
      <c r="AQ138" s="810" t="str">
        <f t="shared" si="462"/>
        <v>3QA</v>
      </c>
      <c r="AR138" s="810" t="str">
        <f t="shared" si="462"/>
        <v>4QA</v>
      </c>
      <c r="AS138" s="809" t="str">
        <f t="shared" si="462"/>
        <v>2008A</v>
      </c>
      <c r="AT138" s="810" t="str">
        <f t="shared" si="462"/>
        <v>1QA</v>
      </c>
      <c r="AU138" s="810" t="str">
        <f t="shared" si="462"/>
        <v>2QA</v>
      </c>
      <c r="AV138" s="810" t="str">
        <f t="shared" si="462"/>
        <v>3QA</v>
      </c>
      <c r="AW138" s="810" t="str">
        <f t="shared" si="462"/>
        <v>4QA</v>
      </c>
      <c r="AX138" s="809" t="str">
        <f t="shared" si="462"/>
        <v>2009A</v>
      </c>
      <c r="AY138" s="810" t="str">
        <f t="shared" si="462"/>
        <v>1QA</v>
      </c>
      <c r="AZ138" s="810" t="str">
        <f t="shared" si="462"/>
        <v>2QA</v>
      </c>
      <c r="BA138" s="810" t="str">
        <f t="shared" si="462"/>
        <v>3QA</v>
      </c>
      <c r="BB138" s="810" t="str">
        <f t="shared" si="462"/>
        <v>4QA</v>
      </c>
      <c r="BC138" s="809" t="str">
        <f t="shared" si="462"/>
        <v>2010A</v>
      </c>
      <c r="BD138" s="810" t="str">
        <f t="shared" si="462"/>
        <v>1QA</v>
      </c>
      <c r="BE138" s="810" t="str">
        <f t="shared" si="462"/>
        <v>2QA</v>
      </c>
      <c r="BF138" s="810" t="str">
        <f t="shared" si="462"/>
        <v>3QA</v>
      </c>
      <c r="BG138" s="810" t="str">
        <f t="shared" si="462"/>
        <v>4QA</v>
      </c>
      <c r="BH138" s="809" t="str">
        <f t="shared" si="462"/>
        <v>2011A</v>
      </c>
      <c r="BI138" s="810" t="str">
        <f t="shared" si="462"/>
        <v>1QA</v>
      </c>
      <c r="BJ138" s="810" t="str">
        <f t="shared" si="462"/>
        <v>2QA</v>
      </c>
      <c r="BK138" s="810" t="str">
        <f t="shared" si="462"/>
        <v>3QA</v>
      </c>
      <c r="BL138" s="810" t="str">
        <f t="shared" si="462"/>
        <v>4QA</v>
      </c>
      <c r="BM138" s="809" t="str">
        <f t="shared" si="462"/>
        <v>2012A</v>
      </c>
      <c r="BN138" s="810" t="str">
        <f t="shared" si="462"/>
        <v>1QA</v>
      </c>
      <c r="BO138" s="810" t="str">
        <f t="shared" si="462"/>
        <v>2QA</v>
      </c>
      <c r="BP138" s="810" t="str">
        <f t="shared" ref="BP138:CB138" si="463">BP9</f>
        <v>3QA</v>
      </c>
      <c r="BQ138" s="810" t="str">
        <f t="shared" si="463"/>
        <v>4QA</v>
      </c>
      <c r="BR138" s="809" t="str">
        <f t="shared" si="463"/>
        <v>2013A</v>
      </c>
      <c r="BS138" s="810" t="str">
        <f t="shared" si="463"/>
        <v>1QA</v>
      </c>
      <c r="BT138" s="810" t="str">
        <f t="shared" si="463"/>
        <v>2QA</v>
      </c>
      <c r="BU138" s="810" t="str">
        <f t="shared" si="463"/>
        <v>3QA</v>
      </c>
      <c r="BV138" s="810" t="str">
        <f t="shared" si="463"/>
        <v>4QA</v>
      </c>
      <c r="BW138" s="809" t="str">
        <f t="shared" si="463"/>
        <v>2014A</v>
      </c>
      <c r="BX138" s="810" t="str">
        <f t="shared" si="463"/>
        <v>1QA</v>
      </c>
      <c r="BY138" s="810" t="str">
        <f t="shared" si="463"/>
        <v>2QA</v>
      </c>
      <c r="BZ138" s="810" t="str">
        <f t="shared" si="463"/>
        <v>3QA</v>
      </c>
      <c r="CA138" s="810" t="str">
        <f t="shared" si="463"/>
        <v>4QA</v>
      </c>
      <c r="CB138" s="809" t="str">
        <f t="shared" si="463"/>
        <v>2015A</v>
      </c>
      <c r="CC138" s="810" t="str">
        <f t="shared" ref="CC138:CL138" si="464">CC9</f>
        <v>1QA</v>
      </c>
      <c r="CD138" s="810" t="str">
        <f t="shared" si="464"/>
        <v>2QA</v>
      </c>
      <c r="CE138" s="810" t="str">
        <f t="shared" si="464"/>
        <v>3QA</v>
      </c>
      <c r="CF138" s="810" t="str">
        <f t="shared" si="464"/>
        <v>4QA</v>
      </c>
      <c r="CG138" s="809" t="str">
        <f t="shared" si="464"/>
        <v>2016A</v>
      </c>
      <c r="CH138" s="810" t="str">
        <f t="shared" si="464"/>
        <v>1QA</v>
      </c>
      <c r="CI138" s="810" t="str">
        <f t="shared" si="464"/>
        <v>2QA</v>
      </c>
      <c r="CJ138" s="810" t="str">
        <f t="shared" si="464"/>
        <v>3QA</v>
      </c>
      <c r="CK138" s="810" t="str">
        <f t="shared" si="464"/>
        <v>4QA</v>
      </c>
      <c r="CL138" s="809" t="str">
        <f t="shared" si="464"/>
        <v>2017A</v>
      </c>
      <c r="CM138" s="810" t="str">
        <f t="shared" ref="CM138:CV138" si="465">CM9</f>
        <v>1QE</v>
      </c>
      <c r="CN138" s="810" t="str">
        <f t="shared" si="465"/>
        <v>2QE</v>
      </c>
      <c r="CO138" s="810" t="str">
        <f t="shared" si="465"/>
        <v>3QE</v>
      </c>
      <c r="CP138" s="810" t="str">
        <f t="shared" si="465"/>
        <v>4QE</v>
      </c>
      <c r="CQ138" s="809" t="str">
        <f t="shared" si="465"/>
        <v>2018E</v>
      </c>
      <c r="CR138" s="810" t="str">
        <f t="shared" si="465"/>
        <v>1QE</v>
      </c>
      <c r="CS138" s="810" t="str">
        <f t="shared" si="465"/>
        <v>2QE</v>
      </c>
      <c r="CT138" s="810" t="str">
        <f t="shared" si="465"/>
        <v>3QE</v>
      </c>
      <c r="CU138" s="810" t="str">
        <f t="shared" si="465"/>
        <v>4QE</v>
      </c>
      <c r="CV138" s="809" t="str">
        <f t="shared" si="465"/>
        <v>2019E</v>
      </c>
      <c r="CW138" s="810" t="str">
        <f t="shared" ref="CW138:DF138" si="466">CW9</f>
        <v>1QE</v>
      </c>
      <c r="CX138" s="810" t="str">
        <f t="shared" si="466"/>
        <v>2QE</v>
      </c>
      <c r="CY138" s="810" t="str">
        <f t="shared" si="466"/>
        <v>3QE</v>
      </c>
      <c r="CZ138" s="810" t="str">
        <f t="shared" si="466"/>
        <v>4QE</v>
      </c>
      <c r="DA138" s="809" t="str">
        <f t="shared" si="466"/>
        <v>2020E</v>
      </c>
      <c r="DB138" s="810" t="str">
        <f t="shared" si="466"/>
        <v>1QE</v>
      </c>
      <c r="DC138" s="810" t="str">
        <f t="shared" si="466"/>
        <v>2QE</v>
      </c>
      <c r="DD138" s="810" t="str">
        <f t="shared" si="466"/>
        <v>3QE</v>
      </c>
      <c r="DE138" s="810" t="str">
        <f t="shared" si="466"/>
        <v>4QE</v>
      </c>
      <c r="DF138" s="809" t="str">
        <f t="shared" si="466"/>
        <v>2021E</v>
      </c>
      <c r="DG138" s="1952"/>
      <c r="DO138"/>
    </row>
    <row r="139" spans="1:119" s="10" customFormat="1" x14ac:dyDescent="0.2">
      <c r="A139" s="1"/>
      <c r="B139" s="749" t="s">
        <v>333</v>
      </c>
      <c r="C139" s="53"/>
      <c r="D139" s="510"/>
      <c r="E139" s="510">
        <f>E39</f>
        <v>-9.1260000000003316</v>
      </c>
      <c r="F139" s="512">
        <f>F39</f>
        <v>28.078999999999883</v>
      </c>
      <c r="G139" s="512">
        <f>G39</f>
        <v>30.243999999999648</v>
      </c>
      <c r="H139" s="512">
        <f>H39</f>
        <v>32.562999999999981</v>
      </c>
      <c r="I139" s="512">
        <f>I39</f>
        <v>34.205000000000013</v>
      </c>
      <c r="J139" s="510">
        <f>SUM(I139,H139,G139,F139)</f>
        <v>125.09099999999953</v>
      </c>
      <c r="K139" s="512">
        <f>K39</f>
        <v>43.968999999999696</v>
      </c>
      <c r="L139" s="512">
        <f>L39</f>
        <v>48.699999999999356</v>
      </c>
      <c r="M139" s="512">
        <f>M39</f>
        <v>53.441600000000435</v>
      </c>
      <c r="N139" s="512">
        <f>N39</f>
        <v>56.715400000001537</v>
      </c>
      <c r="O139" s="510">
        <f>SUM(N139,M139,L139,K139)</f>
        <v>202.82600000000105</v>
      </c>
      <c r="P139" s="512">
        <f>P39</f>
        <v>58.621000000001189</v>
      </c>
      <c r="Q139" s="512">
        <f>Q39</f>
        <v>59.006000000000597</v>
      </c>
      <c r="R139" s="512">
        <f>R39</f>
        <v>64.54200000000003</v>
      </c>
      <c r="S139" s="512">
        <f>S39</f>
        <v>67.43099999999788</v>
      </c>
      <c r="T139" s="510">
        <f>SUM(S139,R139,Q139,P139)</f>
        <v>249.59999999999968</v>
      </c>
      <c r="U139" s="512">
        <f>U39</f>
        <v>69.963000000000264</v>
      </c>
      <c r="V139" s="512">
        <f>V39</f>
        <v>65.419999999999945</v>
      </c>
      <c r="W139" s="512">
        <f>W39</f>
        <v>61.916999999999824</v>
      </c>
      <c r="X139" s="512">
        <f ca="1">X39</f>
        <v>80.699999999999051</v>
      </c>
      <c r="Y139" s="513">
        <f ca="1">SUM(X139,W139,V139,U139)</f>
        <v>277.99999999999909</v>
      </c>
      <c r="Z139" s="512">
        <f>Z39</f>
        <v>85.275999999999968</v>
      </c>
      <c r="AA139" s="512">
        <f>AA39</f>
        <v>101.99999999999939</v>
      </c>
      <c r="AB139" s="512">
        <f>AB39</f>
        <v>101.69999999999983</v>
      </c>
      <c r="AC139" s="512">
        <f>AC39</f>
        <v>111.12400000000065</v>
      </c>
      <c r="AD139" s="513">
        <f>SUM(AC139,AB139,AA139,Z139)</f>
        <v>400.0999999999998</v>
      </c>
      <c r="AE139" s="512">
        <f>AE39</f>
        <v>104.70000000000037</v>
      </c>
      <c r="AF139" s="512">
        <f>AF39</f>
        <v>107.80000000000037</v>
      </c>
      <c r="AG139" s="512">
        <f>AG39</f>
        <v>114.70000000000019</v>
      </c>
      <c r="AH139" s="512">
        <f>AH39</f>
        <v>148.19999999999885</v>
      </c>
      <c r="AI139" s="513">
        <f>SUM(AH139,AG139,AF139,AE139)</f>
        <v>475.39999999999981</v>
      </c>
      <c r="AJ139" s="512">
        <f>AJ39</f>
        <v>132.8999999999993</v>
      </c>
      <c r="AK139" s="512">
        <f>AK39</f>
        <v>154.70000000000039</v>
      </c>
      <c r="AL139" s="512">
        <f>AL39</f>
        <v>146.69999999999942</v>
      </c>
      <c r="AM139" s="512">
        <f>AM39</f>
        <v>166.09999999999962</v>
      </c>
      <c r="AN139" s="513">
        <f>SUM(AM139,AL139,AK139,AJ139)</f>
        <v>600.39999999999873</v>
      </c>
      <c r="AO139" s="511">
        <f>AO39</f>
        <v>178.30000000000038</v>
      </c>
      <c r="AP139" s="511">
        <f>AP39</f>
        <v>191.90000000000038</v>
      </c>
      <c r="AQ139" s="512">
        <f>AQ39</f>
        <v>202.99999999999969</v>
      </c>
      <c r="AR139" s="512">
        <f>AR39</f>
        <v>206.39999999999924</v>
      </c>
      <c r="AS139" s="513">
        <f>SUM(AR139,AQ139,AP139,AO139)</f>
        <v>779.59999999999968</v>
      </c>
      <c r="AT139" s="511">
        <f>AT39</f>
        <v>214.70000000000036</v>
      </c>
      <c r="AU139" s="512">
        <f>AU39</f>
        <v>191.99999999999997</v>
      </c>
      <c r="AV139" s="512">
        <f>AV39</f>
        <v>196.89999999999944</v>
      </c>
      <c r="AW139" s="512">
        <f>AW39</f>
        <v>222.89999999999986</v>
      </c>
      <c r="AX139" s="513">
        <f>SUM(AW139,AV139,AU139,AT139)</f>
        <v>826.49999999999966</v>
      </c>
      <c r="AY139" s="512">
        <f>AY39</f>
        <v>260.19999999999965</v>
      </c>
      <c r="AZ139" s="1105">
        <f>AZ39+0.4</f>
        <v>307.70000000000067</v>
      </c>
      <c r="BA139" s="512">
        <f>BA39</f>
        <v>307.09999999999889</v>
      </c>
      <c r="BB139" s="512">
        <f>BB39</f>
        <v>329.60000000000076</v>
      </c>
      <c r="BC139" s="513">
        <f>SUM(BB139,BA139,AZ139,AY139)</f>
        <v>1204.5999999999999</v>
      </c>
      <c r="BD139" s="512">
        <f>BD39</f>
        <v>326.49999999999994</v>
      </c>
      <c r="BE139" s="512">
        <f>BE39</f>
        <v>334.20000000000039</v>
      </c>
      <c r="BF139" s="512">
        <f>BF39</f>
        <v>324.69999999999925</v>
      </c>
      <c r="BG139" s="512">
        <f ca="1">BG39-11*(1-BG76)</f>
        <v>290.40000000000003</v>
      </c>
      <c r="BH139" s="513">
        <f ca="1">SUM(BG139,BF139,BE139,BD139)</f>
        <v>1275.7999999999995</v>
      </c>
      <c r="BI139" s="512">
        <f>BI39</f>
        <v>267.8</v>
      </c>
      <c r="BJ139" s="512">
        <f>BJ39+0.1</f>
        <v>150.09999999999988</v>
      </c>
      <c r="BK139" s="512">
        <f>BK39+0.1</f>
        <v>406.90000000000009</v>
      </c>
      <c r="BL139" s="512">
        <f>1357.7-BK139-BJ139-BI139</f>
        <v>532.90000000000009</v>
      </c>
      <c r="BM139" s="513">
        <f>SUM(BL139,BK139,BJ139,BI139)</f>
        <v>1357.7</v>
      </c>
      <c r="BN139" s="512">
        <f>BN39</f>
        <v>384.29999999999819</v>
      </c>
      <c r="BO139" s="512">
        <f>BO39</f>
        <v>570.79999999999711</v>
      </c>
      <c r="BP139" s="512">
        <f>BP39+0.1</f>
        <v>446.59999999999627</v>
      </c>
      <c r="BQ139" s="512">
        <f>BQ39</f>
        <v>510.30000000000132</v>
      </c>
      <c r="BR139" s="513">
        <f>SUM(BQ139,BP139,BO139,BN139)</f>
        <v>1911.999999999993</v>
      </c>
      <c r="BS139" s="1105">
        <f>BS39</f>
        <v>322.48299492385848</v>
      </c>
      <c r="BT139" s="1105">
        <f>857.2-BS139</f>
        <v>534.7170050761415</v>
      </c>
      <c r="BU139" s="1105">
        <f>1446.3-BT139-BS139</f>
        <v>589.09999999999991</v>
      </c>
      <c r="BV139" s="1105">
        <f>2035-BU139-BS139-BT139</f>
        <v>588.70000000000005</v>
      </c>
      <c r="BW139" s="513">
        <f>SUM(BV139,BU139,BT139,BS139)</f>
        <v>2035</v>
      </c>
      <c r="BX139" s="1105">
        <v>447.1</v>
      </c>
      <c r="BY139" s="1105">
        <f>1053.2-BX139</f>
        <v>606.1</v>
      </c>
      <c r="BZ139" s="1105">
        <f>1720.6-SUM(BX139:BY139)</f>
        <v>667.39999999999986</v>
      </c>
      <c r="CA139" s="1105">
        <f>CB139-SUM(BX139:BZ139)</f>
        <v>778.90000000000009</v>
      </c>
      <c r="CB139" s="1844">
        <v>2499.5</v>
      </c>
      <c r="CC139" s="1105">
        <v>532.20000000000005</v>
      </c>
      <c r="CD139" s="1105">
        <f>1259.3-CC139</f>
        <v>727.09999999999991</v>
      </c>
      <c r="CE139" s="1105">
        <f>1987.8-SUM(CC139:CD139)</f>
        <v>728.5</v>
      </c>
      <c r="CF139" s="134">
        <f>CG139-SUM(CC139:CE139)</f>
        <v>1439.8</v>
      </c>
      <c r="CG139" s="1844">
        <v>3427.6</v>
      </c>
      <c r="CH139" s="1572">
        <v>550.29999999999995</v>
      </c>
      <c r="CI139" s="1572">
        <f>1355.8-CH139</f>
        <v>805.5</v>
      </c>
      <c r="CJ139" s="1572">
        <f>2200.8-SUM(CH139:CI139)</f>
        <v>845.00000000000023</v>
      </c>
      <c r="CK139" s="1572">
        <f>4531.7-SUM(CH139:CJ139)</f>
        <v>2330.8999999999996</v>
      </c>
      <c r="CL139" s="513">
        <f>SUM(CK139,CJ139,CI139,CH139)</f>
        <v>4531.7</v>
      </c>
      <c r="CM139" s="512">
        <f ca="1">CM39</f>
        <v>694.89393207822559</v>
      </c>
      <c r="CN139" s="512">
        <f ca="1">CN39</f>
        <v>1023.5396231888108</v>
      </c>
      <c r="CO139" s="512">
        <f ca="1">CO39</f>
        <v>1042.676240953384</v>
      </c>
      <c r="CP139" s="512">
        <f ca="1">CP39</f>
        <v>1163.2033737831766</v>
      </c>
      <c r="CQ139" s="513">
        <f ca="1">SUM(CP139,CO139,CN139,CM139)</f>
        <v>3924.313170003597</v>
      </c>
      <c r="CR139" s="512">
        <f ca="1">CR39</f>
        <v>706.82982861392657</v>
      </c>
      <c r="CS139" s="512">
        <f ca="1">CS39</f>
        <v>987.92134508111667</v>
      </c>
      <c r="CT139" s="512">
        <f ca="1">CT39</f>
        <v>992.43287651228343</v>
      </c>
      <c r="CU139" s="512">
        <f ca="1">CU39</f>
        <v>1101.7238100250818</v>
      </c>
      <c r="CV139" s="513">
        <f ca="1">SUM(CU139,CT139,CS139,CR139)</f>
        <v>3788.9078602324084</v>
      </c>
      <c r="CW139" s="512">
        <f ca="1">CW39</f>
        <v>590.59459020477675</v>
      </c>
      <c r="CX139" s="512">
        <f ca="1">CX39</f>
        <v>821.46040398091714</v>
      </c>
      <c r="CY139" s="512">
        <f ca="1">CY39</f>
        <v>815.36201568547017</v>
      </c>
      <c r="CZ139" s="512">
        <f ca="1">CZ39</f>
        <v>904.96391723255419</v>
      </c>
      <c r="DA139" s="513">
        <f ca="1">SUM(CZ139,CY139,CX139,CW139)</f>
        <v>3132.380927103718</v>
      </c>
      <c r="DB139" s="512">
        <f ca="1">DB39</f>
        <v>469.07472227952604</v>
      </c>
      <c r="DC139" s="512">
        <f ca="1">DC39</f>
        <v>652.0755016946041</v>
      </c>
      <c r="DD139" s="512">
        <f ca="1">DD39</f>
        <v>683.05005775433551</v>
      </c>
      <c r="DE139" s="512">
        <f ca="1">DE39</f>
        <v>744.48827418388578</v>
      </c>
      <c r="DF139" s="513">
        <f ca="1">SUM(DE139,DD139,DC139,DB139)</f>
        <v>2548.6885559123516</v>
      </c>
      <c r="DG139" s="1964"/>
      <c r="DH139"/>
      <c r="DI139"/>
      <c r="DJ139"/>
      <c r="DK139"/>
      <c r="DL139"/>
      <c r="DM139"/>
      <c r="DN139"/>
      <c r="DO139"/>
    </row>
    <row r="140" spans="1:119" x14ac:dyDescent="0.2">
      <c r="B140" s="721" t="s">
        <v>87</v>
      </c>
      <c r="D140" s="28"/>
      <c r="E140" s="28">
        <v>78.037999999999997</v>
      </c>
      <c r="F140" s="36">
        <v>19.001000000000001</v>
      </c>
      <c r="G140" s="36">
        <f>38.2-F140</f>
        <v>19.199000000000002</v>
      </c>
      <c r="H140" s="36">
        <f>58.838-F140-G140</f>
        <v>20.638000000000002</v>
      </c>
      <c r="I140" s="30">
        <f>J140-F140-G140-H140</f>
        <v>19.342999999999993</v>
      </c>
      <c r="J140" s="34">
        <v>78.180999999999997</v>
      </c>
      <c r="K140" s="36">
        <v>28.152999999999999</v>
      </c>
      <c r="L140" s="36">
        <f>50.963-K140</f>
        <v>22.810000000000002</v>
      </c>
      <c r="M140" s="36">
        <f>62.975-K140-L140</f>
        <v>12.012</v>
      </c>
      <c r="N140" s="30">
        <f>O140-K140-L140-M140</f>
        <v>19.062999999999995</v>
      </c>
      <c r="O140" s="34">
        <v>82.037999999999997</v>
      </c>
      <c r="P140" s="35">
        <v>13.163</v>
      </c>
      <c r="Q140" s="36">
        <f>26.394-P140</f>
        <v>13.230999999999998</v>
      </c>
      <c r="R140" s="36">
        <f>39.687-Q140-P140</f>
        <v>13.292999999999999</v>
      </c>
      <c r="S140" s="31">
        <f>T140-P140-Q140-R140</f>
        <v>14.343000000000007</v>
      </c>
      <c r="T140" s="34">
        <v>54.03</v>
      </c>
      <c r="U140" s="36">
        <v>15.705</v>
      </c>
      <c r="V140" s="36">
        <f>32.825-U140</f>
        <v>17.120000000000005</v>
      </c>
      <c r="W140" s="36">
        <f>50.477-V140-U140</f>
        <v>17.651999999999994</v>
      </c>
      <c r="X140" s="134">
        <f>70.04-W140-V140-U140</f>
        <v>19.563000000000009</v>
      </c>
      <c r="Y140" s="33">
        <f>SUM(X140,W140,V140,U140)</f>
        <v>70.040000000000006</v>
      </c>
      <c r="Z140" s="134">
        <v>19.777000000000001</v>
      </c>
      <c r="AA140" s="134">
        <f>39.303-Z140</f>
        <v>19.525999999999996</v>
      </c>
      <c r="AB140" s="134">
        <f>59.625-AA140-Z140</f>
        <v>20.322000000000003</v>
      </c>
      <c r="AC140" s="134">
        <f>84.4-AB140-AA140-Z140</f>
        <v>24.775000000000006</v>
      </c>
      <c r="AD140" s="33">
        <f>SUM(AC140,AB140,AA140,Z140)</f>
        <v>84.4</v>
      </c>
      <c r="AE140" s="134">
        <v>25.8</v>
      </c>
      <c r="AF140" s="134">
        <f>51.9-AE140</f>
        <v>26.099999999999998</v>
      </c>
      <c r="AG140" s="134">
        <f>75.7-AF140-AE140</f>
        <v>23.800000000000008</v>
      </c>
      <c r="AH140" s="134">
        <f>99.8-AG140-AF140-AE140</f>
        <v>24.099999999999991</v>
      </c>
      <c r="AI140" s="33">
        <f>SUM(AH140,AG140,AF140,AE140)</f>
        <v>99.8</v>
      </c>
      <c r="AJ140" s="134">
        <v>25.6</v>
      </c>
      <c r="AK140" s="134">
        <f>51.5-AJ140</f>
        <v>25.9</v>
      </c>
      <c r="AL140" s="134">
        <f>74.3-AK140-AJ140</f>
        <v>22.799999999999997</v>
      </c>
      <c r="AM140" s="134">
        <f>97.5-SUM(AJ140:AL140)</f>
        <v>23.200000000000003</v>
      </c>
      <c r="AN140" s="33">
        <f>SUM(AM140,AL140,AK140,AJ140)</f>
        <v>97.5</v>
      </c>
      <c r="AO140" s="36">
        <v>24.5</v>
      </c>
      <c r="AP140" s="36">
        <f>49.6-AO140</f>
        <v>25.1</v>
      </c>
      <c r="AQ140" s="134">
        <f>72.9-SUM(AO140:AP140)</f>
        <v>23.300000000000004</v>
      </c>
      <c r="AR140" s="134">
        <f>97.7-AO140-AP140-AQ140</f>
        <v>24.799999999999997</v>
      </c>
      <c r="AS140" s="33">
        <f>SUM(AR140,AQ140,AP140,AO140)</f>
        <v>97.7</v>
      </c>
      <c r="AT140" s="36">
        <v>24.6</v>
      </c>
      <c r="AU140" s="36">
        <f>49.7-SUM(AT140)</f>
        <v>25.1</v>
      </c>
      <c r="AV140" s="134">
        <f>73.5-AU140-AT140</f>
        <v>23.799999999999997</v>
      </c>
      <c r="AW140" s="663">
        <v>36.4</v>
      </c>
      <c r="AX140" s="662">
        <f>SUM(AW140,AV140,AU140,AT140)</f>
        <v>109.9</v>
      </c>
      <c r="AY140" s="663">
        <v>59.7</v>
      </c>
      <c r="AZ140" s="663">
        <f>119.2-AY140</f>
        <v>59.5</v>
      </c>
      <c r="BA140" s="663">
        <f>180.9-AZ140-AY140</f>
        <v>61.7</v>
      </c>
      <c r="BB140" s="663">
        <f>244.7-SUM(AY140:BA140)</f>
        <v>63.799999999999983</v>
      </c>
      <c r="BC140" s="33">
        <f>SUM(BB140,BA140,AZ140,AY140)</f>
        <v>244.7</v>
      </c>
      <c r="BD140" s="134">
        <v>62.9</v>
      </c>
      <c r="BE140" s="134">
        <f>126.2-BD140</f>
        <v>63.300000000000004</v>
      </c>
      <c r="BF140" s="134">
        <f>187.5-SUM(BD140:BE140)</f>
        <v>61.3</v>
      </c>
      <c r="BG140" s="134">
        <f>253.4-SUM(BD140:BF140)</f>
        <v>65.900000000000006</v>
      </c>
      <c r="BH140" s="33">
        <f>SUM(BG140,BF140,BE140,BD140)</f>
        <v>253.4</v>
      </c>
      <c r="BI140" s="134">
        <f>65</f>
        <v>65</v>
      </c>
      <c r="BJ140" s="36">
        <f>670.2-BI140</f>
        <v>605.20000000000005</v>
      </c>
      <c r="BK140" s="36">
        <f>1292-BJ140-BI140</f>
        <v>621.79999999999995</v>
      </c>
      <c r="BL140" s="36">
        <f>1872.6-BK140-BJ140-BI140</f>
        <v>580.59999999999991</v>
      </c>
      <c r="BM140" s="28">
        <f>SUM(BL140,BK140,BJ140,BI140)</f>
        <v>1872.6</v>
      </c>
      <c r="BN140" s="36">
        <v>600.6</v>
      </c>
      <c r="BO140" s="36">
        <f>1210.2-BN140</f>
        <v>609.6</v>
      </c>
      <c r="BP140" s="36">
        <f>1824-BO140-BN140</f>
        <v>613.80000000000007</v>
      </c>
      <c r="BQ140" s="36">
        <f>2447-BP140-BO140-BN140</f>
        <v>622.99999999999989</v>
      </c>
      <c r="BR140" s="33">
        <f>SUM(BQ140,BP140,BO140,BN140)</f>
        <v>2447</v>
      </c>
      <c r="BS140" s="134">
        <v>553.1</v>
      </c>
      <c r="BT140" s="134">
        <f>1111.2-BS140</f>
        <v>558.1</v>
      </c>
      <c r="BU140" s="134">
        <f>1658.2-BT140-BS140</f>
        <v>546.99999999999989</v>
      </c>
      <c r="BV140" s="134">
        <f>2242.9-BU140-BT140-BS140</f>
        <v>584.70000000000016</v>
      </c>
      <c r="BW140" s="33">
        <f>SUM(BV140,BU140,BT140,BS140)</f>
        <v>2242.9</v>
      </c>
      <c r="BX140" s="134">
        <v>556.70000000000005</v>
      </c>
      <c r="BY140" s="134">
        <f>1144.9-BX140</f>
        <v>588.20000000000005</v>
      </c>
      <c r="BZ140" s="500">
        <f>1727.7-SUM(BX140:BY140)</f>
        <v>582.79999999999995</v>
      </c>
      <c r="CA140" s="500">
        <f>CB140-SUM(BX140:BZ140)</f>
        <v>631.39999999999986</v>
      </c>
      <c r="CB140" s="1845">
        <v>2359.1</v>
      </c>
      <c r="CC140" s="134">
        <v>525.29999999999995</v>
      </c>
      <c r="CD140" s="134">
        <f>1073.5-CC140</f>
        <v>548.20000000000005</v>
      </c>
      <c r="CE140" s="134">
        <f>1611.2-SUM(CC140:CD140)</f>
        <v>537.70000000000005</v>
      </c>
      <c r="CF140" s="134">
        <f>CG140-SUM(CC140:CE140)</f>
        <v>543.39999999999986</v>
      </c>
      <c r="CG140" s="1845">
        <v>2154.6</v>
      </c>
      <c r="CH140" s="134">
        <v>445.6</v>
      </c>
      <c r="CI140" s="134">
        <f>894.8-CH140</f>
        <v>449.19999999999993</v>
      </c>
      <c r="CJ140" s="134">
        <f>1344.2-SUM(CH140:CI140)</f>
        <v>449.40000000000009</v>
      </c>
      <c r="CK140" s="1982">
        <f>1802-SUM(CH140:CJ140)</f>
        <v>457.79999999999995</v>
      </c>
      <c r="CL140" s="33">
        <f>SUM(CK140,CJ140,CI140,CH140)</f>
        <v>1802</v>
      </c>
      <c r="CM140" s="32">
        <f>CH140*1.03</f>
        <v>458.96800000000002</v>
      </c>
      <c r="CN140" s="32">
        <f>CI140*1.03</f>
        <v>462.67599999999993</v>
      </c>
      <c r="CO140" s="32">
        <f>CJ140*1.03</f>
        <v>462.88200000000012</v>
      </c>
      <c r="CP140" s="32">
        <f>CK140*1.03</f>
        <v>471.53399999999999</v>
      </c>
      <c r="CQ140" s="33">
        <f>SUM(CP140,CO140,CN140,CM140)</f>
        <v>1856.0600000000002</v>
      </c>
      <c r="CR140" s="32">
        <f>CM140*1.03</f>
        <v>472.73704000000004</v>
      </c>
      <c r="CS140" s="32">
        <f>CN140*1.03</f>
        <v>476.55627999999996</v>
      </c>
      <c r="CT140" s="32">
        <f>CO140*1.03</f>
        <v>476.76846000000012</v>
      </c>
      <c r="CU140" s="32">
        <f>CP140*1.03</f>
        <v>485.68002000000001</v>
      </c>
      <c r="CV140" s="33">
        <f>SUM(CU140,CT140,CS140,CR140)</f>
        <v>1911.7418</v>
      </c>
      <c r="CW140" s="32">
        <f>CR140*1.03</f>
        <v>486.91915120000004</v>
      </c>
      <c r="CX140" s="32">
        <f>CS140*1.03</f>
        <v>490.85296839999995</v>
      </c>
      <c r="CY140" s="32">
        <f>CT140*1.03</f>
        <v>491.07151380000016</v>
      </c>
      <c r="CZ140" s="32">
        <f>CU140*1.03</f>
        <v>500.25042060000004</v>
      </c>
      <c r="DA140" s="33">
        <f>SUM(CZ140,CY140,CX140,CW140)</f>
        <v>1969.0940540000001</v>
      </c>
      <c r="DB140" s="32">
        <f>CW140*1.03</f>
        <v>501.52672573600006</v>
      </c>
      <c r="DC140" s="32">
        <f>CX140*1.03</f>
        <v>505.57855745199998</v>
      </c>
      <c r="DD140" s="32">
        <f>CY140*1.03</f>
        <v>505.80365921400016</v>
      </c>
      <c r="DE140" s="32">
        <f>CZ140*1.03</f>
        <v>515.25793321800006</v>
      </c>
      <c r="DF140" s="33">
        <f>SUM(DE140,DD140,DC140,DB140)</f>
        <v>2028.1668756200004</v>
      </c>
      <c r="DG140" s="1964"/>
      <c r="DO140"/>
    </row>
    <row r="141" spans="1:119" x14ac:dyDescent="0.2">
      <c r="B141" s="721" t="s">
        <v>126</v>
      </c>
      <c r="D141" s="28"/>
      <c r="E141" s="28">
        <f>-35.286+3.103+1.322+29.806+20.328</f>
        <v>19.273</v>
      </c>
      <c r="F141" s="36">
        <v>-19.98</v>
      </c>
      <c r="G141" s="36">
        <f>-43.425-F141</f>
        <v>-23.444999999999997</v>
      </c>
      <c r="H141" s="36">
        <f>-35.482-F141-G141</f>
        <v>7.9429999999999978</v>
      </c>
      <c r="I141" s="30">
        <f>J141-F141-G141-H141</f>
        <v>46.453000000000003</v>
      </c>
      <c r="J141" s="34">
        <f>-90.209-12.321-16.844+31.738+98.607</f>
        <v>10.971000000000004</v>
      </c>
      <c r="K141" s="36">
        <v>-63.652999999999999</v>
      </c>
      <c r="L141" s="36">
        <f>20.868-K141</f>
        <v>84.521000000000001</v>
      </c>
      <c r="M141" s="36">
        <f>23.253-K141-L141</f>
        <v>2.3850000000000051</v>
      </c>
      <c r="N141" s="30">
        <f>O141-K141-L141-M141</f>
        <v>39.279999999999987</v>
      </c>
      <c r="O141" s="34">
        <f>63.812-31.191-15.065+26.243+18.734</f>
        <v>62.532999999999994</v>
      </c>
      <c r="P141" s="35">
        <v>11.023</v>
      </c>
      <c r="Q141" s="36">
        <f>-71.969-P141</f>
        <v>-82.99199999999999</v>
      </c>
      <c r="R141" s="36">
        <f>-6.008-Q141-P141</f>
        <v>65.960999999999999</v>
      </c>
      <c r="S141" s="31">
        <f>T141-P141-Q141-R141</f>
        <v>89.099000000000004</v>
      </c>
      <c r="T141" s="34">
        <f>-23.183+44.108+7.077+93.294-38.205</f>
        <v>83.090999999999994</v>
      </c>
      <c r="U141" s="36">
        <v>-9.6470000000000002</v>
      </c>
      <c r="V141" s="36">
        <f>-58.409-U141</f>
        <v>-48.762</v>
      </c>
      <c r="W141" s="36">
        <f>-1.582-V141-U141</f>
        <v>56.826999999999998</v>
      </c>
      <c r="X141" s="134">
        <f>80.843-W141-V141-U141</f>
        <v>82.425000000000011</v>
      </c>
      <c r="Y141" s="33">
        <f>SUM(X141,W141,V141,U141)</f>
        <v>80.843000000000004</v>
      </c>
      <c r="Z141" s="134">
        <v>9.48</v>
      </c>
      <c r="AA141" s="134">
        <f>31.705-Z141</f>
        <v>22.224999999999998</v>
      </c>
      <c r="AB141" s="134">
        <f>55.902-AA141-Z141</f>
        <v>24.197000000000006</v>
      </c>
      <c r="AC141" s="134">
        <f>219.6-AB141-AA141-Z141</f>
        <v>163.69800000000001</v>
      </c>
      <c r="AD141" s="33">
        <f>SUM(AC141,AB141,AA141,Z141)</f>
        <v>219.6</v>
      </c>
      <c r="AE141" s="134">
        <f>-147.6+45.5</f>
        <v>-102.1</v>
      </c>
      <c r="AF141" s="134">
        <f>-84-AE141</f>
        <v>18.099999999999994</v>
      </c>
      <c r="AG141" s="134">
        <f>-94.7-AF141-AE141</f>
        <v>-10.700000000000003</v>
      </c>
      <c r="AH141" s="134">
        <f>35.7+77.4+44.5-104.2-3.7-AG141-AF141-AE141</f>
        <v>144.40000000000003</v>
      </c>
      <c r="AI141" s="33">
        <f>SUM(AH141,AG141,AF141,AE141)</f>
        <v>49.700000000000045</v>
      </c>
      <c r="AJ141" s="134">
        <f>-36.8+33.8</f>
        <v>-3</v>
      </c>
      <c r="AK141" s="134">
        <f>+(-77.4+-23.4)-AJ141</f>
        <v>-97.800000000000011</v>
      </c>
      <c r="AL141" s="134">
        <f>(-72+23.9)-AK141-AJ141</f>
        <v>52.70000000000001</v>
      </c>
      <c r="AM141" s="134">
        <f>71.6+25.3+6.9-16.8-9.8-SUM(AJ141:AL141)</f>
        <v>125.30000000000001</v>
      </c>
      <c r="AN141" s="33">
        <f>SUM(AM141,AL141,AK141,AJ141)</f>
        <v>77.200000000000017</v>
      </c>
      <c r="AO141" s="36">
        <f>28-3.8</f>
        <v>24.2</v>
      </c>
      <c r="AP141" s="36">
        <f>64-52.4-SUM(AO141)</f>
        <v>-12.599999999999998</v>
      </c>
      <c r="AQ141" s="134">
        <f>33.7-53.4-SUM(AO141:AP141)</f>
        <v>-31.299999999999997</v>
      </c>
      <c r="AR141" s="134">
        <f>21.9-38+5.4+113-8.8-SUM(AO141:AQ141)</f>
        <v>113.19999999999999</v>
      </c>
      <c r="AS141" s="33">
        <f>SUM(AR141,AQ141,AP141,AO141)</f>
        <v>93.5</v>
      </c>
      <c r="AT141" s="36">
        <f>-15.3+41.3</f>
        <v>25.999999999999996</v>
      </c>
      <c r="AU141" s="432">
        <f>-26.6-11.9-SUM(AT141)</f>
        <v>-64.5</v>
      </c>
      <c r="AV141" s="134">
        <f>80+20.2-AU141-AT141</f>
        <v>138.69999999999999</v>
      </c>
      <c r="AW141" s="134">
        <f>-505.4-58.1-68.4+995.4+267.9-SUM(AT141:AV141)</f>
        <v>531.20000000000005</v>
      </c>
      <c r="AX141" s="33">
        <f>SUM(AW141,AV141,AU141,AT141)</f>
        <v>631.40000000000009</v>
      </c>
      <c r="AY141" s="134">
        <f>603.8-203.7</f>
        <v>400.09999999999997</v>
      </c>
      <c r="AZ141" s="426">
        <f>822.1-255.7+104.9-AY141</f>
        <v>271.2000000000001</v>
      </c>
      <c r="BA141" s="134">
        <f>706.6-253.2+175.6-AZ141-AY141</f>
        <v>-42.300000000000068</v>
      </c>
      <c r="BB141" s="134">
        <f>793-70.2-90-186.7+29.9-SUM(AY141:BA141)</f>
        <v>-153.00000000000006</v>
      </c>
      <c r="BC141" s="33">
        <f>SUM(BB141,BA141,AZ141,AY141)</f>
        <v>475.99999999999994</v>
      </c>
      <c r="BD141" s="134">
        <f>-189.3-166.5+155.2</f>
        <v>-200.60000000000002</v>
      </c>
      <c r="BE141" s="134">
        <f>-223.6-135.6+148.6-BD141</f>
        <v>-9.9999999999999716</v>
      </c>
      <c r="BF141" s="134">
        <f>-58.1+44.4+302.9-SUM(BD141:BE141)</f>
        <v>499.79999999999995</v>
      </c>
      <c r="BG141" s="134">
        <f>-206.1+8+119.2+207.5+250.5-SUM(BD141:BF141)</f>
        <v>89.900000000000091</v>
      </c>
      <c r="BH141" s="33">
        <f>SUM(BG141,BF141,BE141,BD141)</f>
        <v>379.1</v>
      </c>
      <c r="BI141" s="134">
        <f>-96.4-223.7+462.1</f>
        <v>142</v>
      </c>
      <c r="BJ141" s="134">
        <f>175.8-453.1+302.1-BI141</f>
        <v>-117.19999999999999</v>
      </c>
      <c r="BK141" s="134">
        <f>382.6-647.2+143.3-BJ141-BI141</f>
        <v>-146.10000000000002</v>
      </c>
      <c r="BL141" s="134">
        <f>325.2-515.8+303.2+82.8+982.2+240.8-BK141-BJ141-BI141</f>
        <v>1539.7</v>
      </c>
      <c r="BM141" s="33">
        <f>SUM(BL141,BK141,BJ141,BI141)</f>
        <v>1418.3999999999999</v>
      </c>
      <c r="BN141" s="134">
        <f>1183.8-794.3-320.6</f>
        <v>68.899999999999977</v>
      </c>
      <c r="BO141" s="134">
        <f>868.4-1616.6-389-BN141</f>
        <v>-1206.0999999999999</v>
      </c>
      <c r="BP141" s="134">
        <f>194.5+8.6+37.3-980.3-320.5-109.3-BO141-BN141</f>
        <v>-32.500000000000114</v>
      </c>
      <c r="BQ141" s="134">
        <f>1254-218.9+94.2-672.2+15.9+302.4-BP141-BO141-BN141</f>
        <v>1945.1</v>
      </c>
      <c r="BR141" s="33">
        <f>SUM(BQ141,BP141,BO141,BN141)</f>
        <v>775.4</v>
      </c>
      <c r="BS141" s="134">
        <f>124.6+143.8-2.6-418.9-58-174.7</f>
        <v>-385.8</v>
      </c>
      <c r="BT141" s="134">
        <f>-1163+104.1-44.8+801.2+65.2-348.7-BS141</f>
        <v>-200.2</v>
      </c>
      <c r="BU141" s="134">
        <f>-2420.3+81.3-146.3+1047.2+93.1+72.8-BT141-BS141</f>
        <v>-686.20000000000027</v>
      </c>
      <c r="BV141" s="134">
        <f>-2042.4-242.1-170+1720.4+271.7+948.9+112.4-BU141-BT141-BS141</f>
        <v>1871.1000000000004</v>
      </c>
      <c r="BW141" s="33">
        <f>SUM(BV141,BU141,BT141,BS141)</f>
        <v>598.90000000000009</v>
      </c>
      <c r="BX141" s="134">
        <f>129.8+227.2+123.8-559.9-72.3-467.2+15.7</f>
        <v>-602.89999999999986</v>
      </c>
      <c r="BY141" s="134">
        <f>-544.9+463.1-123.8-274.6+207.9-600.5+35.6-BX141</f>
        <v>-234.30000000000007</v>
      </c>
      <c r="BZ141" s="134">
        <f>-1468.7+382.7-139.7+250.4+172.2-425-16.9-SUM(BX141:BY141)</f>
        <v>-407.8000000000003</v>
      </c>
      <c r="CA141" s="134">
        <f>CB141-SUM(BX141:BZ141)</f>
        <v>1626.0000000000005</v>
      </c>
      <c r="CB141" s="1846">
        <f>-770.3+90.1+78.3+909.5+318.3-142.7-102.2</f>
        <v>381.00000000000011</v>
      </c>
      <c r="CC141" s="32">
        <f>-45.4+289.7-8.1-441.4+229-232.2-9.3</f>
        <v>-217.7</v>
      </c>
      <c r="CD141" s="32">
        <f>-670.6+307.4-74.5-761.8+751.1-452.6-79.6-CC141</f>
        <v>-762.90000000000009</v>
      </c>
      <c r="CE141" s="32">
        <f>-270.7+345.7-43.5-680.7+348-327.4-28.7-SUM(CC141:CD141)</f>
        <v>323.30000000000007</v>
      </c>
      <c r="CF141" s="134">
        <f>CG141-SUM(CC141:CE141)</f>
        <v>421.10000000000014</v>
      </c>
      <c r="CG141" s="1846">
        <f>-374+64.1-137.5-560.8+436.4+404.2-68.6</f>
        <v>-236.19999999999996</v>
      </c>
      <c r="CH141" s="134">
        <f>102.9+203.6+29.4-50.6-280-10.5+17.3</f>
        <v>12.099999999999955</v>
      </c>
      <c r="CI141" s="134">
        <f>-26.2+40.3-23.6+240.2+475.4-818+46-CH141</f>
        <v>-78.000000000000043</v>
      </c>
      <c r="CJ141" s="134">
        <f>161.2-93.8-88.8+642.6+475.4-659.3+144.5-SUM(CH141:CI141)</f>
        <v>647.70000000000005</v>
      </c>
      <c r="CK141" s="134">
        <f>55.9-166.7-172.5+1114.9-126.8-241.7+90.5-SUM(CH141:CJ141)</f>
        <v>-28.199999999999818</v>
      </c>
      <c r="CL141" s="33">
        <f>SUM(CK141,CJ141,CI141,CH141)</f>
        <v>553.60000000000014</v>
      </c>
      <c r="CM141" s="32">
        <f ca="1">-((CM97+CM98+CM99+CM100)-(CM110+CM111+CM113)-((CL97+CL98+CL99+CL100)-(CL110+CL111+CL113)))</f>
        <v>-45.695632929897329</v>
      </c>
      <c r="CN141" s="32">
        <f ca="1">-((CN97+CN98+CN99+CN100)-(CN110+CN111+CN113)-((CM97+CM98+CM99+CM100)-(CM110+CM111+CM113)))</f>
        <v>-232.6668900781533</v>
      </c>
      <c r="CO141" s="32">
        <f ca="1">-((CO97+CO98+CO99+CO100)-(CO110+CO111+CO113)-((CN97+CN98+CN99+CN100)-(CN110+CN111+CN113)))</f>
        <v>25.936253728641532</v>
      </c>
      <c r="CP141" s="32">
        <f ca="1">-((CP97+CP98+CP99+CP100)-(CP110+CP111+CP113)-((CO97+CO98+CO99+CO100)-(CO110+CO111+CO113)))</f>
        <v>-168.5223810656571</v>
      </c>
      <c r="CQ141" s="33">
        <f ca="1">SUM(CP141,CO141,CN141,CM141)</f>
        <v>-420.9486503450662</v>
      </c>
      <c r="CR141" s="32">
        <f ca="1">-((CR97+CR98+CR99+CR100)-(CR110+CR111+CR113)-((CQ97+CQ98+CQ99+CQ100)-(CQ110+CQ111+CQ113)))</f>
        <v>751.17285035234818</v>
      </c>
      <c r="CS141" s="32">
        <f ca="1">-((CS97+CS98+CS99+CS100)-(CS110+CS111+CS113)-((CR97+CR98+CR99+CR100)-(CR110+CR111+CR113)))</f>
        <v>-177.35696535216448</v>
      </c>
      <c r="CT141" s="32">
        <f ca="1">-((CT97+CT98+CT99+CT100)-(CT110+CT111+CT113)-((CS97+CS98+CS99+CS100)-(CS110+CS111+CS113)))</f>
        <v>50.712246034963755</v>
      </c>
      <c r="CU141" s="32">
        <f ca="1">-((CU97+CU98+CU99+CU100)-(CU110+CU111+CU113)-((CT97+CT98+CT99+CT100)-(CT110+CT111+CT113)))</f>
        <v>-349.15705814625653</v>
      </c>
      <c r="CV141" s="33">
        <f ca="1">SUM(CU141,CT141,CS141,CR141)</f>
        <v>275.37107288889092</v>
      </c>
      <c r="CW141" s="32">
        <f ca="1">-((CW97+CW98+CW99+CW100)-(CW110+CW111+CW113)-((CV97+CV98+CV99+CV100)-(CV110+CV111+CV113)))</f>
        <v>-27.052814289094385</v>
      </c>
      <c r="CX141" s="32">
        <f ca="1">-((CX97+CX98+CX99+CX100)-(CX110+CX111+CX113)-((CW97+CW98+CW99+CW100)-(CW110+CW111+CW113)))</f>
        <v>-135.49572940391408</v>
      </c>
      <c r="CY141" s="32">
        <f ca="1">-((CY97+CY98+CY99+CY100)-(CY110+CY111+CY113)-((CX97+CX98+CX99+CX100)-(CX110+CX111+CX113)))</f>
        <v>96.487657908573965</v>
      </c>
      <c r="CZ141" s="32">
        <f ca="1">-((CZ97+CZ98+CZ99+CZ100)-(CZ110+CZ111+CZ113)-((CY97+CY98+CY99+CY100)-(CY110+CY111+CY113)))</f>
        <v>-305.08414931640255</v>
      </c>
      <c r="DA141" s="33">
        <f ca="1">SUM(CZ141,CY141,CX141,CW141)</f>
        <v>-371.14503510083705</v>
      </c>
      <c r="DB141" s="32">
        <f ca="1">-((DB97+DB98+DB99+DB100)-(DB110+DB111+DB113)-((DA97+DA98+DA99+DA100)-(DA110+DA111+DA113)))</f>
        <v>-95.834030026333494</v>
      </c>
      <c r="DC141" s="32">
        <f ca="1">-((DC97+DC98+DC99+DC100)-(DC110+DC111+DC113)-((DB97+DB98+DB99+DB100)-(DB110+DB111+DB113)))</f>
        <v>-100.90670999105896</v>
      </c>
      <c r="DD141" s="32">
        <f ca="1">-((DD97+DD98+DD99+DD100)-(DD110+DD111+DD113)-((DC97+DC98+DC99+DC100)-(DC110+DC111+DC113)))</f>
        <v>99.877257726984681</v>
      </c>
      <c r="DE141" s="32">
        <f ca="1">-((DE97+DE98+DE99+DE100)-(DE110+DE111+DE113)-((DD97+DD98+DD99+DD100)-(DD110+DD111+DD113)))</f>
        <v>-264.9100708822607</v>
      </c>
      <c r="DF141" s="33">
        <f ca="1">SUM(DE141,DD141,DC141,DB141)</f>
        <v>-361.77355317266847</v>
      </c>
      <c r="DG141" s="1964"/>
      <c r="DO141"/>
    </row>
    <row r="142" spans="1:119" x14ac:dyDescent="0.2">
      <c r="B142" s="721" t="s">
        <v>101</v>
      </c>
      <c r="D142" s="38"/>
      <c r="E142" s="38">
        <f>-42.092+12.843+165.207+15.456+1.79+1.286+3.235</f>
        <v>157.72499999999999</v>
      </c>
      <c r="F142" s="39">
        <v>22.963000000000001</v>
      </c>
      <c r="G142" s="39">
        <f>42.446-F142</f>
        <v>19.482999999999997</v>
      </c>
      <c r="H142" s="39">
        <f>54.182-F142-G142</f>
        <v>11.736000000000004</v>
      </c>
      <c r="I142" s="44">
        <f>J142-F142-G142-H142</f>
        <v>12.956000000000003</v>
      </c>
      <c r="J142" s="648">
        <f>19.093+8.356+20.769+10.49+8.43</f>
        <v>67.138000000000005</v>
      </c>
      <c r="K142" s="39">
        <v>16.329999999999998</v>
      </c>
      <c r="L142" s="39">
        <f>31.014-K142</f>
        <v>14.684000000000001</v>
      </c>
      <c r="M142" s="39">
        <f>54.625-K142-L142</f>
        <v>23.611000000000001</v>
      </c>
      <c r="N142" s="44">
        <f>O142-K142-L142-M142</f>
        <v>23.938000000000006</v>
      </c>
      <c r="O142" s="648">
        <f>29.883+17.865+16.94+9.76+4.115</f>
        <v>78.563000000000002</v>
      </c>
      <c r="P142" s="647">
        <v>11.629</v>
      </c>
      <c r="Q142" s="39">
        <f>48.546-P142</f>
        <v>36.917000000000002</v>
      </c>
      <c r="R142" s="39">
        <f>65.548-Q142-P142</f>
        <v>17.002000000000002</v>
      </c>
      <c r="S142" s="45">
        <f>T142-R142-Q142-P142</f>
        <v>5.6549999999999994</v>
      </c>
      <c r="T142" s="648">
        <f>34.438-2.573+26.893+8.318+1.663+2.464</f>
        <v>71.203000000000003</v>
      </c>
      <c r="U142" s="39">
        <v>21.763999999999999</v>
      </c>
      <c r="V142" s="39">
        <f>43.512-U142</f>
        <v>21.748000000000001</v>
      </c>
      <c r="W142" s="39">
        <f>57.081-V142-U142</f>
        <v>13.568999999999999</v>
      </c>
      <c r="X142" s="404">
        <f>67.14-W142-V142-U142</f>
        <v>10.058999999999997</v>
      </c>
      <c r="Y142" s="46">
        <f>SUM(X142,W142,V142,U142)</f>
        <v>67.14</v>
      </c>
      <c r="Z142" s="404">
        <v>23.617000000000001</v>
      </c>
      <c r="AA142" s="404">
        <f>58.12-Z142</f>
        <v>34.503</v>
      </c>
      <c r="AB142" s="404">
        <f>126.565-AA142-Z142</f>
        <v>68.444999999999993</v>
      </c>
      <c r="AC142" s="404">
        <f>88.8-AB142-AA142-Z142</f>
        <v>-37.765000000000001</v>
      </c>
      <c r="AD142" s="46">
        <f>SUM(AC142,AB142,AA142,Z142)</f>
        <v>88.8</v>
      </c>
      <c r="AE142" s="390">
        <v>12.6</v>
      </c>
      <c r="AF142" s="390">
        <f>13.4-AE142</f>
        <v>0.80000000000000071</v>
      </c>
      <c r="AG142" s="390">
        <f>44.4-AF142-AE142</f>
        <v>30.999999999999993</v>
      </c>
      <c r="AH142" s="390">
        <f>7.6+13.5+27.6-0.1-14.9-AG142-AF142-AE142</f>
        <v>-10.69999999999999</v>
      </c>
      <c r="AI142" s="413">
        <f>SUM(AH142,AG142,AF142,AE142)</f>
        <v>33.700000000000003</v>
      </c>
      <c r="AJ142" s="390">
        <f>3.4-3.3</f>
        <v>0.10000000000000009</v>
      </c>
      <c r="AK142" s="390">
        <f>16.9-4-AJ142</f>
        <v>12.799999999999999</v>
      </c>
      <c r="AL142" s="390">
        <f>45.2-7.5-(AK142)-AJ142</f>
        <v>24.800000000000004</v>
      </c>
      <c r="AM142" s="390">
        <f>4.1+36.7+31.6+0.5-20.8-SUM(AJ142:AL142)</f>
        <v>14.400000000000006</v>
      </c>
      <c r="AN142" s="46">
        <f>SUM(AM142,AL142,AK142,AJ142)</f>
        <v>52.100000000000009</v>
      </c>
      <c r="AO142" s="397">
        <f>21.3+4.7</f>
        <v>26</v>
      </c>
      <c r="AP142" s="397">
        <f>51.5+3.6-SUM(AO142)</f>
        <v>29.1</v>
      </c>
      <c r="AQ142" s="390">
        <f>100.6+1.9-SUM(AO142:AP142)</f>
        <v>47.4</v>
      </c>
      <c r="AR142" s="390">
        <f>33.8+30.1+40.2+20.7+7.4-SUM(AO142:AQ142)</f>
        <v>29.699999999999989</v>
      </c>
      <c r="AS142" s="46">
        <f>SUM(AR142,AQ142,AP142,AO142)</f>
        <v>132.19999999999999</v>
      </c>
      <c r="AT142" s="397">
        <f>21.1-0.1</f>
        <v>21</v>
      </c>
      <c r="AU142" s="397">
        <f>42.5+57.7-0.1-SUM(AT142)</f>
        <v>79.100000000000009</v>
      </c>
      <c r="AV142" s="390">
        <f>59+77.1+13.1-AU142-AT142</f>
        <v>49.09999999999998</v>
      </c>
      <c r="AW142" s="390">
        <f>66.3+51.5+24.1+44.6+3.3-SUM(AT142:AV142)+13.9</f>
        <v>54.500000000000021</v>
      </c>
      <c r="AX142" s="46">
        <f>SUM(AW142,AV142,AU142,AT142)</f>
        <v>203.7</v>
      </c>
      <c r="AY142" s="390">
        <f>1.3+39.5</f>
        <v>40.799999999999997</v>
      </c>
      <c r="AZ142" s="390">
        <f>2.6+75.4+12.4-AY142</f>
        <v>49.600000000000009</v>
      </c>
      <c r="BA142" s="390">
        <f>140.7+4.1-AZ142-AY142+12.3</f>
        <v>66.699999999999974</v>
      </c>
      <c r="BB142" s="390">
        <f>49.7+5.2+5.1+9.4-SUM(AY142:BA142)+110.4+12.3</f>
        <v>35.000000000000043</v>
      </c>
      <c r="BC142" s="46">
        <f>SUM(BB142,BA142,AZ142,AY142)</f>
        <v>192.10000000000002</v>
      </c>
      <c r="BD142" s="390">
        <v>55.6</v>
      </c>
      <c r="BE142" s="390">
        <f>126.8-BD142</f>
        <v>71.199999999999989</v>
      </c>
      <c r="BF142" s="390">
        <f>152.9+44.9-SUM(BD142:BE142)</f>
        <v>71.000000000000028</v>
      </c>
      <c r="BG142" s="390">
        <f>137.8+48.8+11.6+81+4.5-SUM(BD142:BF142)</f>
        <v>85.900000000000034</v>
      </c>
      <c r="BH142" s="46">
        <f>SUM(BG142,BF142,BE142,BD142)</f>
        <v>283.70000000000005</v>
      </c>
      <c r="BI142" s="390">
        <f>37.2+18.1</f>
        <v>55.300000000000004</v>
      </c>
      <c r="BJ142" s="390">
        <f>95.6+26.9-BI142</f>
        <v>67.199999999999989</v>
      </c>
      <c r="BK142" s="397">
        <f>37.8+32.1-21.3-BJ142-BI142</f>
        <v>-73.899999999999977</v>
      </c>
      <c r="BL142" s="390">
        <f>-390.4+410+158.8+43.6-118.5+29.4-BK142-BJ142-BI142</f>
        <v>84.300000000000011</v>
      </c>
      <c r="BM142" s="46">
        <f>SUM(BL142,BK142,BJ142,BI142)</f>
        <v>132.90000000000003</v>
      </c>
      <c r="BN142" s="390">
        <f>-91.3+6.2-0.3</f>
        <v>-85.399999999999991</v>
      </c>
      <c r="BO142" s="390">
        <f>-221.3+10.7-25-BN142</f>
        <v>-150.20000000000005</v>
      </c>
      <c r="BP142" s="397">
        <f>-376.2+131.2+25.8-20.7+21.3-BO142-BN142</f>
        <v>17.000000000000071</v>
      </c>
      <c r="BQ142" s="390">
        <f>-573.7+164.7+29.2-BP142-BO142-BN142+2.9</f>
        <v>-158.3000000000001</v>
      </c>
      <c r="BR142" s="46">
        <f>SUM(BQ142,BP142,BO142,BN142)</f>
        <v>-376.90000000000003</v>
      </c>
      <c r="BS142" s="390">
        <f>-35.7+28-40.1+12</f>
        <v>-35.800000000000004</v>
      </c>
      <c r="BT142" s="390">
        <f>-212.2+54.4-BS142-35.1</f>
        <v>-157.09999999999997</v>
      </c>
      <c r="BU142" s="390">
        <f>-272.9+82.3-17.1-BT142-BS142</f>
        <v>-14.79999999999999</v>
      </c>
      <c r="BV142" s="390">
        <f>-430.5+111-8.3-BU142-BT142-BS142</f>
        <v>-120.10000000000002</v>
      </c>
      <c r="BW142" s="46">
        <f>SUM(BV142,BU142,BT142,BS142)</f>
        <v>-327.8</v>
      </c>
      <c r="BX142" s="390">
        <f>-114.2+26.9-32.2</f>
        <v>-119.50000000000001</v>
      </c>
      <c r="BY142" s="390">
        <f>-194+54.4-40-BX142</f>
        <v>-60.09999999999998</v>
      </c>
      <c r="BZ142" s="404">
        <f>-270.5+86.8-45.3-SUM(BX142:BY142)</f>
        <v>-49.400000000000006</v>
      </c>
      <c r="CA142" s="404">
        <f>CB142-SUM(BX142:BZ142)</f>
        <v>-162.30000000000001</v>
      </c>
      <c r="CB142" s="1847">
        <f>-462.1+117.1-46.3</f>
        <v>-391.3</v>
      </c>
      <c r="CC142" s="390">
        <f>-112.8+27.9-3.7</f>
        <v>-88.600000000000009</v>
      </c>
      <c r="CD142" s="390">
        <f>-212.3+54.7-4.5-CC142</f>
        <v>-73.500000000000014</v>
      </c>
      <c r="CE142" s="390">
        <f>-334+81.9-19.1-SUM(CC142:CD142)</f>
        <v>-109.09999999999997</v>
      </c>
      <c r="CF142" s="390">
        <f>CG142-SUM(CC142:CE142)</f>
        <v>-155.39999999999998</v>
      </c>
      <c r="CG142" s="1847">
        <f>-497.4+107-36.2</f>
        <v>-426.59999999999997</v>
      </c>
      <c r="CH142" s="390">
        <f>27.1+18.6-53.3</f>
        <v>-7.5999999999999943</v>
      </c>
      <c r="CI142" s="390">
        <f>-175.6+52.1+20.4-CH142</f>
        <v>-95.5</v>
      </c>
      <c r="CJ142" s="390">
        <f>-247.5+78+24.2-SUM(CH142:CI142)</f>
        <v>-42.200000000000017</v>
      </c>
      <c r="CK142" s="390">
        <f>-1678.9+99.6+43.3-SUM(CH142:CJ142)</f>
        <v>-1390.7000000000003</v>
      </c>
      <c r="CL142" s="46">
        <f>SUM(CK142,CJ142,CI142,CH142)</f>
        <v>-1536.0000000000002</v>
      </c>
      <c r="CM142" s="390">
        <v>0</v>
      </c>
      <c r="CN142" s="390">
        <v>0</v>
      </c>
      <c r="CO142" s="390">
        <v>0</v>
      </c>
      <c r="CP142" s="390">
        <v>0</v>
      </c>
      <c r="CQ142" s="46">
        <f>SUM(CP142,CO142,CN142,CM142)</f>
        <v>0</v>
      </c>
      <c r="CR142" s="390">
        <v>0</v>
      </c>
      <c r="CS142" s="390">
        <v>0</v>
      </c>
      <c r="CT142" s="390">
        <v>0</v>
      </c>
      <c r="CU142" s="390">
        <v>0</v>
      </c>
      <c r="CV142" s="46">
        <f>SUM(CU142,CT142,CS142,CR142)</f>
        <v>0</v>
      </c>
      <c r="CW142" s="390">
        <v>0</v>
      </c>
      <c r="CX142" s="390">
        <v>0</v>
      </c>
      <c r="CY142" s="390">
        <v>0</v>
      </c>
      <c r="CZ142" s="390">
        <v>0</v>
      </c>
      <c r="DA142" s="46">
        <f>SUM(CZ142,CY142,CX142,CW142)</f>
        <v>0</v>
      </c>
      <c r="DB142" s="390">
        <v>0</v>
      </c>
      <c r="DC142" s="390">
        <v>0</v>
      </c>
      <c r="DD142" s="390">
        <v>0</v>
      </c>
      <c r="DE142" s="390">
        <v>0</v>
      </c>
      <c r="DF142" s="46">
        <f>SUM(DE142,DD142,DC142,DB142)</f>
        <v>0</v>
      </c>
      <c r="DG142" s="1964"/>
      <c r="DO142"/>
    </row>
    <row r="143" spans="1:119" x14ac:dyDescent="0.2">
      <c r="B143" s="720" t="s">
        <v>127</v>
      </c>
      <c r="C143" s="507"/>
      <c r="D143" s="28"/>
      <c r="E143" s="28">
        <f t="shared" ref="E143:AJ143" si="467">SUM(E139:E142)</f>
        <v>245.90999999999966</v>
      </c>
      <c r="F143" s="30">
        <f t="shared" si="467"/>
        <v>50.062999999999889</v>
      </c>
      <c r="G143" s="30">
        <f t="shared" si="467"/>
        <v>45.480999999999653</v>
      </c>
      <c r="H143" s="30">
        <f t="shared" si="467"/>
        <v>72.879999999999981</v>
      </c>
      <c r="I143" s="30">
        <f t="shared" si="467"/>
        <v>112.95700000000001</v>
      </c>
      <c r="J143" s="28">
        <f t="shared" si="467"/>
        <v>281.38099999999952</v>
      </c>
      <c r="K143" s="30">
        <f t="shared" si="467"/>
        <v>24.798999999999701</v>
      </c>
      <c r="L143" s="30">
        <f t="shared" si="467"/>
        <v>170.71499999999938</v>
      </c>
      <c r="M143" s="30">
        <f t="shared" si="467"/>
        <v>91.449600000000444</v>
      </c>
      <c r="N143" s="30">
        <f t="shared" si="467"/>
        <v>138.99640000000153</v>
      </c>
      <c r="O143" s="28">
        <f t="shared" si="467"/>
        <v>425.96000000000106</v>
      </c>
      <c r="P143" s="29">
        <f t="shared" si="467"/>
        <v>94.436000000001187</v>
      </c>
      <c r="Q143" s="30">
        <f t="shared" si="467"/>
        <v>26.162000000000603</v>
      </c>
      <c r="R143" s="30">
        <f t="shared" si="467"/>
        <v>160.79800000000006</v>
      </c>
      <c r="S143" s="31">
        <f t="shared" si="467"/>
        <v>176.52799999999789</v>
      </c>
      <c r="T143" s="28">
        <f t="shared" si="467"/>
        <v>457.92399999999964</v>
      </c>
      <c r="U143" s="30">
        <f t="shared" si="467"/>
        <v>97.785000000000252</v>
      </c>
      <c r="V143" s="30">
        <f t="shared" si="467"/>
        <v>55.525999999999954</v>
      </c>
      <c r="W143" s="30">
        <f t="shared" si="467"/>
        <v>149.9649999999998</v>
      </c>
      <c r="X143" s="32">
        <f t="shared" ca="1" si="467"/>
        <v>192.74699999999908</v>
      </c>
      <c r="Y143" s="33">
        <f t="shared" ca="1" si="467"/>
        <v>496.02299999999912</v>
      </c>
      <c r="Z143" s="32">
        <f t="shared" si="467"/>
        <v>138.14999999999998</v>
      </c>
      <c r="AA143" s="32">
        <f t="shared" si="467"/>
        <v>178.25399999999939</v>
      </c>
      <c r="AB143" s="32">
        <f t="shared" si="467"/>
        <v>214.66399999999985</v>
      </c>
      <c r="AC143" s="32">
        <f t="shared" si="467"/>
        <v>261.83200000000068</v>
      </c>
      <c r="AD143" s="33">
        <f t="shared" si="467"/>
        <v>792.89999999999975</v>
      </c>
      <c r="AE143" s="32">
        <f t="shared" si="467"/>
        <v>41.000000000000377</v>
      </c>
      <c r="AF143" s="32">
        <f t="shared" si="467"/>
        <v>152.80000000000038</v>
      </c>
      <c r="AG143" s="32">
        <f t="shared" si="467"/>
        <v>158.80000000000018</v>
      </c>
      <c r="AH143" s="32">
        <f t="shared" si="467"/>
        <v>305.99999999999892</v>
      </c>
      <c r="AI143" s="33">
        <f t="shared" si="467"/>
        <v>658.59999999999991</v>
      </c>
      <c r="AJ143" s="32">
        <f t="shared" si="467"/>
        <v>155.59999999999928</v>
      </c>
      <c r="AK143" s="32">
        <f t="shared" ref="AK143:BP143" si="468">SUM(AK139:AK142)</f>
        <v>95.600000000000378</v>
      </c>
      <c r="AL143" s="32">
        <f t="shared" si="468"/>
        <v>246.99999999999946</v>
      </c>
      <c r="AM143" s="32">
        <f t="shared" si="468"/>
        <v>328.99999999999966</v>
      </c>
      <c r="AN143" s="33">
        <f t="shared" si="468"/>
        <v>827.19999999999879</v>
      </c>
      <c r="AO143" s="30">
        <f t="shared" si="468"/>
        <v>253.00000000000037</v>
      </c>
      <c r="AP143" s="30">
        <f t="shared" si="468"/>
        <v>233.50000000000037</v>
      </c>
      <c r="AQ143" s="32">
        <f t="shared" si="468"/>
        <v>242.39999999999972</v>
      </c>
      <c r="AR143" s="32">
        <f t="shared" si="468"/>
        <v>374.09999999999923</v>
      </c>
      <c r="AS143" s="33">
        <f t="shared" si="468"/>
        <v>1102.9999999999998</v>
      </c>
      <c r="AT143" s="30">
        <f t="shared" si="468"/>
        <v>286.30000000000035</v>
      </c>
      <c r="AU143" s="30">
        <f t="shared" si="468"/>
        <v>231.7</v>
      </c>
      <c r="AV143" s="32">
        <f t="shared" si="468"/>
        <v>408.49999999999937</v>
      </c>
      <c r="AW143" s="32">
        <f t="shared" si="468"/>
        <v>844.99999999999989</v>
      </c>
      <c r="AX143" s="33">
        <f t="shared" si="468"/>
        <v>1771.4999999999998</v>
      </c>
      <c r="AY143" s="32">
        <f t="shared" si="468"/>
        <v>760.7999999999995</v>
      </c>
      <c r="AZ143" s="32">
        <f t="shared" si="468"/>
        <v>688.0000000000008</v>
      </c>
      <c r="BA143" s="32">
        <f t="shared" si="468"/>
        <v>393.19999999999879</v>
      </c>
      <c r="BB143" s="32">
        <f t="shared" si="468"/>
        <v>275.40000000000077</v>
      </c>
      <c r="BC143" s="33">
        <f t="shared" si="468"/>
        <v>2117.4</v>
      </c>
      <c r="BD143" s="32">
        <f t="shared" si="468"/>
        <v>244.39999999999989</v>
      </c>
      <c r="BE143" s="30">
        <f t="shared" si="468"/>
        <v>458.70000000000044</v>
      </c>
      <c r="BF143" s="32">
        <f t="shared" si="468"/>
        <v>956.79999999999927</v>
      </c>
      <c r="BG143" s="32">
        <f t="shared" ca="1" si="468"/>
        <v>532.10000000000014</v>
      </c>
      <c r="BH143" s="33">
        <f t="shared" ca="1" si="468"/>
        <v>2192</v>
      </c>
      <c r="BI143" s="32">
        <f t="shared" si="468"/>
        <v>530.1</v>
      </c>
      <c r="BJ143" s="32">
        <f t="shared" si="468"/>
        <v>705.3</v>
      </c>
      <c r="BK143" s="32">
        <f t="shared" si="468"/>
        <v>808.7</v>
      </c>
      <c r="BL143" s="32">
        <f t="shared" si="468"/>
        <v>2737.5</v>
      </c>
      <c r="BM143" s="33">
        <f t="shared" si="468"/>
        <v>4781.5999999999995</v>
      </c>
      <c r="BN143" s="32">
        <f t="shared" ref="BN143:BW143" si="469">SUM(BN139:BN142)</f>
        <v>968.39999999999839</v>
      </c>
      <c r="BO143" s="32">
        <f t="shared" si="468"/>
        <v>-175.90000000000282</v>
      </c>
      <c r="BP143" s="32">
        <f t="shared" si="468"/>
        <v>1044.8999999999965</v>
      </c>
      <c r="BQ143" s="32">
        <f t="shared" si="469"/>
        <v>2920.1000000000008</v>
      </c>
      <c r="BR143" s="33">
        <f t="shared" si="469"/>
        <v>4757.4999999999927</v>
      </c>
      <c r="BS143" s="32">
        <f t="shared" si="469"/>
        <v>453.98299492385843</v>
      </c>
      <c r="BT143" s="32">
        <f t="shared" si="469"/>
        <v>735.51700507614146</v>
      </c>
      <c r="BU143" s="32">
        <f t="shared" si="469"/>
        <v>435.09999999999962</v>
      </c>
      <c r="BV143" s="32">
        <f t="shared" si="469"/>
        <v>2924.4000000000005</v>
      </c>
      <c r="BW143" s="33">
        <f t="shared" si="469"/>
        <v>4548.9999999999991</v>
      </c>
      <c r="BX143" s="32">
        <f t="shared" ref="BX143:CG143" si="470">SUM(BX139:BX142)</f>
        <v>281.4000000000002</v>
      </c>
      <c r="BY143" s="32">
        <f>SUM(BY139:BY142)</f>
        <v>899.90000000000009</v>
      </c>
      <c r="BZ143" s="32">
        <f>SUM(BZ139:BZ142)</f>
        <v>792.99999999999955</v>
      </c>
      <c r="CA143" s="32">
        <f>SUM(CA139:CA142)</f>
        <v>2874</v>
      </c>
      <c r="CB143" s="33">
        <f t="shared" si="470"/>
        <v>4848.3</v>
      </c>
      <c r="CC143" s="32">
        <f t="shared" ref="CC143:CE143" si="471">SUM(CC139:CC142)</f>
        <v>751.19999999999993</v>
      </c>
      <c r="CD143" s="32">
        <f t="shared" si="471"/>
        <v>438.89999999999986</v>
      </c>
      <c r="CE143" s="32">
        <f t="shared" si="471"/>
        <v>1480.4</v>
      </c>
      <c r="CF143" s="32">
        <f t="shared" si="470"/>
        <v>2248.9</v>
      </c>
      <c r="CG143" s="33">
        <f t="shared" si="470"/>
        <v>4919.3999999999996</v>
      </c>
      <c r="CH143" s="32">
        <f t="shared" ref="CH143:CI143" si="472">SUM(CH139:CH142)</f>
        <v>1000.3999999999999</v>
      </c>
      <c r="CI143" s="32">
        <f t="shared" si="472"/>
        <v>1081.1999999999998</v>
      </c>
      <c r="CJ143" s="32">
        <f t="shared" ref="CJ143:CK143" si="473">SUM(CJ139:CJ142)</f>
        <v>1899.9000000000003</v>
      </c>
      <c r="CK143" s="32">
        <f t="shared" si="473"/>
        <v>1369.7999999999997</v>
      </c>
      <c r="CL143" s="33">
        <f t="shared" ref="CL143:CQ143" si="474">SUM(CL139:CL142)</f>
        <v>5351.3</v>
      </c>
      <c r="CM143" s="32">
        <f t="shared" ca="1" si="474"/>
        <v>1108.1662991483283</v>
      </c>
      <c r="CN143" s="32">
        <f t="shared" ca="1" si="474"/>
        <v>1253.5487331106574</v>
      </c>
      <c r="CO143" s="32">
        <f t="shared" ca="1" si="474"/>
        <v>1531.4944946820256</v>
      </c>
      <c r="CP143" s="32">
        <f t="shared" ca="1" si="474"/>
        <v>1466.2149927175196</v>
      </c>
      <c r="CQ143" s="33">
        <f t="shared" ca="1" si="474"/>
        <v>5359.4245196585307</v>
      </c>
      <c r="CR143" s="32">
        <f t="shared" ref="CR143:CV143" ca="1" si="475">SUM(CR139:CR142)</f>
        <v>1930.7397189662747</v>
      </c>
      <c r="CS143" s="32">
        <f t="shared" ca="1" si="475"/>
        <v>1287.1206597289522</v>
      </c>
      <c r="CT143" s="32">
        <f t="shared" ca="1" si="475"/>
        <v>1519.9135825472472</v>
      </c>
      <c r="CU143" s="32">
        <f t="shared" ca="1" si="475"/>
        <v>1238.2467718788253</v>
      </c>
      <c r="CV143" s="33">
        <f t="shared" ca="1" si="475"/>
        <v>5976.0207331212996</v>
      </c>
      <c r="CW143" s="32">
        <f t="shared" ref="CW143:DF143" ca="1" si="476">SUM(CW139:CW142)</f>
        <v>1050.4609271156824</v>
      </c>
      <c r="CX143" s="32">
        <f t="shared" ca="1" si="476"/>
        <v>1176.8176429770031</v>
      </c>
      <c r="CY143" s="32">
        <f t="shared" ca="1" si="476"/>
        <v>1402.9211873940444</v>
      </c>
      <c r="CZ143" s="32">
        <f t="shared" ca="1" si="476"/>
        <v>1100.1301885161517</v>
      </c>
      <c r="DA143" s="33">
        <f t="shared" ca="1" si="476"/>
        <v>4730.3299460028811</v>
      </c>
      <c r="DB143" s="32">
        <f t="shared" ca="1" si="476"/>
        <v>874.76741798919261</v>
      </c>
      <c r="DC143" s="32">
        <f t="shared" ca="1" si="476"/>
        <v>1056.7473491555452</v>
      </c>
      <c r="DD143" s="32">
        <f t="shared" ca="1" si="476"/>
        <v>1288.7309746953204</v>
      </c>
      <c r="DE143" s="32">
        <f t="shared" ca="1" si="476"/>
        <v>994.83613651962514</v>
      </c>
      <c r="DF143" s="33">
        <f t="shared" ca="1" si="476"/>
        <v>4215.0818783596833</v>
      </c>
      <c r="DG143" s="1964"/>
      <c r="DO143"/>
    </row>
    <row r="144" spans="1:119" x14ac:dyDescent="0.2">
      <c r="B144" s="721"/>
      <c r="D144" s="28"/>
      <c r="E144" s="28"/>
      <c r="F144" s="30"/>
      <c r="G144" s="30"/>
      <c r="H144" s="30"/>
      <c r="I144" s="30"/>
      <c r="J144" s="28"/>
      <c r="K144" s="30"/>
      <c r="L144" s="30"/>
      <c r="M144" s="30"/>
      <c r="N144" s="30"/>
      <c r="O144" s="28"/>
      <c r="P144" s="29"/>
      <c r="Q144" s="30"/>
      <c r="R144" s="30"/>
      <c r="S144" s="31"/>
      <c r="T144" s="28"/>
      <c r="U144" s="30"/>
      <c r="V144" s="30"/>
      <c r="W144" s="30"/>
      <c r="X144" s="32"/>
      <c r="Y144" s="33"/>
      <c r="Z144" s="32"/>
      <c r="AA144" s="32"/>
      <c r="AB144" s="32"/>
      <c r="AC144" s="32"/>
      <c r="AD144" s="33"/>
      <c r="AE144" s="32"/>
      <c r="AF144" s="32"/>
      <c r="AG144" s="32"/>
      <c r="AH144" s="32"/>
      <c r="AI144" s="33"/>
      <c r="AJ144" s="32"/>
      <c r="AK144" s="32"/>
      <c r="AL144" s="32"/>
      <c r="AM144" s="32"/>
      <c r="AN144" s="33"/>
      <c r="AO144" s="30"/>
      <c r="AP144" s="30"/>
      <c r="AQ144" s="32"/>
      <c r="AR144" s="32"/>
      <c r="AS144" s="33"/>
      <c r="AT144" s="30"/>
      <c r="AU144" s="30"/>
      <c r="AV144" s="32"/>
      <c r="AW144" s="32"/>
      <c r="AX144" s="33"/>
      <c r="AY144" s="32"/>
      <c r="AZ144" s="32"/>
      <c r="BA144" s="32"/>
      <c r="BB144" s="32"/>
      <c r="BC144" s="33"/>
      <c r="BD144" s="32"/>
      <c r="BE144" s="32"/>
      <c r="BF144" s="32"/>
      <c r="BG144" s="32"/>
      <c r="BH144" s="33"/>
      <c r="BI144" s="32"/>
      <c r="BJ144" s="32"/>
      <c r="BK144" s="32"/>
      <c r="BL144" s="32"/>
      <c r="BM144" s="33"/>
      <c r="BN144" s="32"/>
      <c r="BO144" s="32"/>
      <c r="BP144" s="32"/>
      <c r="BQ144" s="32"/>
      <c r="BR144" s="33"/>
      <c r="BS144" s="32"/>
      <c r="BT144" s="32"/>
      <c r="BU144" s="32"/>
      <c r="BV144" s="32"/>
      <c r="BW144" s="33"/>
      <c r="BX144" s="32"/>
      <c r="BY144" s="32"/>
      <c r="BZ144" s="32"/>
      <c r="CA144" s="32"/>
      <c r="CB144" s="33"/>
      <c r="CC144" s="32"/>
      <c r="CD144" s="32"/>
      <c r="CE144" s="32"/>
      <c r="CF144" s="32"/>
      <c r="CG144" s="33"/>
      <c r="CH144" s="32"/>
      <c r="CI144" s="32"/>
      <c r="CJ144" s="32"/>
      <c r="CK144" s="32"/>
      <c r="CL144" s="33"/>
      <c r="CM144" s="32"/>
      <c r="CN144" s="32"/>
      <c r="CO144" s="32"/>
      <c r="CP144" s="32"/>
      <c r="CQ144" s="33"/>
      <c r="CR144" s="32"/>
      <c r="CS144" s="32"/>
      <c r="CT144" s="32"/>
      <c r="CU144" s="32"/>
      <c r="CV144" s="33"/>
      <c r="CW144" s="32"/>
      <c r="CX144" s="32"/>
      <c r="CY144" s="32"/>
      <c r="CZ144" s="32"/>
      <c r="DA144" s="33"/>
      <c r="DB144" s="32"/>
      <c r="DC144" s="32"/>
      <c r="DD144" s="32"/>
      <c r="DE144" s="32"/>
      <c r="DF144" s="33"/>
      <c r="DG144" s="1964"/>
      <c r="DO144"/>
    </row>
    <row r="145" spans="2:118" x14ac:dyDescent="0.2">
      <c r="B145" s="721" t="s">
        <v>128</v>
      </c>
      <c r="D145" s="28"/>
      <c r="E145" s="28">
        <f>-80.218+8.831</f>
        <v>-71.387</v>
      </c>
      <c r="F145" s="36">
        <v>-10.442</v>
      </c>
      <c r="G145" s="36">
        <f>-18.963-F145</f>
        <v>-8.5210000000000008</v>
      </c>
      <c r="H145" s="36">
        <f>-36.83+0.844-F145-G145</f>
        <v>-17.022999999999996</v>
      </c>
      <c r="I145" s="30">
        <f>J145-F145-G145-H145</f>
        <v>-20.456000000000003</v>
      </c>
      <c r="J145" s="34">
        <f>-57.286+0.844</f>
        <v>-56.442</v>
      </c>
      <c r="K145" s="36">
        <v>-9.2620000000000005</v>
      </c>
      <c r="L145" s="36">
        <f>-23.001-K145</f>
        <v>-13.739000000000001</v>
      </c>
      <c r="M145" s="36">
        <f>-32.472-K145-L145</f>
        <v>-9.4710000000000001</v>
      </c>
      <c r="N145" s="30">
        <f>O145-K145-L145-M145</f>
        <v>-28.830999999999992</v>
      </c>
      <c r="O145" s="34">
        <v>-61.302999999999997</v>
      </c>
      <c r="P145" s="35">
        <v>-9.1950000000000003</v>
      </c>
      <c r="Q145" s="433">
        <f>-21.562-P145</f>
        <v>-12.367000000000001</v>
      </c>
      <c r="R145" s="36">
        <f>-32.012-Q145-P145</f>
        <v>-10.45</v>
      </c>
      <c r="S145" s="37">
        <f>-53.105+6.455-R145-Q145-P145</f>
        <v>-14.638000000000002</v>
      </c>
      <c r="T145" s="28">
        <f>SUM(S145,R145,Q145,P145)</f>
        <v>-46.65</v>
      </c>
      <c r="U145" s="36">
        <v>-7.7389999999999999</v>
      </c>
      <c r="V145" s="36">
        <f>-17.354-U145</f>
        <v>-9.6149999999999984</v>
      </c>
      <c r="W145" s="36">
        <f>-33.387-V145-U145</f>
        <v>-16.033000000000001</v>
      </c>
      <c r="X145" s="134">
        <f>-51.516-W145-V145-U145</f>
        <v>-18.128999999999998</v>
      </c>
      <c r="Y145" s="33">
        <f>SUM(X145,W145,V145,U145)</f>
        <v>-51.515999999999998</v>
      </c>
      <c r="Z145" s="134">
        <v>-5.9379999999999997</v>
      </c>
      <c r="AA145" s="134">
        <f>-17.932-Z145</f>
        <v>-11.994</v>
      </c>
      <c r="AB145" s="134">
        <f>-34.211-AA145-Z145</f>
        <v>-16.279</v>
      </c>
      <c r="AC145" s="134">
        <f>-59.8-AB145-AA145-Z145</f>
        <v>-25.589000000000002</v>
      </c>
      <c r="AD145" s="33">
        <f>SUM(AC145,AB145,AA145,Z145)</f>
        <v>-59.800000000000004</v>
      </c>
      <c r="AE145" s="134">
        <v>-8.6999999999999993</v>
      </c>
      <c r="AF145" s="134">
        <f>-20.7-AE145</f>
        <v>-12</v>
      </c>
      <c r="AG145" s="134">
        <f>-38.2-AF145-AE145</f>
        <v>-17.500000000000004</v>
      </c>
      <c r="AH145" s="134">
        <f>-66.6-AG145-AF145-AE145</f>
        <v>-28.399999999999995</v>
      </c>
      <c r="AI145" s="33">
        <f>SUM(AH145,AG145,AF145,AE145)</f>
        <v>-66.599999999999994</v>
      </c>
      <c r="AJ145" s="134">
        <v>-8.3000000000000007</v>
      </c>
      <c r="AK145" s="134">
        <f>+-29.9-AJ145</f>
        <v>-21.599999999999998</v>
      </c>
      <c r="AL145" s="134">
        <f>-47.5-AK145-AJ145</f>
        <v>-17.600000000000001</v>
      </c>
      <c r="AM145" s="134">
        <f>-75-SUM(AJ145:AL145)</f>
        <v>-27.5</v>
      </c>
      <c r="AN145" s="33">
        <f>SUM(AM145,AL145,AK145,AJ145)</f>
        <v>-75</v>
      </c>
      <c r="AO145" s="36">
        <v>-11.7</v>
      </c>
      <c r="AP145" s="36">
        <f>-30.1-SUM(AO145)</f>
        <v>-18.400000000000002</v>
      </c>
      <c r="AQ145" s="134">
        <f>-59.9-SUM(AO145:AP145)</f>
        <v>-29.799999999999997</v>
      </c>
      <c r="AR145" s="134">
        <f>-85.8-SUM(AO145:AQ145)</f>
        <v>-25.9</v>
      </c>
      <c r="AS145" s="33">
        <f>SUM(AR145,AQ145,AP145,AO145)</f>
        <v>-85.8</v>
      </c>
      <c r="AT145" s="36">
        <v>-13.6</v>
      </c>
      <c r="AU145" s="36">
        <f>-32-SUM(AT145)</f>
        <v>-18.399999999999999</v>
      </c>
      <c r="AV145" s="134">
        <f>-90.5-AU145-AT145</f>
        <v>-58.499999999999993</v>
      </c>
      <c r="AW145" s="134">
        <f>-149.4-SUM(AT145:AV145)</f>
        <v>-58.900000000000006</v>
      </c>
      <c r="AX145" s="33">
        <f>SUM(AW145,AV145,AU145,AT145)</f>
        <v>-149.4</v>
      </c>
      <c r="AY145" s="134">
        <v>-34.200000000000003</v>
      </c>
      <c r="AZ145" s="134">
        <f>-51.1-AY145</f>
        <v>-16.899999999999999</v>
      </c>
      <c r="BA145" s="134">
        <f>-84.6-AZ145-AY145</f>
        <v>-33.499999999999986</v>
      </c>
      <c r="BB145" s="134">
        <f>-119.9+2.5-SUM(AY145:BA145)</f>
        <v>-32.800000000000011</v>
      </c>
      <c r="BC145" s="33">
        <f>SUM(BB145,BA145,AZ145,AY145)</f>
        <v>-117.39999999999999</v>
      </c>
      <c r="BD145" s="134">
        <v>-19.5</v>
      </c>
      <c r="BE145" s="134">
        <f>-54.1-BD145</f>
        <v>-34.6</v>
      </c>
      <c r="BF145" s="134">
        <f>-98.1-SUM(BD145:BE145)</f>
        <v>-43.999999999999993</v>
      </c>
      <c r="BG145" s="134">
        <f>-144.4-SUM(BD145:BF145)</f>
        <v>-46.300000000000011</v>
      </c>
      <c r="BH145" s="33">
        <f>SUM(BG145,BF145,BE145,BD145)</f>
        <v>-144.4</v>
      </c>
      <c r="BI145" s="134">
        <v>-18.7</v>
      </c>
      <c r="BJ145" s="134">
        <f>-66.6-BI145</f>
        <v>-47.899999999999991</v>
      </c>
      <c r="BK145" s="134">
        <f>-106-BJ145-BI145</f>
        <v>-39.400000000000006</v>
      </c>
      <c r="BL145" s="134">
        <f>-160.2-BK145-BJ145-BI145</f>
        <v>-54.199999999999989</v>
      </c>
      <c r="BM145" s="33">
        <f>SUM(BL145,BK145,BJ145,BI145)</f>
        <v>-160.19999999999999</v>
      </c>
      <c r="BN145" s="134">
        <v>-108.9</v>
      </c>
      <c r="BO145" s="134">
        <f>-195-BN145</f>
        <v>-86.1</v>
      </c>
      <c r="BP145" s="134">
        <f>-274.6-BO145-BN145</f>
        <v>-79.600000000000023</v>
      </c>
      <c r="BQ145" s="134">
        <f>-423-BP145-BO145-BN145</f>
        <v>-148.39999999999995</v>
      </c>
      <c r="BR145" s="33">
        <f>SUM(BQ145,BP145,BO145,BN145)</f>
        <v>-423</v>
      </c>
      <c r="BS145" s="134">
        <v>-117.1</v>
      </c>
      <c r="BT145" s="134">
        <f>-208.8-BS145</f>
        <v>-91.700000000000017</v>
      </c>
      <c r="BU145" s="134">
        <f>-327-BT145-BS145</f>
        <v>-118.19999999999999</v>
      </c>
      <c r="BV145" s="134">
        <f>-436.6-BU145-BT145-BS145</f>
        <v>-109.60000000000002</v>
      </c>
      <c r="BW145" s="33">
        <f>SUM(BV145,BU145,BT145,BS145)</f>
        <v>-436.6</v>
      </c>
      <c r="BX145" s="134">
        <v>-48.3</v>
      </c>
      <c r="BY145" s="134">
        <f>-107.1-BX145-BX146</f>
        <v>-58.8</v>
      </c>
      <c r="BZ145" s="134">
        <f>-177.1-SUM(BX145:BY145)</f>
        <v>-70</v>
      </c>
      <c r="CA145" s="134">
        <f>CB145-SUM(BX145:BZ145)</f>
        <v>-118.79999999999998</v>
      </c>
      <c r="CB145" s="33">
        <v>-295.89999999999998</v>
      </c>
      <c r="CC145" s="134">
        <v>-82.6</v>
      </c>
      <c r="CD145" s="134">
        <f>-158.5-CC145</f>
        <v>-75.900000000000006</v>
      </c>
      <c r="CE145" s="134">
        <f>-237.6-SUM(CC145:CD145)</f>
        <v>-79.099999999999994</v>
      </c>
      <c r="CF145" s="1910">
        <f>CG145-SUM(CC145:CE145)</f>
        <v>-92.799999999999983</v>
      </c>
      <c r="CG145" s="1846">
        <v>-330.4</v>
      </c>
      <c r="CH145" s="426">
        <v>-45.8</v>
      </c>
      <c r="CI145" s="426">
        <f>-105.3-CH145</f>
        <v>-59.5</v>
      </c>
      <c r="CJ145" s="426">
        <f>-177.3-SUM(CH145:CI145)</f>
        <v>-72.000000000000014</v>
      </c>
      <c r="CK145" s="426">
        <f>-267.4-SUM(CH145:CJ145)</f>
        <v>-90.099999999999966</v>
      </c>
      <c r="CL145" s="33">
        <f>SUM(CK145,CJ145,CI145,CH145)</f>
        <v>-267.39999999999998</v>
      </c>
      <c r="CM145" s="134">
        <f>+CH145*1.05</f>
        <v>-48.089999999999996</v>
      </c>
      <c r="CN145" s="134">
        <f t="shared" ref="CN145:CP145" si="477">+CI145*1.05</f>
        <v>-62.475000000000001</v>
      </c>
      <c r="CO145" s="134">
        <f t="shared" si="477"/>
        <v>-75.600000000000023</v>
      </c>
      <c r="CP145" s="134">
        <f t="shared" si="477"/>
        <v>-94.604999999999961</v>
      </c>
      <c r="CQ145" s="33">
        <f>SUM(CP145,CO145,CN145,CM145)</f>
        <v>-280.77</v>
      </c>
      <c r="CR145" s="134">
        <f>+CM145*1.05</f>
        <v>-50.494499999999995</v>
      </c>
      <c r="CS145" s="134">
        <f t="shared" ref="CS145" si="478">+CN145*1.05</f>
        <v>-65.59875000000001</v>
      </c>
      <c r="CT145" s="134">
        <f t="shared" ref="CT145" si="479">+CO145*1.05</f>
        <v>-79.380000000000024</v>
      </c>
      <c r="CU145" s="134">
        <f t="shared" ref="CU145" si="480">+CP145*1.05</f>
        <v>-99.335249999999959</v>
      </c>
      <c r="CV145" s="33">
        <f>SUM(CU145,CT145,CS145,CR145)</f>
        <v>-294.80849999999998</v>
      </c>
      <c r="CW145" s="134">
        <f>+CR145*1.05</f>
        <v>-53.019224999999999</v>
      </c>
      <c r="CX145" s="134">
        <f t="shared" ref="CX145" si="481">+CS145*1.05</f>
        <v>-68.878687500000012</v>
      </c>
      <c r="CY145" s="134">
        <f t="shared" ref="CY145" si="482">+CT145*1.05</f>
        <v>-83.349000000000032</v>
      </c>
      <c r="CZ145" s="134">
        <f t="shared" ref="CZ145" si="483">+CU145*1.05</f>
        <v>-104.30201249999996</v>
      </c>
      <c r="DA145" s="33">
        <f>SUM(CZ145,CY145,CX145,CW145)</f>
        <v>-309.548925</v>
      </c>
      <c r="DB145" s="134">
        <f>+CW145*1.05</f>
        <v>-55.67018625</v>
      </c>
      <c r="DC145" s="134">
        <f t="shared" ref="DC145" si="484">+CX145*1.05</f>
        <v>-72.32262187500001</v>
      </c>
      <c r="DD145" s="134">
        <f t="shared" ref="DD145" si="485">+CY145*1.05</f>
        <v>-87.516450000000034</v>
      </c>
      <c r="DE145" s="134">
        <f t="shared" ref="DE145" si="486">+CZ145*1.05</f>
        <v>-109.51711312499997</v>
      </c>
      <c r="DF145" s="33">
        <f>SUM(DE145,DD145,DC145,DB145)</f>
        <v>-325.02637125000001</v>
      </c>
      <c r="DG145" s="1964"/>
    </row>
    <row r="146" spans="2:118" x14ac:dyDescent="0.2">
      <c r="B146" s="721" t="s">
        <v>129</v>
      </c>
      <c r="D146" s="28"/>
      <c r="E146" s="28">
        <v>0</v>
      </c>
      <c r="F146" s="36">
        <v>-17.733000000000001</v>
      </c>
      <c r="G146" s="36">
        <f>-18.499-F146</f>
        <v>-0.76599999999999824</v>
      </c>
      <c r="H146" s="36">
        <f>-19.582-F146-G146</f>
        <v>-1.083000000000002</v>
      </c>
      <c r="I146" s="30">
        <f>J146-F146-G146-H146</f>
        <v>-0.68299999999999983</v>
      </c>
      <c r="J146" s="34">
        <v>-20.265000000000001</v>
      </c>
      <c r="K146" s="36">
        <v>-32.933999999999997</v>
      </c>
      <c r="L146" s="36">
        <f>-520.94-K146</f>
        <v>-488.00600000000009</v>
      </c>
      <c r="M146" s="36">
        <f>-497.229-K146-L146</f>
        <v>23.711000000000126</v>
      </c>
      <c r="N146" s="30">
        <f>O146-K146-L146-M146</f>
        <v>9.2469999999999573</v>
      </c>
      <c r="O146" s="34">
        <v>-487.98200000000003</v>
      </c>
      <c r="P146" s="35">
        <v>2.8039999999999998</v>
      </c>
      <c r="Q146" s="36">
        <f>2.924-P146</f>
        <v>0.12000000000000011</v>
      </c>
      <c r="R146" s="36">
        <f>3.56-Q146-P146</f>
        <v>0.63600000000000012</v>
      </c>
      <c r="S146" s="37">
        <f>3.871-R146-Q146-P146</f>
        <v>0.31099999999999994</v>
      </c>
      <c r="T146" s="28">
        <f>SUM(S146,R146,Q146,P146)</f>
        <v>3.871</v>
      </c>
      <c r="U146" s="36">
        <v>-331.81</v>
      </c>
      <c r="V146" s="36">
        <f>-331.058-U146</f>
        <v>0.75200000000000955</v>
      </c>
      <c r="W146" s="36">
        <f>-331.136-V146-U146</f>
        <v>-7.8000000000031378E-2</v>
      </c>
      <c r="X146" s="134">
        <f>-331.558-W146-V146-U146</f>
        <v>-0.42199999999996862</v>
      </c>
      <c r="Y146" s="33">
        <f>SUM(X146,W146,V146,U146)</f>
        <v>-331.55799999999999</v>
      </c>
      <c r="Z146" s="134">
        <v>-1.4E-2</v>
      </c>
      <c r="AA146" s="134">
        <f>-0.387-Z146</f>
        <v>-0.373</v>
      </c>
      <c r="AB146" s="134">
        <f>-2.15-AA146-Z146</f>
        <v>-1.7629999999999999</v>
      </c>
      <c r="AC146" s="134">
        <f>-1310.6-AB146-AA146-Z146</f>
        <v>-1308.45</v>
      </c>
      <c r="AD146" s="33">
        <f>SUM(AC146,AB146,AA146,Z146)</f>
        <v>-1310.5999999999999</v>
      </c>
      <c r="AE146" s="426">
        <v>0.2</v>
      </c>
      <c r="AF146" s="426">
        <f>0-AE146</f>
        <v>-0.2</v>
      </c>
      <c r="AG146" s="426">
        <f>0-AF146-AE146</f>
        <v>0</v>
      </c>
      <c r="AH146" s="426">
        <f>0.1-AG146-AF146-AE146</f>
        <v>0.10000000000000003</v>
      </c>
      <c r="AI146" s="412">
        <f>SUM(AH146,AG146,AF146,AE146)</f>
        <v>0.10000000000000003</v>
      </c>
      <c r="AJ146" s="431">
        <v>0</v>
      </c>
      <c r="AK146" s="431">
        <v>0</v>
      </c>
      <c r="AL146" s="431">
        <v>0</v>
      </c>
      <c r="AM146" s="426">
        <f>-14.3-SUM(AJ146:AL146)</f>
        <v>-14.3</v>
      </c>
      <c r="AN146" s="412">
        <f>SUM(AM146,AL146,AK146,AJ146)</f>
        <v>-14.3</v>
      </c>
      <c r="AO146" s="429">
        <v>0</v>
      </c>
      <c r="AP146" s="433">
        <v>0</v>
      </c>
      <c r="AQ146" s="426">
        <f>-246.5-SUM(AO146:AP146)</f>
        <v>-246.5</v>
      </c>
      <c r="AR146" s="426">
        <f>-251.5-SUM(AO146:AQ146)</f>
        <v>-5</v>
      </c>
      <c r="AS146" s="412">
        <f>SUM(AR146,AQ146,AP146,AO146)</f>
        <v>-251.5</v>
      </c>
      <c r="AT146" s="433">
        <v>0</v>
      </c>
      <c r="AU146" s="433">
        <f>0-AT146</f>
        <v>0</v>
      </c>
      <c r="AV146" s="426">
        <f>0-AT146-AU146</f>
        <v>0</v>
      </c>
      <c r="AW146" s="426">
        <v>-4672.6000000000004</v>
      </c>
      <c r="AX146" s="412">
        <f>SUM(AW146,AV146,AU146,AT146)</f>
        <v>-4672.6000000000004</v>
      </c>
      <c r="AY146" s="426">
        <v>0</v>
      </c>
      <c r="AZ146" s="426">
        <v>0</v>
      </c>
      <c r="BA146" s="426">
        <v>0</v>
      </c>
      <c r="BB146" s="426">
        <v>0</v>
      </c>
      <c r="BC146" s="412">
        <f>SUM(BB146,BA146,AZ146,AY146)</f>
        <v>0</v>
      </c>
      <c r="BD146" s="426">
        <v>0</v>
      </c>
      <c r="BE146" s="426">
        <v>0</v>
      </c>
      <c r="BF146" s="426">
        <v>0</v>
      </c>
      <c r="BG146" s="426">
        <v>0</v>
      </c>
      <c r="BH146" s="412">
        <f>SUM(BG146,BF146,BE146,BD146)</f>
        <v>0</v>
      </c>
      <c r="BI146" s="426">
        <v>0</v>
      </c>
      <c r="BJ146" s="426">
        <f>-10283.6-BI146</f>
        <v>-10283.6</v>
      </c>
      <c r="BK146" s="426">
        <f>-10283.6+31.5-BJ146-BI146</f>
        <v>31.5</v>
      </c>
      <c r="BL146" s="426">
        <f>-10326.4+42.8-BK146-BJ146-BI146</f>
        <v>-31.5</v>
      </c>
      <c r="BM146" s="412">
        <f>SUM(BL146,BK146,BJ146,BI146)</f>
        <v>-10283.6</v>
      </c>
      <c r="BN146" s="426">
        <v>0</v>
      </c>
      <c r="BO146" s="426">
        <f>77.9-BN146</f>
        <v>77.900000000000006</v>
      </c>
      <c r="BP146" s="426">
        <f>-14.5+313-BO146-BN146</f>
        <v>220.6</v>
      </c>
      <c r="BQ146" s="426">
        <f>356.9-14.5-BP146-BO146-BN146</f>
        <v>43.899999999999977</v>
      </c>
      <c r="BR146" s="412">
        <f>SUM(BQ146,BP146,BO146,BN146)</f>
        <v>342.4</v>
      </c>
      <c r="BS146" s="426">
        <v>0</v>
      </c>
      <c r="BT146" s="426">
        <v>0</v>
      </c>
      <c r="BU146" s="426">
        <v>0</v>
      </c>
      <c r="BV146" s="426">
        <f>2.2-BU146-BT146-BS146</f>
        <v>2.2000000000000002</v>
      </c>
      <c r="BW146" s="412">
        <f>SUM(BV146,BU146,BT146,BS146)</f>
        <v>2.2000000000000002</v>
      </c>
      <c r="BX146" s="426">
        <v>0</v>
      </c>
      <c r="BY146" s="426">
        <v>0</v>
      </c>
      <c r="BZ146" s="134">
        <v>0</v>
      </c>
      <c r="CA146" s="134">
        <f ca="1">CB146-SUM(BX146:BZ146)</f>
        <v>0</v>
      </c>
      <c r="CB146" s="412">
        <f ca="1">SUM(CA146,BZ146,BY146,BX146)</f>
        <v>0</v>
      </c>
      <c r="CC146" s="426">
        <v>0</v>
      </c>
      <c r="CD146" s="426">
        <v>0</v>
      </c>
      <c r="CE146" s="426">
        <v>0</v>
      </c>
      <c r="CF146" s="431">
        <v>0</v>
      </c>
      <c r="CG146" s="1846">
        <f>SUM(CF146,CE146,CD146,CC146)</f>
        <v>0</v>
      </c>
      <c r="CH146" s="431">
        <v>0</v>
      </c>
      <c r="CI146" s="431">
        <v>-122.7</v>
      </c>
      <c r="CJ146" s="431">
        <f>-122.7-SUM(CI146,CH146)</f>
        <v>0</v>
      </c>
      <c r="CK146" s="431">
        <f>-3501.1+85.3-SUM(CH146:CJ146)</f>
        <v>-3293.1</v>
      </c>
      <c r="CL146" s="412">
        <f>SUM(CK146,CJ146,CI146,CH146)</f>
        <v>-3415.7999999999997</v>
      </c>
      <c r="CM146" s="431">
        <v>0</v>
      </c>
      <c r="CN146" s="431">
        <v>0</v>
      </c>
      <c r="CO146" s="431">
        <v>0</v>
      </c>
      <c r="CP146" s="431">
        <v>0</v>
      </c>
      <c r="CQ146" s="412">
        <f>SUM(CP146,CO146,CN146,CM146)</f>
        <v>0</v>
      </c>
      <c r="CR146" s="431">
        <v>0</v>
      </c>
      <c r="CS146" s="431">
        <v>0</v>
      </c>
      <c r="CT146" s="431">
        <v>0</v>
      </c>
      <c r="CU146" s="431">
        <v>0</v>
      </c>
      <c r="CV146" s="412">
        <f>SUM(CU146,CT146,CS146,CR146)</f>
        <v>0</v>
      </c>
      <c r="CW146" s="431">
        <v>0</v>
      </c>
      <c r="CX146" s="431">
        <v>0</v>
      </c>
      <c r="CY146" s="431">
        <v>0</v>
      </c>
      <c r="CZ146" s="431">
        <v>0</v>
      </c>
      <c r="DA146" s="412">
        <f>SUM(CZ146,CY146,CX146,CW146)</f>
        <v>0</v>
      </c>
      <c r="DB146" s="431">
        <v>0</v>
      </c>
      <c r="DC146" s="431">
        <v>0</v>
      </c>
      <c r="DD146" s="431">
        <v>0</v>
      </c>
      <c r="DE146" s="431">
        <v>0</v>
      </c>
      <c r="DF146" s="412">
        <f>SUM(DE146,DD146,DC146,DB146)</f>
        <v>0</v>
      </c>
      <c r="DG146" s="1964"/>
    </row>
    <row r="147" spans="2:118" x14ac:dyDescent="0.2">
      <c r="B147" s="721" t="s">
        <v>101</v>
      </c>
      <c r="D147" s="38"/>
      <c r="E147" s="38">
        <v>-2.1909999999999998</v>
      </c>
      <c r="F147" s="39">
        <v>6.8000000000000005E-2</v>
      </c>
      <c r="G147" s="39">
        <f>-5.708-F147</f>
        <v>-5.7759999999999998</v>
      </c>
      <c r="H147" s="39">
        <f>-7.234-F147-G147</f>
        <v>-1.5259999999999998</v>
      </c>
      <c r="I147" s="44">
        <f>J147-F147-G147-H147</f>
        <v>7.2219999999999995</v>
      </c>
      <c r="J147" s="648">
        <v>-1.2E-2</v>
      </c>
      <c r="K147" s="39">
        <v>5.0000000000000001E-3</v>
      </c>
      <c r="L147" s="39">
        <f>0.508-K147</f>
        <v>0.503</v>
      </c>
      <c r="M147" s="39">
        <f>0.655-K147-L147</f>
        <v>0.14700000000000002</v>
      </c>
      <c r="N147" s="44">
        <f>O147-K147-L147-M147</f>
        <v>-9.7999999999999976E-2</v>
      </c>
      <c r="O147" s="648">
        <v>0.55700000000000005</v>
      </c>
      <c r="P147" s="647">
        <v>7.0000000000000001E-3</v>
      </c>
      <c r="Q147" s="39">
        <f>0.01-P147</f>
        <v>3.0000000000000001E-3</v>
      </c>
      <c r="R147" s="39">
        <f>0.015-Q147-P147</f>
        <v>5.0000000000000001E-3</v>
      </c>
      <c r="S147" s="649">
        <f>-0.069-R147-Q147-P147</f>
        <v>-8.4000000000000019E-2</v>
      </c>
      <c r="T147" s="38">
        <f>SUM(S147,R147,Q147,P147)</f>
        <v>-6.9000000000000006E-2</v>
      </c>
      <c r="U147" s="39">
        <v>-0.90500000000000003</v>
      </c>
      <c r="V147" s="39">
        <f>-11.3+0.096-U147</f>
        <v>-10.299000000000001</v>
      </c>
      <c r="W147" s="39">
        <f>-14.05+0.103-V147-U147</f>
        <v>-2.7429999999999994</v>
      </c>
      <c r="X147" s="404">
        <f>-14.05+0.103-W147-V147-U147</f>
        <v>0</v>
      </c>
      <c r="Y147" s="46">
        <f>SUM(X147,W147,V147,U147)</f>
        <v>-13.947000000000001</v>
      </c>
      <c r="Z147" s="404">
        <f>2.188+0.004</f>
        <v>2.1920000000000002</v>
      </c>
      <c r="AA147" s="404">
        <f>2.188-0.296-Z147</f>
        <v>-0.30000000000000004</v>
      </c>
      <c r="AB147" s="404">
        <f>2.188-0.294-AA147-Z147</f>
        <v>1.9999999999997797E-3</v>
      </c>
      <c r="AC147" s="404">
        <f>2.1-0.3-AB147-AA147-Z147</f>
        <v>-9.3999999999999861E-2</v>
      </c>
      <c r="AD147" s="46">
        <f>SUM(AC147,AB147,AA147,Z147)</f>
        <v>1.8</v>
      </c>
      <c r="AE147" s="390">
        <v>0</v>
      </c>
      <c r="AF147" s="390">
        <f>-0.1-AE147</f>
        <v>-0.1</v>
      </c>
      <c r="AG147" s="390">
        <f>0.1-AF147-AE147</f>
        <v>0.2</v>
      </c>
      <c r="AH147" s="390">
        <f>-31.5-2.8-0.2-AG147-AF147-AE147</f>
        <v>-34.6</v>
      </c>
      <c r="AI147" s="413">
        <f>SUM(AH147,AG147,AF147,AE147)</f>
        <v>-34.5</v>
      </c>
      <c r="AJ147" s="390">
        <f>-0.4-0.4</f>
        <v>-0.8</v>
      </c>
      <c r="AK147" s="390">
        <f>+(34.2+-0.6)-AJ147</f>
        <v>34.4</v>
      </c>
      <c r="AL147" s="390">
        <f>(34.2-0.6-2)-AK147-AJ147</f>
        <v>-1.9999999999999971</v>
      </c>
      <c r="AM147" s="390">
        <f>34.2-0.7-2.5-SUM(AJ147:AL147)</f>
        <v>-0.60000000000000497</v>
      </c>
      <c r="AN147" s="413">
        <f>SUM(AM147,AL147,AK147,AJ147)</f>
        <v>30.999999999999996</v>
      </c>
      <c r="AO147" s="397">
        <v>-0.4</v>
      </c>
      <c r="AP147" s="397">
        <f>-0.7-SUM(AO147)</f>
        <v>-0.29999999999999993</v>
      </c>
      <c r="AQ147" s="390">
        <f>-49.3+27.7-0.9-SUM(AO147:AP147)</f>
        <v>-21.799999999999997</v>
      </c>
      <c r="AR147" s="390">
        <f>-49.3+38.9+27.7-0.6-SUM(AO147:AQ147)</f>
        <v>39.199999999999996</v>
      </c>
      <c r="AS147" s="413">
        <f>SUM(AR147,AQ147,AP147,AO147)</f>
        <v>16.7</v>
      </c>
      <c r="AT147" s="397">
        <v>3.2</v>
      </c>
      <c r="AU147" s="397">
        <f>-1198.9+5.4-SUM(AT147)</f>
        <v>-1196.7</v>
      </c>
      <c r="AV147" s="390">
        <f>-1198.9+5.4-AU147-AT147</f>
        <v>4.5297099404706387E-14</v>
      </c>
      <c r="AW147" s="390">
        <f>-1201.4+1198.9+6.4-4.3-SUM(AT147:AV147)</f>
        <v>1193.0999999999999</v>
      </c>
      <c r="AX147" s="413">
        <f>SUM(AW147,AV147,AU147,AT147)</f>
        <v>-0.40000000000013625</v>
      </c>
      <c r="AY147" s="390">
        <v>5.2</v>
      </c>
      <c r="AZ147" s="390">
        <f>-10+12.7-AY147+-0.8</f>
        <v>-3.3000000000000007</v>
      </c>
      <c r="BA147" s="390">
        <f>-10+15.8-AZ147-AY147-0.8</f>
        <v>3.1000000000000014</v>
      </c>
      <c r="BB147" s="390">
        <f>-38+8.6-SUM(AY147:BA147)+1.7-0.8</f>
        <v>-33.499999999999993</v>
      </c>
      <c r="BC147" s="413">
        <f>SUM(BB147,BA147,AZ147,AY147)</f>
        <v>-28.499999999999989</v>
      </c>
      <c r="BD147" s="390">
        <v>1.7</v>
      </c>
      <c r="BE147" s="390">
        <f>2.4-BD147</f>
        <v>0.7</v>
      </c>
      <c r="BF147" s="390">
        <f>8.5-SUM(BD147:BE147)</f>
        <v>6.1</v>
      </c>
      <c r="BG147" s="390">
        <f>-25+45+0.5-SUM(BD147:BF147)</f>
        <v>12</v>
      </c>
      <c r="BH147" s="413">
        <f>SUM(BG147,BF147,BE147,BD147)</f>
        <v>20.5</v>
      </c>
      <c r="BI147" s="390">
        <v>-10.3</v>
      </c>
      <c r="BJ147" s="390">
        <f>-11.2-BI147</f>
        <v>-0.89999999999999858</v>
      </c>
      <c r="BK147" s="390">
        <f>-16.2-BJ147-BI147</f>
        <v>-5</v>
      </c>
      <c r="BL147" s="390">
        <f>-2.8+4.6+61.5-5.8-5.4-BK147-BJ147-BI147</f>
        <v>68.3</v>
      </c>
      <c r="BM147" s="413">
        <f>SUM(BL147,BK147,BJ147,BI147)</f>
        <v>52.099999999999994</v>
      </c>
      <c r="BN147" s="390">
        <f>-4.4-0.6</f>
        <v>-5</v>
      </c>
      <c r="BO147" s="390">
        <f>1.3-2-BN147</f>
        <v>4.3</v>
      </c>
      <c r="BP147" s="390">
        <f>-11.8-BO147-2.1-BN147</f>
        <v>-13.200000000000003</v>
      </c>
      <c r="BQ147" s="390">
        <f>10.6-BP147-BO147-BN147-2.1</f>
        <v>22.400000000000002</v>
      </c>
      <c r="BR147" s="413">
        <f>SUM(BQ147,BP147,BO147,BN147)</f>
        <v>8.5</v>
      </c>
      <c r="BS147" s="390">
        <v>2</v>
      </c>
      <c r="BT147" s="390">
        <f>6.7-BS147</f>
        <v>4.7</v>
      </c>
      <c r="BU147" s="390">
        <f>7.7-BT147-BS147</f>
        <v>1</v>
      </c>
      <c r="BV147" s="390">
        <f>22.5-BU147-BT147-BS147</f>
        <v>14.8</v>
      </c>
      <c r="BW147" s="413">
        <f>SUM(BV147,BU147,BT147,BS147)</f>
        <v>22.5</v>
      </c>
      <c r="BX147" s="1778">
        <v>-19.7</v>
      </c>
      <c r="BY147" s="390">
        <v>2.2000000000000002</v>
      </c>
      <c r="BZ147" s="404">
        <f>19.2-SUM(BX147:BY147)</f>
        <v>36.700000000000003</v>
      </c>
      <c r="CA147" s="404">
        <f>CB147-SUM(BX147:BZ147)</f>
        <v>8.1999999999999957</v>
      </c>
      <c r="CB147" s="413">
        <v>27.4</v>
      </c>
      <c r="CC147" s="1778">
        <v>2.8</v>
      </c>
      <c r="CD147" s="390">
        <f>-3.4-CC147</f>
        <v>-6.1999999999999993</v>
      </c>
      <c r="CE147" s="390">
        <f>-7.6-SUM(CC147:CD147)</f>
        <v>-4.2</v>
      </c>
      <c r="CF147" s="390">
        <f>CG147-SUM(CC147:CE147)</f>
        <v>-13.9</v>
      </c>
      <c r="CG147" s="1847">
        <v>-21.5</v>
      </c>
      <c r="CH147" s="390">
        <v>-2.2999999999999998</v>
      </c>
      <c r="CI147" s="390">
        <f>-7.5-CH147</f>
        <v>-5.2</v>
      </c>
      <c r="CJ147" s="390">
        <f>-11.3-SUM(CH147:CI147)</f>
        <v>-3.8000000000000007</v>
      </c>
      <c r="CK147" s="390">
        <f>-7.4-SUM(CH147:CJ147)</f>
        <v>3.9000000000000004</v>
      </c>
      <c r="CL147" s="413">
        <f>SUM(CK147,CJ147,CI147,CH147)</f>
        <v>-7.4</v>
      </c>
      <c r="CM147" s="396">
        <v>0</v>
      </c>
      <c r="CN147" s="396">
        <v>0</v>
      </c>
      <c r="CO147" s="396">
        <v>0</v>
      </c>
      <c r="CP147" s="396">
        <v>0</v>
      </c>
      <c r="CQ147" s="413">
        <f>SUM(CP147,CO147,CN147,CM147)</f>
        <v>0</v>
      </c>
      <c r="CR147" s="396">
        <v>0</v>
      </c>
      <c r="CS147" s="396">
        <v>0</v>
      </c>
      <c r="CT147" s="396">
        <v>0</v>
      </c>
      <c r="CU147" s="396">
        <v>0</v>
      </c>
      <c r="CV147" s="413">
        <f>SUM(CU147,CT147,CS147,CR147)</f>
        <v>0</v>
      </c>
      <c r="CW147" s="396">
        <v>0</v>
      </c>
      <c r="CX147" s="396">
        <v>0</v>
      </c>
      <c r="CY147" s="396">
        <v>0</v>
      </c>
      <c r="CZ147" s="396">
        <v>0</v>
      </c>
      <c r="DA147" s="413">
        <f>SUM(CZ147,CY147,CX147,CW147)</f>
        <v>0</v>
      </c>
      <c r="DB147" s="396">
        <v>0</v>
      </c>
      <c r="DC147" s="396">
        <v>0</v>
      </c>
      <c r="DD147" s="396">
        <v>0</v>
      </c>
      <c r="DE147" s="396">
        <v>0</v>
      </c>
      <c r="DF147" s="413">
        <f>SUM(DE147,DD147,DC147,DB147)</f>
        <v>0</v>
      </c>
      <c r="DG147" s="1964"/>
    </row>
    <row r="148" spans="2:118" x14ac:dyDescent="0.2">
      <c r="B148" s="720" t="s">
        <v>130</v>
      </c>
      <c r="C148" s="507"/>
      <c r="D148" s="28"/>
      <c r="E148" s="28">
        <f t="shared" ref="E148:AJ148" si="487">SUM(E145:E147)</f>
        <v>-73.578000000000003</v>
      </c>
      <c r="F148" s="30">
        <f t="shared" si="487"/>
        <v>-28.106999999999999</v>
      </c>
      <c r="G148" s="30">
        <f t="shared" si="487"/>
        <v>-15.062999999999999</v>
      </c>
      <c r="H148" s="30">
        <f t="shared" si="487"/>
        <v>-19.631999999999998</v>
      </c>
      <c r="I148" s="30">
        <f t="shared" si="487"/>
        <v>-13.917000000000003</v>
      </c>
      <c r="J148" s="28">
        <f t="shared" si="487"/>
        <v>-76.718999999999994</v>
      </c>
      <c r="K148" s="30">
        <f t="shared" si="487"/>
        <v>-42.190999999999995</v>
      </c>
      <c r="L148" s="30">
        <f t="shared" si="487"/>
        <v>-501.24200000000008</v>
      </c>
      <c r="M148" s="30">
        <f t="shared" si="487"/>
        <v>14.387000000000127</v>
      </c>
      <c r="N148" s="30">
        <f t="shared" si="487"/>
        <v>-19.682000000000034</v>
      </c>
      <c r="O148" s="28">
        <f t="shared" si="487"/>
        <v>-548.72800000000007</v>
      </c>
      <c r="P148" s="29">
        <f t="shared" si="487"/>
        <v>-6.3840000000000003</v>
      </c>
      <c r="Q148" s="30">
        <f t="shared" si="487"/>
        <v>-12.244</v>
      </c>
      <c r="R148" s="30">
        <f t="shared" si="487"/>
        <v>-9.8089999999999993</v>
      </c>
      <c r="S148" s="31">
        <f t="shared" si="487"/>
        <v>-14.411000000000001</v>
      </c>
      <c r="T148" s="28">
        <f t="shared" si="487"/>
        <v>-42.847999999999999</v>
      </c>
      <c r="U148" s="30">
        <f t="shared" si="487"/>
        <v>-340.45399999999995</v>
      </c>
      <c r="V148" s="30">
        <f t="shared" si="487"/>
        <v>-19.161999999999992</v>
      </c>
      <c r="W148" s="30">
        <f t="shared" si="487"/>
        <v>-18.854000000000031</v>
      </c>
      <c r="X148" s="32">
        <f t="shared" si="487"/>
        <v>-18.550999999999966</v>
      </c>
      <c r="Y148" s="33">
        <f t="shared" si="487"/>
        <v>-397.02100000000002</v>
      </c>
      <c r="Z148" s="32">
        <f t="shared" si="487"/>
        <v>-3.76</v>
      </c>
      <c r="AA148" s="32">
        <f t="shared" si="487"/>
        <v>-12.667</v>
      </c>
      <c r="AB148" s="32">
        <f t="shared" si="487"/>
        <v>-18.040000000000003</v>
      </c>
      <c r="AC148" s="32">
        <f t="shared" si="487"/>
        <v>-1334.133</v>
      </c>
      <c r="AD148" s="33">
        <f t="shared" si="487"/>
        <v>-1368.6</v>
      </c>
      <c r="AE148" s="32">
        <f t="shared" si="487"/>
        <v>-8.5</v>
      </c>
      <c r="AF148" s="32">
        <f t="shared" si="487"/>
        <v>-12.299999999999999</v>
      </c>
      <c r="AG148" s="32">
        <f t="shared" si="487"/>
        <v>-17.300000000000004</v>
      </c>
      <c r="AH148" s="32">
        <f t="shared" si="487"/>
        <v>-62.899999999999991</v>
      </c>
      <c r="AI148" s="33">
        <f t="shared" si="487"/>
        <v>-101</v>
      </c>
      <c r="AJ148" s="32">
        <f t="shared" si="487"/>
        <v>-9.1000000000000014</v>
      </c>
      <c r="AK148" s="32">
        <f t="shared" ref="AK148:BP148" si="488">SUM(AK145:AK147)</f>
        <v>12.8</v>
      </c>
      <c r="AL148" s="32">
        <f t="shared" si="488"/>
        <v>-19.599999999999998</v>
      </c>
      <c r="AM148" s="32">
        <f t="shared" si="488"/>
        <v>-42.400000000000006</v>
      </c>
      <c r="AN148" s="33">
        <f t="shared" si="488"/>
        <v>-58.3</v>
      </c>
      <c r="AO148" s="30">
        <f t="shared" si="488"/>
        <v>-12.1</v>
      </c>
      <c r="AP148" s="30">
        <f t="shared" si="488"/>
        <v>-18.700000000000003</v>
      </c>
      <c r="AQ148" s="32">
        <f t="shared" si="488"/>
        <v>-298.10000000000002</v>
      </c>
      <c r="AR148" s="32">
        <f t="shared" si="488"/>
        <v>8.2999999999999972</v>
      </c>
      <c r="AS148" s="33">
        <f t="shared" si="488"/>
        <v>-320.60000000000002</v>
      </c>
      <c r="AT148" s="30">
        <f t="shared" si="488"/>
        <v>-10.399999999999999</v>
      </c>
      <c r="AU148" s="30">
        <f t="shared" si="488"/>
        <v>-1215.1000000000001</v>
      </c>
      <c r="AV148" s="32">
        <f t="shared" si="488"/>
        <v>-58.49999999999995</v>
      </c>
      <c r="AW148" s="32">
        <f t="shared" si="488"/>
        <v>-3538.4</v>
      </c>
      <c r="AX148" s="33">
        <f t="shared" si="488"/>
        <v>-4822.4000000000005</v>
      </c>
      <c r="AY148" s="32">
        <f t="shared" si="488"/>
        <v>-29.000000000000004</v>
      </c>
      <c r="AZ148" s="32">
        <f t="shared" si="488"/>
        <v>-20.2</v>
      </c>
      <c r="BA148" s="32">
        <f t="shared" si="488"/>
        <v>-30.399999999999984</v>
      </c>
      <c r="BB148" s="32">
        <f t="shared" si="488"/>
        <v>-66.300000000000011</v>
      </c>
      <c r="BC148" s="33">
        <f t="shared" si="488"/>
        <v>-145.89999999999998</v>
      </c>
      <c r="BD148" s="32">
        <f t="shared" si="488"/>
        <v>-17.8</v>
      </c>
      <c r="BE148" s="32">
        <f t="shared" si="488"/>
        <v>-33.9</v>
      </c>
      <c r="BF148" s="32">
        <f t="shared" si="488"/>
        <v>-37.899999999999991</v>
      </c>
      <c r="BG148" s="32">
        <f t="shared" si="488"/>
        <v>-34.300000000000011</v>
      </c>
      <c r="BH148" s="33">
        <f t="shared" si="488"/>
        <v>-123.9</v>
      </c>
      <c r="BI148" s="32">
        <f t="shared" si="488"/>
        <v>-29</v>
      </c>
      <c r="BJ148" s="32">
        <f t="shared" si="488"/>
        <v>-10332.4</v>
      </c>
      <c r="BK148" s="32">
        <f t="shared" si="488"/>
        <v>-12.900000000000006</v>
      </c>
      <c r="BL148" s="32">
        <f t="shared" si="488"/>
        <v>-17.399999999999991</v>
      </c>
      <c r="BM148" s="33">
        <f t="shared" si="488"/>
        <v>-10391.700000000001</v>
      </c>
      <c r="BN148" s="32">
        <f t="shared" ref="BN148:BW148" si="489">SUM(BN145:BN147)</f>
        <v>-113.9</v>
      </c>
      <c r="BO148" s="32">
        <f t="shared" si="488"/>
        <v>-3.8999999999999888</v>
      </c>
      <c r="BP148" s="32">
        <f t="shared" si="488"/>
        <v>127.79999999999997</v>
      </c>
      <c r="BQ148" s="32">
        <f t="shared" si="489"/>
        <v>-82.099999999999966</v>
      </c>
      <c r="BR148" s="33">
        <f t="shared" si="489"/>
        <v>-72.100000000000023</v>
      </c>
      <c r="BS148" s="32">
        <f>SUM(BS145:BS147)</f>
        <v>-115.1</v>
      </c>
      <c r="BT148" s="32">
        <f t="shared" si="489"/>
        <v>-87.000000000000014</v>
      </c>
      <c r="BU148" s="32">
        <f t="shared" si="489"/>
        <v>-117.19999999999999</v>
      </c>
      <c r="BV148" s="32">
        <f t="shared" si="489"/>
        <v>-92.600000000000023</v>
      </c>
      <c r="BW148" s="33">
        <f t="shared" si="489"/>
        <v>-411.90000000000003</v>
      </c>
      <c r="BX148" s="32">
        <f t="shared" ref="BX148:CG148" si="490">SUM(BX145:BX147)</f>
        <v>-68</v>
      </c>
      <c r="BY148" s="32">
        <f>SUM(BY145:BY147)</f>
        <v>-56.599999999999994</v>
      </c>
      <c r="BZ148" s="32">
        <f>SUM(BZ145:BZ147)</f>
        <v>-33.299999999999997</v>
      </c>
      <c r="CA148" s="32">
        <f ca="1">SUM(CA145:CA147)</f>
        <v>-110.6</v>
      </c>
      <c r="CB148" s="33">
        <f t="shared" ca="1" si="490"/>
        <v>-268.5</v>
      </c>
      <c r="CC148" s="32">
        <f t="shared" ref="CC148:CE148" si="491">SUM(CC145:CC147)</f>
        <v>-79.8</v>
      </c>
      <c r="CD148" s="32">
        <f t="shared" si="491"/>
        <v>-82.100000000000009</v>
      </c>
      <c r="CE148" s="32">
        <f t="shared" si="491"/>
        <v>-83.3</v>
      </c>
      <c r="CF148" s="32">
        <f t="shared" si="490"/>
        <v>-106.69999999999999</v>
      </c>
      <c r="CG148" s="33">
        <f t="shared" si="490"/>
        <v>-351.9</v>
      </c>
      <c r="CH148" s="32">
        <f t="shared" ref="CH148:CI148" si="492">SUM(CH145:CH147)</f>
        <v>-48.099999999999994</v>
      </c>
      <c r="CI148" s="32">
        <f t="shared" si="492"/>
        <v>-187.39999999999998</v>
      </c>
      <c r="CJ148" s="32">
        <f t="shared" ref="CJ148:CK148" si="493">SUM(CJ145:CJ147)</f>
        <v>-75.800000000000011</v>
      </c>
      <c r="CK148" s="32">
        <f t="shared" si="493"/>
        <v>-3379.2999999999997</v>
      </c>
      <c r="CL148" s="33">
        <f t="shared" ref="CL148:CQ148" si="494">SUM(CL145:CL147)</f>
        <v>-3690.6</v>
      </c>
      <c r="CM148" s="32">
        <f t="shared" si="494"/>
        <v>-48.089999999999996</v>
      </c>
      <c r="CN148" s="32">
        <f t="shared" si="494"/>
        <v>-62.475000000000001</v>
      </c>
      <c r="CO148" s="32">
        <f t="shared" si="494"/>
        <v>-75.600000000000023</v>
      </c>
      <c r="CP148" s="32">
        <f t="shared" si="494"/>
        <v>-94.604999999999961</v>
      </c>
      <c r="CQ148" s="33">
        <f t="shared" si="494"/>
        <v>-280.77</v>
      </c>
      <c r="CR148" s="32">
        <f t="shared" ref="CR148:CV148" si="495">SUM(CR145:CR147)</f>
        <v>-50.494499999999995</v>
      </c>
      <c r="CS148" s="32">
        <f t="shared" si="495"/>
        <v>-65.59875000000001</v>
      </c>
      <c r="CT148" s="32">
        <f t="shared" si="495"/>
        <v>-79.380000000000024</v>
      </c>
      <c r="CU148" s="32">
        <f t="shared" si="495"/>
        <v>-99.335249999999959</v>
      </c>
      <c r="CV148" s="33">
        <f t="shared" si="495"/>
        <v>-294.80849999999998</v>
      </c>
      <c r="CW148" s="32">
        <f t="shared" ref="CW148:DF148" si="496">SUM(CW145:CW147)</f>
        <v>-53.019224999999999</v>
      </c>
      <c r="CX148" s="32">
        <f t="shared" si="496"/>
        <v>-68.878687500000012</v>
      </c>
      <c r="CY148" s="32">
        <f t="shared" si="496"/>
        <v>-83.349000000000032</v>
      </c>
      <c r="CZ148" s="32">
        <f t="shared" si="496"/>
        <v>-104.30201249999996</v>
      </c>
      <c r="DA148" s="33">
        <f t="shared" si="496"/>
        <v>-309.548925</v>
      </c>
      <c r="DB148" s="32">
        <f t="shared" si="496"/>
        <v>-55.67018625</v>
      </c>
      <c r="DC148" s="32">
        <f t="shared" si="496"/>
        <v>-72.32262187500001</v>
      </c>
      <c r="DD148" s="32">
        <f t="shared" si="496"/>
        <v>-87.516450000000034</v>
      </c>
      <c r="DE148" s="32">
        <f t="shared" si="496"/>
        <v>-109.51711312499997</v>
      </c>
      <c r="DF148" s="33">
        <f t="shared" si="496"/>
        <v>-325.02637125000001</v>
      </c>
      <c r="DG148" s="1964"/>
    </row>
    <row r="149" spans="2:118" x14ac:dyDescent="0.2">
      <c r="B149" s="721"/>
      <c r="D149" s="28"/>
      <c r="E149" s="28"/>
      <c r="F149" s="30"/>
      <c r="G149" s="30"/>
      <c r="H149" s="30"/>
      <c r="I149" s="30"/>
      <c r="J149" s="28"/>
      <c r="K149" s="30"/>
      <c r="L149" s="30"/>
      <c r="M149" s="30"/>
      <c r="N149" s="30"/>
      <c r="O149" s="28"/>
      <c r="P149" s="29"/>
      <c r="Q149" s="30"/>
      <c r="R149" s="30"/>
      <c r="S149" s="31"/>
      <c r="T149" s="28"/>
      <c r="U149" s="30"/>
      <c r="V149" s="30"/>
      <c r="W149" s="30"/>
      <c r="X149" s="32"/>
      <c r="Y149" s="33"/>
      <c r="Z149" s="32"/>
      <c r="AA149" s="32"/>
      <c r="AB149" s="32"/>
      <c r="AC149" s="32"/>
      <c r="AD149" s="33"/>
      <c r="AE149" s="32"/>
      <c r="AF149" s="32"/>
      <c r="AG149" s="32"/>
      <c r="AH149" s="32"/>
      <c r="AI149" s="33"/>
      <c r="AJ149" s="32"/>
      <c r="AK149" s="32"/>
      <c r="AL149" s="32"/>
      <c r="AM149" s="32"/>
      <c r="AN149" s="33"/>
      <c r="AO149" s="30"/>
      <c r="AP149" s="30"/>
      <c r="AQ149" s="32"/>
      <c r="AR149" s="32"/>
      <c r="AS149" s="33"/>
      <c r="AT149" s="30"/>
      <c r="AU149" s="30"/>
      <c r="AV149" s="32"/>
      <c r="AW149" s="32"/>
      <c r="AX149" s="33"/>
      <c r="AY149" s="32"/>
      <c r="AZ149" s="32"/>
      <c r="BA149" s="32"/>
      <c r="BB149" s="32"/>
      <c r="BC149" s="33"/>
      <c r="BD149" s="32"/>
      <c r="BE149" s="32"/>
      <c r="BF149" s="32"/>
      <c r="BG149" s="32"/>
      <c r="BH149" s="33"/>
      <c r="BI149" s="32"/>
      <c r="BJ149" s="32"/>
      <c r="BK149" s="32"/>
      <c r="BL149" s="32"/>
      <c r="BM149" s="33"/>
      <c r="BN149" s="32"/>
      <c r="BO149" s="32"/>
      <c r="BP149" s="32"/>
      <c r="BQ149" s="32"/>
      <c r="BR149" s="33"/>
      <c r="BS149" s="32"/>
      <c r="BT149" s="32"/>
      <c r="BU149" s="32"/>
      <c r="BV149" s="32"/>
      <c r="BW149" s="33"/>
      <c r="BX149" s="32"/>
      <c r="BY149" s="32"/>
      <c r="BZ149" s="32"/>
      <c r="CA149" s="32"/>
      <c r="CB149" s="33"/>
      <c r="CC149" s="32"/>
      <c r="CD149" s="32"/>
      <c r="CE149" s="32"/>
      <c r="CF149" s="32"/>
      <c r="CG149" s="33"/>
      <c r="CH149" s="32"/>
      <c r="CI149" s="32"/>
      <c r="CJ149" s="32"/>
      <c r="CK149" s="32"/>
      <c r="CL149" s="33"/>
      <c r="CM149" s="32"/>
      <c r="CN149" s="32"/>
      <c r="CO149" s="32"/>
      <c r="CP149" s="32"/>
      <c r="CQ149" s="33"/>
      <c r="CR149" s="32"/>
      <c r="CS149" s="32"/>
      <c r="CT149" s="32"/>
      <c r="CU149" s="32"/>
      <c r="CV149" s="33"/>
      <c r="CW149" s="32"/>
      <c r="CX149" s="32"/>
      <c r="CY149" s="32"/>
      <c r="CZ149" s="32"/>
      <c r="DA149" s="33"/>
      <c r="DB149" s="32"/>
      <c r="DC149" s="32"/>
      <c r="DD149" s="32"/>
      <c r="DE149" s="32"/>
      <c r="DF149" s="33"/>
      <c r="DG149" s="1964"/>
    </row>
    <row r="150" spans="2:118" x14ac:dyDescent="0.2">
      <c r="B150" s="721" t="s">
        <v>79</v>
      </c>
      <c r="D150" s="28"/>
      <c r="E150" s="28">
        <v>18.689</v>
      </c>
      <c r="F150" s="36">
        <v>10.56</v>
      </c>
      <c r="G150" s="36">
        <f>15.367-F150</f>
        <v>4.8070000000000004</v>
      </c>
      <c r="H150" s="36">
        <f>23.663-F150-G150</f>
        <v>8.2959999999999994</v>
      </c>
      <c r="I150" s="30">
        <f>J150-F150-G150-H150</f>
        <v>1.2510000000000012</v>
      </c>
      <c r="J150" s="34">
        <v>24.914000000000001</v>
      </c>
      <c r="K150" s="36">
        <v>12.176</v>
      </c>
      <c r="L150" s="36">
        <f>17.061-K150</f>
        <v>4.8849999999999998</v>
      </c>
      <c r="M150" s="36">
        <f>21.7-L150-K150</f>
        <v>4.6389999999999976</v>
      </c>
      <c r="N150" s="30">
        <f>O150-K150-L150-M150</f>
        <v>4.9060000000000041</v>
      </c>
      <c r="O150" s="34">
        <f>26.606</f>
        <v>26.606000000000002</v>
      </c>
      <c r="P150" s="35">
        <v>1.9390000000000001</v>
      </c>
      <c r="Q150" s="36">
        <f>30.422-P150</f>
        <v>28.483000000000001</v>
      </c>
      <c r="R150" s="36">
        <f>35.908-Q150-P150</f>
        <v>5.4860000000000007</v>
      </c>
      <c r="S150" s="37">
        <f>41.227-R150-Q150-P150</f>
        <v>5.3189999999999991</v>
      </c>
      <c r="T150" s="28">
        <f>SUM(S150,R150,Q150,P150)</f>
        <v>41.226999999999997</v>
      </c>
      <c r="U150" s="36">
        <v>13.541</v>
      </c>
      <c r="V150" s="36">
        <f>21.515-U150</f>
        <v>7.9740000000000002</v>
      </c>
      <c r="W150" s="36">
        <f>21.256-V150-U150</f>
        <v>-0.25900000000000034</v>
      </c>
      <c r="X150" s="134">
        <f>30.967-W150-V150-U150</f>
        <v>9.7109999999999985</v>
      </c>
      <c r="Y150" s="33">
        <f>SUM(X150,W150,V150,U150)</f>
        <v>30.966999999999999</v>
      </c>
      <c r="Z150" s="426">
        <v>10.352</v>
      </c>
      <c r="AA150" s="433">
        <f>12.607-Z150</f>
        <v>2.254999999999999</v>
      </c>
      <c r="AB150" s="426">
        <f>28.531-AA150-Z150</f>
        <v>15.923999999999999</v>
      </c>
      <c r="AC150" s="426">
        <f>40-AB150-AA150-Z150</f>
        <v>11.469000000000001</v>
      </c>
      <c r="AD150" s="412">
        <f>SUM(AC150,AB150,AA150,Z150)</f>
        <v>40</v>
      </c>
      <c r="AE150" s="426">
        <f>17.5+21.9</f>
        <v>39.4</v>
      </c>
      <c r="AF150" s="426">
        <f>27.5+19.7-AE150</f>
        <v>7.8000000000000043</v>
      </c>
      <c r="AG150" s="426">
        <f>33+28.8-AF150-AE150</f>
        <v>14.599999999999994</v>
      </c>
      <c r="AH150" s="426">
        <f>32.2+30.4-AG150-AF150-AE150</f>
        <v>0.80000000000000426</v>
      </c>
      <c r="AI150" s="412">
        <f>SUM(AH150,AG150,AF150,AE150)</f>
        <v>62.6</v>
      </c>
      <c r="AJ150" s="426">
        <f>6.7+13</f>
        <v>19.7</v>
      </c>
      <c r="AK150" s="426">
        <f>0-AJ150</f>
        <v>-19.7</v>
      </c>
      <c r="AL150" s="426">
        <f>0-AK150-AJ150</f>
        <v>0</v>
      </c>
      <c r="AM150" s="426">
        <f>49.4-SUM(AJ150:AL150)</f>
        <v>49.4</v>
      </c>
      <c r="AN150" s="412">
        <f>SUM(AM150,AL150,AK150,AJ150)</f>
        <v>49.4</v>
      </c>
      <c r="AO150" s="433">
        <v>0</v>
      </c>
      <c r="AP150" s="433">
        <v>0</v>
      </c>
      <c r="AQ150" s="431">
        <f>39.2+29.2-SUM(AO150:AP150)</f>
        <v>68.400000000000006</v>
      </c>
      <c r="AR150" s="426">
        <f>42.1+31.9-SUM(AO150:AQ150)</f>
        <v>5.5999999999999943</v>
      </c>
      <c r="AS150" s="412">
        <f>SUM(AR150,AQ150,AP150,AO150)</f>
        <v>74</v>
      </c>
      <c r="AT150" s="433">
        <v>0</v>
      </c>
      <c r="AU150" s="433">
        <f>2.9+2.2-AT150</f>
        <v>5.0999999999999996</v>
      </c>
      <c r="AV150" s="426">
        <f>7.7+7.1-AU150-AT150</f>
        <v>9.7000000000000011</v>
      </c>
      <c r="AW150" s="426">
        <f>13.4+12.5-SUM(AT150:AV150)</f>
        <v>11.099999999999998</v>
      </c>
      <c r="AX150" s="412">
        <f>SUM(AW150,AV150,AU150,AT150)</f>
        <v>25.9</v>
      </c>
      <c r="AY150" s="426">
        <v>10.7</v>
      </c>
      <c r="AZ150" s="426">
        <f>30.8+16.7-AY150</f>
        <v>36.799999999999997</v>
      </c>
      <c r="BA150" s="426">
        <f>32.9+19.3-AZ150-AY150</f>
        <v>4.7000000000000064</v>
      </c>
      <c r="BB150" s="426">
        <f>58.9+35.3-SUM(AY150:BA150)</f>
        <v>41.999999999999986</v>
      </c>
      <c r="BC150" s="412">
        <f>SUM(BB150,BA150,AZ150,AY150)</f>
        <v>94.199999999999989</v>
      </c>
      <c r="BD150" s="426">
        <f>13+2.6</f>
        <v>15.6</v>
      </c>
      <c r="BE150" s="426">
        <f>23.1+25.9-BD150</f>
        <v>33.4</v>
      </c>
      <c r="BF150" s="426">
        <f>28.9+27.3-SUM(BD150:BE150)</f>
        <v>7.2000000000000028</v>
      </c>
      <c r="BG150" s="426">
        <f>32.2+28.3-SUM(BD150:BF150)</f>
        <v>4.2999999999999972</v>
      </c>
      <c r="BH150" s="412">
        <f>SUM(BG150,BF150,BE150,BD150)</f>
        <v>60.5</v>
      </c>
      <c r="BI150" s="426">
        <f>13.9+2.1</f>
        <v>16</v>
      </c>
      <c r="BJ150" s="426">
        <f>15.6+141.1-BI150</f>
        <v>140.69999999999999</v>
      </c>
      <c r="BK150" s="426">
        <f>276.5+30.4-BJ150-BI150</f>
        <v>150.19999999999999</v>
      </c>
      <c r="BL150" s="426">
        <f>326-BK150-BJ150-BI150</f>
        <v>19.100000000000023</v>
      </c>
      <c r="BM150" s="412">
        <f>SUM(BL150,BK150,BJ150,BI150)</f>
        <v>326</v>
      </c>
      <c r="BN150" s="426">
        <v>105.9</v>
      </c>
      <c r="BO150" s="426">
        <f>271+14.8-BN150</f>
        <v>179.9</v>
      </c>
      <c r="BP150" s="426">
        <f>383.6+23.2-BO150-BN150</f>
        <v>121</v>
      </c>
      <c r="BQ150" s="426">
        <f>466+42.7-BP150-BO150-BN150</f>
        <v>101.89999999999998</v>
      </c>
      <c r="BR150" s="412">
        <f>SUM(BQ150,BP150,BO150,BN150)</f>
        <v>508.69999999999993</v>
      </c>
      <c r="BS150" s="426">
        <f>250.3+52.9-4.4</f>
        <v>298.8</v>
      </c>
      <c r="BT150" s="426">
        <f>312.1+65.9-14.2-BS150</f>
        <v>65</v>
      </c>
      <c r="BU150" s="426">
        <f>419.4+75.4-BT150-BS150</f>
        <v>130.99999999999994</v>
      </c>
      <c r="BV150" s="426">
        <f>510.5-BU150-BT150-BS150</f>
        <v>15.700000000000045</v>
      </c>
      <c r="BW150" s="412">
        <f>SUM(BV150,BU150,BT150,BS150)</f>
        <v>510.5</v>
      </c>
      <c r="BX150" s="426">
        <v>0</v>
      </c>
      <c r="BY150" s="426">
        <f>129.5-BX150</f>
        <v>129.5</v>
      </c>
      <c r="BZ150" s="134">
        <f>155-SUM(BX150:BY150)</f>
        <v>25.5</v>
      </c>
      <c r="CA150" s="134">
        <f>CB150-SUM(BX150:BZ150)</f>
        <v>28.099999999999994</v>
      </c>
      <c r="CB150" s="412">
        <v>183.1</v>
      </c>
      <c r="CC150" s="426">
        <f>11.1+8.2</f>
        <v>19.299999999999997</v>
      </c>
      <c r="CD150" s="426">
        <f>35.9+9.7-CC150</f>
        <v>26.299999999999997</v>
      </c>
      <c r="CE150" s="426">
        <f>56+11.1-75.7-SUM(CC150:CD150)</f>
        <v>-54.2</v>
      </c>
      <c r="CF150" s="1910">
        <f>CG150-SUM(CC150:CE150)</f>
        <v>108.80000000000001</v>
      </c>
      <c r="CG150" s="1846">
        <f>87.2+13</f>
        <v>100.2</v>
      </c>
      <c r="CH150" s="426">
        <v>14.5</v>
      </c>
      <c r="CI150" s="426">
        <f>37.5-CH150</f>
        <v>23</v>
      </c>
      <c r="CJ150" s="426">
        <f>51.3-SUM(CH150:CI150)</f>
        <v>13.799999999999997</v>
      </c>
      <c r="CK150" s="426">
        <f>81-SUM(CH150:CJ150)</f>
        <v>29.700000000000003</v>
      </c>
      <c r="CL150" s="412">
        <f>SUM(CK150,CJ150,CI150,CH150)</f>
        <v>81</v>
      </c>
      <c r="CM150" s="431">
        <v>0</v>
      </c>
      <c r="CN150" s="431">
        <v>0</v>
      </c>
      <c r="CO150" s="431">
        <v>0</v>
      </c>
      <c r="CP150" s="431">
        <v>0</v>
      </c>
      <c r="CQ150" s="412">
        <f>SUM(CP150,CO150,CN150,CM150)</f>
        <v>0</v>
      </c>
      <c r="CR150" s="431">
        <v>0</v>
      </c>
      <c r="CS150" s="431">
        <v>0</v>
      </c>
      <c r="CT150" s="431">
        <v>0</v>
      </c>
      <c r="CU150" s="431">
        <v>0</v>
      </c>
      <c r="CV150" s="412">
        <f>SUM(CU150,CT150,CS150,CR150)</f>
        <v>0</v>
      </c>
      <c r="CW150" s="431">
        <v>0</v>
      </c>
      <c r="CX150" s="431">
        <v>0</v>
      </c>
      <c r="CY150" s="431">
        <v>0</v>
      </c>
      <c r="CZ150" s="431">
        <v>0</v>
      </c>
      <c r="DA150" s="412">
        <f>SUM(CZ150,CY150,CX150,CW150)</f>
        <v>0</v>
      </c>
      <c r="DB150" s="431">
        <v>0</v>
      </c>
      <c r="DC150" s="431">
        <v>0</v>
      </c>
      <c r="DD150" s="431">
        <v>0</v>
      </c>
      <c r="DE150" s="431">
        <v>0</v>
      </c>
      <c r="DF150" s="412">
        <f>SUM(DE150,DD150,DC150,DB150)</f>
        <v>0</v>
      </c>
      <c r="DG150" s="1964"/>
    </row>
    <row r="151" spans="2:118" x14ac:dyDescent="0.2">
      <c r="B151" s="721" t="s">
        <v>111</v>
      </c>
      <c r="D151" s="28"/>
      <c r="E151" s="28">
        <v>-240.06899999999999</v>
      </c>
      <c r="F151" s="36">
        <v>0</v>
      </c>
      <c r="G151" s="36">
        <f>0-F151</f>
        <v>0</v>
      </c>
      <c r="H151" s="36">
        <f>-50-F151-G151</f>
        <v>-50</v>
      </c>
      <c r="I151" s="30">
        <f>J151-F151-G151-H151</f>
        <v>0</v>
      </c>
      <c r="J151" s="34">
        <f>-50</f>
        <v>-50</v>
      </c>
      <c r="K151" s="36">
        <v>0</v>
      </c>
      <c r="L151" s="36">
        <f>360-K151</f>
        <v>360</v>
      </c>
      <c r="M151" s="36">
        <f>425-150-K151-L151</f>
        <v>-85</v>
      </c>
      <c r="N151" s="30">
        <f>O151-K151-L151-M151</f>
        <v>-55</v>
      </c>
      <c r="O151" s="34">
        <f>-205+425</f>
        <v>220</v>
      </c>
      <c r="P151" s="35">
        <v>-25</v>
      </c>
      <c r="Q151" s="36">
        <f>-110.43+25-P151</f>
        <v>-60.430000000000007</v>
      </c>
      <c r="R151" s="36">
        <f>50-160.43-Q151-P151</f>
        <v>-25</v>
      </c>
      <c r="S151" s="37">
        <f>-160.43+50-R151-Q151-P151</f>
        <v>0</v>
      </c>
      <c r="T151" s="28">
        <f>SUM(S151,R151,Q151,P151)</f>
        <v>-110.43</v>
      </c>
      <c r="U151" s="36">
        <f>675-525</f>
        <v>150</v>
      </c>
      <c r="V151" s="36">
        <f>675-734.955-U151</f>
        <v>-209.95500000000004</v>
      </c>
      <c r="W151" s="36">
        <f>675.564-740.455-V151-U151</f>
        <v>-4.9360000000000355</v>
      </c>
      <c r="X151" s="134">
        <f>675.564-745.955-W151-V151-U151</f>
        <v>-5.5</v>
      </c>
      <c r="Y151" s="33">
        <f>SUM(X151,W151,V151,U151)</f>
        <v>-70.391000000000076</v>
      </c>
      <c r="Z151" s="134">
        <v>-5.5</v>
      </c>
      <c r="AA151" s="36">
        <f>-11.056-Z151</f>
        <v>-5.5559999999999992</v>
      </c>
      <c r="AB151" s="134">
        <f>-16.556-50-AA151-Z151</f>
        <v>-55.5</v>
      </c>
      <c r="AC151" s="134">
        <f>1600-474-50-AB151-AA151-Z151</f>
        <v>1142.556</v>
      </c>
      <c r="AD151" s="33">
        <f>SUM(AC151,AB151,AA151,Z151)</f>
        <v>1076</v>
      </c>
      <c r="AE151" s="134">
        <v>-40</v>
      </c>
      <c r="AF151" s="134">
        <f>-80.1+285-AE151</f>
        <v>244.9</v>
      </c>
      <c r="AG151" s="134">
        <f>-80.1+200-AF151-AE151</f>
        <v>-85</v>
      </c>
      <c r="AH151" s="134">
        <f>-110.1+50-AG151-AF151-AE151</f>
        <v>-180</v>
      </c>
      <c r="AI151" s="33">
        <f>SUM(AH151,AG151,AF151,AE151)</f>
        <v>-60.099999999999994</v>
      </c>
      <c r="AJ151" s="134">
        <f>-40-50</f>
        <v>-90</v>
      </c>
      <c r="AK151" s="134">
        <f>(600+-80.1+-50)-AJ151</f>
        <v>559.9</v>
      </c>
      <c r="AL151" s="134">
        <f>(700+-120.1+-50)-(AK151)-AJ151</f>
        <v>60</v>
      </c>
      <c r="AM151" s="134">
        <f>800-180.1-50-SUM(AJ151:AL151)</f>
        <v>40</v>
      </c>
      <c r="AN151" s="33">
        <f>SUM(AM151,AL151,AK151,AJ151)</f>
        <v>569.9</v>
      </c>
      <c r="AO151" s="36">
        <v>-60</v>
      </c>
      <c r="AP151" s="36">
        <f>-120-SUM(AO151)</f>
        <v>-60</v>
      </c>
      <c r="AQ151" s="134">
        <f>-180.1-SUM(AO151:AP151)</f>
        <v>-60.099999999999994</v>
      </c>
      <c r="AR151" s="134">
        <f>-260-SUM(AO151:AQ151)</f>
        <v>-79.900000000000006</v>
      </c>
      <c r="AS151" s="33">
        <f>SUM(AR151,AQ151,AP151,AO151)</f>
        <v>-260</v>
      </c>
      <c r="AT151" s="36">
        <v>-80</v>
      </c>
      <c r="AU151" s="36">
        <f>2491.6-160.1-SUM(AT151)</f>
        <v>2411.5</v>
      </c>
      <c r="AV151" s="134">
        <f>2491.6-69.5-AU151-AT151</f>
        <v>90.599999999999909</v>
      </c>
      <c r="AW151" s="134">
        <f>2491.6-420.1-79.5-SUM(AT151:AV151)</f>
        <v>-430.09999999999991</v>
      </c>
      <c r="AX151" s="33">
        <f>SUM(AW151,AV151,AU151,AT151)</f>
        <v>1992</v>
      </c>
      <c r="AY151" s="134">
        <f>-180+26.7</f>
        <v>-153.30000000000001</v>
      </c>
      <c r="AZ151" s="134">
        <f>-360-AY151</f>
        <v>-206.7</v>
      </c>
      <c r="BA151" s="134">
        <f>-1340.1-AZ151-AY151-3.9</f>
        <v>-983.99999999999989</v>
      </c>
      <c r="BB151" s="134">
        <f>-1340.1-3.9-SUM(AY151:BA151)</f>
        <v>0</v>
      </c>
      <c r="BC151" s="33">
        <f>SUM(BB151,BA151,AZ151,AY151)</f>
        <v>-1343.9999999999998</v>
      </c>
      <c r="BD151" s="134">
        <v>0</v>
      </c>
      <c r="BE151" s="134">
        <f>1494+100-0.1-10.9</f>
        <v>1583</v>
      </c>
      <c r="BF151" s="134">
        <f>1494-62.7-0.1-SUM(BD151:BE151)</f>
        <v>-151.79999999999995</v>
      </c>
      <c r="BG151" s="134">
        <f>5580.3-91.6-0.1-SUM(BD151:BF151)-2.9</f>
        <v>4054.4999999999995</v>
      </c>
      <c r="BH151" s="33">
        <f>SUM(BG151,BF151,BE151,BD151)</f>
        <v>5485.7</v>
      </c>
      <c r="BI151" s="134">
        <f>3458.9-19.8</f>
        <v>3439.1</v>
      </c>
      <c r="BJ151" s="134">
        <f>7353.6-BI151-2500.1+600-600-1.7-103.2</f>
        <v>1309.5000000000005</v>
      </c>
      <c r="BK151" s="134">
        <f>7458.9-2710.6-1000+600-601.3-103.2-BJ151-BI151</f>
        <v>-1104.8000000000011</v>
      </c>
      <c r="BL151" s="134">
        <f>7458.9-3868.5-1000+600-600-BK151-BJ151-BI151</f>
        <v>-1053.3999999999996</v>
      </c>
      <c r="BM151" s="33">
        <f>SUM(BL151,BK151,BJ151,BI151)</f>
        <v>2590.3999999999996</v>
      </c>
      <c r="BN151" s="134">
        <f>-1457.9</f>
        <v>-1457.9</v>
      </c>
      <c r="BO151" s="134">
        <f>-1615.8-13.4+6.3-BN151</f>
        <v>-165</v>
      </c>
      <c r="BP151" s="134">
        <f>-1773.7+15.4-18-BO151-BN151</f>
        <v>-153.39999999999986</v>
      </c>
      <c r="BQ151" s="134">
        <f>-1931.6-BP151-BO151-BN151</f>
        <v>-155.29999999999995</v>
      </c>
      <c r="BR151" s="33">
        <f>SUM(BQ151,BP151,BO151,BN151)</f>
        <v>-1931.6</v>
      </c>
      <c r="BS151" s="134">
        <v>-158</v>
      </c>
      <c r="BT151" s="134">
        <f>2490.1-BS151-315.8</f>
        <v>2332.2999999999997</v>
      </c>
      <c r="BU151" s="134">
        <f>2490.1-1723.7-BT151-BS151</f>
        <v>-1407.8999999999999</v>
      </c>
      <c r="BV151" s="134">
        <f>-2834.3+2490.1-BU151-BT151-BS151</f>
        <v>-1110.6000000000001</v>
      </c>
      <c r="BW151" s="33">
        <f>SUM(BV151,BU151,BT151,BS151)</f>
        <v>-344.20000000000027</v>
      </c>
      <c r="BX151" s="134">
        <v>-1210.5</v>
      </c>
      <c r="BY151" s="134">
        <f>5500-2315.8-BX151</f>
        <v>4394.7</v>
      </c>
      <c r="BZ151" s="134">
        <f>5500-3353.3-SUM(BX151:BY151)</f>
        <v>-1037.5</v>
      </c>
      <c r="CA151" s="134">
        <f>CB151-SUM(BX151:BZ151)</f>
        <v>-37.5</v>
      </c>
      <c r="CB151" s="33">
        <f>-3390.8+5500</f>
        <v>2109.1999999999998</v>
      </c>
      <c r="CC151" s="134">
        <f>1991-972.2</f>
        <v>1018.8</v>
      </c>
      <c r="CD151" s="134">
        <f>1991-1575-CC151</f>
        <v>-602.79999999999995</v>
      </c>
      <c r="CE151" s="134">
        <f>5986.8-5395-SUM(CC151:CD151)</f>
        <v>175.80000000000018</v>
      </c>
      <c r="CF151" s="1910">
        <f>CG151-SUM(CC151:CE151)</f>
        <v>-537.5</v>
      </c>
      <c r="CG151" s="1846">
        <f>5986.8-5932.5</f>
        <v>54.300000000000182</v>
      </c>
      <c r="CH151" s="426">
        <v>-37.5</v>
      </c>
      <c r="CI151" s="426">
        <f>-575-CH151</f>
        <v>-537.5</v>
      </c>
      <c r="CJ151" s="426">
        <f>-650-SUM(CH151:CI151)</f>
        <v>-75</v>
      </c>
      <c r="CK151" s="426">
        <f>1398.9-1125+194.8-SUM(CH151:CJ151)</f>
        <v>1118.7</v>
      </c>
      <c r="CL151" s="33">
        <f>SUM(CK151,CJ151,CI151,CH151)</f>
        <v>468.70000000000005</v>
      </c>
      <c r="CM151" s="32">
        <f>(CM115-CL115)+(CM112-CL112)</f>
        <v>-1814.1969999999969</v>
      </c>
      <c r="CN151" s="32">
        <f>(CN115-CM115)+(CN112-CM112)</f>
        <v>0</v>
      </c>
      <c r="CO151" s="32">
        <f>(CO115-CN115)+(CO112-CN112)</f>
        <v>0</v>
      </c>
      <c r="CP151" s="32">
        <f>(CP115-CO115)+(CP112-CO112)</f>
        <v>0</v>
      </c>
      <c r="CQ151" s="33">
        <f>SUM(CP151,CO151,CN151,CM151)</f>
        <v>-1814.1969999999969</v>
      </c>
      <c r="CR151" s="32">
        <f>(CR115-CQ115)+(CR112-CQ112)</f>
        <v>0</v>
      </c>
      <c r="CS151" s="32">
        <f>(CS115-CR115)+(CS112-CR112)</f>
        <v>-1331.3029999999999</v>
      </c>
      <c r="CT151" s="32">
        <f>(CT115-CS115)+(CT112-CS112)</f>
        <v>0</v>
      </c>
      <c r="CU151" s="32">
        <f>(CU115-CT115)+(CU112-CT112)</f>
        <v>0</v>
      </c>
      <c r="CV151" s="33">
        <f>SUM(CU151,CT151,CS151,CR151)</f>
        <v>-1331.3029999999999</v>
      </c>
      <c r="CW151" s="32">
        <f>(CW115-CV115)+(CW112-CV112)</f>
        <v>0</v>
      </c>
      <c r="CX151" s="32">
        <f>(CX115-CW115)+(CX112-CW112)</f>
        <v>-1331.3030000000017</v>
      </c>
      <c r="CY151" s="32">
        <f>(CY115-CX115)+(CY112-CX112)</f>
        <v>0</v>
      </c>
      <c r="CZ151" s="32">
        <f>(CZ115-CY115)+(CZ112-CY112)</f>
        <v>0</v>
      </c>
      <c r="DA151" s="33">
        <f>SUM(CZ151,CY151,CX151,CW151)</f>
        <v>-1331.3030000000017</v>
      </c>
      <c r="DB151" s="32">
        <f>(DB115-DA115)+(DB112-DA112)</f>
        <v>0</v>
      </c>
      <c r="DC151" s="32">
        <f>(DC115-DB115)+(DC112-DB112)</f>
        <v>-1331.3029999999999</v>
      </c>
      <c r="DD151" s="32">
        <f>(DD115-DC115)+(DD112-DC112)</f>
        <v>0</v>
      </c>
      <c r="DE151" s="32">
        <f>(DE115-DD115)+(DE112-DD112)</f>
        <v>0</v>
      </c>
      <c r="DF151" s="33">
        <f>SUM(DE151,DD151,DC151,DB151)</f>
        <v>-1331.3029999999999</v>
      </c>
      <c r="DG151" s="1964"/>
    </row>
    <row r="152" spans="2:118" x14ac:dyDescent="0.2">
      <c r="B152" s="721" t="s">
        <v>357</v>
      </c>
      <c r="D152" s="28"/>
      <c r="E152" s="28">
        <v>-30.247</v>
      </c>
      <c r="F152" s="36">
        <v>0</v>
      </c>
      <c r="G152" s="36">
        <f>0-F152</f>
        <v>0</v>
      </c>
      <c r="H152" s="36">
        <f>-27.055-G152-F152</f>
        <v>-27.055</v>
      </c>
      <c r="I152" s="30">
        <f>J152-F152-G152-H152</f>
        <v>-27.408000000000001</v>
      </c>
      <c r="J152" s="34">
        <v>-54.463000000000001</v>
      </c>
      <c r="K152" s="36">
        <f>-0.316-13.598</f>
        <v>-13.914000000000001</v>
      </c>
      <c r="L152" s="36">
        <f>-35.904-3.771-K152</f>
        <v>-25.761000000000003</v>
      </c>
      <c r="M152" s="36">
        <f>-66.84-3.885-K152-L152</f>
        <v>-31.050000000000004</v>
      </c>
      <c r="N152" s="30">
        <f>O152-K152-L152-M152</f>
        <v>-40.257999999999988</v>
      </c>
      <c r="O152" s="34">
        <f>-107.121-3.862</f>
        <v>-110.98299999999999</v>
      </c>
      <c r="P152" s="35">
        <v>0</v>
      </c>
      <c r="Q152" s="36">
        <f>-45.228-P152</f>
        <v>-45.228000000000002</v>
      </c>
      <c r="R152" s="36">
        <f>-79.073-Q152-P152</f>
        <v>-33.844999999999992</v>
      </c>
      <c r="S152" s="37">
        <f>-143.041-0.224-R152-Q152-P152</f>
        <v>-64.191999999999979</v>
      </c>
      <c r="T152" s="28">
        <f>SUM(S152,R152,Q152,P152)</f>
        <v>-143.26499999999999</v>
      </c>
      <c r="U152" s="36">
        <f>-9.891-6.029</f>
        <v>-15.92</v>
      </c>
      <c r="V152" s="36">
        <f>25-52.146-6.032-U152</f>
        <v>-17.257999999999996</v>
      </c>
      <c r="W152" s="36">
        <f>50-160.286-6.036-V152-U152</f>
        <v>-83.144000000000005</v>
      </c>
      <c r="X152" s="134">
        <f>50-336.377-6.036+1.471-W152-V152-U152</f>
        <v>-174.62000000000003</v>
      </c>
      <c r="Y152" s="33">
        <f>SUM(X152,W152,V152,U152)</f>
        <v>-290.94200000000001</v>
      </c>
      <c r="Z152" s="134">
        <v>-50</v>
      </c>
      <c r="AA152" s="36">
        <f>-50-Z152</f>
        <v>0</v>
      </c>
      <c r="AB152" s="134">
        <f>-219.949-AA152-Z152</f>
        <v>-169.94900000000001</v>
      </c>
      <c r="AC152" s="134">
        <f>-9-220-AB152-AA152-Z152</f>
        <v>-9.0509999999999877</v>
      </c>
      <c r="AD152" s="33">
        <f>SUM(AC152,AB152,AA152,Z152)</f>
        <v>-229</v>
      </c>
      <c r="AE152" s="426">
        <f>-0.4</f>
        <v>-0.4</v>
      </c>
      <c r="AF152" s="426">
        <f>-707.7-0.3-AE152</f>
        <v>-707.6</v>
      </c>
      <c r="AG152" s="426">
        <f>-906.8-0.3-AF152-AE152</f>
        <v>-199.09999999999988</v>
      </c>
      <c r="AH152" s="431">
        <f>-906.8-0.4-AG152-AF152-AE152</f>
        <v>-9.9999999999999978E-2</v>
      </c>
      <c r="AI152" s="412">
        <f>SUM(AH152,AG152,AF152,AE152)</f>
        <v>-907.19999999999993</v>
      </c>
      <c r="AJ152" s="426">
        <f>-AJ56</f>
        <v>0</v>
      </c>
      <c r="AK152" s="426">
        <f>39.3+-826.7+42.1+-1.3-AJ152</f>
        <v>-746.6</v>
      </c>
      <c r="AL152" s="426">
        <f>(43.7-1140.3+47.1-1.3)-AJ152-AK152</f>
        <v>-304.19999999999993</v>
      </c>
      <c r="AM152" s="426">
        <f>-1140.3-1.5+52.8-SUM(AJ152:AL152)</f>
        <v>-38.200000000000045</v>
      </c>
      <c r="AN152" s="412">
        <f>SUM(AM152,AL152,AK152,AJ152)</f>
        <v>-1089</v>
      </c>
      <c r="AO152" s="433">
        <f>-121.1+6.7+12</f>
        <v>-102.39999999999999</v>
      </c>
      <c r="AP152" s="433">
        <f>25.4-494.4+15.3-SUM(AO152)</f>
        <v>-351.3</v>
      </c>
      <c r="AQ152" s="426">
        <f>-494.4-SUM(AO152:AP152)</f>
        <v>-40.699999999999989</v>
      </c>
      <c r="AR152" s="426">
        <f>-494.4-SUM(AO152:AQ152)</f>
        <v>0</v>
      </c>
      <c r="AS152" s="412">
        <f>SUM(AR152,AQ152,AP152,AO152)</f>
        <v>-494.4</v>
      </c>
      <c r="AT152" s="433">
        <f>0.3-1.4</f>
        <v>-1.0999999999999999</v>
      </c>
      <c r="AU152" s="433">
        <f>1569.1-69.5-SUM(AT152)</f>
        <v>1500.6999999999998</v>
      </c>
      <c r="AV152" s="426">
        <f>1569.1-AU152-AT152-240.1</f>
        <v>-170.59999999999991</v>
      </c>
      <c r="AW152" s="426">
        <f>1569.1-SUM(AT152:AV152)</f>
        <v>240.09999999999991</v>
      </c>
      <c r="AX152" s="412">
        <f>SUM(AW152,AV152,AU152,AT152)</f>
        <v>1569.1</v>
      </c>
      <c r="AY152" s="426">
        <v>-218.2</v>
      </c>
      <c r="AZ152" s="426">
        <f>-528.7-AY152</f>
        <v>-310.50000000000006</v>
      </c>
      <c r="BA152" s="426">
        <f>-1276.2-AZ152-AY152</f>
        <v>-747.5</v>
      </c>
      <c r="BB152" s="426">
        <f>-1276.2+3-SUM(AY152:BA152)</f>
        <v>3</v>
      </c>
      <c r="BC152" s="412">
        <f>SUM(BB152,BA152,AZ152,AY152)</f>
        <v>-1273.2</v>
      </c>
      <c r="BD152" s="426">
        <v>0</v>
      </c>
      <c r="BE152" s="426">
        <f>-2515.7</f>
        <v>-2515.6999999999998</v>
      </c>
      <c r="BF152" s="426">
        <f>-2515.7-SUM(BD152:BE152)</f>
        <v>0</v>
      </c>
      <c r="BG152" s="426">
        <f>-2515.7-SUM(BD152:BF152)</f>
        <v>0</v>
      </c>
      <c r="BH152" s="412">
        <f>SUM(BG152,BF152,BE152,BD152)</f>
        <v>-2515.6999999999998</v>
      </c>
      <c r="BI152" s="426">
        <v>0</v>
      </c>
      <c r="BJ152" s="426">
        <f>-BJ56</f>
        <v>0</v>
      </c>
      <c r="BK152" s="426">
        <v>0</v>
      </c>
      <c r="BL152" s="426">
        <f>45.3-103.2-8.1-26.8-BK152--BJ152-BI152</f>
        <v>-92.8</v>
      </c>
      <c r="BM152" s="412">
        <f>SUM(BL152,BK152,BJ152,BI152)</f>
        <v>-92.8</v>
      </c>
      <c r="BN152" s="426">
        <f>-300+2.2-4.3+2</f>
        <v>-300.10000000000002</v>
      </c>
      <c r="BO152" s="426">
        <f>-801-BN152</f>
        <v>-500.9</v>
      </c>
      <c r="BP152" s="426">
        <f>-1552.5-BO152-BN152</f>
        <v>-751.49999999999989</v>
      </c>
      <c r="BQ152" s="426">
        <f>-4055.2-BP152-BO152-BN152-31.7+15</f>
        <v>-2519.3999999999996</v>
      </c>
      <c r="BR152" s="412">
        <f>SUM(BQ152,BP152,BO152,BN152)</f>
        <v>-4071.8999999999996</v>
      </c>
      <c r="BS152" s="426">
        <v>-618.20000000000005</v>
      </c>
      <c r="BT152" s="426">
        <f>-2659.9-BS152-21.6</f>
        <v>-2063.3000000000002</v>
      </c>
      <c r="BU152" s="426">
        <f>-3673.5-17.1-29.1-BT152-BS152</f>
        <v>-1038.1999999999996</v>
      </c>
      <c r="BV152" s="426">
        <f>-4493+94-24.8-18.6-13.6-BU152-BT152-BS152</f>
        <v>-736.30000000000086</v>
      </c>
      <c r="BW152" s="412">
        <f>SUM(BV152,BU152,BT152,BS152)</f>
        <v>-4456.0000000000009</v>
      </c>
      <c r="BX152" s="426">
        <f>48.8+33.8-8.6+28</f>
        <v>102</v>
      </c>
      <c r="BY152" s="426">
        <f>-5500+48.3-47.7-BX152</f>
        <v>-5601.4</v>
      </c>
      <c r="BZ152" s="134">
        <f>-5500+53-58.8-SUM(BX152:BY152)</f>
        <v>-6.4000000000005457</v>
      </c>
      <c r="CA152" s="134">
        <f>CB152-SUM(BX152:BZ152)</f>
        <v>-3.5</v>
      </c>
      <c r="CB152" s="412">
        <f>-5500+58.2-67.5</f>
        <v>-5509.3</v>
      </c>
      <c r="CC152" s="426">
        <f>-3109.2-19.3</f>
        <v>-3128.5</v>
      </c>
      <c r="CD152" s="426">
        <f>-3320.2-35.4-CC152</f>
        <v>-227.09999999999991</v>
      </c>
      <c r="CE152" s="426">
        <f>-3892.7-SUM(CC152:CD152)</f>
        <v>-537.09999999999991</v>
      </c>
      <c r="CF152" s="431">
        <f>-CF56</f>
        <v>-854.19999999999982</v>
      </c>
      <c r="CG152" s="412">
        <f>SUM(CF152,CE152,CD152,CC152)</f>
        <v>-4746.8999999999996</v>
      </c>
      <c r="CH152" s="431">
        <f>-837.4-6.1</f>
        <v>-843.5</v>
      </c>
      <c r="CI152" s="431">
        <f>-2020-16.3-CH152</f>
        <v>-1192.8</v>
      </c>
      <c r="CJ152" s="431">
        <f>-2735.7-22.5-SUM(CH152:CI152)</f>
        <v>-721.89999999999986</v>
      </c>
      <c r="CK152" s="431">
        <f>-2938-44.9-SUM(CH152:CJ152)</f>
        <v>-224.70000000000027</v>
      </c>
      <c r="CL152" s="412">
        <f>SUM(CK152,CJ152,CI152,CH152)</f>
        <v>-2982.9</v>
      </c>
      <c r="CM152" s="431">
        <f>-CM56</f>
        <v>-200</v>
      </c>
      <c r="CN152" s="431">
        <f>-CN56</f>
        <v>0</v>
      </c>
      <c r="CO152" s="431">
        <f>-CO56</f>
        <v>0</v>
      </c>
      <c r="CP152" s="431">
        <f>-CP56</f>
        <v>0</v>
      </c>
      <c r="CQ152" s="412">
        <f>SUM(CP152,CO152,CN152,CM152)</f>
        <v>-200</v>
      </c>
      <c r="CR152" s="431">
        <f>-CR56</f>
        <v>0</v>
      </c>
      <c r="CS152" s="431">
        <f>-CS56</f>
        <v>0</v>
      </c>
      <c r="CT152" s="431">
        <f>-CT56</f>
        <v>0</v>
      </c>
      <c r="CU152" s="431">
        <f>-CU56</f>
        <v>0</v>
      </c>
      <c r="CV152" s="412">
        <f>SUM(CU152,CT152,CS152,CR152)</f>
        <v>0</v>
      </c>
      <c r="CW152" s="431">
        <f>-CW56</f>
        <v>0</v>
      </c>
      <c r="CX152" s="431">
        <f>-CX56</f>
        <v>0</v>
      </c>
      <c r="CY152" s="431">
        <f>-CY56</f>
        <v>0</v>
      </c>
      <c r="CZ152" s="431">
        <f>-CZ56</f>
        <v>0</v>
      </c>
      <c r="DA152" s="412">
        <f>SUM(CZ152,CY152,CX152,CW152)</f>
        <v>0</v>
      </c>
      <c r="DB152" s="431">
        <f>-DB56</f>
        <v>0</v>
      </c>
      <c r="DC152" s="431">
        <f>-DC56</f>
        <v>0</v>
      </c>
      <c r="DD152" s="431">
        <f>-DD56</f>
        <v>0</v>
      </c>
      <c r="DE152" s="431">
        <f>-DE56</f>
        <v>0</v>
      </c>
      <c r="DF152" s="412">
        <f>SUM(DE152,DD152,DC152,DB152)</f>
        <v>0</v>
      </c>
      <c r="DG152" s="1964"/>
      <c r="DH152" s="1952"/>
    </row>
    <row r="153" spans="2:118" x14ac:dyDescent="0.2">
      <c r="B153" s="721" t="s">
        <v>131</v>
      </c>
      <c r="D153" s="38"/>
      <c r="E153" s="38">
        <v>0</v>
      </c>
      <c r="F153" s="39">
        <v>0</v>
      </c>
      <c r="G153" s="39">
        <f>0-F153</f>
        <v>0</v>
      </c>
      <c r="H153" s="39">
        <f>0-F153-G153</f>
        <v>0</v>
      </c>
      <c r="I153" s="44">
        <f>J153-F153-G153-H153</f>
        <v>0</v>
      </c>
      <c r="J153" s="648">
        <v>0</v>
      </c>
      <c r="K153" s="39">
        <v>0</v>
      </c>
      <c r="L153" s="39">
        <f>0-K153</f>
        <v>0</v>
      </c>
      <c r="M153" s="39">
        <f>0-K153-L153</f>
        <v>0</v>
      </c>
      <c r="N153" s="44">
        <f>O153-K153-L153-M153</f>
        <v>0</v>
      </c>
      <c r="O153" s="648">
        <v>0</v>
      </c>
      <c r="P153" s="647">
        <v>0</v>
      </c>
      <c r="Q153" s="39">
        <f>0-P153</f>
        <v>0</v>
      </c>
      <c r="R153" s="39">
        <f>0-Q153-P153</f>
        <v>0</v>
      </c>
      <c r="S153" s="649">
        <f>0-R153-Q153-P153</f>
        <v>0</v>
      </c>
      <c r="T153" s="38">
        <f>SUM(S153,R153,Q153,P153)</f>
        <v>0</v>
      </c>
      <c r="U153" s="39">
        <v>0</v>
      </c>
      <c r="V153" s="39">
        <f>0-U153</f>
        <v>0</v>
      </c>
      <c r="W153" s="39">
        <v>0</v>
      </c>
      <c r="X153" s="404">
        <v>0</v>
      </c>
      <c r="Y153" s="46">
        <f>SUM(X153,W153,V153,U153)</f>
        <v>0</v>
      </c>
      <c r="Z153" s="404">
        <v>0</v>
      </c>
      <c r="AA153" s="39">
        <f>0-Z153</f>
        <v>0</v>
      </c>
      <c r="AB153" s="404">
        <f>0-Z153-AA153</f>
        <v>0</v>
      </c>
      <c r="AC153" s="404">
        <v>0</v>
      </c>
      <c r="AD153" s="46">
        <f>SUM(AC153,AB153,AA153,Z153)</f>
        <v>0</v>
      </c>
      <c r="AE153" s="396">
        <v>0</v>
      </c>
      <c r="AF153" s="390">
        <v>0</v>
      </c>
      <c r="AG153" s="390">
        <v>0</v>
      </c>
      <c r="AH153" s="396">
        <v>0</v>
      </c>
      <c r="AI153" s="413">
        <f>SUM(AH153,AG153,AF153,AE153)</f>
        <v>0</v>
      </c>
      <c r="AJ153" s="390">
        <v>0</v>
      </c>
      <c r="AK153" s="396">
        <v>0</v>
      </c>
      <c r="AL153" s="396">
        <v>0</v>
      </c>
      <c r="AM153" s="390">
        <v>0</v>
      </c>
      <c r="AN153" s="413">
        <f>SUM(AM153,AL153,AK153,AJ153)</f>
        <v>0</v>
      </c>
      <c r="AO153" s="397">
        <v>0</v>
      </c>
      <c r="AP153" s="434">
        <v>0</v>
      </c>
      <c r="AQ153" s="396">
        <v>0</v>
      </c>
      <c r="AR153" s="390">
        <v>0</v>
      </c>
      <c r="AS153" s="413">
        <f>SUM(AR153,AQ153,AP153,AO153)</f>
        <v>0</v>
      </c>
      <c r="AT153" s="397">
        <v>0</v>
      </c>
      <c r="AU153" s="397">
        <v>0</v>
      </c>
      <c r="AV153" s="390">
        <v>0</v>
      </c>
      <c r="AW153" s="390">
        <v>0</v>
      </c>
      <c r="AX153" s="413">
        <f>SUM(AW153,AV153,AU153,AT153)</f>
        <v>0</v>
      </c>
      <c r="AY153" s="390">
        <v>0</v>
      </c>
      <c r="AZ153" s="390">
        <v>0</v>
      </c>
      <c r="BA153" s="390">
        <v>0</v>
      </c>
      <c r="BB153" s="390">
        <v>0</v>
      </c>
      <c r="BC153" s="413">
        <f>SUM(BB153,BA153,AZ153,AY153)</f>
        <v>0</v>
      </c>
      <c r="BD153" s="390">
        <v>0</v>
      </c>
      <c r="BE153" s="396">
        <v>0</v>
      </c>
      <c r="BF153" s="390">
        <v>0</v>
      </c>
      <c r="BG153" s="396">
        <v>0</v>
      </c>
      <c r="BH153" s="413">
        <f>SUM(BG153,BF153,BE153,BD153)</f>
        <v>0</v>
      </c>
      <c r="BI153" s="390">
        <v>0</v>
      </c>
      <c r="BJ153" s="390">
        <v>0</v>
      </c>
      <c r="BK153" s="390">
        <v>0</v>
      </c>
      <c r="BL153" s="390">
        <v>0</v>
      </c>
      <c r="BM153" s="413">
        <f>SUM(BL153,BK153,BJ153,BI153)</f>
        <v>0</v>
      </c>
      <c r="BN153" s="390">
        <v>0</v>
      </c>
      <c r="BO153" s="390">
        <v>0</v>
      </c>
      <c r="BP153" s="390">
        <v>0</v>
      </c>
      <c r="BQ153" s="396">
        <v>0</v>
      </c>
      <c r="BR153" s="413">
        <f>SUM(BQ153,BP153,BO153,BN153)</f>
        <v>0</v>
      </c>
      <c r="BS153" s="396">
        <v>0</v>
      </c>
      <c r="BT153" s="396">
        <v>0</v>
      </c>
      <c r="BU153" s="396">
        <v>0</v>
      </c>
      <c r="BV153" s="396">
        <v>0</v>
      </c>
      <c r="BW153" s="413">
        <f>SUM(BV153,BU153,BT153,BS153)</f>
        <v>0</v>
      </c>
      <c r="BX153" s="396">
        <v>0</v>
      </c>
      <c r="BY153" s="396">
        <v>0</v>
      </c>
      <c r="BZ153" s="396">
        <v>0</v>
      </c>
      <c r="CA153" s="396">
        <f ca="1">CB153-SUM(BX153:BZ153)</f>
        <v>0</v>
      </c>
      <c r="CB153" s="413">
        <f ca="1">SUM(CA153,BZ153,BY153,BX153)</f>
        <v>0</v>
      </c>
      <c r="CC153" s="396">
        <v>0</v>
      </c>
      <c r="CD153" s="396">
        <v>0</v>
      </c>
      <c r="CE153" s="396">
        <v>0</v>
      </c>
      <c r="CF153" s="390">
        <f>CG153-SUM(CC153:CE153)</f>
        <v>-85.4</v>
      </c>
      <c r="CG153" s="413">
        <v>-85.4</v>
      </c>
      <c r="CH153" s="390">
        <v>0</v>
      </c>
      <c r="CI153" s="390">
        <v>0</v>
      </c>
      <c r="CJ153" s="390">
        <v>0</v>
      </c>
      <c r="CK153" s="390">
        <v>0</v>
      </c>
      <c r="CL153" s="413">
        <f>SUM(CK153,CJ153,CI153,CH153)</f>
        <v>0</v>
      </c>
      <c r="CM153" s="396">
        <v>0</v>
      </c>
      <c r="CN153" s="396">
        <v>0</v>
      </c>
      <c r="CO153" s="396">
        <v>0</v>
      </c>
      <c r="CP153" s="396">
        <v>0</v>
      </c>
      <c r="CQ153" s="413">
        <f>SUM(CP153,CO153,CN153,CM153)</f>
        <v>0</v>
      </c>
      <c r="CR153" s="396">
        <v>0</v>
      </c>
      <c r="CS153" s="396">
        <v>0</v>
      </c>
      <c r="CT153" s="396">
        <v>0</v>
      </c>
      <c r="CU153" s="396">
        <v>0</v>
      </c>
      <c r="CV153" s="413">
        <f>SUM(CU153,CT153,CS153,CR153)</f>
        <v>0</v>
      </c>
      <c r="CW153" s="396">
        <v>0</v>
      </c>
      <c r="CX153" s="396">
        <v>0</v>
      </c>
      <c r="CY153" s="396">
        <v>0</v>
      </c>
      <c r="CZ153" s="396">
        <v>0</v>
      </c>
      <c r="DA153" s="413">
        <f>SUM(CZ153,CY153,CX153,CW153)</f>
        <v>0</v>
      </c>
      <c r="DB153" s="396">
        <v>0</v>
      </c>
      <c r="DC153" s="396">
        <v>0</v>
      </c>
      <c r="DD153" s="396">
        <v>0</v>
      </c>
      <c r="DE153" s="396">
        <v>0</v>
      </c>
      <c r="DF153" s="413">
        <f>SUM(DE153,DD153,DC153,DB153)</f>
        <v>0</v>
      </c>
      <c r="DG153" s="1964"/>
    </row>
    <row r="154" spans="2:118" x14ac:dyDescent="0.2">
      <c r="B154" s="720" t="s">
        <v>132</v>
      </c>
      <c r="C154" s="507"/>
      <c r="D154" s="28"/>
      <c r="E154" s="28">
        <f t="shared" ref="E154:AJ154" si="497">SUM(E150:E153)</f>
        <v>-251.62700000000001</v>
      </c>
      <c r="F154" s="30">
        <f t="shared" si="497"/>
        <v>10.56</v>
      </c>
      <c r="G154" s="30">
        <f t="shared" si="497"/>
        <v>4.8070000000000004</v>
      </c>
      <c r="H154" s="30">
        <f t="shared" si="497"/>
        <v>-68.759</v>
      </c>
      <c r="I154" s="30">
        <f t="shared" si="497"/>
        <v>-26.157</v>
      </c>
      <c r="J154" s="28">
        <f t="shared" si="497"/>
        <v>-79.549000000000007</v>
      </c>
      <c r="K154" s="30">
        <f t="shared" si="497"/>
        <v>-1.7380000000000013</v>
      </c>
      <c r="L154" s="30">
        <f t="shared" si="497"/>
        <v>339.12399999999997</v>
      </c>
      <c r="M154" s="30">
        <f t="shared" si="497"/>
        <v>-111.411</v>
      </c>
      <c r="N154" s="30">
        <f t="shared" si="497"/>
        <v>-90.351999999999975</v>
      </c>
      <c r="O154" s="28">
        <f t="shared" si="497"/>
        <v>135.62299999999999</v>
      </c>
      <c r="P154" s="29">
        <f t="shared" si="497"/>
        <v>-23.061</v>
      </c>
      <c r="Q154" s="30">
        <f t="shared" si="497"/>
        <v>-77.175000000000011</v>
      </c>
      <c r="R154" s="30">
        <f t="shared" si="497"/>
        <v>-53.358999999999995</v>
      </c>
      <c r="S154" s="31">
        <f t="shared" si="497"/>
        <v>-58.872999999999976</v>
      </c>
      <c r="T154" s="28">
        <f t="shared" si="497"/>
        <v>-212.46799999999999</v>
      </c>
      <c r="U154" s="30">
        <f t="shared" si="497"/>
        <v>147.62100000000001</v>
      </c>
      <c r="V154" s="30">
        <f t="shared" si="497"/>
        <v>-219.23900000000003</v>
      </c>
      <c r="W154" s="30">
        <f t="shared" si="497"/>
        <v>-88.339000000000041</v>
      </c>
      <c r="X154" s="32">
        <f t="shared" si="497"/>
        <v>-170.40900000000005</v>
      </c>
      <c r="Y154" s="33">
        <f t="shared" si="497"/>
        <v>-330.3660000000001</v>
      </c>
      <c r="Z154" s="32">
        <f t="shared" si="497"/>
        <v>-45.147999999999996</v>
      </c>
      <c r="AA154" s="32">
        <f t="shared" si="497"/>
        <v>-3.3010000000000002</v>
      </c>
      <c r="AB154" s="32">
        <f t="shared" si="497"/>
        <v>-209.52500000000001</v>
      </c>
      <c r="AC154" s="32">
        <f t="shared" si="497"/>
        <v>1144.9740000000002</v>
      </c>
      <c r="AD154" s="33">
        <f t="shared" si="497"/>
        <v>887</v>
      </c>
      <c r="AE154" s="32">
        <f t="shared" si="497"/>
        <v>-1.0000000000000013</v>
      </c>
      <c r="AF154" s="32">
        <f t="shared" si="497"/>
        <v>-454.9</v>
      </c>
      <c r="AG154" s="32">
        <f t="shared" si="497"/>
        <v>-269.49999999999989</v>
      </c>
      <c r="AH154" s="32">
        <f t="shared" si="497"/>
        <v>-179.29999999999998</v>
      </c>
      <c r="AI154" s="33">
        <f t="shared" si="497"/>
        <v>-904.69999999999993</v>
      </c>
      <c r="AJ154" s="32">
        <f t="shared" si="497"/>
        <v>-70.3</v>
      </c>
      <c r="AK154" s="32">
        <f t="shared" ref="AK154:BP154" si="498">SUM(AK150:AK153)</f>
        <v>-206.40000000000009</v>
      </c>
      <c r="AL154" s="32">
        <f t="shared" si="498"/>
        <v>-244.19999999999993</v>
      </c>
      <c r="AM154" s="32">
        <f t="shared" si="498"/>
        <v>51.19999999999996</v>
      </c>
      <c r="AN154" s="33">
        <f t="shared" si="498"/>
        <v>-469.70000000000005</v>
      </c>
      <c r="AO154" s="30">
        <f t="shared" si="498"/>
        <v>-162.39999999999998</v>
      </c>
      <c r="AP154" s="30">
        <f t="shared" si="498"/>
        <v>-411.3</v>
      </c>
      <c r="AQ154" s="32">
        <f t="shared" si="498"/>
        <v>-32.399999999999977</v>
      </c>
      <c r="AR154" s="32">
        <f t="shared" si="498"/>
        <v>-74.300000000000011</v>
      </c>
      <c r="AS154" s="33">
        <f t="shared" si="498"/>
        <v>-680.4</v>
      </c>
      <c r="AT154" s="30">
        <f t="shared" si="498"/>
        <v>-81.099999999999994</v>
      </c>
      <c r="AU154" s="30">
        <f t="shared" si="498"/>
        <v>3917.2999999999997</v>
      </c>
      <c r="AV154" s="32">
        <f t="shared" si="498"/>
        <v>-70.3</v>
      </c>
      <c r="AW154" s="32">
        <f t="shared" si="498"/>
        <v>-178.89999999999998</v>
      </c>
      <c r="AX154" s="33">
        <f t="shared" si="498"/>
        <v>3587</v>
      </c>
      <c r="AY154" s="32">
        <f t="shared" si="498"/>
        <v>-360.8</v>
      </c>
      <c r="AZ154" s="32">
        <f t="shared" si="498"/>
        <v>-480.40000000000003</v>
      </c>
      <c r="BA154" s="32">
        <f t="shared" si="498"/>
        <v>-1726.7999999999997</v>
      </c>
      <c r="BB154" s="32">
        <f t="shared" si="498"/>
        <v>44.999999999999986</v>
      </c>
      <c r="BC154" s="33">
        <f t="shared" si="498"/>
        <v>-2523</v>
      </c>
      <c r="BD154" s="32">
        <f t="shared" si="498"/>
        <v>15.6</v>
      </c>
      <c r="BE154" s="32">
        <f t="shared" si="498"/>
        <v>-899.29999999999973</v>
      </c>
      <c r="BF154" s="32">
        <f t="shared" si="498"/>
        <v>-144.59999999999997</v>
      </c>
      <c r="BG154" s="32">
        <f t="shared" si="498"/>
        <v>4058.7999999999997</v>
      </c>
      <c r="BH154" s="33">
        <f t="shared" si="498"/>
        <v>3030.5</v>
      </c>
      <c r="BI154" s="32">
        <f t="shared" si="498"/>
        <v>3455.1</v>
      </c>
      <c r="BJ154" s="32">
        <f t="shared" si="498"/>
        <v>1450.2000000000005</v>
      </c>
      <c r="BK154" s="32">
        <f t="shared" si="498"/>
        <v>-954.60000000000105</v>
      </c>
      <c r="BL154" s="32">
        <f t="shared" si="498"/>
        <v>-1127.0999999999997</v>
      </c>
      <c r="BM154" s="33">
        <f t="shared" si="498"/>
        <v>2823.5999999999995</v>
      </c>
      <c r="BN154" s="32">
        <f t="shared" ref="BN154:BW154" si="499">SUM(BN150:BN153)</f>
        <v>-1652.1</v>
      </c>
      <c r="BO154" s="32">
        <f t="shared" si="498"/>
        <v>-486</v>
      </c>
      <c r="BP154" s="32">
        <f t="shared" si="498"/>
        <v>-783.89999999999975</v>
      </c>
      <c r="BQ154" s="32">
        <f t="shared" si="499"/>
        <v>-2572.7999999999997</v>
      </c>
      <c r="BR154" s="33">
        <f t="shared" si="499"/>
        <v>-5494.7999999999993</v>
      </c>
      <c r="BS154" s="32">
        <f t="shared" si="499"/>
        <v>-477.40000000000003</v>
      </c>
      <c r="BT154" s="32">
        <f t="shared" si="499"/>
        <v>333.99999999999955</v>
      </c>
      <c r="BU154" s="32">
        <f t="shared" si="499"/>
        <v>-2315.0999999999995</v>
      </c>
      <c r="BV154" s="32">
        <f t="shared" si="499"/>
        <v>-1831.200000000001</v>
      </c>
      <c r="BW154" s="33">
        <f t="shared" si="499"/>
        <v>-4289.7000000000007</v>
      </c>
      <c r="BX154" s="32">
        <f t="shared" ref="BX154:CG154" si="500">SUM(BX150:BX153)</f>
        <v>-1108.5</v>
      </c>
      <c r="BY154" s="32">
        <f>SUM(BY150:BY153)</f>
        <v>-1077.1999999999998</v>
      </c>
      <c r="BZ154" s="32">
        <f>SUM(BZ150:BZ153)</f>
        <v>-1018.4000000000005</v>
      </c>
      <c r="CA154" s="32">
        <f ca="1">SUM(CA150:CA153)</f>
        <v>-12.900000000000006</v>
      </c>
      <c r="CB154" s="33">
        <f t="shared" ca="1" si="500"/>
        <v>-3217.0000000000005</v>
      </c>
      <c r="CC154" s="32">
        <f t="shared" ref="CC154:CE154" si="501">SUM(CC150:CC153)</f>
        <v>-2090.4</v>
      </c>
      <c r="CD154" s="32">
        <f t="shared" si="501"/>
        <v>-803.59999999999991</v>
      </c>
      <c r="CE154" s="32">
        <f t="shared" si="501"/>
        <v>-415.49999999999972</v>
      </c>
      <c r="CF154" s="32">
        <f t="shared" si="500"/>
        <v>-1368.3</v>
      </c>
      <c r="CG154" s="33">
        <f t="shared" si="500"/>
        <v>-4677.7999999999993</v>
      </c>
      <c r="CH154" s="32">
        <f t="shared" ref="CH154:CI154" si="502">SUM(CH150:CH153)</f>
        <v>-866.5</v>
      </c>
      <c r="CI154" s="32">
        <f t="shared" si="502"/>
        <v>-1707.3</v>
      </c>
      <c r="CJ154" s="32">
        <f t="shared" ref="CJ154:CK154" si="503">SUM(CJ150:CJ153)</f>
        <v>-783.09999999999991</v>
      </c>
      <c r="CK154" s="32">
        <f t="shared" si="503"/>
        <v>923.69999999999982</v>
      </c>
      <c r="CL154" s="33">
        <f t="shared" ref="CL154:CQ154" si="504">SUM(CL150:CL153)</f>
        <v>-2433.1999999999998</v>
      </c>
      <c r="CM154" s="32">
        <f t="shared" si="504"/>
        <v>-2014.1969999999969</v>
      </c>
      <c r="CN154" s="32">
        <f t="shared" si="504"/>
        <v>0</v>
      </c>
      <c r="CO154" s="32">
        <f t="shared" si="504"/>
        <v>0</v>
      </c>
      <c r="CP154" s="32">
        <f t="shared" si="504"/>
        <v>0</v>
      </c>
      <c r="CQ154" s="33">
        <f t="shared" si="504"/>
        <v>-2014.1969999999969</v>
      </c>
      <c r="CR154" s="32">
        <f t="shared" ref="CR154:CV154" si="505">SUM(CR150:CR153)</f>
        <v>0</v>
      </c>
      <c r="CS154" s="32">
        <f t="shared" si="505"/>
        <v>-1331.3029999999999</v>
      </c>
      <c r="CT154" s="32">
        <f t="shared" si="505"/>
        <v>0</v>
      </c>
      <c r="CU154" s="32">
        <f t="shared" si="505"/>
        <v>0</v>
      </c>
      <c r="CV154" s="33">
        <f t="shared" si="505"/>
        <v>-1331.3029999999999</v>
      </c>
      <c r="CW154" s="32">
        <f t="shared" ref="CW154:DF154" si="506">SUM(CW150:CW153)</f>
        <v>0</v>
      </c>
      <c r="CX154" s="32">
        <f t="shared" si="506"/>
        <v>-1331.3030000000017</v>
      </c>
      <c r="CY154" s="32">
        <f t="shared" si="506"/>
        <v>0</v>
      </c>
      <c r="CZ154" s="32">
        <f t="shared" si="506"/>
        <v>0</v>
      </c>
      <c r="DA154" s="33">
        <f t="shared" si="506"/>
        <v>-1331.3030000000017</v>
      </c>
      <c r="DB154" s="32">
        <f t="shared" si="506"/>
        <v>0</v>
      </c>
      <c r="DC154" s="32">
        <f t="shared" si="506"/>
        <v>-1331.3029999999999</v>
      </c>
      <c r="DD154" s="32">
        <f t="shared" si="506"/>
        <v>0</v>
      </c>
      <c r="DE154" s="32">
        <f t="shared" si="506"/>
        <v>0</v>
      </c>
      <c r="DF154" s="33">
        <f t="shared" si="506"/>
        <v>-1331.3029999999999</v>
      </c>
      <c r="DG154" s="1964"/>
    </row>
    <row r="155" spans="2:118" x14ac:dyDescent="0.2">
      <c r="B155" s="721"/>
      <c r="D155" s="28"/>
      <c r="E155" s="28"/>
      <c r="F155" s="30"/>
      <c r="G155" s="30"/>
      <c r="H155" s="30"/>
      <c r="I155" s="30"/>
      <c r="J155" s="28"/>
      <c r="K155" s="30"/>
      <c r="L155" s="30"/>
      <c r="M155" s="30"/>
      <c r="N155" s="30"/>
      <c r="O155" s="28"/>
      <c r="P155" s="29"/>
      <c r="Q155" s="30"/>
      <c r="R155" s="30"/>
      <c r="S155" s="31"/>
      <c r="T155" s="28"/>
      <c r="U155" s="30"/>
      <c r="V155" s="30"/>
      <c r="W155" s="30"/>
      <c r="X155" s="32"/>
      <c r="Y155" s="33"/>
      <c r="Z155" s="32"/>
      <c r="AA155" s="32"/>
      <c r="AB155" s="32"/>
      <c r="AC155" s="32"/>
      <c r="AD155" s="33"/>
      <c r="AE155" s="32"/>
      <c r="AF155" s="32"/>
      <c r="AG155" s="32"/>
      <c r="AH155" s="32"/>
      <c r="AI155" s="33"/>
      <c r="AJ155" s="32"/>
      <c r="AK155" s="32"/>
      <c r="AL155" s="32"/>
      <c r="AM155" s="32"/>
      <c r="AN155" s="33"/>
      <c r="AO155" s="30"/>
      <c r="AP155" s="30"/>
      <c r="AQ155" s="32"/>
      <c r="AR155" s="32"/>
      <c r="AS155" s="33"/>
      <c r="AT155" s="30"/>
      <c r="AU155" s="30"/>
      <c r="AV155" s="32"/>
      <c r="AW155" s="32"/>
      <c r="AX155" s="33"/>
      <c r="AY155" s="32"/>
      <c r="AZ155" s="32"/>
      <c r="BA155" s="32"/>
      <c r="BB155" s="32"/>
      <c r="BC155" s="33"/>
      <c r="BD155" s="32"/>
      <c r="BE155" s="32"/>
      <c r="BF155" s="32"/>
      <c r="BG155" s="32"/>
      <c r="BH155" s="33"/>
      <c r="BI155" s="32"/>
      <c r="BJ155" s="32"/>
      <c r="BK155" s="32"/>
      <c r="BL155" s="32"/>
      <c r="BM155" s="33"/>
      <c r="BN155" s="32"/>
      <c r="BO155" s="32"/>
      <c r="BP155" s="32"/>
      <c r="BQ155" s="32"/>
      <c r="BR155" s="33"/>
      <c r="BS155" s="32"/>
      <c r="BT155" s="32"/>
      <c r="BU155" s="32"/>
      <c r="BV155" s="32"/>
      <c r="BW155" s="33"/>
      <c r="BX155" s="32"/>
      <c r="BY155" s="32"/>
      <c r="BZ155" s="32"/>
      <c r="CA155" s="32"/>
      <c r="CB155" s="33"/>
      <c r="CC155" s="32"/>
      <c r="CD155" s="32"/>
      <c r="CE155" s="32"/>
      <c r="CF155" s="32"/>
      <c r="CG155" s="33"/>
      <c r="CH155" s="32"/>
      <c r="CI155" s="32"/>
      <c r="CJ155" s="32"/>
      <c r="CK155" s="32"/>
      <c r="CL155" s="33"/>
      <c r="CM155" s="32"/>
      <c r="CN155" s="32"/>
      <c r="CO155" s="32"/>
      <c r="CP155" s="32"/>
      <c r="CQ155" s="33"/>
      <c r="CR155" s="32"/>
      <c r="CS155" s="32"/>
      <c r="CT155" s="32"/>
      <c r="CU155" s="32"/>
      <c r="CV155" s="33"/>
      <c r="CW155" s="32"/>
      <c r="CX155" s="32"/>
      <c r="CY155" s="32"/>
      <c r="CZ155" s="32"/>
      <c r="DA155" s="33"/>
      <c r="DB155" s="32"/>
      <c r="DC155" s="32"/>
      <c r="DD155" s="32"/>
      <c r="DE155" s="32"/>
      <c r="DF155" s="33"/>
      <c r="DG155" s="1964"/>
    </row>
    <row r="156" spans="2:118" x14ac:dyDescent="0.2">
      <c r="B156" s="721" t="s">
        <v>133</v>
      </c>
      <c r="D156" s="28"/>
      <c r="E156" s="28">
        <v>-0.13100000000000001</v>
      </c>
      <c r="F156" s="36">
        <v>-0.62</v>
      </c>
      <c r="G156" s="36">
        <f>-0.002-F156</f>
        <v>0.61799999999999999</v>
      </c>
      <c r="H156" s="36">
        <f>-0.242-F156-G156</f>
        <v>-0.24</v>
      </c>
      <c r="I156" s="30">
        <f>J156-F156-G156-H156</f>
        <v>3.1000000000000028E-2</v>
      </c>
      <c r="J156" s="28">
        <v>-0.21099999999999999</v>
      </c>
      <c r="K156" s="36">
        <v>9.9000000000000005E-2</v>
      </c>
      <c r="L156" s="36">
        <f>0.366-K156</f>
        <v>0.26700000000000002</v>
      </c>
      <c r="M156" s="36">
        <f>-0.01-K156-L156</f>
        <v>-0.376</v>
      </c>
      <c r="N156" s="30">
        <f>O156-K156-L156-M156</f>
        <v>8.3999999999999964E-2</v>
      </c>
      <c r="O156" s="34">
        <v>7.3999999999999996E-2</v>
      </c>
      <c r="P156" s="35">
        <v>0.89600000000000002</v>
      </c>
      <c r="Q156" s="36">
        <f>2.174-P156</f>
        <v>1.278</v>
      </c>
      <c r="R156" s="36">
        <f>2.292-Q156-P156</f>
        <v>0.11799999999999977</v>
      </c>
      <c r="S156" s="37">
        <f>0-R156-Q156-P156</f>
        <v>-2.2919999999999998</v>
      </c>
      <c r="T156" s="28">
        <v>2.778</v>
      </c>
      <c r="U156" s="36">
        <v>-0.13500000000000001</v>
      </c>
      <c r="V156" s="36">
        <f>-0.404-U156</f>
        <v>-0.26900000000000002</v>
      </c>
      <c r="W156" s="36">
        <f>0.272-U156-V156</f>
        <v>0.67600000000000005</v>
      </c>
      <c r="X156" s="134">
        <f>1.171-W156-V156-U156</f>
        <v>0.89900000000000002</v>
      </c>
      <c r="Y156" s="33">
        <f>+SUM(U156:X156)</f>
        <v>1.171</v>
      </c>
      <c r="Z156" s="134">
        <v>-0.17499999999999999</v>
      </c>
      <c r="AA156" s="134">
        <f>-0.329-Z156</f>
        <v>-0.15400000000000003</v>
      </c>
      <c r="AB156" s="134">
        <f>0.352-AA156-Z156</f>
        <v>0.68100000000000005</v>
      </c>
      <c r="AC156" s="134">
        <f>0.6-AB156-AA156-Z156</f>
        <v>0.24799999999999994</v>
      </c>
      <c r="AD156" s="33">
        <f>+SUM(Z156:AC156)</f>
        <v>0.6</v>
      </c>
      <c r="AE156" s="426">
        <v>0</v>
      </c>
      <c r="AF156" s="426">
        <f>0.9-AE156</f>
        <v>0.9</v>
      </c>
      <c r="AG156" s="426">
        <f>1.1-AF156-AE156</f>
        <v>0.20000000000000007</v>
      </c>
      <c r="AH156" s="426">
        <f>0.2-AG156-AF156-AE156</f>
        <v>-0.90000000000000013</v>
      </c>
      <c r="AI156" s="412">
        <f>+SUM(AE156:AH156)</f>
        <v>0.19999999999999996</v>
      </c>
      <c r="AJ156" s="426">
        <v>0</v>
      </c>
      <c r="AK156" s="426">
        <v>1.9</v>
      </c>
      <c r="AL156" s="426">
        <f>3.5-AK156-AJ156</f>
        <v>1.6</v>
      </c>
      <c r="AM156" s="426">
        <f>4.4-SUM(AJ156:AL156)</f>
        <v>0.90000000000000036</v>
      </c>
      <c r="AN156" s="412">
        <f>+SUM(AJ156:AM156)</f>
        <v>4.4000000000000004</v>
      </c>
      <c r="AO156" s="433">
        <v>-1.3</v>
      </c>
      <c r="AP156" s="433">
        <f>-0.8-SUM(AO156)</f>
        <v>0.5</v>
      </c>
      <c r="AQ156" s="426">
        <f>-1.6-SUM(AO156:AP156)</f>
        <v>-0.8</v>
      </c>
      <c r="AR156" s="426">
        <f>-6-SUM(AO156:AQ156)</f>
        <v>-4.4000000000000004</v>
      </c>
      <c r="AS156" s="412">
        <f>+SUM(AO156:AR156)</f>
        <v>-6</v>
      </c>
      <c r="AT156" s="433">
        <v>-0.5</v>
      </c>
      <c r="AU156" s="433">
        <f>1.6-SUM(AT156)</f>
        <v>2.1</v>
      </c>
      <c r="AV156" s="426">
        <f>3.3-AU156-AT156</f>
        <v>1.6999999999999997</v>
      </c>
      <c r="AW156" s="426">
        <f>3.6-SUM(AT156:AV156)</f>
        <v>0.30000000000000027</v>
      </c>
      <c r="AX156" s="412">
        <f>+SUM(AT156:AW156)</f>
        <v>3.6</v>
      </c>
      <c r="AY156" s="426">
        <v>1.7</v>
      </c>
      <c r="AZ156" s="426">
        <f>2.4-AY156</f>
        <v>0.7</v>
      </c>
      <c r="BA156" s="426">
        <f>2.7-AZ156-AY156</f>
        <v>0.30000000000000004</v>
      </c>
      <c r="BB156" s="426">
        <f>4.8-SUM(AY156:BA156)</f>
        <v>2.0999999999999996</v>
      </c>
      <c r="BC156" s="412">
        <f>+SUM(AY156:BB156)</f>
        <v>4.8</v>
      </c>
      <c r="BD156" s="426">
        <v>0.2</v>
      </c>
      <c r="BE156" s="433">
        <f>-0.4-BD156</f>
        <v>-0.60000000000000009</v>
      </c>
      <c r="BF156" s="426">
        <f>-3.1-SUM(BD156:BE156)</f>
        <v>-2.7</v>
      </c>
      <c r="BG156" s="426">
        <v>0</v>
      </c>
      <c r="BH156" s="412">
        <f>+SUM(BD156:BG156)</f>
        <v>-3.1</v>
      </c>
      <c r="BI156" s="426">
        <v>1.4</v>
      </c>
      <c r="BJ156" s="426">
        <f>-0.2-BI156</f>
        <v>-1.5999999999999999</v>
      </c>
      <c r="BK156" s="426">
        <f>2.5-BJ156-BI156</f>
        <v>2.6999999999999997</v>
      </c>
      <c r="BL156" s="426">
        <f>2-BK156-BJ156-BI156</f>
        <v>-0.49999999999999978</v>
      </c>
      <c r="BM156" s="412">
        <f>+SUM(BI156:BL156)</f>
        <v>2</v>
      </c>
      <c r="BN156" s="426">
        <v>-1.5</v>
      </c>
      <c r="BO156" s="426">
        <f>-5.2-BN156</f>
        <v>-3.7</v>
      </c>
      <c r="BP156" s="426">
        <f>-4.5-BO156-BN156</f>
        <v>0.70000000000000018</v>
      </c>
      <c r="BQ156" s="431">
        <f>-5.7-BP156-BO156-BN156</f>
        <v>-1.2000000000000002</v>
      </c>
      <c r="BR156" s="412">
        <f>+SUM(BN156:BQ156)</f>
        <v>-5.7</v>
      </c>
      <c r="BS156" s="431">
        <v>-2.5</v>
      </c>
      <c r="BT156" s="431">
        <f>-0.2-BS156</f>
        <v>2.2999999999999998</v>
      </c>
      <c r="BU156" s="431">
        <v>-3.4</v>
      </c>
      <c r="BV156" s="431">
        <f>-6.2-BU156-BT156-BS156</f>
        <v>-2.5999999999999996</v>
      </c>
      <c r="BW156" s="412">
        <f>+SUM(BS156:BV156)</f>
        <v>-6.1999999999999993</v>
      </c>
      <c r="BX156" s="431">
        <v>-3.7</v>
      </c>
      <c r="BY156" s="431">
        <f>-2.3-BX156</f>
        <v>1.4000000000000004</v>
      </c>
      <c r="BZ156" s="431">
        <f>-6.7-SUM(BX156:BY156)</f>
        <v>-4.4000000000000004</v>
      </c>
      <c r="CA156" s="431">
        <f>CB156-SUM(BX156:BZ156)</f>
        <v>-2.3999999999999995</v>
      </c>
      <c r="CB156" s="412">
        <v>-9.1</v>
      </c>
      <c r="CC156" s="431">
        <v>3.8</v>
      </c>
      <c r="CD156" s="431">
        <f>3.9-CC156</f>
        <v>0.10000000000000009</v>
      </c>
      <c r="CE156" s="431">
        <f>2.6-SUM(CC156:CD156)</f>
        <v>-1.2999999999999998</v>
      </c>
      <c r="CF156" s="134">
        <f>CG156-SUM(CC156:CE156)</f>
        <v>-1.4000000000000001</v>
      </c>
      <c r="CG156" s="1846">
        <v>1.2</v>
      </c>
      <c r="CH156" s="134">
        <v>0.8</v>
      </c>
      <c r="CI156" s="134">
        <f>3-CH156</f>
        <v>2.2000000000000002</v>
      </c>
      <c r="CJ156" s="134">
        <f>5.4-SUM(CH156:CI156)</f>
        <v>2.4000000000000004</v>
      </c>
      <c r="CK156" s="134">
        <f>4.9-SUM(CH156:CJ156)</f>
        <v>-0.5</v>
      </c>
      <c r="CL156" s="412">
        <f>+SUM(CH156:CK156)</f>
        <v>4.9000000000000004</v>
      </c>
      <c r="CM156" s="431">
        <v>0</v>
      </c>
      <c r="CN156" s="431">
        <v>0</v>
      </c>
      <c r="CO156" s="431">
        <v>0</v>
      </c>
      <c r="CP156" s="431">
        <v>0</v>
      </c>
      <c r="CQ156" s="412">
        <f>+SUM(CM156:CP156)</f>
        <v>0</v>
      </c>
      <c r="CR156" s="431">
        <v>0</v>
      </c>
      <c r="CS156" s="431">
        <v>0</v>
      </c>
      <c r="CT156" s="431">
        <v>0</v>
      </c>
      <c r="CU156" s="431">
        <v>0</v>
      </c>
      <c r="CV156" s="412">
        <f>+SUM(CR156:CU156)</f>
        <v>0</v>
      </c>
      <c r="CW156" s="431">
        <v>0</v>
      </c>
      <c r="CX156" s="431">
        <v>0</v>
      </c>
      <c r="CY156" s="431">
        <v>0</v>
      </c>
      <c r="CZ156" s="431">
        <v>0</v>
      </c>
      <c r="DA156" s="412">
        <f>+SUM(CW156:CZ156)</f>
        <v>0</v>
      </c>
      <c r="DB156" s="431">
        <v>0</v>
      </c>
      <c r="DC156" s="431">
        <v>0</v>
      </c>
      <c r="DD156" s="431">
        <v>0</v>
      </c>
      <c r="DE156" s="431">
        <v>0</v>
      </c>
      <c r="DF156" s="412">
        <f>+SUM(DB156:DE156)</f>
        <v>0</v>
      </c>
      <c r="DG156" s="1964"/>
    </row>
    <row r="157" spans="2:118" x14ac:dyDescent="0.2">
      <c r="B157" s="721" t="s">
        <v>239</v>
      </c>
      <c r="D157" s="28"/>
      <c r="E157" s="28"/>
      <c r="F157" s="30"/>
      <c r="G157" s="30"/>
      <c r="H157" s="30"/>
      <c r="I157" s="30"/>
      <c r="J157" s="28"/>
      <c r="K157" s="30"/>
      <c r="L157" s="30"/>
      <c r="M157" s="30"/>
      <c r="N157" s="30"/>
      <c r="O157" s="28"/>
      <c r="P157" s="29"/>
      <c r="Q157" s="30"/>
      <c r="R157" s="30"/>
      <c r="S157" s="31"/>
      <c r="T157" s="28"/>
      <c r="U157" s="30"/>
      <c r="V157" s="30"/>
      <c r="W157" s="30"/>
      <c r="X157" s="32"/>
      <c r="Y157" s="33"/>
      <c r="Z157" s="134"/>
      <c r="AA157" s="134"/>
      <c r="AB157" s="134"/>
      <c r="AC157" s="134"/>
      <c r="AD157" s="33"/>
      <c r="AE157" s="426">
        <v>0</v>
      </c>
      <c r="AF157" s="426">
        <v>0</v>
      </c>
      <c r="AG157" s="426">
        <v>0</v>
      </c>
      <c r="AH157" s="426">
        <v>0</v>
      </c>
      <c r="AI157" s="412">
        <f>+SUM(AE157:AH157)</f>
        <v>0</v>
      </c>
      <c r="AJ157" s="426">
        <v>0</v>
      </c>
      <c r="AK157" s="426">
        <v>0.1</v>
      </c>
      <c r="AL157" s="426">
        <f>0.1-SUM(AJ157:AK157)</f>
        <v>0</v>
      </c>
      <c r="AM157" s="426">
        <f>0-SUM(AJ157:AL157)</f>
        <v>-0.1</v>
      </c>
      <c r="AN157" s="412">
        <f>+SUM(AJ157:AM157)</f>
        <v>0</v>
      </c>
      <c r="AO157" s="433">
        <v>0</v>
      </c>
      <c r="AP157" s="433">
        <v>-0.1</v>
      </c>
      <c r="AQ157" s="426">
        <f>0.1-SUM(AO157:AP157)</f>
        <v>0.2</v>
      </c>
      <c r="AR157" s="426">
        <f>0-SUM(AO157:AQ157)</f>
        <v>-0.1</v>
      </c>
      <c r="AS157" s="412">
        <f>+SUM(AO157:AR157)</f>
        <v>0</v>
      </c>
      <c r="AT157" s="433">
        <v>0</v>
      </c>
      <c r="AU157" s="433">
        <v>0</v>
      </c>
      <c r="AV157" s="426">
        <v>0</v>
      </c>
      <c r="AW157" s="426">
        <v>0</v>
      </c>
      <c r="AX157" s="412">
        <f>+SUM(AT157:AW157)</f>
        <v>0</v>
      </c>
      <c r="AY157" s="433">
        <v>0</v>
      </c>
      <c r="AZ157" s="433">
        <v>0</v>
      </c>
      <c r="BA157" s="426">
        <v>0</v>
      </c>
      <c r="BB157" s="426">
        <v>0</v>
      </c>
      <c r="BC157" s="412">
        <f>+SUM(AY157:BB157)</f>
        <v>0</v>
      </c>
      <c r="BD157" s="433">
        <v>0</v>
      </c>
      <c r="BE157" s="433">
        <v>0</v>
      </c>
      <c r="BF157" s="426">
        <v>0</v>
      </c>
      <c r="BG157" s="426">
        <v>0</v>
      </c>
      <c r="BH157" s="412">
        <f>+SUM(BD157:BG157)</f>
        <v>0</v>
      </c>
      <c r="BI157" s="433">
        <v>0</v>
      </c>
      <c r="BJ157" s="433">
        <v>0</v>
      </c>
      <c r="BK157" s="426">
        <v>0</v>
      </c>
      <c r="BL157" s="426">
        <f>-41.7-BK157-BJ157-BI157</f>
        <v>-41.7</v>
      </c>
      <c r="BM157" s="412">
        <f>+SUM(BI157:BL157)</f>
        <v>-41.7</v>
      </c>
      <c r="BN157" s="433">
        <v>0.2</v>
      </c>
      <c r="BO157" s="433">
        <f>26.9-BN157</f>
        <v>26.7</v>
      </c>
      <c r="BP157" s="426">
        <f>23.3-BO157-BN157</f>
        <v>-3.5999999999999988</v>
      </c>
      <c r="BQ157" s="426">
        <f>13.4-BP157-BO157-BN157</f>
        <v>-9.8999999999999986</v>
      </c>
      <c r="BR157" s="412">
        <f>+SUM(BN157:BQ157)</f>
        <v>13.400000000000002</v>
      </c>
      <c r="BS157" s="433">
        <v>0</v>
      </c>
      <c r="BT157" s="433">
        <v>0</v>
      </c>
      <c r="BU157" s="426">
        <v>0</v>
      </c>
      <c r="BV157" s="426">
        <v>0</v>
      </c>
      <c r="BW157" s="412">
        <f>+SUM(BS157:BV157)</f>
        <v>0</v>
      </c>
      <c r="BX157" s="433">
        <v>0</v>
      </c>
      <c r="BY157" s="433">
        <v>0</v>
      </c>
      <c r="BZ157" s="433">
        <v>0</v>
      </c>
      <c r="CA157" s="433">
        <v>0</v>
      </c>
      <c r="CB157" s="412">
        <f>+SUM(BX157:CA157)</f>
        <v>0</v>
      </c>
      <c r="CC157" s="433">
        <v>0</v>
      </c>
      <c r="CD157" s="433">
        <v>0</v>
      </c>
      <c r="CE157" s="433">
        <v>0</v>
      </c>
      <c r="CF157" s="426">
        <v>0</v>
      </c>
      <c r="CG157" s="1846">
        <f>+SUM(CC157:CF157)</f>
        <v>0</v>
      </c>
      <c r="CH157" s="426">
        <v>0</v>
      </c>
      <c r="CI157" s="426">
        <v>0</v>
      </c>
      <c r="CJ157" s="426">
        <v>0</v>
      </c>
      <c r="CK157" s="426">
        <v>0</v>
      </c>
      <c r="CL157" s="412">
        <f>+SUM(CH157:CK157)</f>
        <v>0</v>
      </c>
      <c r="CM157" s="433">
        <v>0</v>
      </c>
      <c r="CN157" s="433">
        <v>0</v>
      </c>
      <c r="CO157" s="426">
        <v>0</v>
      </c>
      <c r="CP157" s="426">
        <v>0</v>
      </c>
      <c r="CQ157" s="412">
        <f>+SUM(CM157:CP157)</f>
        <v>0</v>
      </c>
      <c r="CR157" s="433">
        <v>0</v>
      </c>
      <c r="CS157" s="433">
        <v>0</v>
      </c>
      <c r="CT157" s="426">
        <v>0</v>
      </c>
      <c r="CU157" s="426">
        <v>0</v>
      </c>
      <c r="CV157" s="412">
        <f>+SUM(CR157:CU157)</f>
        <v>0</v>
      </c>
      <c r="CW157" s="433">
        <v>0</v>
      </c>
      <c r="CX157" s="433">
        <v>0</v>
      </c>
      <c r="CY157" s="426">
        <v>0</v>
      </c>
      <c r="CZ157" s="426">
        <v>0</v>
      </c>
      <c r="DA157" s="412">
        <f>+SUM(CW157:CZ157)</f>
        <v>0</v>
      </c>
      <c r="DB157" s="433">
        <v>0</v>
      </c>
      <c r="DC157" s="433">
        <v>0</v>
      </c>
      <c r="DD157" s="426">
        <v>0</v>
      </c>
      <c r="DE157" s="426">
        <v>0</v>
      </c>
      <c r="DF157" s="412">
        <f>+SUM(DB157:DE157)</f>
        <v>0</v>
      </c>
      <c r="DG157" s="1964"/>
    </row>
    <row r="158" spans="2:118" ht="23.25" thickBot="1" x14ac:dyDescent="0.25">
      <c r="B158" s="730" t="s">
        <v>134</v>
      </c>
      <c r="C158" s="55"/>
      <c r="D158" s="435"/>
      <c r="E158" s="435">
        <f t="shared" ref="E158:AJ158" si="507">+E143+E148+E154+E156+E157</f>
        <v>-79.426000000000357</v>
      </c>
      <c r="F158" s="49">
        <f t="shared" si="507"/>
        <v>31.895999999999891</v>
      </c>
      <c r="G158" s="49">
        <f t="shared" si="507"/>
        <v>35.842999999999655</v>
      </c>
      <c r="H158" s="49">
        <f t="shared" si="507"/>
        <v>-15.751000000000017</v>
      </c>
      <c r="I158" s="49">
        <f t="shared" si="507"/>
        <v>72.914000000000016</v>
      </c>
      <c r="J158" s="435">
        <f t="shared" si="507"/>
        <v>124.90199999999952</v>
      </c>
      <c r="K158" s="49">
        <f t="shared" si="507"/>
        <v>-19.031000000000294</v>
      </c>
      <c r="L158" s="49">
        <f t="shared" si="507"/>
        <v>8.8639999999992405</v>
      </c>
      <c r="M158" s="49">
        <f t="shared" si="507"/>
        <v>-5.950399999999429</v>
      </c>
      <c r="N158" s="49">
        <f t="shared" si="507"/>
        <v>29.046400000001523</v>
      </c>
      <c r="O158" s="435">
        <f t="shared" si="507"/>
        <v>12.929000000000984</v>
      </c>
      <c r="P158" s="48">
        <f t="shared" si="507"/>
        <v>65.88700000000118</v>
      </c>
      <c r="Q158" s="49">
        <f t="shared" si="507"/>
        <v>-61.978999999999409</v>
      </c>
      <c r="R158" s="49">
        <f t="shared" si="507"/>
        <v>97.748000000000062</v>
      </c>
      <c r="S158" s="50">
        <f t="shared" si="507"/>
        <v>100.95199999999791</v>
      </c>
      <c r="T158" s="435">
        <f t="shared" si="507"/>
        <v>205.38599999999963</v>
      </c>
      <c r="U158" s="49">
        <f t="shared" si="507"/>
        <v>-95.182999999999694</v>
      </c>
      <c r="V158" s="49">
        <f t="shared" si="507"/>
        <v>-183.14400000000006</v>
      </c>
      <c r="W158" s="49">
        <f t="shared" si="507"/>
        <v>43.447999999999723</v>
      </c>
      <c r="X158" s="436">
        <f t="shared" ca="1" si="507"/>
        <v>4.6859999999990682</v>
      </c>
      <c r="Y158" s="437">
        <f t="shared" ca="1" si="507"/>
        <v>-230.19300000000101</v>
      </c>
      <c r="Z158" s="436">
        <f t="shared" si="507"/>
        <v>89.066999999999993</v>
      </c>
      <c r="AA158" s="436">
        <f t="shared" si="507"/>
        <v>162.13199999999941</v>
      </c>
      <c r="AB158" s="436">
        <f t="shared" si="507"/>
        <v>-12.220000000000152</v>
      </c>
      <c r="AC158" s="436">
        <f t="shared" si="507"/>
        <v>72.921000000000689</v>
      </c>
      <c r="AD158" s="437">
        <f t="shared" si="507"/>
        <v>311.89999999999986</v>
      </c>
      <c r="AE158" s="436">
        <f t="shared" si="507"/>
        <v>31.500000000000377</v>
      </c>
      <c r="AF158" s="436">
        <f t="shared" si="507"/>
        <v>-313.49999999999966</v>
      </c>
      <c r="AG158" s="436">
        <f t="shared" si="507"/>
        <v>-127.79999999999971</v>
      </c>
      <c r="AH158" s="436">
        <f t="shared" si="507"/>
        <v>62.899999999998961</v>
      </c>
      <c r="AI158" s="437">
        <f t="shared" si="507"/>
        <v>-346.90000000000003</v>
      </c>
      <c r="AJ158" s="436">
        <f t="shared" si="507"/>
        <v>76.199999999999292</v>
      </c>
      <c r="AK158" s="436">
        <f>+AK143+AK148+AK154+AK156+AK157</f>
        <v>-95.999999999999716</v>
      </c>
      <c r="AL158" s="436">
        <f t="shared" ref="AL158:BM158" si="508">+AL143+AL148+AL154+AL156+AL157</f>
        <v>-15.200000000000466</v>
      </c>
      <c r="AM158" s="436">
        <f t="shared" si="508"/>
        <v>338.59999999999957</v>
      </c>
      <c r="AN158" s="437">
        <f t="shared" si="508"/>
        <v>303.59999999999877</v>
      </c>
      <c r="AO158" s="49">
        <f t="shared" si="508"/>
        <v>77.200000000000401</v>
      </c>
      <c r="AP158" s="49">
        <f t="shared" si="508"/>
        <v>-196.09999999999965</v>
      </c>
      <c r="AQ158" s="436">
        <f t="shared" si="508"/>
        <v>-88.700000000000273</v>
      </c>
      <c r="AR158" s="436">
        <f t="shared" si="508"/>
        <v>303.59999999999923</v>
      </c>
      <c r="AS158" s="437">
        <f t="shared" si="508"/>
        <v>95.999999999999773</v>
      </c>
      <c r="AT158" s="49">
        <f t="shared" si="508"/>
        <v>194.30000000000038</v>
      </c>
      <c r="AU158" s="49">
        <f t="shared" si="508"/>
        <v>2935.9999999999995</v>
      </c>
      <c r="AV158" s="49">
        <f t="shared" si="508"/>
        <v>281.39999999999941</v>
      </c>
      <c r="AW158" s="436">
        <f t="shared" si="508"/>
        <v>-2872</v>
      </c>
      <c r="AX158" s="437">
        <f t="shared" si="508"/>
        <v>539.69999999999948</v>
      </c>
      <c r="AY158" s="436">
        <f t="shared" si="508"/>
        <v>372.69999999999948</v>
      </c>
      <c r="AZ158" s="436">
        <f t="shared" si="508"/>
        <v>188.1000000000007</v>
      </c>
      <c r="BA158" s="436">
        <f t="shared" si="508"/>
        <v>-1363.700000000001</v>
      </c>
      <c r="BB158" s="436">
        <f t="shared" si="508"/>
        <v>256.20000000000078</v>
      </c>
      <c r="BC158" s="437">
        <f t="shared" si="508"/>
        <v>-546.70000000000005</v>
      </c>
      <c r="BD158" s="436">
        <f t="shared" si="508"/>
        <v>242.39999999999986</v>
      </c>
      <c r="BE158" s="436">
        <f t="shared" si="508"/>
        <v>-475.09999999999928</v>
      </c>
      <c r="BF158" s="436">
        <f t="shared" si="508"/>
        <v>771.59999999999923</v>
      </c>
      <c r="BG158" s="436">
        <f t="shared" ca="1" si="508"/>
        <v>4556.5999999999995</v>
      </c>
      <c r="BH158" s="437">
        <f t="shared" ca="1" si="508"/>
        <v>5095.5</v>
      </c>
      <c r="BI158" s="436">
        <f t="shared" si="508"/>
        <v>3957.6</v>
      </c>
      <c r="BJ158" s="436">
        <f>+BJ143+BJ148+BJ154+BJ156+BJ157</f>
        <v>-8178.5</v>
      </c>
      <c r="BK158" s="436">
        <f t="shared" si="508"/>
        <v>-156.10000000000099</v>
      </c>
      <c r="BL158" s="436">
        <f t="shared" si="508"/>
        <v>1550.8000000000002</v>
      </c>
      <c r="BM158" s="437">
        <f t="shared" si="508"/>
        <v>-2826.2000000000016</v>
      </c>
      <c r="BN158" s="436">
        <f t="shared" ref="BN158:BW158" si="509">+BN143+BN148+BN154+BN156+BN157</f>
        <v>-798.90000000000146</v>
      </c>
      <c r="BO158" s="436">
        <f>+BO143+BO148+BO154+BO156+BO157</f>
        <v>-642.8000000000028</v>
      </c>
      <c r="BP158" s="436">
        <f>+BP143+BP148+BP154+BP156+BP157</f>
        <v>385.89999999999662</v>
      </c>
      <c r="BQ158" s="436">
        <f t="shared" si="509"/>
        <v>254.10000000000119</v>
      </c>
      <c r="BR158" s="437">
        <f t="shared" si="509"/>
        <v>-801.70000000000698</v>
      </c>
      <c r="BS158" s="436">
        <f t="shared" si="509"/>
        <v>-141.01700507614163</v>
      </c>
      <c r="BT158" s="436">
        <f t="shared" si="509"/>
        <v>984.81700507614096</v>
      </c>
      <c r="BU158" s="436">
        <f t="shared" si="509"/>
        <v>-2000.6</v>
      </c>
      <c r="BV158" s="436">
        <f t="shared" si="509"/>
        <v>997.99999999999966</v>
      </c>
      <c r="BW158" s="437">
        <f t="shared" si="509"/>
        <v>-158.80000000000126</v>
      </c>
      <c r="BX158" s="436">
        <f t="shared" ref="BX158:CG158" si="510">+BX143+BX148+BX154+BX156+BX157</f>
        <v>-898.79999999999984</v>
      </c>
      <c r="BY158" s="436">
        <f>+BY143+BY148+BY154+BY156+BY157</f>
        <v>-232.49999999999974</v>
      </c>
      <c r="BZ158" s="436">
        <f>+BZ143+BZ148+BZ154+BZ156+BZ157</f>
        <v>-263.10000000000093</v>
      </c>
      <c r="CA158" s="436">
        <f ca="1">+CA143+CA148+CA154+CA156+CA157</f>
        <v>2748.1</v>
      </c>
      <c r="CB158" s="437">
        <f t="shared" ca="1" si="510"/>
        <v>1353.6999999999998</v>
      </c>
      <c r="CC158" s="436">
        <f t="shared" ref="CC158:CE158" si="511">+CC143+CC148+CC154+CC156+CC157</f>
        <v>-1415.2</v>
      </c>
      <c r="CD158" s="436">
        <f t="shared" si="511"/>
        <v>-446.70000000000005</v>
      </c>
      <c r="CE158" s="436">
        <f t="shared" si="511"/>
        <v>980.30000000000041</v>
      </c>
      <c r="CF158" s="436">
        <f t="shared" si="510"/>
        <v>772.50000000000034</v>
      </c>
      <c r="CG158" s="437">
        <f t="shared" si="510"/>
        <v>-109.09999999999927</v>
      </c>
      <c r="CH158" s="436">
        <f>+CH143+CH148+CH154+CH156+CH157</f>
        <v>86.599999999999838</v>
      </c>
      <c r="CI158" s="436">
        <f t="shared" ref="CI158" si="512">+CI143+CI148+CI154+CI156+CI157</f>
        <v>-811.30000000000007</v>
      </c>
      <c r="CJ158" s="436">
        <f t="shared" ref="CJ158:CK158" si="513">+CJ143+CJ148+CJ154+CJ156+CJ157</f>
        <v>1043.4000000000005</v>
      </c>
      <c r="CK158" s="436">
        <f t="shared" si="513"/>
        <v>-1086.3000000000002</v>
      </c>
      <c r="CL158" s="437">
        <f t="shared" ref="CL158:CQ158" si="514">+CL143+CL148+CL154+CL156+CL157</f>
        <v>-767.59999999999957</v>
      </c>
      <c r="CM158" s="436">
        <f t="shared" ca="1" si="514"/>
        <v>-954.12070085166852</v>
      </c>
      <c r="CN158" s="436">
        <f t="shared" ca="1" si="514"/>
        <v>1191.0737331106575</v>
      </c>
      <c r="CO158" s="436">
        <f t="shared" ca="1" si="514"/>
        <v>1455.8944946820257</v>
      </c>
      <c r="CP158" s="436">
        <f t="shared" ca="1" si="514"/>
        <v>1371.6099927175196</v>
      </c>
      <c r="CQ158" s="437">
        <f t="shared" ca="1" si="514"/>
        <v>3064.4575196585333</v>
      </c>
      <c r="CR158" s="436">
        <f ca="1">+CR143+CR148+CR154+CR156+CR157</f>
        <v>1880.2452189662747</v>
      </c>
      <c r="CS158" s="436">
        <f t="shared" ref="CS158:CV158" ca="1" si="515">+CS143+CS148+CS154+CS156+CS157</f>
        <v>-109.78109027104779</v>
      </c>
      <c r="CT158" s="436">
        <f t="shared" ca="1" si="515"/>
        <v>1440.5335825472471</v>
      </c>
      <c r="CU158" s="436">
        <f t="shared" ca="1" si="515"/>
        <v>1138.9115218788254</v>
      </c>
      <c r="CV158" s="437">
        <f t="shared" ca="1" si="515"/>
        <v>4349.9092331212996</v>
      </c>
      <c r="CW158" s="436">
        <f ca="1">+CW143+CW148+CW154+CW156+CW157</f>
        <v>997.44170211568235</v>
      </c>
      <c r="CX158" s="436">
        <f t="shared" ref="CX158:DA158" ca="1" si="516">+CX143+CX148+CX154+CX156+CX157</f>
        <v>-223.36404452299871</v>
      </c>
      <c r="CY158" s="436">
        <f t="shared" ca="1" si="516"/>
        <v>1319.5721873940445</v>
      </c>
      <c r="CZ158" s="436">
        <f t="shared" ca="1" si="516"/>
        <v>995.82817601615182</v>
      </c>
      <c r="DA158" s="437">
        <f t="shared" ca="1" si="516"/>
        <v>3089.4780210028794</v>
      </c>
      <c r="DB158" s="436">
        <f ca="1">+DB143+DB148+DB154+DB156+DB157</f>
        <v>819.09723173919258</v>
      </c>
      <c r="DC158" s="436">
        <f t="shared" ref="DC158:DF158" ca="1" si="517">+DC143+DC148+DC154+DC156+DC157</f>
        <v>-346.87827271945469</v>
      </c>
      <c r="DD158" s="436">
        <f t="shared" ca="1" si="517"/>
        <v>1201.2145246953203</v>
      </c>
      <c r="DE158" s="436">
        <f t="shared" ca="1" si="517"/>
        <v>885.31902339462522</v>
      </c>
      <c r="DF158" s="437">
        <f t="shared" ca="1" si="517"/>
        <v>2558.7525071096834</v>
      </c>
      <c r="DG158" s="1964"/>
    </row>
    <row r="159" spans="2:118" s="10" customFormat="1" ht="13.5" hidden="1" customHeight="1" outlineLevel="1" thickBot="1" x14ac:dyDescent="0.25">
      <c r="B159" s="741"/>
      <c r="C159" s="53"/>
      <c r="D159" s="165"/>
      <c r="E159" s="165"/>
      <c r="F159" s="165"/>
      <c r="G159" s="652"/>
      <c r="H159" s="652"/>
      <c r="I159" s="652"/>
      <c r="J159" s="165"/>
      <c r="K159" s="652"/>
      <c r="L159" s="652"/>
      <c r="M159" s="652"/>
      <c r="N159" s="652"/>
      <c r="O159" s="165"/>
      <c r="P159" s="652"/>
      <c r="Q159" s="652"/>
      <c r="R159" s="652"/>
      <c r="S159" s="652"/>
      <c r="T159" s="652"/>
      <c r="U159" s="652"/>
      <c r="V159" s="652"/>
      <c r="W159" s="652"/>
      <c r="X159" s="652"/>
      <c r="Y159" s="652"/>
      <c r="Z159" s="652"/>
      <c r="AA159" s="652"/>
      <c r="AB159" s="652"/>
      <c r="AC159" s="652"/>
      <c r="AD159" s="652"/>
      <c r="AE159" s="652"/>
      <c r="AF159" s="652"/>
      <c r="AG159" s="652"/>
      <c r="AH159" s="652"/>
      <c r="AI159" s="652"/>
      <c r="AJ159" s="652"/>
      <c r="AK159" s="652"/>
      <c r="AL159" s="652"/>
      <c r="AM159" s="652"/>
      <c r="AN159" s="652"/>
      <c r="AO159" s="652"/>
      <c r="AP159" s="652"/>
      <c r="AQ159" s="839"/>
      <c r="AR159" s="652"/>
      <c r="AS159" s="652"/>
      <c r="AT159" s="652"/>
      <c r="AU159" s="652"/>
      <c r="AV159" s="652"/>
      <c r="AW159" s="652"/>
      <c r="AX159" s="652"/>
      <c r="AY159" s="512"/>
      <c r="AZ159" s="53"/>
      <c r="BA159" s="53"/>
      <c r="BB159" s="53"/>
      <c r="BC159" s="512"/>
      <c r="BD159" s="512"/>
      <c r="BE159" s="53"/>
      <c r="BF159" s="53"/>
      <c r="BG159" s="53"/>
      <c r="BH159" s="53"/>
      <c r="BI159" s="53"/>
      <c r="BJ159" s="53"/>
      <c r="BK159" s="53"/>
      <c r="BL159" s="53"/>
      <c r="BM159" s="53"/>
      <c r="BN159" s="53"/>
      <c r="BO159" s="53"/>
      <c r="BP159" s="53"/>
      <c r="BQ159" s="53"/>
      <c r="BR159" s="53"/>
      <c r="BS159" s="53"/>
      <c r="BT159" s="53"/>
      <c r="BU159" s="53"/>
      <c r="BV159" s="53"/>
      <c r="BW159" s="53"/>
      <c r="BX159" s="53"/>
      <c r="BY159" s="53"/>
      <c r="BZ159" s="53"/>
      <c r="CA159" s="53"/>
      <c r="CB159" s="53"/>
      <c r="CC159" s="53"/>
      <c r="CD159" s="53"/>
      <c r="CE159" s="53"/>
      <c r="CF159" s="53"/>
      <c r="CG159" s="53"/>
      <c r="CH159" s="53"/>
      <c r="CI159" s="53"/>
      <c r="CJ159" s="53"/>
      <c r="CK159" s="53"/>
      <c r="CL159" s="53"/>
      <c r="CM159" s="53"/>
      <c r="CN159" s="53"/>
      <c r="CO159" s="53"/>
      <c r="CP159" s="53"/>
      <c r="CQ159" s="53"/>
      <c r="CR159" s="53"/>
      <c r="CS159" s="53"/>
      <c r="CT159" s="53"/>
      <c r="CU159" s="53"/>
      <c r="CV159" s="53"/>
      <c r="CW159" s="53"/>
      <c r="CX159" s="53"/>
      <c r="CY159" s="53"/>
      <c r="CZ159" s="53"/>
      <c r="DA159" s="53"/>
      <c r="DB159" s="53"/>
      <c r="DC159" s="53"/>
      <c r="DD159" s="53"/>
      <c r="DE159" s="53"/>
      <c r="DF159" s="53"/>
      <c r="DG159"/>
      <c r="DH159"/>
      <c r="DI159"/>
      <c r="DJ159"/>
      <c r="DK159"/>
      <c r="DL159"/>
      <c r="DM159"/>
      <c r="DN159"/>
    </row>
    <row r="160" spans="2:118" ht="13.5" hidden="1" customHeight="1" outlineLevel="1" thickBot="1" x14ac:dyDescent="0.3">
      <c r="B160" s="843" t="s">
        <v>135</v>
      </c>
      <c r="C160" s="844"/>
      <c r="D160" s="846"/>
      <c r="E160" s="846"/>
      <c r="F160" s="845"/>
      <c r="G160" s="845"/>
      <c r="H160" s="845"/>
      <c r="I160" s="845"/>
      <c r="J160" s="846"/>
      <c r="K160" s="845"/>
      <c r="L160" s="847"/>
      <c r="M160" s="845"/>
      <c r="N160" s="845"/>
      <c r="O160" s="846"/>
      <c r="P160" s="845">
        <f t="shared" ref="P160:AU160" si="518">P143/P62</f>
        <v>0.78052731630713501</v>
      </c>
      <c r="Q160" s="845">
        <f t="shared" si="518"/>
        <v>0.21181919019358988</v>
      </c>
      <c r="R160" s="845">
        <f t="shared" si="518"/>
        <v>1.2682830641090359</v>
      </c>
      <c r="S160" s="845">
        <f t="shared" si="518"/>
        <v>1.3386517024342208</v>
      </c>
      <c r="T160" s="848">
        <f t="shared" si="518"/>
        <v>0.91010523596108528</v>
      </c>
      <c r="U160" s="849">
        <f t="shared" si="518"/>
        <v>0.71507444350191629</v>
      </c>
      <c r="V160" s="849">
        <f t="shared" si="518"/>
        <v>0.38581424273375986</v>
      </c>
      <c r="W160" s="849">
        <f t="shared" si="518"/>
        <v>1.0183965339273102</v>
      </c>
      <c r="X160" s="849">
        <f t="shared" ca="1" si="518"/>
        <v>1.2506537241186906</v>
      </c>
      <c r="Y160" s="850">
        <f t="shared" ca="1" si="518"/>
        <v>0.85221462442443674</v>
      </c>
      <c r="Z160" s="849">
        <f t="shared" si="518"/>
        <v>0.87375877553601933</v>
      </c>
      <c r="AA160" s="849">
        <f t="shared" si="518"/>
        <v>1.0615412101000479</v>
      </c>
      <c r="AB160" s="849">
        <f t="shared" si="518"/>
        <v>1.1832302587337813</v>
      </c>
      <c r="AC160" s="849">
        <f t="shared" si="518"/>
        <v>1.1866502302309556</v>
      </c>
      <c r="AD160" s="850">
        <f t="shared" si="518"/>
        <v>1.0889987639060554</v>
      </c>
      <c r="AE160" s="849">
        <f t="shared" si="518"/>
        <v>0.19589106545628429</v>
      </c>
      <c r="AF160" s="849">
        <f t="shared" si="518"/>
        <v>0.69899359560841778</v>
      </c>
      <c r="AG160" s="849">
        <f t="shared" si="518"/>
        <v>0.69193899782135093</v>
      </c>
      <c r="AH160" s="849">
        <f t="shared" si="518"/>
        <v>1.140939597315437</v>
      </c>
      <c r="AI160" s="850">
        <f t="shared" si="518"/>
        <v>0.7115384615384609</v>
      </c>
      <c r="AJ160" s="849">
        <f t="shared" si="518"/>
        <v>0.57865377463741052</v>
      </c>
      <c r="AK160" s="849">
        <f t="shared" si="518"/>
        <v>0.33079584775086596</v>
      </c>
      <c r="AL160" s="849">
        <f t="shared" si="518"/>
        <v>0.8045602605863188</v>
      </c>
      <c r="AM160" s="849">
        <f t="shared" si="518"/>
        <v>1.0255610972568581</v>
      </c>
      <c r="AN160" s="850">
        <f t="shared" si="518"/>
        <v>0.69764695960192102</v>
      </c>
      <c r="AO160" s="849">
        <f t="shared" si="518"/>
        <v>0.79285490441867779</v>
      </c>
      <c r="AP160" s="849">
        <f t="shared" si="518"/>
        <v>0.68314803978935079</v>
      </c>
      <c r="AQ160" s="849">
        <f t="shared" si="518"/>
        <v>0.68474576271186427</v>
      </c>
      <c r="AR160" s="849">
        <f t="shared" si="518"/>
        <v>1.0297274979355904</v>
      </c>
      <c r="AS160" s="850">
        <f t="shared" si="518"/>
        <v>0.80031925700188544</v>
      </c>
      <c r="AT160" s="849">
        <f t="shared" si="518"/>
        <v>0.73636831275720183</v>
      </c>
      <c r="AU160" s="849">
        <f t="shared" si="518"/>
        <v>0.56443361753958587</v>
      </c>
      <c r="AV160" s="849">
        <f t="shared" ref="AV160:CB160" si="519">AV143/AV62</f>
        <v>0.93778696051423294</v>
      </c>
      <c r="AW160" s="849">
        <f t="shared" si="519"/>
        <v>1.7312026224134396</v>
      </c>
      <c r="AX160" s="850">
        <f t="shared" si="519"/>
        <v>1.0281485780615194</v>
      </c>
      <c r="AY160" s="849">
        <f t="shared" si="519"/>
        <v>1.3942364960828333</v>
      </c>
      <c r="AZ160" s="849">
        <f t="shared" si="519"/>
        <v>1.1742618194231098</v>
      </c>
      <c r="BA160" s="849">
        <f t="shared" si="519"/>
        <v>0.6371738778155871</v>
      </c>
      <c r="BB160" s="849">
        <f t="shared" si="519"/>
        <v>0.41796934284413534</v>
      </c>
      <c r="BC160" s="850">
        <f t="shared" si="519"/>
        <v>0.87940110683099559</v>
      </c>
      <c r="BD160" s="849">
        <f t="shared" si="519"/>
        <v>0.39720461563464954</v>
      </c>
      <c r="BE160" s="849">
        <f t="shared" si="519"/>
        <v>0.71381886087768465</v>
      </c>
      <c r="BF160" s="849">
        <f t="shared" si="519"/>
        <v>1.3911020645536498</v>
      </c>
      <c r="BG160" s="849">
        <f t="shared" ca="1" si="519"/>
        <v>0.73322309494281412</v>
      </c>
      <c r="BH160" s="850">
        <f t="shared" ca="1" si="519"/>
        <v>0.82054353522497525</v>
      </c>
      <c r="BI160" s="849">
        <f t="shared" si="519"/>
        <v>0.80488915882174306</v>
      </c>
      <c r="BJ160" s="849">
        <f t="shared" si="519"/>
        <v>0.48407687028140012</v>
      </c>
      <c r="BK160" s="849">
        <f t="shared" si="519"/>
        <v>0.49552696078431374</v>
      </c>
      <c r="BL160" s="849">
        <f t="shared" si="519"/>
        <v>1.6627186588921268</v>
      </c>
      <c r="BM160" s="850">
        <f t="shared" si="519"/>
        <v>0.88646644419725695</v>
      </c>
      <c r="BN160" s="849">
        <f t="shared" si="519"/>
        <v>0.60638697557921051</v>
      </c>
      <c r="BO160" s="849">
        <f t="shared" si="519"/>
        <v>-0.10124906464053596</v>
      </c>
      <c r="BP160" s="849">
        <f>BP143/BP62</f>
        <v>0.62873819122690822</v>
      </c>
      <c r="BQ160" s="849">
        <f t="shared" si="519"/>
        <v>1.7503446622310128</v>
      </c>
      <c r="BR160" s="850">
        <f t="shared" si="519"/>
        <v>0.71385700352614523</v>
      </c>
      <c r="BS160" s="849">
        <f t="shared" si="519"/>
        <v>0.3086220223819568</v>
      </c>
      <c r="BT160" s="849">
        <f t="shared" si="519"/>
        <v>0.42388024727762874</v>
      </c>
      <c r="BU160" s="849">
        <f t="shared" si="519"/>
        <v>0.25017249310027578</v>
      </c>
      <c r="BV160" s="849">
        <f t="shared" si="519"/>
        <v>1.574713262613753</v>
      </c>
      <c r="BW160" s="850">
        <f t="shared" si="519"/>
        <v>0.66872473355384021</v>
      </c>
      <c r="BX160" s="849">
        <f t="shared" si="519"/>
        <v>0.18609880298922044</v>
      </c>
      <c r="BY160" s="849">
        <f t="shared" si="519"/>
        <v>0.50147673446642527</v>
      </c>
      <c r="BZ160" s="849">
        <f>BZ143/BZ62</f>
        <v>0.43853342918763455</v>
      </c>
      <c r="CA160" s="849">
        <f>CA143/CA62</f>
        <v>1.4875776397515528</v>
      </c>
      <c r="CB160" s="850">
        <f t="shared" si="519"/>
        <v>0.68800465452894188</v>
      </c>
      <c r="CC160" s="849">
        <f t="shared" ref="CC160:CD160" si="520">CC143/CC62</f>
        <v>0.51452054794520541</v>
      </c>
      <c r="CD160" s="849">
        <f t="shared" si="520"/>
        <v>0.24409098492853562</v>
      </c>
      <c r="CE160" s="849">
        <f t="shared" ref="CE160" si="521">CE143/CE62</f>
        <v>0.75991992197525804</v>
      </c>
      <c r="CF160" s="849">
        <f t="shared" ref="CF160:CL160" si="522">CF143/CF62</f>
        <v>1.0947814234251778</v>
      </c>
      <c r="CG160" s="850">
        <f t="shared" si="522"/>
        <v>0.67756597432648336</v>
      </c>
      <c r="CH160" s="849">
        <f t="shared" ref="CH160" si="523">CH143/CH62</f>
        <v>0.66862718887849204</v>
      </c>
      <c r="CI160" s="849">
        <f t="shared" si="522"/>
        <v>0.59273066169617883</v>
      </c>
      <c r="CJ160" s="849">
        <f t="shared" ref="CJ160" si="524">CJ143/CJ62</f>
        <v>0.97560850364588692</v>
      </c>
      <c r="CK160" s="849">
        <f t="shared" si="522"/>
        <v>0.63773918711299393</v>
      </c>
      <c r="CL160" s="850">
        <f t="shared" si="522"/>
        <v>0.72162738011759242</v>
      </c>
      <c r="CM160" s="849">
        <f t="shared" ref="CM160:CV160" ca="1" si="525">CM143/CM62</f>
        <v>0.71711113029948037</v>
      </c>
      <c r="CN160" s="849">
        <f t="shared" ca="1" si="525"/>
        <v>0.63459424148051302</v>
      </c>
      <c r="CO160" s="849">
        <f t="shared" ca="1" si="525"/>
        <v>0.76752110901946002</v>
      </c>
      <c r="CP160" s="849">
        <f t="shared" ca="1" si="525"/>
        <v>0.68002819026870376</v>
      </c>
      <c r="CQ160" s="850">
        <f t="shared" ca="1" si="525"/>
        <v>0.69855468553717237</v>
      </c>
      <c r="CR160" s="849">
        <f t="shared" ca="1" si="525"/>
        <v>1.2512372805971532</v>
      </c>
      <c r="CS160" s="849">
        <f t="shared" ca="1" si="525"/>
        <v>0.67402246875677541</v>
      </c>
      <c r="CT160" s="849">
        <f t="shared" ca="1" si="525"/>
        <v>0.79741969335423057</v>
      </c>
      <c r="CU160" s="849">
        <f t="shared" ca="1" si="525"/>
        <v>0.60347711017913408</v>
      </c>
      <c r="CV160" s="850">
        <f t="shared" ca="1" si="525"/>
        <v>0.80641863361083133</v>
      </c>
      <c r="CW160" s="849">
        <f t="shared" ref="CW160:DF160" ca="1" si="526">CW143/CW62</f>
        <v>0.77118750492746668</v>
      </c>
      <c r="CX160" s="849">
        <f t="shared" ca="1" si="526"/>
        <v>0.70648877677813593</v>
      </c>
      <c r="CY160" s="849">
        <f t="shared" ca="1" si="526"/>
        <v>0.84992307704453518</v>
      </c>
      <c r="CZ160" s="849">
        <f t="shared" ca="1" si="526"/>
        <v>0.62192895567912088</v>
      </c>
      <c r="DA160" s="850">
        <f t="shared" ca="1" si="526"/>
        <v>0.73367948872632049</v>
      </c>
      <c r="DB160" s="849">
        <f t="shared" ca="1" si="526"/>
        <v>0.74332792948555693</v>
      </c>
      <c r="DC160" s="849">
        <f t="shared" ca="1" si="526"/>
        <v>0.74583176745969504</v>
      </c>
      <c r="DD160" s="849">
        <f t="shared" ca="1" si="526"/>
        <v>0.8877629011122512</v>
      </c>
      <c r="DE160" s="849">
        <f t="shared" ca="1" si="526"/>
        <v>0.64918819229112446</v>
      </c>
      <c r="DF160" s="850">
        <f t="shared" ca="1" si="526"/>
        <v>0.75569046382600924</v>
      </c>
    </row>
    <row r="161" spans="1:118" ht="13.5" collapsed="1" thickBot="1" x14ac:dyDescent="0.25">
      <c r="B161" s="840"/>
      <c r="C161" s="55"/>
      <c r="D161" s="269"/>
      <c r="E161" s="269"/>
      <c r="F161" s="269"/>
      <c r="G161" s="841"/>
      <c r="H161" s="842"/>
      <c r="I161" s="269"/>
      <c r="J161" s="269"/>
      <c r="K161" s="269"/>
      <c r="L161" s="841"/>
      <c r="M161" s="841"/>
      <c r="N161" s="269"/>
      <c r="O161" s="269"/>
      <c r="P161" s="269"/>
      <c r="Q161" s="269"/>
      <c r="R161" s="269"/>
      <c r="S161" s="269"/>
      <c r="T161" s="269"/>
      <c r="U161" s="269"/>
      <c r="V161" s="269"/>
      <c r="W161" s="269"/>
      <c r="X161" s="55"/>
      <c r="Y161" s="55"/>
      <c r="Z161" s="55"/>
      <c r="AA161" s="55"/>
      <c r="AB161" s="55"/>
      <c r="AC161" s="55"/>
      <c r="AD161" s="55"/>
      <c r="AE161" s="55"/>
      <c r="AF161" s="55"/>
      <c r="AG161" s="55"/>
      <c r="AH161" s="55"/>
      <c r="AI161" s="55"/>
      <c r="AJ161" s="55"/>
      <c r="AK161" s="55"/>
      <c r="AL161" s="55"/>
      <c r="AM161" s="55"/>
      <c r="AN161" s="55"/>
      <c r="AO161" s="841"/>
      <c r="AP161" s="841"/>
      <c r="AQ161" s="55"/>
      <c r="AR161" s="55"/>
      <c r="AS161" s="55"/>
      <c r="AT161" s="269"/>
      <c r="AU161" s="269"/>
      <c r="AV161" s="55"/>
      <c r="AW161" s="55"/>
      <c r="AX161" s="55"/>
      <c r="AY161" s="55"/>
      <c r="AZ161" s="55"/>
      <c r="BA161" s="55"/>
      <c r="BB161" s="55"/>
      <c r="BC161" s="55"/>
      <c r="BD161" s="55"/>
      <c r="BE161" s="55"/>
      <c r="BF161" s="55"/>
      <c r="BG161" s="55"/>
      <c r="BH161" s="55"/>
      <c r="BI161" s="55"/>
      <c r="BJ161" s="55"/>
      <c r="BK161" s="55"/>
      <c r="BL161" s="55"/>
      <c r="BM161" s="55"/>
      <c r="BN161" s="55"/>
      <c r="BO161" s="55"/>
      <c r="BP161" s="55"/>
      <c r="BQ161" s="55"/>
      <c r="BR161" s="55"/>
      <c r="BS161" s="55"/>
      <c r="BT161" s="55"/>
      <c r="BU161" s="55"/>
      <c r="BV161" s="55"/>
      <c r="BW161" s="55"/>
      <c r="BX161" s="55"/>
      <c r="BY161" s="55"/>
      <c r="BZ161" s="55"/>
      <c r="CA161" s="55"/>
      <c r="CB161" s="55"/>
      <c r="CC161" s="55"/>
      <c r="CD161" s="55"/>
      <c r="CE161" s="55"/>
      <c r="CF161" s="55"/>
      <c r="CG161" s="55"/>
      <c r="CH161" s="55"/>
      <c r="CI161" s="436"/>
      <c r="CJ161" s="55"/>
      <c r="CK161" s="55"/>
      <c r="CL161" s="55"/>
      <c r="CM161" s="55"/>
      <c r="CN161" s="55"/>
      <c r="CO161" s="55"/>
      <c r="CP161" s="55"/>
      <c r="CQ161" s="55"/>
      <c r="CR161" s="55"/>
      <c r="CS161" s="55"/>
      <c r="CT161" s="55"/>
      <c r="CU161" s="55"/>
      <c r="CV161" s="55"/>
      <c r="CW161" s="55"/>
      <c r="CX161" s="55"/>
      <c r="CY161" s="55"/>
      <c r="CZ161" s="55"/>
      <c r="DA161" s="55"/>
      <c r="DB161" s="55"/>
      <c r="DC161" s="55"/>
      <c r="DD161" s="55"/>
      <c r="DE161" s="55"/>
      <c r="DF161" s="55"/>
    </row>
    <row r="162" spans="1:118" ht="13.5" hidden="1" customHeight="1" outlineLevel="1" thickBot="1" x14ac:dyDescent="0.3">
      <c r="B162" s="814" t="s">
        <v>247</v>
      </c>
      <c r="C162" s="831"/>
      <c r="D162" s="833"/>
      <c r="E162" s="833"/>
      <c r="F162" s="832"/>
      <c r="G162" s="832"/>
      <c r="H162" s="832"/>
      <c r="I162" s="834"/>
      <c r="J162" s="835"/>
      <c r="K162" s="834"/>
      <c r="L162" s="834"/>
      <c r="M162" s="834"/>
      <c r="N162" s="834"/>
      <c r="O162" s="835"/>
      <c r="P162" s="834"/>
      <c r="Q162" s="834"/>
      <c r="R162" s="834"/>
      <c r="S162" s="834"/>
      <c r="T162" s="835"/>
      <c r="U162" s="834"/>
      <c r="V162" s="834"/>
      <c r="W162" s="834"/>
      <c r="X162" s="834"/>
      <c r="Y162" s="835"/>
      <c r="Z162" s="834"/>
      <c r="AA162" s="834"/>
      <c r="AB162" s="834"/>
      <c r="AC162" s="834"/>
      <c r="AD162" s="835"/>
      <c r="AE162" s="834"/>
      <c r="AF162" s="834"/>
      <c r="AG162" s="834"/>
      <c r="AH162" s="834"/>
      <c r="AI162" s="835"/>
      <c r="AJ162" s="834"/>
      <c r="AK162" s="834"/>
      <c r="AL162" s="834"/>
      <c r="AM162" s="834"/>
      <c r="AN162" s="835"/>
      <c r="AO162" s="834"/>
      <c r="AP162" s="834"/>
      <c r="AQ162" s="834"/>
      <c r="AR162" s="834"/>
      <c r="AS162" s="835"/>
      <c r="AT162" s="834"/>
      <c r="AU162" s="834"/>
      <c r="AV162" s="834"/>
      <c r="AW162" s="834"/>
      <c r="AX162" s="835"/>
      <c r="AY162" s="834"/>
      <c r="AZ162" s="834"/>
      <c r="BA162" s="834"/>
      <c r="BB162" s="834"/>
      <c r="BC162" s="835"/>
      <c r="BD162" s="834"/>
      <c r="BE162" s="834"/>
      <c r="BF162" s="834"/>
      <c r="BG162" s="834"/>
      <c r="BH162" s="835"/>
      <c r="BI162" s="834"/>
      <c r="BJ162" s="834"/>
      <c r="BK162" s="834"/>
      <c r="BL162" s="834"/>
      <c r="BM162" s="835"/>
      <c r="BN162" s="834"/>
      <c r="BO162" s="834"/>
      <c r="BP162" s="834"/>
      <c r="BQ162" s="834"/>
      <c r="BR162" s="835"/>
      <c r="BS162" s="834"/>
      <c r="BT162" s="834"/>
      <c r="BU162" s="834"/>
      <c r="BV162" s="834"/>
      <c r="BW162" s="835"/>
      <c r="BX162" s="834"/>
      <c r="BY162" s="834"/>
      <c r="BZ162" s="834"/>
      <c r="CA162" s="834"/>
      <c r="CB162" s="835"/>
      <c r="CC162" s="834"/>
      <c r="CD162" s="834"/>
      <c r="CE162" s="834"/>
      <c r="CF162" s="834"/>
      <c r="CG162" s="835"/>
      <c r="CH162" s="834"/>
      <c r="CI162" s="834"/>
      <c r="CJ162" s="834"/>
      <c r="CK162" s="834"/>
      <c r="CL162" s="835"/>
      <c r="CM162" s="834"/>
      <c r="CN162" s="834"/>
      <c r="CO162" s="834"/>
      <c r="CP162" s="834"/>
      <c r="CQ162" s="835"/>
      <c r="CR162" s="834"/>
      <c r="CS162" s="834"/>
      <c r="CT162" s="834"/>
      <c r="CU162" s="834"/>
      <c r="CV162" s="835"/>
      <c r="CW162" s="834"/>
      <c r="CX162" s="834"/>
      <c r="CY162" s="834"/>
      <c r="CZ162" s="834"/>
      <c r="DA162" s="835"/>
      <c r="DB162" s="834"/>
      <c r="DC162" s="834"/>
      <c r="DD162" s="834"/>
      <c r="DE162" s="834"/>
      <c r="DF162" s="835"/>
    </row>
    <row r="163" spans="1:118" ht="12.75" hidden="1" customHeight="1" outlineLevel="1" x14ac:dyDescent="0.25">
      <c r="A163" s="150"/>
      <c r="B163" s="721" t="s">
        <v>88</v>
      </c>
      <c r="C163" s="150"/>
      <c r="D163" s="155"/>
      <c r="E163" s="155"/>
      <c r="F163" s="151"/>
      <c r="G163" s="151"/>
      <c r="H163" s="151"/>
      <c r="I163" s="149"/>
      <c r="J163" s="153"/>
      <c r="K163" s="149"/>
      <c r="L163" s="152"/>
      <c r="M163" s="149"/>
      <c r="N163" s="149"/>
      <c r="O163" s="153"/>
      <c r="P163" s="149"/>
      <c r="Q163" s="149"/>
      <c r="R163" s="149"/>
      <c r="S163" s="149"/>
      <c r="T163" s="440"/>
      <c r="U163" s="32">
        <f t="shared" ref="U163:BM163" si="527">U62</f>
        <v>136.74800000000027</v>
      </c>
      <c r="V163" s="32">
        <f t="shared" si="527"/>
        <v>143.91899999999993</v>
      </c>
      <c r="W163" s="32">
        <f t="shared" si="527"/>
        <v>147.25599999999983</v>
      </c>
      <c r="X163" s="32">
        <f t="shared" si="527"/>
        <v>154.11699999999908</v>
      </c>
      <c r="Y163" s="33">
        <f t="shared" si="527"/>
        <v>582.04</v>
      </c>
      <c r="Z163" s="32">
        <f t="shared" si="527"/>
        <v>158.10999999999996</v>
      </c>
      <c r="AA163" s="32">
        <f t="shared" si="527"/>
        <v>167.91999999999939</v>
      </c>
      <c r="AB163" s="32">
        <f t="shared" si="527"/>
        <v>181.42199999999983</v>
      </c>
      <c r="AC163" s="32">
        <f t="shared" si="527"/>
        <v>220.64800000000065</v>
      </c>
      <c r="AD163" s="33">
        <f t="shared" si="527"/>
        <v>728.1000000000007</v>
      </c>
      <c r="AE163" s="32">
        <f t="shared" si="527"/>
        <v>209.30000000000038</v>
      </c>
      <c r="AF163" s="32">
        <f t="shared" si="527"/>
        <v>218.60000000000036</v>
      </c>
      <c r="AG163" s="32">
        <f t="shared" si="527"/>
        <v>229.5000000000002</v>
      </c>
      <c r="AH163" s="32">
        <f t="shared" si="527"/>
        <v>268.19999999999885</v>
      </c>
      <c r="AI163" s="33">
        <f t="shared" si="527"/>
        <v>925.6000000000007</v>
      </c>
      <c r="AJ163" s="32">
        <f t="shared" si="527"/>
        <v>268.8999999999993</v>
      </c>
      <c r="AK163" s="32">
        <f t="shared" si="527"/>
        <v>289.00000000000034</v>
      </c>
      <c r="AL163" s="32">
        <f t="shared" si="527"/>
        <v>306.99999999999949</v>
      </c>
      <c r="AM163" s="32">
        <f t="shared" si="527"/>
        <v>320.79999999999961</v>
      </c>
      <c r="AN163" s="33">
        <f t="shared" si="527"/>
        <v>1185.7000000000014</v>
      </c>
      <c r="AO163" s="30">
        <f t="shared" si="527"/>
        <v>319.10000000000036</v>
      </c>
      <c r="AP163" s="30">
        <f t="shared" si="527"/>
        <v>341.80000000000041</v>
      </c>
      <c r="AQ163" s="32">
        <f t="shared" si="527"/>
        <v>353.99999999999966</v>
      </c>
      <c r="AR163" s="32">
        <f t="shared" si="527"/>
        <v>363.29999999999927</v>
      </c>
      <c r="AS163" s="33">
        <f t="shared" si="527"/>
        <v>1378.2000000000016</v>
      </c>
      <c r="AT163" s="30">
        <f t="shared" si="527"/>
        <v>388.80000000000041</v>
      </c>
      <c r="AU163" s="30">
        <f t="shared" si="527"/>
        <v>410.5</v>
      </c>
      <c r="AV163" s="32">
        <f t="shared" si="527"/>
        <v>435.59999999999945</v>
      </c>
      <c r="AW163" s="32">
        <f t="shared" si="527"/>
        <v>488.1</v>
      </c>
      <c r="AX163" s="33">
        <f t="shared" si="527"/>
        <v>1723.0000000000018</v>
      </c>
      <c r="AY163" s="32">
        <f t="shared" si="527"/>
        <v>545.67499999999961</v>
      </c>
      <c r="AZ163" s="32">
        <f t="shared" si="527"/>
        <v>585.90000000000066</v>
      </c>
      <c r="BA163" s="32">
        <f t="shared" si="527"/>
        <v>617.1</v>
      </c>
      <c r="BB163" s="32">
        <f t="shared" si="527"/>
        <v>658.9</v>
      </c>
      <c r="BC163" s="33">
        <f t="shared" si="527"/>
        <v>2407.7749999999996</v>
      </c>
      <c r="BD163" s="32">
        <f t="shared" si="527"/>
        <v>615.30000000000007</v>
      </c>
      <c r="BE163" s="32">
        <f t="shared" si="527"/>
        <v>642.60000000000036</v>
      </c>
      <c r="BF163" s="32">
        <f t="shared" si="527"/>
        <v>687.79999999999927</v>
      </c>
      <c r="BG163" s="32">
        <f t="shared" si="527"/>
        <v>725.69999999999993</v>
      </c>
      <c r="BH163" s="33">
        <f t="shared" si="527"/>
        <v>2671.4000000000015</v>
      </c>
      <c r="BI163" s="32">
        <f t="shared" si="527"/>
        <v>658.6</v>
      </c>
      <c r="BJ163" s="32">
        <f t="shared" si="527"/>
        <v>1457</v>
      </c>
      <c r="BK163" s="32">
        <f t="shared" si="527"/>
        <v>1632</v>
      </c>
      <c r="BL163" s="32">
        <f t="shared" si="527"/>
        <v>1646.4000000000015</v>
      </c>
      <c r="BM163" s="33">
        <f t="shared" si="527"/>
        <v>5393.9999999999945</v>
      </c>
      <c r="BN163" s="32">
        <f t="shared" ref="BN163:BW163" si="528">BN62</f>
        <v>1596.9999999999986</v>
      </c>
      <c r="BO163" s="32">
        <f t="shared" si="528"/>
        <v>1737.299999999997</v>
      </c>
      <c r="BP163" s="32">
        <f t="shared" si="528"/>
        <v>1661.8999999999965</v>
      </c>
      <c r="BQ163" s="32">
        <f t="shared" si="528"/>
        <v>1668.3000000000013</v>
      </c>
      <c r="BR163" s="33">
        <f t="shared" si="528"/>
        <v>6664.4999999999973</v>
      </c>
      <c r="BS163" s="32">
        <f t="shared" si="528"/>
        <v>1471</v>
      </c>
      <c r="BT163" s="32">
        <f t="shared" si="528"/>
        <v>1735.2</v>
      </c>
      <c r="BU163" s="32">
        <f t="shared" si="528"/>
        <v>1739.2</v>
      </c>
      <c r="BV163" s="32">
        <f t="shared" si="528"/>
        <v>1857.1</v>
      </c>
      <c r="BW163" s="33">
        <f t="shared" si="528"/>
        <v>6802.5000000000018</v>
      </c>
      <c r="BX163" s="32">
        <f t="shared" ref="BX163:CG163" si="529">BX62</f>
        <v>1512.1</v>
      </c>
      <c r="BY163" s="32">
        <f t="shared" si="529"/>
        <v>1794.5</v>
      </c>
      <c r="BZ163" s="32">
        <f>BZ62</f>
        <v>1808.3</v>
      </c>
      <c r="CA163" s="32">
        <f>CA62</f>
        <v>1932</v>
      </c>
      <c r="CB163" s="33">
        <f t="shared" si="529"/>
        <v>7046.9</v>
      </c>
      <c r="CC163" s="32">
        <f t="shared" ref="CC163:CD163" si="530">CC62</f>
        <v>1460</v>
      </c>
      <c r="CD163" s="32">
        <f t="shared" si="530"/>
        <v>1798.1</v>
      </c>
      <c r="CE163" s="32">
        <f t="shared" ref="CE163" si="531">CE62</f>
        <v>1948.1</v>
      </c>
      <c r="CF163" s="32">
        <f t="shared" si="529"/>
        <v>2054.1999999999998</v>
      </c>
      <c r="CG163" s="33">
        <f t="shared" si="529"/>
        <v>7260.4</v>
      </c>
      <c r="CH163" s="32">
        <f t="shared" ref="CH163:CI163" si="532">CH62</f>
        <v>1496.2</v>
      </c>
      <c r="CI163" s="32">
        <f t="shared" si="532"/>
        <v>1824.1</v>
      </c>
      <c r="CJ163" s="32">
        <f t="shared" ref="CJ163" si="533">CJ62</f>
        <v>1947.4</v>
      </c>
      <c r="CK163" s="32">
        <f t="shared" ref="CK163:CQ163" si="534">CK62</f>
        <v>2147.9</v>
      </c>
      <c r="CL163" s="33">
        <f t="shared" si="534"/>
        <v>7415.5999999999749</v>
      </c>
      <c r="CM163" s="32">
        <f t="shared" ca="1" si="534"/>
        <v>1545.3201774814668</v>
      </c>
      <c r="CN163" s="32">
        <f t="shared" ca="1" si="534"/>
        <v>1975.3547245971204</v>
      </c>
      <c r="CO163" s="32">
        <f t="shared" ca="1" si="534"/>
        <v>1995.3776862744182</v>
      </c>
      <c r="CP163" s="32">
        <f t="shared" ca="1" si="534"/>
        <v>2156.109134443625</v>
      </c>
      <c r="CQ163" s="33">
        <f t="shared" ca="1" si="534"/>
        <v>7672.1617227966308</v>
      </c>
      <c r="CR163" s="32">
        <f t="shared" ref="CR163:CV163" ca="1" si="535">CR62</f>
        <v>1543.0644122470751</v>
      </c>
      <c r="CS163" s="32">
        <f t="shared" ca="1" si="535"/>
        <v>1909.6109097119975</v>
      </c>
      <c r="CT163" s="32">
        <f t="shared" ca="1" si="535"/>
        <v>1906.0396867726586</v>
      </c>
      <c r="CU163" s="32">
        <f t="shared" ca="1" si="535"/>
        <v>2051.8537505279501</v>
      </c>
      <c r="CV163" s="33">
        <f t="shared" ca="1" si="535"/>
        <v>7410.5687592596732</v>
      </c>
      <c r="CW163" s="32">
        <f t="shared" ref="CW163:DF163" ca="1" si="536">CW62</f>
        <v>1362.1342674820471</v>
      </c>
      <c r="CX163" s="32">
        <f t="shared" ca="1" si="536"/>
        <v>1665.7273005011489</v>
      </c>
      <c r="CY163" s="32">
        <f t="shared" ca="1" si="536"/>
        <v>1650.6448939737786</v>
      </c>
      <c r="CZ163" s="32">
        <f t="shared" ca="1" si="536"/>
        <v>1768.9000945692499</v>
      </c>
      <c r="DA163" s="33">
        <f t="shared" ca="1" si="536"/>
        <v>6447.4065565262163</v>
      </c>
      <c r="DB163" s="32">
        <f t="shared" ca="1" si="536"/>
        <v>1176.8257094746896</v>
      </c>
      <c r="DC163" s="32">
        <f t="shared" ca="1" si="536"/>
        <v>1416.8709288890032</v>
      </c>
      <c r="DD163" s="32">
        <f t="shared" ca="1" si="536"/>
        <v>1451.6612184184632</v>
      </c>
      <c r="DE163" s="32">
        <f t="shared" ca="1" si="536"/>
        <v>1532.4310397708173</v>
      </c>
      <c r="DF163" s="33">
        <f t="shared" ca="1" si="536"/>
        <v>5577.7888965529764</v>
      </c>
    </row>
    <row r="164" spans="1:118" ht="12.75" hidden="1" customHeight="1" outlineLevel="1" x14ac:dyDescent="0.25">
      <c r="A164" s="150"/>
      <c r="B164" s="721" t="s">
        <v>136</v>
      </c>
      <c r="C164" s="150"/>
      <c r="D164" s="155"/>
      <c r="E164" s="155"/>
      <c r="F164" s="151"/>
      <c r="G164" s="151"/>
      <c r="H164" s="151"/>
      <c r="I164" s="149"/>
      <c r="J164" s="153"/>
      <c r="K164" s="149"/>
      <c r="L164" s="152"/>
      <c r="M164" s="149"/>
      <c r="N164" s="149"/>
      <c r="O164" s="153"/>
      <c r="P164" s="149"/>
      <c r="Q164" s="149"/>
      <c r="R164" s="149"/>
      <c r="S164" s="149"/>
      <c r="T164" s="440"/>
      <c r="U164" s="32">
        <f>U145+U146</f>
        <v>-339.54899999999998</v>
      </c>
      <c r="V164" s="32">
        <f t="shared" ref="V164:AV164" si="537">V145+V146</f>
        <v>-8.8629999999999889</v>
      </c>
      <c r="W164" s="32">
        <f t="shared" si="537"/>
        <v>-16.111000000000033</v>
      </c>
      <c r="X164" s="32">
        <f t="shared" si="537"/>
        <v>-18.550999999999966</v>
      </c>
      <c r="Y164" s="33">
        <f t="shared" si="537"/>
        <v>-383.07400000000001</v>
      </c>
      <c r="Z164" s="32">
        <f t="shared" si="537"/>
        <v>-5.952</v>
      </c>
      <c r="AA164" s="32">
        <f t="shared" si="537"/>
        <v>-12.366999999999999</v>
      </c>
      <c r="AB164" s="32">
        <f t="shared" si="537"/>
        <v>-18.042000000000002</v>
      </c>
      <c r="AC164" s="32">
        <f t="shared" si="537"/>
        <v>-1334.039</v>
      </c>
      <c r="AD164" s="33">
        <f t="shared" si="537"/>
        <v>-1370.3999999999999</v>
      </c>
      <c r="AE164" s="32">
        <f t="shared" si="537"/>
        <v>-8.5</v>
      </c>
      <c r="AF164" s="32">
        <f t="shared" si="537"/>
        <v>-12.2</v>
      </c>
      <c r="AG164" s="32">
        <f t="shared" si="537"/>
        <v>-17.500000000000004</v>
      </c>
      <c r="AH164" s="32">
        <f t="shared" si="537"/>
        <v>-28.299999999999994</v>
      </c>
      <c r="AI164" s="33">
        <f t="shared" si="537"/>
        <v>-66.5</v>
      </c>
      <c r="AJ164" s="32">
        <f t="shared" si="537"/>
        <v>-8.3000000000000007</v>
      </c>
      <c r="AK164" s="32">
        <f t="shared" si="537"/>
        <v>-21.599999999999998</v>
      </c>
      <c r="AL164" s="32">
        <f t="shared" si="537"/>
        <v>-17.600000000000001</v>
      </c>
      <c r="AM164" s="32">
        <f t="shared" si="537"/>
        <v>-41.8</v>
      </c>
      <c r="AN164" s="33">
        <f t="shared" si="537"/>
        <v>-89.3</v>
      </c>
      <c r="AO164" s="32">
        <f t="shared" si="537"/>
        <v>-11.7</v>
      </c>
      <c r="AP164" s="32">
        <f t="shared" si="537"/>
        <v>-18.400000000000002</v>
      </c>
      <c r="AQ164" s="32">
        <f t="shared" si="537"/>
        <v>-276.3</v>
      </c>
      <c r="AR164" s="32">
        <f t="shared" si="537"/>
        <v>-30.9</v>
      </c>
      <c r="AS164" s="33">
        <f t="shared" si="537"/>
        <v>-337.3</v>
      </c>
      <c r="AT164" s="32">
        <f t="shared" si="537"/>
        <v>-13.6</v>
      </c>
      <c r="AU164" s="32">
        <f t="shared" si="537"/>
        <v>-18.399999999999999</v>
      </c>
      <c r="AV164" s="32">
        <f t="shared" si="537"/>
        <v>-58.499999999999993</v>
      </c>
      <c r="AW164" s="32">
        <f>AW145</f>
        <v>-58.900000000000006</v>
      </c>
      <c r="AX164" s="33">
        <f>AX145</f>
        <v>-149.4</v>
      </c>
      <c r="AY164" s="32">
        <f t="shared" ref="AY164:BW164" si="538">AY145</f>
        <v>-34.200000000000003</v>
      </c>
      <c r="AZ164" s="32">
        <f t="shared" si="538"/>
        <v>-16.899999999999999</v>
      </c>
      <c r="BA164" s="32">
        <f t="shared" si="538"/>
        <v>-33.499999999999986</v>
      </c>
      <c r="BB164" s="32">
        <f t="shared" si="538"/>
        <v>-32.800000000000011</v>
      </c>
      <c r="BC164" s="33">
        <f t="shared" si="538"/>
        <v>-117.39999999999999</v>
      </c>
      <c r="BD164" s="32">
        <f t="shared" si="538"/>
        <v>-19.5</v>
      </c>
      <c r="BE164" s="32">
        <f t="shared" si="538"/>
        <v>-34.6</v>
      </c>
      <c r="BF164" s="32">
        <f t="shared" si="538"/>
        <v>-43.999999999999993</v>
      </c>
      <c r="BG164" s="32">
        <f t="shared" si="538"/>
        <v>-46.300000000000011</v>
      </c>
      <c r="BH164" s="33">
        <f t="shared" si="538"/>
        <v>-144.4</v>
      </c>
      <c r="BI164" s="32">
        <f t="shared" si="538"/>
        <v>-18.7</v>
      </c>
      <c r="BJ164" s="32">
        <f t="shared" si="538"/>
        <v>-47.899999999999991</v>
      </c>
      <c r="BK164" s="32">
        <f t="shared" si="538"/>
        <v>-39.400000000000006</v>
      </c>
      <c r="BL164" s="32">
        <f t="shared" si="538"/>
        <v>-54.199999999999989</v>
      </c>
      <c r="BM164" s="33">
        <f t="shared" si="538"/>
        <v>-160.19999999999999</v>
      </c>
      <c r="BN164" s="32">
        <f t="shared" si="538"/>
        <v>-108.9</v>
      </c>
      <c r="BO164" s="32">
        <f t="shared" si="538"/>
        <v>-86.1</v>
      </c>
      <c r="BP164" s="32">
        <f>BP145</f>
        <v>-79.600000000000023</v>
      </c>
      <c r="BQ164" s="32">
        <f t="shared" si="538"/>
        <v>-148.39999999999995</v>
      </c>
      <c r="BR164" s="33">
        <f t="shared" si="538"/>
        <v>-423</v>
      </c>
      <c r="BS164" s="32">
        <f t="shared" si="538"/>
        <v>-117.1</v>
      </c>
      <c r="BT164" s="32">
        <f t="shared" si="538"/>
        <v>-91.700000000000017</v>
      </c>
      <c r="BU164" s="32">
        <f t="shared" si="538"/>
        <v>-118.19999999999999</v>
      </c>
      <c r="BV164" s="32">
        <f t="shared" si="538"/>
        <v>-109.60000000000002</v>
      </c>
      <c r="BW164" s="33">
        <f t="shared" si="538"/>
        <v>-436.6</v>
      </c>
      <c r="BX164" s="32">
        <f t="shared" ref="BX164:CG164" si="539">BX145</f>
        <v>-48.3</v>
      </c>
      <c r="BY164" s="32">
        <f t="shared" si="539"/>
        <v>-58.8</v>
      </c>
      <c r="BZ164" s="32">
        <f>BZ145</f>
        <v>-70</v>
      </c>
      <c r="CA164" s="32">
        <f>CA145</f>
        <v>-118.79999999999998</v>
      </c>
      <c r="CB164" s="33">
        <f t="shared" si="539"/>
        <v>-295.89999999999998</v>
      </c>
      <c r="CC164" s="32">
        <f t="shared" ref="CC164:CD164" si="540">CC145</f>
        <v>-82.6</v>
      </c>
      <c r="CD164" s="32">
        <f t="shared" si="540"/>
        <v>-75.900000000000006</v>
      </c>
      <c r="CE164" s="32">
        <f t="shared" ref="CE164" si="541">CE145</f>
        <v>-79.099999999999994</v>
      </c>
      <c r="CF164" s="32">
        <f t="shared" si="539"/>
        <v>-92.799999999999983</v>
      </c>
      <c r="CG164" s="33">
        <f t="shared" si="539"/>
        <v>-330.4</v>
      </c>
      <c r="CH164" s="32">
        <f t="shared" ref="CH164:CI164" si="542">CH145</f>
        <v>-45.8</v>
      </c>
      <c r="CI164" s="32">
        <f t="shared" si="542"/>
        <v>-59.5</v>
      </c>
      <c r="CJ164" s="32">
        <f t="shared" ref="CJ164" si="543">CJ145</f>
        <v>-72.000000000000014</v>
      </c>
      <c r="CK164" s="32">
        <f t="shared" ref="CK164:CQ164" si="544">CK145</f>
        <v>-90.099999999999966</v>
      </c>
      <c r="CL164" s="33">
        <f t="shared" si="544"/>
        <v>-267.39999999999998</v>
      </c>
      <c r="CM164" s="32">
        <f t="shared" si="544"/>
        <v>-48.089999999999996</v>
      </c>
      <c r="CN164" s="32">
        <f t="shared" si="544"/>
        <v>-62.475000000000001</v>
      </c>
      <c r="CO164" s="32">
        <f t="shared" si="544"/>
        <v>-75.600000000000023</v>
      </c>
      <c r="CP164" s="32">
        <f t="shared" si="544"/>
        <v>-94.604999999999961</v>
      </c>
      <c r="CQ164" s="33">
        <f t="shared" si="544"/>
        <v>-280.77</v>
      </c>
      <c r="CR164" s="32">
        <f t="shared" ref="CR164:CV164" si="545">CR145</f>
        <v>-50.494499999999995</v>
      </c>
      <c r="CS164" s="32">
        <f t="shared" si="545"/>
        <v>-65.59875000000001</v>
      </c>
      <c r="CT164" s="32">
        <f t="shared" si="545"/>
        <v>-79.380000000000024</v>
      </c>
      <c r="CU164" s="32">
        <f t="shared" si="545"/>
        <v>-99.335249999999959</v>
      </c>
      <c r="CV164" s="33">
        <f t="shared" si="545"/>
        <v>-294.80849999999998</v>
      </c>
      <c r="CW164" s="32">
        <f t="shared" ref="CW164:DF164" si="546">CW145</f>
        <v>-53.019224999999999</v>
      </c>
      <c r="CX164" s="32">
        <f t="shared" si="546"/>
        <v>-68.878687500000012</v>
      </c>
      <c r="CY164" s="32">
        <f t="shared" si="546"/>
        <v>-83.349000000000032</v>
      </c>
      <c r="CZ164" s="32">
        <f t="shared" si="546"/>
        <v>-104.30201249999996</v>
      </c>
      <c r="DA164" s="33">
        <f t="shared" si="546"/>
        <v>-309.548925</v>
      </c>
      <c r="DB164" s="32">
        <f t="shared" si="546"/>
        <v>-55.67018625</v>
      </c>
      <c r="DC164" s="32">
        <f t="shared" si="546"/>
        <v>-72.32262187500001</v>
      </c>
      <c r="DD164" s="32">
        <f t="shared" si="546"/>
        <v>-87.516450000000034</v>
      </c>
      <c r="DE164" s="32">
        <f t="shared" si="546"/>
        <v>-109.51711312499997</v>
      </c>
      <c r="DF164" s="33">
        <f t="shared" si="546"/>
        <v>-325.02637125000001</v>
      </c>
    </row>
    <row r="165" spans="1:118" s="150" customFormat="1" ht="12.75" hidden="1" customHeight="1" outlineLevel="1" x14ac:dyDescent="0.25">
      <c r="B165" s="721" t="s">
        <v>137</v>
      </c>
      <c r="D165" s="155"/>
      <c r="E165" s="155"/>
      <c r="F165" s="151"/>
      <c r="G165" s="151"/>
      <c r="H165" s="151"/>
      <c r="I165" s="149"/>
      <c r="J165" s="153"/>
      <c r="K165" s="149"/>
      <c r="L165" s="152"/>
      <c r="M165" s="149"/>
      <c r="N165" s="149"/>
      <c r="O165" s="153"/>
      <c r="P165" s="149"/>
      <c r="Q165" s="149"/>
      <c r="R165" s="149"/>
      <c r="S165" s="149"/>
      <c r="T165" s="440"/>
      <c r="U165" s="32">
        <f t="shared" ref="U165:AV165" si="547">U141+U142+U38+U37</f>
        <v>12.931000000000001</v>
      </c>
      <c r="V165" s="32">
        <f t="shared" si="547"/>
        <v>-34.606999999999999</v>
      </c>
      <c r="W165" s="32">
        <f t="shared" si="547"/>
        <v>54.958000000000006</v>
      </c>
      <c r="X165" s="32">
        <f t="shared" si="547"/>
        <v>92.700999999999993</v>
      </c>
      <c r="Y165" s="33">
        <f t="shared" si="547"/>
        <v>125.983</v>
      </c>
      <c r="Z165" s="32">
        <f t="shared" si="547"/>
        <v>35.396999999999998</v>
      </c>
      <c r="AA165" s="32">
        <f t="shared" si="547"/>
        <v>67.727999999999994</v>
      </c>
      <c r="AB165" s="32">
        <f t="shared" si="547"/>
        <v>94.161999999999992</v>
      </c>
      <c r="AC165" s="32">
        <f t="shared" si="547"/>
        <v>122.61300000000001</v>
      </c>
      <c r="AD165" s="33">
        <f t="shared" si="547"/>
        <v>319.89999999999998</v>
      </c>
      <c r="AE165" s="32">
        <f t="shared" si="547"/>
        <v>-89.5</v>
      </c>
      <c r="AF165" s="32">
        <f t="shared" si="547"/>
        <v>18.899999999999995</v>
      </c>
      <c r="AG165" s="32">
        <f t="shared" si="547"/>
        <v>20.29999999999999</v>
      </c>
      <c r="AH165" s="32">
        <f t="shared" si="547"/>
        <v>141.00000000000006</v>
      </c>
      <c r="AI165" s="33">
        <f t="shared" si="547"/>
        <v>90.700000000000045</v>
      </c>
      <c r="AJ165" s="32">
        <f t="shared" si="547"/>
        <v>-11.799999999999992</v>
      </c>
      <c r="AK165" s="32">
        <f t="shared" si="547"/>
        <v>-82.300000000000011</v>
      </c>
      <c r="AL165" s="32">
        <f t="shared" si="547"/>
        <v>66.200000000000017</v>
      </c>
      <c r="AM165" s="32">
        <f t="shared" si="547"/>
        <v>127.9</v>
      </c>
      <c r="AN165" s="33">
        <f t="shared" si="547"/>
        <v>100.00000000000001</v>
      </c>
      <c r="AO165" s="32">
        <f t="shared" si="547"/>
        <v>50.2</v>
      </c>
      <c r="AP165" s="32">
        <f t="shared" si="547"/>
        <v>16.500000000000004</v>
      </c>
      <c r="AQ165" s="32">
        <f t="shared" si="547"/>
        <v>16.100000000000001</v>
      </c>
      <c r="AR165" s="32">
        <f t="shared" si="547"/>
        <v>142.89999999999998</v>
      </c>
      <c r="AS165" s="33">
        <f t="shared" si="547"/>
        <v>225.7</v>
      </c>
      <c r="AT165" s="32">
        <f t="shared" si="547"/>
        <v>41.3</v>
      </c>
      <c r="AU165" s="32">
        <f t="shared" si="547"/>
        <v>-25.899999999999991</v>
      </c>
      <c r="AV165" s="32">
        <f t="shared" si="547"/>
        <v>153.89999999999995</v>
      </c>
      <c r="AW165" s="32">
        <f>AW141</f>
        <v>531.20000000000005</v>
      </c>
      <c r="AX165" s="33">
        <f>SUM(AT165:AW165)</f>
        <v>700.5</v>
      </c>
      <c r="AY165" s="32">
        <f>AY141</f>
        <v>400.09999999999997</v>
      </c>
      <c r="AZ165" s="32">
        <f>AZ141</f>
        <v>271.2000000000001</v>
      </c>
      <c r="BA165" s="32">
        <f>BA141</f>
        <v>-42.300000000000068</v>
      </c>
      <c r="BB165" s="32">
        <f>BB141</f>
        <v>-153.00000000000006</v>
      </c>
      <c r="BC165" s="33">
        <f>BC141</f>
        <v>475.99999999999994</v>
      </c>
      <c r="BD165" s="32">
        <f t="shared" ref="BD165:BM165" si="548">BD141</f>
        <v>-200.60000000000002</v>
      </c>
      <c r="BE165" s="32">
        <f t="shared" si="548"/>
        <v>-9.9999999999999716</v>
      </c>
      <c r="BF165" s="32">
        <f t="shared" si="548"/>
        <v>499.79999999999995</v>
      </c>
      <c r="BG165" s="32">
        <f t="shared" si="548"/>
        <v>89.900000000000091</v>
      </c>
      <c r="BH165" s="33">
        <f t="shared" si="548"/>
        <v>379.1</v>
      </c>
      <c r="BI165" s="32">
        <f t="shared" si="548"/>
        <v>142</v>
      </c>
      <c r="BJ165" s="32">
        <f t="shared" si="548"/>
        <v>-117.19999999999999</v>
      </c>
      <c r="BK165" s="32">
        <f t="shared" si="548"/>
        <v>-146.10000000000002</v>
      </c>
      <c r="BL165" s="32">
        <f t="shared" si="548"/>
        <v>1539.7</v>
      </c>
      <c r="BM165" s="33">
        <f t="shared" si="548"/>
        <v>1418.3999999999999</v>
      </c>
      <c r="BN165" s="32">
        <f t="shared" ref="BN165:BW165" si="549">BN141</f>
        <v>68.899999999999977</v>
      </c>
      <c r="BO165" s="32">
        <f t="shared" si="549"/>
        <v>-1206.0999999999999</v>
      </c>
      <c r="BP165" s="32">
        <f t="shared" si="549"/>
        <v>-32.500000000000114</v>
      </c>
      <c r="BQ165" s="32">
        <f t="shared" si="549"/>
        <v>1945.1</v>
      </c>
      <c r="BR165" s="33">
        <f t="shared" si="549"/>
        <v>775.4</v>
      </c>
      <c r="BS165" s="32">
        <f t="shared" si="549"/>
        <v>-385.8</v>
      </c>
      <c r="BT165" s="32">
        <f t="shared" si="549"/>
        <v>-200.2</v>
      </c>
      <c r="BU165" s="32">
        <f t="shared" si="549"/>
        <v>-686.20000000000027</v>
      </c>
      <c r="BV165" s="32">
        <f t="shared" si="549"/>
        <v>1871.1000000000004</v>
      </c>
      <c r="BW165" s="33">
        <f t="shared" si="549"/>
        <v>598.90000000000009</v>
      </c>
      <c r="BX165" s="32">
        <f t="shared" ref="BX165:CG165" si="550">BX141</f>
        <v>-602.89999999999986</v>
      </c>
      <c r="BY165" s="32">
        <f t="shared" si="550"/>
        <v>-234.30000000000007</v>
      </c>
      <c r="BZ165" s="32">
        <f>BZ141</f>
        <v>-407.8000000000003</v>
      </c>
      <c r="CA165" s="32">
        <f>CA141</f>
        <v>1626.0000000000005</v>
      </c>
      <c r="CB165" s="33">
        <f t="shared" si="550"/>
        <v>381.00000000000011</v>
      </c>
      <c r="CC165" s="32">
        <f t="shared" ref="CC165:CD165" si="551">CC141</f>
        <v>-217.7</v>
      </c>
      <c r="CD165" s="32">
        <f t="shared" si="551"/>
        <v>-762.90000000000009</v>
      </c>
      <c r="CE165" s="32">
        <f t="shared" ref="CE165" si="552">CE141</f>
        <v>323.30000000000007</v>
      </c>
      <c r="CF165" s="32">
        <f t="shared" si="550"/>
        <v>421.10000000000014</v>
      </c>
      <c r="CG165" s="33">
        <f t="shared" si="550"/>
        <v>-236.19999999999996</v>
      </c>
      <c r="CH165" s="32">
        <f t="shared" ref="CH165:CI165" si="553">CH141</f>
        <v>12.099999999999955</v>
      </c>
      <c r="CI165" s="32">
        <f t="shared" si="553"/>
        <v>-78.000000000000043</v>
      </c>
      <c r="CJ165" s="32">
        <f t="shared" ref="CJ165" si="554">CJ141</f>
        <v>647.70000000000005</v>
      </c>
      <c r="CK165" s="32">
        <f t="shared" ref="CK165:CP165" si="555">CK141</f>
        <v>-28.199999999999818</v>
      </c>
      <c r="CL165" s="33">
        <f t="shared" si="555"/>
        <v>553.60000000000014</v>
      </c>
      <c r="CM165" s="32">
        <f t="shared" ca="1" si="555"/>
        <v>-45.695632929897329</v>
      </c>
      <c r="CN165" s="32">
        <f t="shared" ca="1" si="555"/>
        <v>-232.6668900781533</v>
      </c>
      <c r="CO165" s="32">
        <f t="shared" ca="1" si="555"/>
        <v>25.936253728641532</v>
      </c>
      <c r="CP165" s="32">
        <f t="shared" ca="1" si="555"/>
        <v>-168.5223810656571</v>
      </c>
      <c r="CQ165" s="33">
        <f ca="1">CQ141</f>
        <v>-420.9486503450662</v>
      </c>
      <c r="CR165" s="32">
        <f t="shared" ref="CR165:CV165" ca="1" si="556">CR141</f>
        <v>751.17285035234818</v>
      </c>
      <c r="CS165" s="32">
        <f t="shared" ca="1" si="556"/>
        <v>-177.35696535216448</v>
      </c>
      <c r="CT165" s="32">
        <f t="shared" ca="1" si="556"/>
        <v>50.712246034963755</v>
      </c>
      <c r="CU165" s="32">
        <f t="shared" ca="1" si="556"/>
        <v>-349.15705814625653</v>
      </c>
      <c r="CV165" s="33">
        <f t="shared" ca="1" si="556"/>
        <v>275.37107288889092</v>
      </c>
      <c r="CW165" s="32">
        <f t="shared" ref="CW165:DF165" ca="1" si="557">CW141</f>
        <v>-27.052814289094385</v>
      </c>
      <c r="CX165" s="32">
        <f t="shared" ca="1" si="557"/>
        <v>-135.49572940391408</v>
      </c>
      <c r="CY165" s="32">
        <f t="shared" ca="1" si="557"/>
        <v>96.487657908573965</v>
      </c>
      <c r="CZ165" s="32">
        <f t="shared" ca="1" si="557"/>
        <v>-305.08414931640255</v>
      </c>
      <c r="DA165" s="33">
        <f t="shared" ca="1" si="557"/>
        <v>-371.14503510083705</v>
      </c>
      <c r="DB165" s="32">
        <f t="shared" ca="1" si="557"/>
        <v>-95.834030026333494</v>
      </c>
      <c r="DC165" s="32">
        <f t="shared" ca="1" si="557"/>
        <v>-100.90670999105896</v>
      </c>
      <c r="DD165" s="32">
        <f t="shared" ca="1" si="557"/>
        <v>99.877257726984681</v>
      </c>
      <c r="DE165" s="32">
        <f t="shared" ca="1" si="557"/>
        <v>-264.9100708822607</v>
      </c>
      <c r="DF165" s="33">
        <f t="shared" ca="1" si="557"/>
        <v>-361.77355317266847</v>
      </c>
      <c r="DG165"/>
      <c r="DH165"/>
      <c r="DI165"/>
      <c r="DJ165"/>
      <c r="DK165"/>
      <c r="DL165"/>
      <c r="DM165"/>
      <c r="DN165"/>
    </row>
    <row r="166" spans="1:118" s="150" customFormat="1" ht="12.75" hidden="1" customHeight="1" outlineLevel="1" x14ac:dyDescent="0.25">
      <c r="B166" s="721" t="s">
        <v>138</v>
      </c>
      <c r="D166" s="155"/>
      <c r="E166" s="155"/>
      <c r="F166" s="151"/>
      <c r="G166" s="151"/>
      <c r="H166" s="151"/>
      <c r="I166" s="151"/>
      <c r="J166" s="155"/>
      <c r="K166" s="151"/>
      <c r="L166" s="154"/>
      <c r="M166" s="151"/>
      <c r="N166" s="151"/>
      <c r="O166" s="155"/>
      <c r="P166" s="151"/>
      <c r="Q166" s="151"/>
      <c r="R166" s="151"/>
      <c r="S166" s="151"/>
      <c r="T166" s="440"/>
      <c r="U166" s="32">
        <f t="shared" ref="U166:BM166" si="558">U163+U164+U165</f>
        <v>-189.86999999999969</v>
      </c>
      <c r="V166" s="32">
        <f t="shared" si="558"/>
        <v>100.44899999999993</v>
      </c>
      <c r="W166" s="32">
        <f t="shared" si="558"/>
        <v>186.10299999999981</v>
      </c>
      <c r="X166" s="32">
        <f t="shared" si="558"/>
        <v>228.26699999999911</v>
      </c>
      <c r="Y166" s="33">
        <f t="shared" si="558"/>
        <v>324.94899999999996</v>
      </c>
      <c r="Z166" s="32">
        <f t="shared" si="558"/>
        <v>187.55499999999995</v>
      </c>
      <c r="AA166" s="32">
        <f t="shared" si="558"/>
        <v>223.28099999999938</v>
      </c>
      <c r="AB166" s="32">
        <f t="shared" si="558"/>
        <v>257.5419999999998</v>
      </c>
      <c r="AC166" s="32">
        <f t="shared" si="558"/>
        <v>-990.77799999999934</v>
      </c>
      <c r="AD166" s="33">
        <f t="shared" si="558"/>
        <v>-322.39999999999918</v>
      </c>
      <c r="AE166" s="32">
        <f t="shared" si="558"/>
        <v>111.30000000000038</v>
      </c>
      <c r="AF166" s="32">
        <f t="shared" si="558"/>
        <v>225.30000000000038</v>
      </c>
      <c r="AG166" s="32">
        <f t="shared" si="558"/>
        <v>232.30000000000018</v>
      </c>
      <c r="AH166" s="32">
        <f t="shared" si="558"/>
        <v>380.89999999999895</v>
      </c>
      <c r="AI166" s="33">
        <f t="shared" si="558"/>
        <v>949.80000000000075</v>
      </c>
      <c r="AJ166" s="32">
        <f t="shared" si="558"/>
        <v>248.7999999999993</v>
      </c>
      <c r="AK166" s="32">
        <f t="shared" si="558"/>
        <v>185.10000000000031</v>
      </c>
      <c r="AL166" s="32">
        <f t="shared" si="558"/>
        <v>355.59999999999945</v>
      </c>
      <c r="AM166" s="32">
        <f t="shared" si="558"/>
        <v>406.89999999999964</v>
      </c>
      <c r="AN166" s="33">
        <f t="shared" si="558"/>
        <v>1196.4000000000015</v>
      </c>
      <c r="AO166" s="30">
        <f t="shared" si="558"/>
        <v>357.60000000000036</v>
      </c>
      <c r="AP166" s="30">
        <f t="shared" si="558"/>
        <v>339.90000000000043</v>
      </c>
      <c r="AQ166" s="32">
        <f t="shared" si="558"/>
        <v>93.799999999999642</v>
      </c>
      <c r="AR166" s="32">
        <f t="shared" si="558"/>
        <v>475.29999999999927</v>
      </c>
      <c r="AS166" s="33">
        <f t="shared" si="558"/>
        <v>1266.6000000000017</v>
      </c>
      <c r="AT166" s="30">
        <f t="shared" si="558"/>
        <v>416.5000000000004</v>
      </c>
      <c r="AU166" s="30">
        <f t="shared" si="558"/>
        <v>366.20000000000005</v>
      </c>
      <c r="AV166" s="32">
        <f t="shared" si="558"/>
        <v>530.99999999999943</v>
      </c>
      <c r="AW166" s="32">
        <f t="shared" si="558"/>
        <v>960.40000000000009</v>
      </c>
      <c r="AX166" s="33">
        <f t="shared" si="558"/>
        <v>2274.1000000000017</v>
      </c>
      <c r="AY166" s="32">
        <f t="shared" si="558"/>
        <v>911.57499999999959</v>
      </c>
      <c r="AZ166" s="32">
        <f t="shared" si="558"/>
        <v>840.20000000000073</v>
      </c>
      <c r="BA166" s="32">
        <f t="shared" si="558"/>
        <v>541.29999999999995</v>
      </c>
      <c r="BB166" s="32">
        <f t="shared" si="558"/>
        <v>473.09999999999985</v>
      </c>
      <c r="BC166" s="33">
        <f t="shared" si="558"/>
        <v>2766.3749999999995</v>
      </c>
      <c r="BD166" s="32">
        <f t="shared" si="558"/>
        <v>395.20000000000005</v>
      </c>
      <c r="BE166" s="32">
        <f t="shared" si="558"/>
        <v>598.00000000000034</v>
      </c>
      <c r="BF166" s="32">
        <f t="shared" si="558"/>
        <v>1143.5999999999992</v>
      </c>
      <c r="BG166" s="32">
        <f t="shared" si="558"/>
        <v>769.3</v>
      </c>
      <c r="BH166" s="33">
        <f t="shared" si="558"/>
        <v>2906.1000000000013</v>
      </c>
      <c r="BI166" s="32">
        <f t="shared" si="558"/>
        <v>781.9</v>
      </c>
      <c r="BJ166" s="32">
        <f t="shared" si="558"/>
        <v>1291.8999999999999</v>
      </c>
      <c r="BK166" s="32">
        <f t="shared" si="558"/>
        <v>1446.5</v>
      </c>
      <c r="BL166" s="32">
        <f t="shared" si="558"/>
        <v>3131.9000000000015</v>
      </c>
      <c r="BM166" s="33">
        <f t="shared" si="558"/>
        <v>6652.1999999999944</v>
      </c>
      <c r="BN166" s="32">
        <f t="shared" ref="BN166:BW166" si="559">BN163+BN164+BN165</f>
        <v>1556.9999999999986</v>
      </c>
      <c r="BO166" s="32">
        <f t="shared" si="559"/>
        <v>445.09999999999718</v>
      </c>
      <c r="BP166" s="32">
        <f t="shared" si="559"/>
        <v>1549.7999999999965</v>
      </c>
      <c r="BQ166" s="32">
        <f t="shared" si="559"/>
        <v>3465.0000000000014</v>
      </c>
      <c r="BR166" s="33">
        <f t="shared" si="559"/>
        <v>7016.8999999999969</v>
      </c>
      <c r="BS166" s="32">
        <f t="shared" si="559"/>
        <v>968.10000000000014</v>
      </c>
      <c r="BT166" s="32">
        <f t="shared" si="559"/>
        <v>1443.3</v>
      </c>
      <c r="BU166" s="32">
        <f t="shared" si="559"/>
        <v>934.79999999999973</v>
      </c>
      <c r="BV166" s="32">
        <f t="shared" si="559"/>
        <v>3618.6000000000004</v>
      </c>
      <c r="BW166" s="33">
        <f t="shared" si="559"/>
        <v>6964.8000000000011</v>
      </c>
      <c r="BX166" s="32">
        <f t="shared" ref="BX166:CG166" si="560">BX163+BX164+BX165</f>
        <v>860.90000000000009</v>
      </c>
      <c r="BY166" s="32">
        <f t="shared" si="560"/>
        <v>1501.4</v>
      </c>
      <c r="BZ166" s="32">
        <f>BZ163+BZ164+BZ165</f>
        <v>1330.4999999999995</v>
      </c>
      <c r="CA166" s="32">
        <f>CA163+CA164+CA165</f>
        <v>3439.2000000000007</v>
      </c>
      <c r="CB166" s="33">
        <f t="shared" si="560"/>
        <v>7132</v>
      </c>
      <c r="CC166" s="32">
        <f t="shared" ref="CC166:CD166" si="561">CC163+CC164+CC165</f>
        <v>1159.7</v>
      </c>
      <c r="CD166" s="32">
        <f t="shared" si="561"/>
        <v>959.29999999999973</v>
      </c>
      <c r="CE166" s="32">
        <f t="shared" ref="CE166" si="562">CE163+CE164+CE165</f>
        <v>2192.3000000000002</v>
      </c>
      <c r="CF166" s="32">
        <f t="shared" si="560"/>
        <v>2382.5</v>
      </c>
      <c r="CG166" s="33">
        <f t="shared" si="560"/>
        <v>6693.8</v>
      </c>
      <c r="CH166" s="32">
        <f t="shared" ref="CH166:CI166" si="563">CH163+CH164+CH165</f>
        <v>1462.5</v>
      </c>
      <c r="CI166" s="32">
        <f t="shared" si="563"/>
        <v>1686.6</v>
      </c>
      <c r="CJ166" s="32">
        <f t="shared" ref="CJ166" si="564">CJ163+CJ164+CJ165</f>
        <v>2523.1000000000004</v>
      </c>
      <c r="CK166" s="32">
        <f t="shared" ref="CK166:CQ166" si="565">CK163+CK164+CK165</f>
        <v>2029.6000000000004</v>
      </c>
      <c r="CL166" s="33">
        <f t="shared" si="565"/>
        <v>7701.7999999999756</v>
      </c>
      <c r="CM166" s="32">
        <f t="shared" ca="1" si="565"/>
        <v>1451.5345445515695</v>
      </c>
      <c r="CN166" s="32">
        <f t="shared" ca="1" si="565"/>
        <v>1680.2128345189672</v>
      </c>
      <c r="CO166" s="32">
        <f t="shared" ca="1" si="565"/>
        <v>1945.7139400030596</v>
      </c>
      <c r="CP166" s="32">
        <f t="shared" ca="1" si="565"/>
        <v>1892.9817533779678</v>
      </c>
      <c r="CQ166" s="33">
        <f t="shared" ca="1" si="565"/>
        <v>6970.4430724515641</v>
      </c>
      <c r="CR166" s="32">
        <f t="shared" ref="CR166:CV166" ca="1" si="566">CR163+CR164+CR165</f>
        <v>2243.7427625994233</v>
      </c>
      <c r="CS166" s="32">
        <f t="shared" ca="1" si="566"/>
        <v>1666.6551943598329</v>
      </c>
      <c r="CT166" s="32">
        <f t="shared" ca="1" si="566"/>
        <v>1877.3719328076222</v>
      </c>
      <c r="CU166" s="32">
        <f t="shared" ca="1" si="566"/>
        <v>1603.3614423816937</v>
      </c>
      <c r="CV166" s="33">
        <f t="shared" ca="1" si="566"/>
        <v>7391.1313321485641</v>
      </c>
      <c r="CW166" s="32">
        <f t="shared" ref="CW166:DF166" ca="1" si="567">CW163+CW164+CW165</f>
        <v>1282.0622281929527</v>
      </c>
      <c r="CX166" s="32">
        <f t="shared" ca="1" si="567"/>
        <v>1461.3528835972347</v>
      </c>
      <c r="CY166" s="32">
        <f t="shared" ca="1" si="567"/>
        <v>1663.7835518823526</v>
      </c>
      <c r="CZ166" s="32">
        <f t="shared" ca="1" si="567"/>
        <v>1359.5139327528473</v>
      </c>
      <c r="DA166" s="33">
        <f t="shared" ca="1" si="567"/>
        <v>5766.7125964253792</v>
      </c>
      <c r="DB166" s="32">
        <f t="shared" ca="1" si="567"/>
        <v>1025.3214931983562</v>
      </c>
      <c r="DC166" s="32">
        <f t="shared" ca="1" si="567"/>
        <v>1243.6415970229441</v>
      </c>
      <c r="DD166" s="32">
        <f t="shared" ca="1" si="567"/>
        <v>1464.0220261454479</v>
      </c>
      <c r="DE166" s="32">
        <f t="shared" ca="1" si="567"/>
        <v>1158.0038557635567</v>
      </c>
      <c r="DF166" s="33">
        <f t="shared" ca="1" si="567"/>
        <v>4890.988972130308</v>
      </c>
      <c r="DG166"/>
      <c r="DH166"/>
      <c r="DI166"/>
      <c r="DJ166"/>
      <c r="DK166"/>
      <c r="DL166"/>
      <c r="DM166"/>
      <c r="DN166"/>
    </row>
    <row r="167" spans="1:118" s="150" customFormat="1" ht="13.5" hidden="1" customHeight="1" outlineLevel="1" thickBot="1" x14ac:dyDescent="0.3">
      <c r="B167" s="730" t="s">
        <v>245</v>
      </c>
      <c r="C167" s="156"/>
      <c r="D167" s="439"/>
      <c r="E167" s="439"/>
      <c r="F167" s="157"/>
      <c r="G167" s="157"/>
      <c r="H167" s="157"/>
      <c r="I167" s="157"/>
      <c r="J167" s="439"/>
      <c r="K167" s="157"/>
      <c r="L167" s="158"/>
      <c r="M167" s="157"/>
      <c r="N167" s="157"/>
      <c r="O167" s="439"/>
      <c r="P167" s="157"/>
      <c r="Q167" s="157"/>
      <c r="R167" s="157"/>
      <c r="S167" s="157"/>
      <c r="T167" s="441"/>
      <c r="U167" s="436"/>
      <c r="V167" s="436"/>
      <c r="W167" s="436"/>
      <c r="X167" s="436"/>
      <c r="Y167" s="437"/>
      <c r="Z167" s="436">
        <f t="shared" ref="Z167:BE167" si="568">(-Z16*Z186)</f>
        <v>-50.353211999999978</v>
      </c>
      <c r="AA167" s="436">
        <f t="shared" si="568"/>
        <v>-54.015415999999774</v>
      </c>
      <c r="AB167" s="436">
        <f t="shared" si="568"/>
        <v>-58.640399999999936</v>
      </c>
      <c r="AC167" s="436">
        <f t="shared" si="568"/>
        <v>-71.079372000000234</v>
      </c>
      <c r="AD167" s="437">
        <f t="shared" si="568"/>
        <v>-234.08840000000026</v>
      </c>
      <c r="AE167" s="436">
        <f t="shared" si="568"/>
        <v>-66.794000000000139</v>
      </c>
      <c r="AF167" s="436">
        <f t="shared" si="568"/>
        <v>-70.070000000000135</v>
      </c>
      <c r="AG167" s="436">
        <f t="shared" si="568"/>
        <v>-74.874800000000064</v>
      </c>
      <c r="AH167" s="436">
        <f t="shared" si="568"/>
        <v>-88.852399999999591</v>
      </c>
      <c r="AI167" s="437">
        <f t="shared" si="568"/>
        <v>-300.59120000000024</v>
      </c>
      <c r="AJ167" s="436">
        <f t="shared" si="568"/>
        <v>-88.561199999999729</v>
      </c>
      <c r="AK167" s="436">
        <f t="shared" si="568"/>
        <v>-95.768400000000128</v>
      </c>
      <c r="AL167" s="436">
        <f t="shared" si="568"/>
        <v>-103.44879999999981</v>
      </c>
      <c r="AM167" s="436">
        <f t="shared" si="568"/>
        <v>-108.32639999999986</v>
      </c>
      <c r="AN167" s="437">
        <f t="shared" si="568"/>
        <v>-396.10480000000052</v>
      </c>
      <c r="AO167" s="436">
        <f t="shared" si="568"/>
        <v>-105.46680000000012</v>
      </c>
      <c r="AP167" s="436">
        <f t="shared" si="568"/>
        <v>-113.37860000000013</v>
      </c>
      <c r="AQ167" s="436">
        <f t="shared" si="568"/>
        <v>-118.39059999999986</v>
      </c>
      <c r="AR167" s="436">
        <f t="shared" si="568"/>
        <v>-121.18299999999974</v>
      </c>
      <c r="AS167" s="437">
        <f t="shared" si="568"/>
        <v>-458.41900000000055</v>
      </c>
      <c r="AT167" s="436">
        <f t="shared" si="568"/>
        <v>-133.66140000000013</v>
      </c>
      <c r="AU167" s="436">
        <f t="shared" si="568"/>
        <v>-141.4418</v>
      </c>
      <c r="AV167" s="436">
        <f t="shared" si="568"/>
        <v>-151.13059999999979</v>
      </c>
      <c r="AW167" s="436">
        <f t="shared" si="568"/>
        <v>-172.60009999999994</v>
      </c>
      <c r="AX167" s="437">
        <f t="shared" si="568"/>
        <v>-598.83390000000054</v>
      </c>
      <c r="AY167" s="436">
        <f t="shared" si="568"/>
        <v>-193.65119999999985</v>
      </c>
      <c r="AZ167" s="436">
        <f t="shared" si="568"/>
        <v>-208.48500000000024</v>
      </c>
      <c r="BA167" s="436">
        <f t="shared" si="568"/>
        <v>-219.22289999999958</v>
      </c>
      <c r="BB167" s="436">
        <f t="shared" si="568"/>
        <v>-233.87220000000028</v>
      </c>
      <c r="BC167" s="437">
        <f t="shared" si="568"/>
        <v>-855.23129999999992</v>
      </c>
      <c r="BD167" s="436">
        <f t="shared" si="568"/>
        <v>-218.11590000000001</v>
      </c>
      <c r="BE167" s="436">
        <f t="shared" si="568"/>
        <v>-228.04200000000012</v>
      </c>
      <c r="BF167" s="436">
        <f t="shared" ref="BF167:CB167" si="569">(-BF16*BF186)</f>
        <v>-245.42189999999971</v>
      </c>
      <c r="BG167" s="436">
        <f t="shared" si="569"/>
        <v>-257.70959999999997</v>
      </c>
      <c r="BH167" s="437">
        <f t="shared" si="569"/>
        <v>-949.28940000000046</v>
      </c>
      <c r="BI167" s="436">
        <f t="shared" si="569"/>
        <v>-233.31870000000004</v>
      </c>
      <c r="BJ167" s="436">
        <f t="shared" si="569"/>
        <v>-507.67020000000008</v>
      </c>
      <c r="BK167" s="436">
        <f t="shared" si="569"/>
        <v>-571.65480000000002</v>
      </c>
      <c r="BL167" s="436">
        <f t="shared" si="569"/>
        <v>-576.71010000000058</v>
      </c>
      <c r="BM167" s="437">
        <f t="shared" si="569"/>
        <v>-1889.3537999999978</v>
      </c>
      <c r="BN167" s="436">
        <f t="shared" si="569"/>
        <v>-552.72509999999943</v>
      </c>
      <c r="BO167" s="436">
        <f t="shared" si="569"/>
        <v>-604.34819999999888</v>
      </c>
      <c r="BP167" s="436">
        <f>(-BP16*BP186)</f>
        <v>-578.8502999999987</v>
      </c>
      <c r="BQ167" s="436">
        <f t="shared" si="569"/>
        <v>-581.35950000000048</v>
      </c>
      <c r="BR167" s="437">
        <f t="shared" si="569"/>
        <v>-2317.2830999999987</v>
      </c>
      <c r="BS167" s="436">
        <f t="shared" si="569"/>
        <v>-509.36760000000027</v>
      </c>
      <c r="BT167" s="436">
        <f t="shared" si="569"/>
        <v>-605.9717999999998</v>
      </c>
      <c r="BU167" s="436">
        <f t="shared" si="569"/>
        <v>-608.40719999999999</v>
      </c>
      <c r="BV167" s="436">
        <f t="shared" si="569"/>
        <v>-649.88280000000009</v>
      </c>
      <c r="BW167" s="437">
        <f t="shared" si="569"/>
        <v>-2373.6294000000007</v>
      </c>
      <c r="BX167" s="436">
        <f t="shared" si="569"/>
        <v>-522.13499999999999</v>
      </c>
      <c r="BY167" s="436">
        <f t="shared" si="569"/>
        <v>-625.1597999999999</v>
      </c>
      <c r="BZ167" s="436">
        <f>(-BZ16*BZ186)</f>
        <v>-631.87560000000008</v>
      </c>
      <c r="CA167" s="436">
        <f>(-CA16*CA186)</f>
        <v>-673.57260000000008</v>
      </c>
      <c r="CB167" s="437">
        <f t="shared" si="569"/>
        <v>-2452.7429999999999</v>
      </c>
      <c r="CC167" s="436">
        <f t="shared" ref="CC167:CD167" si="570">(-CC16*CC186)</f>
        <v>-510.73289999999997</v>
      </c>
      <c r="CD167" s="436">
        <f t="shared" si="570"/>
        <v>-634.67999999999995</v>
      </c>
      <c r="CE167" s="436">
        <f t="shared" ref="CE167" si="571">(-CE16*CE186)</f>
        <v>-693.60929999999996</v>
      </c>
      <c r="CF167" s="436">
        <f t="shared" ref="CF167:CL167" si="572">(-CF16*CF186)</f>
        <v>-729.88199999999995</v>
      </c>
      <c r="CG167" s="437">
        <f t="shared" si="572"/>
        <v>-2568.9041999999999</v>
      </c>
      <c r="CH167" s="436">
        <f t="shared" ref="CH167:CI167" si="573">(-CH16*CH186)</f>
        <v>-522.87300000000005</v>
      </c>
      <c r="CI167" s="436">
        <f t="shared" si="573"/>
        <v>-643.05629999999996</v>
      </c>
      <c r="CJ167" s="436">
        <f t="shared" ref="CJ167" si="574">(-CJ16*CJ186)</f>
        <v>-689.21820000000002</v>
      </c>
      <c r="CK167" s="436">
        <f t="shared" si="572"/>
        <v>-762.13260000000002</v>
      </c>
      <c r="CL167" s="437">
        <f t="shared" si="572"/>
        <v>-2617.2800999999904</v>
      </c>
      <c r="CM167" s="436">
        <f t="shared" ref="CM167:CV167" ca="1" si="575">(-CM16*CM186)</f>
        <v>-540.11156765762973</v>
      </c>
      <c r="CN167" s="436">
        <f t="shared" ca="1" si="575"/>
        <v>-698.84072334790824</v>
      </c>
      <c r="CO167" s="436">
        <f t="shared" ca="1" si="575"/>
        <v>-707.03502519300889</v>
      </c>
      <c r="CP167" s="436">
        <f t="shared" ca="1" si="575"/>
        <v>-765.03018810045398</v>
      </c>
      <c r="CQ167" s="437">
        <f t="shared" ca="1" si="575"/>
        <v>-2711.0175042990008</v>
      </c>
      <c r="CR167" s="436">
        <f t="shared" ca="1" si="575"/>
        <v>-538.99448566079366</v>
      </c>
      <c r="CS167" s="436">
        <f t="shared" ca="1" si="575"/>
        <v>-674.31787411985306</v>
      </c>
      <c r="CT167" s="436">
        <f t="shared" ca="1" si="575"/>
        <v>-673.76672693348712</v>
      </c>
      <c r="CU167" s="436">
        <f t="shared" ca="1" si="575"/>
        <v>-726.34809716736743</v>
      </c>
      <c r="CV167" s="437">
        <f t="shared" ca="1" si="575"/>
        <v>-2613.4271838814984</v>
      </c>
      <c r="CW167" s="436">
        <f t="shared" ref="CW167:DF167" ca="1" si="576">(-CW16*CW186)</f>
        <v>-473.88712809120989</v>
      </c>
      <c r="CX167" s="436">
        <f t="shared" ca="1" si="576"/>
        <v>-584.95905408606882</v>
      </c>
      <c r="CY167" s="436">
        <f t="shared" ca="1" si="576"/>
        <v>-579.29600997537216</v>
      </c>
      <c r="CZ167" s="436">
        <f t="shared" ca="1" si="576"/>
        <v>-622.31216711891454</v>
      </c>
      <c r="DA167" s="437">
        <f t="shared" ca="1" si="576"/>
        <v>-2260.4543592715627</v>
      </c>
      <c r="DB167" s="436">
        <f t="shared" ca="1" si="576"/>
        <v>-407.01754885769748</v>
      </c>
      <c r="DC167" s="436">
        <f t="shared" ca="1" si="576"/>
        <v>-494.67911027163063</v>
      </c>
      <c r="DD167" s="436">
        <f t="shared" ca="1" si="576"/>
        <v>-507.36751819335711</v>
      </c>
      <c r="DE167" s="436">
        <f t="shared" ca="1" si="576"/>
        <v>-536.63270707763922</v>
      </c>
      <c r="DF167" s="437">
        <f t="shared" ca="1" si="576"/>
        <v>-1945.6968844003256</v>
      </c>
      <c r="DG167"/>
      <c r="DH167"/>
      <c r="DI167"/>
      <c r="DJ167"/>
      <c r="DK167"/>
      <c r="DL167"/>
      <c r="DM167"/>
      <c r="DN167"/>
    </row>
    <row r="168" spans="1:118" s="150" customFormat="1" ht="13.5" collapsed="1" x14ac:dyDescent="0.25">
      <c r="B168" s="749" t="s">
        <v>246</v>
      </c>
      <c r="C168" s="147"/>
      <c r="D168" s="438"/>
      <c r="E168" s="438"/>
      <c r="F168" s="148"/>
      <c r="G168" s="148"/>
      <c r="H168" s="148"/>
      <c r="I168" s="148"/>
      <c r="J168" s="438"/>
      <c r="K168" s="148"/>
      <c r="L168" s="159"/>
      <c r="M168" s="148"/>
      <c r="N168" s="148"/>
      <c r="O168" s="438"/>
      <c r="P168" s="148"/>
      <c r="Q168" s="148"/>
      <c r="R168" s="148"/>
      <c r="S168" s="148"/>
      <c r="T168" s="699"/>
      <c r="U168" s="700"/>
      <c r="V168" s="700"/>
      <c r="W168" s="700"/>
      <c r="X168" s="700"/>
      <c r="Y168" s="701"/>
      <c r="Z168" s="700">
        <f t="shared" ref="Z168:AJ168" si="577">Z166+Z167</f>
        <v>137.20178799999996</v>
      </c>
      <c r="AA168" s="700">
        <f t="shared" si="577"/>
        <v>169.26558399999959</v>
      </c>
      <c r="AB168" s="700">
        <f t="shared" si="577"/>
        <v>198.90159999999986</v>
      </c>
      <c r="AC168" s="700">
        <f t="shared" si="577"/>
        <v>-1061.8573719999995</v>
      </c>
      <c r="AD168" s="701">
        <f t="shared" si="577"/>
        <v>-556.4883999999995</v>
      </c>
      <c r="AE168" s="700">
        <f t="shared" si="577"/>
        <v>44.506000000000242</v>
      </c>
      <c r="AF168" s="700">
        <f t="shared" si="577"/>
        <v>155.23000000000025</v>
      </c>
      <c r="AG168" s="700">
        <f t="shared" si="577"/>
        <v>157.42520000000013</v>
      </c>
      <c r="AH168" s="700">
        <f t="shared" si="577"/>
        <v>292.04759999999936</v>
      </c>
      <c r="AI168" s="701">
        <f t="shared" si="577"/>
        <v>649.20880000000056</v>
      </c>
      <c r="AJ168" s="700">
        <f t="shared" si="577"/>
        <v>160.23879999999957</v>
      </c>
      <c r="AK168" s="700">
        <f t="shared" ref="AK168:BM168" si="578">AK166+AK167</f>
        <v>89.331600000000179</v>
      </c>
      <c r="AL168" s="700">
        <f t="shared" si="578"/>
        <v>252.15119999999965</v>
      </c>
      <c r="AM168" s="700">
        <f t="shared" si="578"/>
        <v>298.57359999999977</v>
      </c>
      <c r="AN168" s="701">
        <f t="shared" si="578"/>
        <v>800.29520000000093</v>
      </c>
      <c r="AO168" s="700">
        <f t="shared" si="578"/>
        <v>252.13320000000024</v>
      </c>
      <c r="AP168" s="700">
        <f t="shared" si="578"/>
        <v>226.52140000000031</v>
      </c>
      <c r="AQ168" s="700">
        <f t="shared" si="578"/>
        <v>-24.590600000000222</v>
      </c>
      <c r="AR168" s="700">
        <f t="shared" si="578"/>
        <v>354.11699999999951</v>
      </c>
      <c r="AS168" s="701">
        <f t="shared" si="578"/>
        <v>808.18100000000118</v>
      </c>
      <c r="AT168" s="700">
        <f t="shared" si="578"/>
        <v>282.83860000000027</v>
      </c>
      <c r="AU168" s="700">
        <f t="shared" si="578"/>
        <v>224.75820000000004</v>
      </c>
      <c r="AV168" s="700">
        <f t="shared" si="578"/>
        <v>379.86939999999964</v>
      </c>
      <c r="AW168" s="700">
        <f t="shared" si="578"/>
        <v>787.79990000000021</v>
      </c>
      <c r="AX168" s="701">
        <f t="shared" si="578"/>
        <v>1675.2661000000012</v>
      </c>
      <c r="AY168" s="700">
        <f t="shared" si="578"/>
        <v>717.9237999999998</v>
      </c>
      <c r="AZ168" s="702">
        <f t="shared" si="578"/>
        <v>631.71500000000049</v>
      </c>
      <c r="BA168" s="700">
        <f t="shared" si="578"/>
        <v>322.07710000000037</v>
      </c>
      <c r="BB168" s="700">
        <f t="shared" si="578"/>
        <v>239.22779999999958</v>
      </c>
      <c r="BC168" s="701">
        <f t="shared" si="578"/>
        <v>1911.1436999999996</v>
      </c>
      <c r="BD168" s="700">
        <f t="shared" si="578"/>
        <v>177.08410000000003</v>
      </c>
      <c r="BE168" s="700">
        <f t="shared" si="578"/>
        <v>369.9580000000002</v>
      </c>
      <c r="BF168" s="700">
        <f t="shared" si="578"/>
        <v>898.17809999999952</v>
      </c>
      <c r="BG168" s="700">
        <f t="shared" si="578"/>
        <v>511.59039999999999</v>
      </c>
      <c r="BH168" s="701">
        <f t="shared" si="578"/>
        <v>1956.8106000000007</v>
      </c>
      <c r="BI168" s="700">
        <f t="shared" si="578"/>
        <v>548.58129999999994</v>
      </c>
      <c r="BJ168" s="700">
        <f t="shared" si="578"/>
        <v>784.22979999999984</v>
      </c>
      <c r="BK168" s="700">
        <f t="shared" si="578"/>
        <v>874.84519999999998</v>
      </c>
      <c r="BL168" s="700">
        <f t="shared" si="578"/>
        <v>2555.1899000000008</v>
      </c>
      <c r="BM168" s="701">
        <f t="shared" si="578"/>
        <v>4762.8461999999963</v>
      </c>
      <c r="BN168" s="700">
        <f t="shared" ref="BN168:BW168" si="579">BN166+BN167</f>
        <v>1004.2748999999992</v>
      </c>
      <c r="BO168" s="700">
        <f t="shared" si="579"/>
        <v>-159.2482000000017</v>
      </c>
      <c r="BP168" s="700">
        <f t="shared" si="579"/>
        <v>970.94969999999785</v>
      </c>
      <c r="BQ168" s="700">
        <f t="shared" si="579"/>
        <v>2883.6405000000009</v>
      </c>
      <c r="BR168" s="701">
        <f t="shared" si="579"/>
        <v>4699.6168999999982</v>
      </c>
      <c r="BS168" s="700">
        <f t="shared" si="579"/>
        <v>458.73239999999987</v>
      </c>
      <c r="BT168" s="700">
        <f t="shared" si="579"/>
        <v>837.32820000000015</v>
      </c>
      <c r="BU168" s="700">
        <f t="shared" si="579"/>
        <v>326.39279999999974</v>
      </c>
      <c r="BV168" s="700">
        <f t="shared" si="579"/>
        <v>2968.7172</v>
      </c>
      <c r="BW168" s="701">
        <f t="shared" si="579"/>
        <v>4591.1706000000004</v>
      </c>
      <c r="BX168" s="700">
        <f t="shared" ref="BX168:CG168" si="580">BX166+BX167</f>
        <v>338.7650000000001</v>
      </c>
      <c r="BY168" s="700">
        <f t="shared" si="580"/>
        <v>876.24020000000019</v>
      </c>
      <c r="BZ168" s="700">
        <f>BZ166+BZ167</f>
        <v>698.62439999999947</v>
      </c>
      <c r="CA168" s="700">
        <f>CA166+CA167</f>
        <v>2765.6274000000008</v>
      </c>
      <c r="CB168" s="701">
        <f t="shared" si="580"/>
        <v>4679.2569999999996</v>
      </c>
      <c r="CC168" s="700">
        <f t="shared" ref="CC168:CD168" si="581">CC166+CC167</f>
        <v>648.96710000000007</v>
      </c>
      <c r="CD168" s="700">
        <f t="shared" si="581"/>
        <v>324.61999999999978</v>
      </c>
      <c r="CE168" s="700">
        <f t="shared" ref="CE168" si="582">CE166+CE167</f>
        <v>1498.6907000000001</v>
      </c>
      <c r="CF168" s="700">
        <f t="shared" si="580"/>
        <v>1652.6179999999999</v>
      </c>
      <c r="CG168" s="701">
        <f t="shared" si="580"/>
        <v>4124.8958000000002</v>
      </c>
      <c r="CH168" s="700">
        <f t="shared" ref="CH168:CI168" si="583">CH166+CH167</f>
        <v>939.62699999999995</v>
      </c>
      <c r="CI168" s="700">
        <f t="shared" si="583"/>
        <v>1043.5436999999999</v>
      </c>
      <c r="CJ168" s="700">
        <f t="shared" ref="CJ168" si="584">CJ166+CJ167</f>
        <v>1833.8818000000003</v>
      </c>
      <c r="CK168" s="700">
        <f t="shared" ref="CK168:CQ168" si="585">CK166+CK167</f>
        <v>1267.4674000000005</v>
      </c>
      <c r="CL168" s="701">
        <f t="shared" si="585"/>
        <v>5084.5198999999848</v>
      </c>
      <c r="CM168" s="700">
        <f t="shared" ca="1" si="585"/>
        <v>911.42297689393979</v>
      </c>
      <c r="CN168" s="700">
        <f t="shared" ca="1" si="585"/>
        <v>981.37211117105892</v>
      </c>
      <c r="CO168" s="700">
        <f t="shared" ca="1" si="585"/>
        <v>1238.6789148100506</v>
      </c>
      <c r="CP168" s="700">
        <f t="shared" ca="1" si="585"/>
        <v>1127.951565277514</v>
      </c>
      <c r="CQ168" s="701">
        <f t="shared" ca="1" si="585"/>
        <v>4259.4255681525628</v>
      </c>
      <c r="CR168" s="700">
        <f t="shared" ref="CR168:CV168" ca="1" si="586">CR166+CR167</f>
        <v>1704.7482769386297</v>
      </c>
      <c r="CS168" s="700">
        <f t="shared" ca="1" si="586"/>
        <v>992.33732023997982</v>
      </c>
      <c r="CT168" s="700">
        <f t="shared" ca="1" si="586"/>
        <v>1203.6052058741352</v>
      </c>
      <c r="CU168" s="700">
        <f t="shared" ca="1" si="586"/>
        <v>877.01334521432625</v>
      </c>
      <c r="CV168" s="701">
        <f t="shared" ca="1" si="586"/>
        <v>4777.7041482670656</v>
      </c>
      <c r="CW168" s="700">
        <f t="shared" ref="CW168:DF168" ca="1" si="587">CW166+CW167</f>
        <v>808.17510010174283</v>
      </c>
      <c r="CX168" s="700">
        <f t="shared" ca="1" si="587"/>
        <v>876.3938295111659</v>
      </c>
      <c r="CY168" s="700">
        <f t="shared" ca="1" si="587"/>
        <v>1084.4875419069804</v>
      </c>
      <c r="CZ168" s="700">
        <f t="shared" ca="1" si="587"/>
        <v>737.20176563393272</v>
      </c>
      <c r="DA168" s="701">
        <f t="shared" ca="1" si="587"/>
        <v>3506.2582371538165</v>
      </c>
      <c r="DB168" s="700">
        <f t="shared" ca="1" si="587"/>
        <v>618.30394434065875</v>
      </c>
      <c r="DC168" s="700">
        <f t="shared" ca="1" si="587"/>
        <v>748.96248675131346</v>
      </c>
      <c r="DD168" s="700">
        <f t="shared" ca="1" si="587"/>
        <v>956.65450795209074</v>
      </c>
      <c r="DE168" s="700">
        <f t="shared" ca="1" si="587"/>
        <v>621.37114868591743</v>
      </c>
      <c r="DF168" s="701">
        <f t="shared" ca="1" si="587"/>
        <v>2945.2920877299821</v>
      </c>
      <c r="DG168"/>
      <c r="DH168"/>
      <c r="DI168"/>
      <c r="DJ168"/>
      <c r="DK168"/>
      <c r="DL168"/>
      <c r="DM168"/>
      <c r="DN168"/>
    </row>
    <row r="169" spans="1:118" s="150" customFormat="1" ht="13.5" hidden="1" customHeight="1" outlineLevel="1" thickBot="1" x14ac:dyDescent="0.3">
      <c r="B169" s="721"/>
      <c r="D169" s="155"/>
      <c r="E169" s="155"/>
      <c r="F169" s="151"/>
      <c r="G169" s="151"/>
      <c r="H169" s="151"/>
      <c r="I169" s="151"/>
      <c r="J169" s="155"/>
      <c r="K169" s="151"/>
      <c r="L169" s="154"/>
      <c r="M169" s="151"/>
      <c r="N169" s="151"/>
      <c r="O169" s="155"/>
      <c r="P169" s="151"/>
      <c r="Q169" s="151"/>
      <c r="R169" s="151"/>
      <c r="S169" s="151"/>
      <c r="T169" s="440"/>
      <c r="U169" s="32"/>
      <c r="V169" s="32"/>
      <c r="W169" s="32"/>
      <c r="X169" s="32"/>
      <c r="Y169" s="33"/>
      <c r="Z169" s="32"/>
      <c r="AA169" s="32"/>
      <c r="AB169" s="32"/>
      <c r="AC169" s="32"/>
      <c r="AD169" s="33"/>
      <c r="AE169" s="32"/>
      <c r="AF169" s="32"/>
      <c r="AG169" s="32"/>
      <c r="AH169" s="32"/>
      <c r="AI169" s="33"/>
      <c r="AJ169" s="32"/>
      <c r="AK169" s="32"/>
      <c r="AL169" s="32"/>
      <c r="AM169" s="32"/>
      <c r="AN169" s="33"/>
      <c r="AO169" s="30"/>
      <c r="AP169" s="30"/>
      <c r="AQ169" s="32"/>
      <c r="AR169" s="32"/>
      <c r="AS169" s="33"/>
      <c r="AT169" s="30"/>
      <c r="AU169" s="30"/>
      <c r="AV169" s="32"/>
      <c r="AW169" s="32"/>
      <c r="AX169" s="33"/>
      <c r="AY169" s="32"/>
      <c r="AZ169" s="32"/>
      <c r="BA169" s="32"/>
      <c r="BB169" s="32"/>
      <c r="BC169" s="33"/>
      <c r="BD169" s="32"/>
      <c r="BE169" s="32"/>
      <c r="BF169" s="32"/>
      <c r="BG169" s="32"/>
      <c r="BH169" s="33"/>
      <c r="BI169" s="32"/>
      <c r="BJ169" s="32"/>
      <c r="BK169" s="32"/>
      <c r="BL169" s="32"/>
      <c r="BM169" s="33"/>
      <c r="BN169" s="32"/>
      <c r="BO169" s="32"/>
      <c r="BP169" s="32"/>
      <c r="BQ169" s="32"/>
      <c r="BR169" s="33"/>
      <c r="BS169" s="32"/>
      <c r="BT169" s="32"/>
      <c r="BU169" s="32"/>
      <c r="BV169" s="32"/>
      <c r="BW169" s="33"/>
      <c r="BX169" s="32"/>
      <c r="BY169" s="32"/>
      <c r="BZ169" s="32"/>
      <c r="CA169" s="32"/>
      <c r="CB169" s="33"/>
      <c r="CC169" s="32"/>
      <c r="CD169" s="32"/>
      <c r="CE169" s="32"/>
      <c r="CF169" s="32"/>
      <c r="CG169" s="33"/>
      <c r="CH169" s="32"/>
      <c r="CI169" s="32"/>
      <c r="CJ169" s="32"/>
      <c r="CK169" s="32"/>
      <c r="CL169" s="33"/>
      <c r="CM169" s="32"/>
      <c r="CN169" s="32"/>
      <c r="CO169" s="32"/>
      <c r="CP169" s="32"/>
      <c r="CQ169" s="33"/>
      <c r="CR169" s="32"/>
      <c r="CS169" s="32"/>
      <c r="CT169" s="32"/>
      <c r="CU169" s="32"/>
      <c r="CV169" s="33"/>
      <c r="CW169" s="32"/>
      <c r="CX169" s="32"/>
      <c r="CY169" s="32"/>
      <c r="CZ169" s="32"/>
      <c r="DA169" s="33"/>
      <c r="DB169" s="32"/>
      <c r="DC169" s="32"/>
      <c r="DD169" s="32"/>
      <c r="DE169" s="32"/>
      <c r="DF169" s="33"/>
      <c r="DG169"/>
      <c r="DH169"/>
      <c r="DI169"/>
      <c r="DJ169"/>
      <c r="DK169"/>
      <c r="DL169"/>
      <c r="DM169"/>
      <c r="DN169"/>
    </row>
    <row r="170" spans="1:118" s="150" customFormat="1" ht="13.5" hidden="1" customHeight="1" outlineLevel="1" thickBot="1" x14ac:dyDescent="0.3">
      <c r="B170" s="814" t="s">
        <v>139</v>
      </c>
      <c r="C170" s="831"/>
      <c r="D170" s="833"/>
      <c r="E170" s="833"/>
      <c r="F170" s="832"/>
      <c r="G170" s="832"/>
      <c r="H170" s="832"/>
      <c r="I170" s="834"/>
      <c r="J170" s="835"/>
      <c r="K170" s="834"/>
      <c r="L170" s="834"/>
      <c r="M170" s="834"/>
      <c r="N170" s="834"/>
      <c r="O170" s="835"/>
      <c r="P170" s="834"/>
      <c r="Q170" s="834"/>
      <c r="R170" s="834"/>
      <c r="S170" s="834"/>
      <c r="T170" s="836"/>
      <c r="U170" s="837"/>
      <c r="V170" s="837"/>
      <c r="W170" s="837"/>
      <c r="X170" s="837"/>
      <c r="Y170" s="838"/>
      <c r="Z170" s="837"/>
      <c r="AA170" s="837"/>
      <c r="AB170" s="837"/>
      <c r="AC170" s="837"/>
      <c r="AD170" s="838"/>
      <c r="AE170" s="837"/>
      <c r="AF170" s="837"/>
      <c r="AG170" s="837"/>
      <c r="AH170" s="837"/>
      <c r="AI170" s="838"/>
      <c r="AJ170" s="837"/>
      <c r="AK170" s="837"/>
      <c r="AL170" s="837"/>
      <c r="AM170" s="837"/>
      <c r="AN170" s="838"/>
      <c r="AO170" s="837"/>
      <c r="AP170" s="837"/>
      <c r="AQ170" s="837"/>
      <c r="AR170" s="837"/>
      <c r="AS170" s="838"/>
      <c r="AT170" s="837"/>
      <c r="AU170" s="837"/>
      <c r="AV170" s="837"/>
      <c r="AW170" s="837"/>
      <c r="AX170" s="838"/>
      <c r="AY170" s="837"/>
      <c r="AZ170" s="837"/>
      <c r="BA170" s="837"/>
      <c r="BB170" s="837"/>
      <c r="BC170" s="838"/>
      <c r="BD170" s="837"/>
      <c r="BE170" s="837"/>
      <c r="BF170" s="837"/>
      <c r="BG170" s="837"/>
      <c r="BH170" s="838"/>
      <c r="BI170" s="837"/>
      <c r="BJ170" s="837"/>
      <c r="BK170" s="837"/>
      <c r="BL170" s="837"/>
      <c r="BM170" s="838"/>
      <c r="BN170" s="837"/>
      <c r="BO170" s="837"/>
      <c r="BP170" s="837"/>
      <c r="BQ170" s="837"/>
      <c r="BR170" s="838"/>
      <c r="BS170" s="837"/>
      <c r="BT170" s="837"/>
      <c r="BU170" s="837"/>
      <c r="BV170" s="837"/>
      <c r="BW170" s="838"/>
      <c r="BX170" s="837"/>
      <c r="BY170" s="837"/>
      <c r="BZ170" s="837"/>
      <c r="CA170" s="837"/>
      <c r="CB170" s="838"/>
      <c r="CC170" s="837"/>
      <c r="CD170" s="837"/>
      <c r="CE170" s="837"/>
      <c r="CF170" s="837"/>
      <c r="CG170" s="838"/>
      <c r="CH170" s="837"/>
      <c r="CI170" s="837"/>
      <c r="CJ170" s="837"/>
      <c r="CK170" s="837"/>
      <c r="CL170" s="838"/>
      <c r="CM170" s="837"/>
      <c r="CN170" s="837"/>
      <c r="CO170" s="837"/>
      <c r="CP170" s="837"/>
      <c r="CQ170" s="838"/>
      <c r="CR170" s="837"/>
      <c r="CS170" s="837"/>
      <c r="CT170" s="837"/>
      <c r="CU170" s="837"/>
      <c r="CV170" s="838"/>
      <c r="CW170" s="837"/>
      <c r="CX170" s="837"/>
      <c r="CY170" s="837"/>
      <c r="CZ170" s="837"/>
      <c r="DA170" s="838"/>
      <c r="DB170" s="837"/>
      <c r="DC170" s="837"/>
      <c r="DD170" s="837"/>
      <c r="DE170" s="837"/>
      <c r="DF170" s="838"/>
      <c r="DG170"/>
      <c r="DH170"/>
      <c r="DI170"/>
      <c r="DJ170"/>
      <c r="DK170"/>
      <c r="DL170"/>
      <c r="DM170"/>
      <c r="DN170"/>
    </row>
    <row r="171" spans="1:118" s="150" customFormat="1" ht="12.75" hidden="1" customHeight="1" outlineLevel="1" x14ac:dyDescent="0.25">
      <c r="B171" s="721" t="s">
        <v>140</v>
      </c>
      <c r="D171" s="155"/>
      <c r="E171" s="155"/>
      <c r="F171" s="151"/>
      <c r="G171" s="151"/>
      <c r="H171" s="151"/>
      <c r="I171" s="149"/>
      <c r="J171" s="153"/>
      <c r="K171" s="149"/>
      <c r="L171" s="152"/>
      <c r="M171" s="149"/>
      <c r="N171" s="149"/>
      <c r="O171" s="153"/>
      <c r="P171" s="149"/>
      <c r="Q171" s="149"/>
      <c r="R171" s="149"/>
      <c r="S171" s="149"/>
      <c r="T171" s="440"/>
      <c r="U171" s="32">
        <f t="shared" ref="U171:BM171" si="588">U143</f>
        <v>97.785000000000252</v>
      </c>
      <c r="V171" s="32">
        <f t="shared" si="588"/>
        <v>55.525999999999954</v>
      </c>
      <c r="W171" s="32">
        <f t="shared" si="588"/>
        <v>149.9649999999998</v>
      </c>
      <c r="X171" s="32">
        <f t="shared" ca="1" si="588"/>
        <v>192.74699999999908</v>
      </c>
      <c r="Y171" s="33">
        <f t="shared" ca="1" si="588"/>
        <v>496.02299999999912</v>
      </c>
      <c r="Z171" s="32">
        <f t="shared" si="588"/>
        <v>138.14999999999998</v>
      </c>
      <c r="AA171" s="32">
        <f t="shared" si="588"/>
        <v>178.25399999999939</v>
      </c>
      <c r="AB171" s="32">
        <f t="shared" si="588"/>
        <v>214.66399999999985</v>
      </c>
      <c r="AC171" s="32">
        <f t="shared" si="588"/>
        <v>261.83200000000068</v>
      </c>
      <c r="AD171" s="33">
        <f t="shared" si="588"/>
        <v>792.89999999999975</v>
      </c>
      <c r="AE171" s="32">
        <f t="shared" si="588"/>
        <v>41.000000000000377</v>
      </c>
      <c r="AF171" s="32">
        <f t="shared" si="588"/>
        <v>152.80000000000038</v>
      </c>
      <c r="AG171" s="32">
        <f t="shared" si="588"/>
        <v>158.80000000000018</v>
      </c>
      <c r="AH171" s="32">
        <f t="shared" si="588"/>
        <v>305.99999999999892</v>
      </c>
      <c r="AI171" s="33">
        <f t="shared" si="588"/>
        <v>658.59999999999991</v>
      </c>
      <c r="AJ171" s="32">
        <f t="shared" si="588"/>
        <v>155.59999999999928</v>
      </c>
      <c r="AK171" s="32">
        <f t="shared" si="588"/>
        <v>95.600000000000378</v>
      </c>
      <c r="AL171" s="32">
        <f t="shared" si="588"/>
        <v>246.99999999999946</v>
      </c>
      <c r="AM171" s="32">
        <f t="shared" si="588"/>
        <v>328.99999999999966</v>
      </c>
      <c r="AN171" s="33">
        <f t="shared" si="588"/>
        <v>827.19999999999879</v>
      </c>
      <c r="AO171" s="30">
        <f t="shared" si="588"/>
        <v>253.00000000000037</v>
      </c>
      <c r="AP171" s="30">
        <f t="shared" si="588"/>
        <v>233.50000000000037</v>
      </c>
      <c r="AQ171" s="32">
        <f t="shared" si="588"/>
        <v>242.39999999999972</v>
      </c>
      <c r="AR171" s="32">
        <f t="shared" si="588"/>
        <v>374.09999999999923</v>
      </c>
      <c r="AS171" s="33">
        <f t="shared" si="588"/>
        <v>1102.9999999999998</v>
      </c>
      <c r="AT171" s="30">
        <f t="shared" si="588"/>
        <v>286.30000000000035</v>
      </c>
      <c r="AU171" s="30">
        <f t="shared" si="588"/>
        <v>231.7</v>
      </c>
      <c r="AV171" s="32">
        <f t="shared" si="588"/>
        <v>408.49999999999937</v>
      </c>
      <c r="AW171" s="32">
        <f t="shared" si="588"/>
        <v>844.99999999999989</v>
      </c>
      <c r="AX171" s="33">
        <f t="shared" si="588"/>
        <v>1771.4999999999998</v>
      </c>
      <c r="AY171" s="32">
        <f t="shared" si="588"/>
        <v>760.7999999999995</v>
      </c>
      <c r="AZ171" s="32">
        <f t="shared" si="588"/>
        <v>688.0000000000008</v>
      </c>
      <c r="BA171" s="32">
        <f t="shared" si="588"/>
        <v>393.19999999999879</v>
      </c>
      <c r="BB171" s="32">
        <f t="shared" si="588"/>
        <v>275.40000000000077</v>
      </c>
      <c r="BC171" s="33">
        <f t="shared" si="588"/>
        <v>2117.4</v>
      </c>
      <c r="BD171" s="32">
        <f t="shared" si="588"/>
        <v>244.39999999999989</v>
      </c>
      <c r="BE171" s="32">
        <f t="shared" si="588"/>
        <v>458.70000000000044</v>
      </c>
      <c r="BF171" s="32">
        <f t="shared" si="588"/>
        <v>956.79999999999927</v>
      </c>
      <c r="BG171" s="32">
        <f t="shared" ca="1" si="588"/>
        <v>532.10000000000014</v>
      </c>
      <c r="BH171" s="33">
        <f t="shared" ca="1" si="588"/>
        <v>2192</v>
      </c>
      <c r="BI171" s="32">
        <f t="shared" si="588"/>
        <v>530.1</v>
      </c>
      <c r="BJ171" s="32">
        <f t="shared" si="588"/>
        <v>705.3</v>
      </c>
      <c r="BK171" s="32">
        <f t="shared" si="588"/>
        <v>808.7</v>
      </c>
      <c r="BL171" s="32">
        <f t="shared" si="588"/>
        <v>2737.5</v>
      </c>
      <c r="BM171" s="33">
        <f t="shared" si="588"/>
        <v>4781.5999999999995</v>
      </c>
      <c r="BN171" s="32">
        <f t="shared" ref="BN171:BW171" si="589">BN143</f>
        <v>968.39999999999839</v>
      </c>
      <c r="BO171" s="32">
        <f t="shared" si="589"/>
        <v>-175.90000000000282</v>
      </c>
      <c r="BP171" s="32">
        <f t="shared" si="589"/>
        <v>1044.8999999999965</v>
      </c>
      <c r="BQ171" s="32">
        <f t="shared" si="589"/>
        <v>2920.1000000000008</v>
      </c>
      <c r="BR171" s="33">
        <f t="shared" si="589"/>
        <v>4757.4999999999927</v>
      </c>
      <c r="BS171" s="32">
        <f t="shared" si="589"/>
        <v>453.98299492385843</v>
      </c>
      <c r="BT171" s="32">
        <f t="shared" si="589"/>
        <v>735.51700507614146</v>
      </c>
      <c r="BU171" s="32">
        <f t="shared" si="589"/>
        <v>435.09999999999962</v>
      </c>
      <c r="BV171" s="32">
        <f t="shared" si="589"/>
        <v>2924.4000000000005</v>
      </c>
      <c r="BW171" s="33">
        <f t="shared" si="589"/>
        <v>4548.9999999999991</v>
      </c>
      <c r="BX171" s="32">
        <f t="shared" ref="BX171:CG171" si="590">BX143</f>
        <v>281.4000000000002</v>
      </c>
      <c r="BY171" s="32">
        <f t="shared" si="590"/>
        <v>899.90000000000009</v>
      </c>
      <c r="BZ171" s="32">
        <f>BZ143</f>
        <v>792.99999999999955</v>
      </c>
      <c r="CA171" s="32">
        <f>CA143</f>
        <v>2874</v>
      </c>
      <c r="CB171" s="33">
        <f t="shared" si="590"/>
        <v>4848.3</v>
      </c>
      <c r="CC171" s="32">
        <f t="shared" ref="CC171:CD171" si="591">CC143</f>
        <v>751.19999999999993</v>
      </c>
      <c r="CD171" s="32">
        <f t="shared" si="591"/>
        <v>438.89999999999986</v>
      </c>
      <c r="CE171" s="32">
        <f t="shared" ref="CE171" si="592">CE143</f>
        <v>1480.4</v>
      </c>
      <c r="CF171" s="32">
        <f t="shared" si="590"/>
        <v>2248.9</v>
      </c>
      <c r="CG171" s="33">
        <f t="shared" si="590"/>
        <v>4919.3999999999996</v>
      </c>
      <c r="CH171" s="32">
        <f t="shared" ref="CH171:CI171" si="593">CH143</f>
        <v>1000.3999999999999</v>
      </c>
      <c r="CI171" s="32">
        <f t="shared" si="593"/>
        <v>1081.1999999999998</v>
      </c>
      <c r="CJ171" s="32">
        <f t="shared" ref="CJ171" si="594">CJ143</f>
        <v>1899.9000000000003</v>
      </c>
      <c r="CK171" s="32">
        <f t="shared" ref="CK171:CQ171" si="595">CK143</f>
        <v>1369.7999999999997</v>
      </c>
      <c r="CL171" s="33">
        <f t="shared" si="595"/>
        <v>5351.3</v>
      </c>
      <c r="CM171" s="32">
        <f t="shared" ca="1" si="595"/>
        <v>1108.1662991483283</v>
      </c>
      <c r="CN171" s="32">
        <f t="shared" ca="1" si="595"/>
        <v>1253.5487331106574</v>
      </c>
      <c r="CO171" s="32">
        <f t="shared" ca="1" si="595"/>
        <v>1531.4944946820256</v>
      </c>
      <c r="CP171" s="32">
        <f t="shared" ca="1" si="595"/>
        <v>1466.2149927175196</v>
      </c>
      <c r="CQ171" s="33">
        <f t="shared" ca="1" si="595"/>
        <v>5359.4245196585307</v>
      </c>
      <c r="CR171" s="32">
        <f t="shared" ref="CR171:CV171" ca="1" si="596">CR143</f>
        <v>1930.7397189662747</v>
      </c>
      <c r="CS171" s="32">
        <f t="shared" ca="1" si="596"/>
        <v>1287.1206597289522</v>
      </c>
      <c r="CT171" s="32">
        <f t="shared" ca="1" si="596"/>
        <v>1519.9135825472472</v>
      </c>
      <c r="CU171" s="32">
        <f t="shared" ca="1" si="596"/>
        <v>1238.2467718788253</v>
      </c>
      <c r="CV171" s="33">
        <f t="shared" ca="1" si="596"/>
        <v>5976.0207331212996</v>
      </c>
      <c r="CW171" s="32">
        <f t="shared" ref="CW171:DF171" ca="1" si="597">CW143</f>
        <v>1050.4609271156824</v>
      </c>
      <c r="CX171" s="32">
        <f t="shared" ca="1" si="597"/>
        <v>1176.8176429770031</v>
      </c>
      <c r="CY171" s="32">
        <f t="shared" ca="1" si="597"/>
        <v>1402.9211873940444</v>
      </c>
      <c r="CZ171" s="32">
        <f t="shared" ca="1" si="597"/>
        <v>1100.1301885161517</v>
      </c>
      <c r="DA171" s="33">
        <f t="shared" ca="1" si="597"/>
        <v>4730.3299460028811</v>
      </c>
      <c r="DB171" s="32">
        <f t="shared" ca="1" si="597"/>
        <v>874.76741798919261</v>
      </c>
      <c r="DC171" s="32">
        <f t="shared" ca="1" si="597"/>
        <v>1056.7473491555452</v>
      </c>
      <c r="DD171" s="32">
        <f t="shared" ca="1" si="597"/>
        <v>1288.7309746953204</v>
      </c>
      <c r="DE171" s="32">
        <f t="shared" ca="1" si="597"/>
        <v>994.83613651962514</v>
      </c>
      <c r="DF171" s="33">
        <f t="shared" ca="1" si="597"/>
        <v>4215.0818783596833</v>
      </c>
      <c r="DG171"/>
      <c r="DH171"/>
      <c r="DI171"/>
      <c r="DJ171"/>
      <c r="DK171"/>
      <c r="DL171"/>
      <c r="DM171"/>
      <c r="DN171"/>
    </row>
    <row r="172" spans="1:118" s="150" customFormat="1" ht="12.75" hidden="1" customHeight="1" outlineLevel="1" x14ac:dyDescent="0.25">
      <c r="B172" s="721" t="s">
        <v>141</v>
      </c>
      <c r="D172" s="155"/>
      <c r="E172" s="155"/>
      <c r="F172" s="151"/>
      <c r="G172" s="151"/>
      <c r="H172" s="151"/>
      <c r="I172" s="149"/>
      <c r="J172" s="153"/>
      <c r="K172" s="149"/>
      <c r="L172" s="152"/>
      <c r="M172" s="149"/>
      <c r="N172" s="149"/>
      <c r="O172" s="153"/>
      <c r="P172" s="149"/>
      <c r="Q172" s="149"/>
      <c r="R172" s="149"/>
      <c r="S172" s="149"/>
      <c r="T172" s="440"/>
      <c r="U172" s="32">
        <f t="shared" ref="U172:BM172" si="598">U145</f>
        <v>-7.7389999999999999</v>
      </c>
      <c r="V172" s="32">
        <f t="shared" si="598"/>
        <v>-9.6149999999999984</v>
      </c>
      <c r="W172" s="32">
        <f t="shared" si="598"/>
        <v>-16.033000000000001</v>
      </c>
      <c r="X172" s="32">
        <f t="shared" si="598"/>
        <v>-18.128999999999998</v>
      </c>
      <c r="Y172" s="33">
        <f t="shared" si="598"/>
        <v>-51.515999999999998</v>
      </c>
      <c r="Z172" s="32">
        <f t="shared" si="598"/>
        <v>-5.9379999999999997</v>
      </c>
      <c r="AA172" s="32">
        <f t="shared" si="598"/>
        <v>-11.994</v>
      </c>
      <c r="AB172" s="32">
        <f t="shared" si="598"/>
        <v>-16.279</v>
      </c>
      <c r="AC172" s="32">
        <f t="shared" si="598"/>
        <v>-25.589000000000002</v>
      </c>
      <c r="AD172" s="33">
        <f t="shared" si="598"/>
        <v>-59.800000000000004</v>
      </c>
      <c r="AE172" s="32">
        <f t="shared" si="598"/>
        <v>-8.6999999999999993</v>
      </c>
      <c r="AF172" s="32">
        <f t="shared" si="598"/>
        <v>-12</v>
      </c>
      <c r="AG172" s="32">
        <f t="shared" si="598"/>
        <v>-17.500000000000004</v>
      </c>
      <c r="AH172" s="32">
        <f t="shared" si="598"/>
        <v>-28.399999999999995</v>
      </c>
      <c r="AI172" s="33">
        <f t="shared" si="598"/>
        <v>-66.599999999999994</v>
      </c>
      <c r="AJ172" s="32">
        <f t="shared" si="598"/>
        <v>-8.3000000000000007</v>
      </c>
      <c r="AK172" s="32">
        <f t="shared" si="598"/>
        <v>-21.599999999999998</v>
      </c>
      <c r="AL172" s="32">
        <f t="shared" si="598"/>
        <v>-17.600000000000001</v>
      </c>
      <c r="AM172" s="32">
        <f t="shared" si="598"/>
        <v>-27.5</v>
      </c>
      <c r="AN172" s="33">
        <f t="shared" si="598"/>
        <v>-75</v>
      </c>
      <c r="AO172" s="30">
        <f t="shared" si="598"/>
        <v>-11.7</v>
      </c>
      <c r="AP172" s="30">
        <f t="shared" si="598"/>
        <v>-18.400000000000002</v>
      </c>
      <c r="AQ172" s="32">
        <f t="shared" si="598"/>
        <v>-29.799999999999997</v>
      </c>
      <c r="AR172" s="32">
        <f t="shared" si="598"/>
        <v>-25.9</v>
      </c>
      <c r="AS172" s="33">
        <f t="shared" si="598"/>
        <v>-85.8</v>
      </c>
      <c r="AT172" s="30">
        <f t="shared" si="598"/>
        <v>-13.6</v>
      </c>
      <c r="AU172" s="30">
        <f t="shared" si="598"/>
        <v>-18.399999999999999</v>
      </c>
      <c r="AV172" s="32">
        <f t="shared" si="598"/>
        <v>-58.499999999999993</v>
      </c>
      <c r="AW172" s="32">
        <f t="shared" si="598"/>
        <v>-58.900000000000006</v>
      </c>
      <c r="AX172" s="33">
        <f t="shared" si="598"/>
        <v>-149.4</v>
      </c>
      <c r="AY172" s="32">
        <f t="shared" si="598"/>
        <v>-34.200000000000003</v>
      </c>
      <c r="AZ172" s="32">
        <f t="shared" si="598"/>
        <v>-16.899999999999999</v>
      </c>
      <c r="BA172" s="32">
        <f t="shared" si="598"/>
        <v>-33.499999999999986</v>
      </c>
      <c r="BB172" s="32">
        <f t="shared" si="598"/>
        <v>-32.800000000000011</v>
      </c>
      <c r="BC172" s="33">
        <f t="shared" si="598"/>
        <v>-117.39999999999999</v>
      </c>
      <c r="BD172" s="32">
        <f t="shared" si="598"/>
        <v>-19.5</v>
      </c>
      <c r="BE172" s="32">
        <f t="shared" si="598"/>
        <v>-34.6</v>
      </c>
      <c r="BF172" s="32">
        <f t="shared" si="598"/>
        <v>-43.999999999999993</v>
      </c>
      <c r="BG172" s="32">
        <f t="shared" si="598"/>
        <v>-46.300000000000011</v>
      </c>
      <c r="BH172" s="33">
        <f t="shared" si="598"/>
        <v>-144.4</v>
      </c>
      <c r="BI172" s="32">
        <f t="shared" si="598"/>
        <v>-18.7</v>
      </c>
      <c r="BJ172" s="32">
        <f t="shared" si="598"/>
        <v>-47.899999999999991</v>
      </c>
      <c r="BK172" s="32">
        <f t="shared" si="598"/>
        <v>-39.400000000000006</v>
      </c>
      <c r="BL172" s="32">
        <f t="shared" si="598"/>
        <v>-54.199999999999989</v>
      </c>
      <c r="BM172" s="33">
        <f t="shared" si="598"/>
        <v>-160.19999999999999</v>
      </c>
      <c r="BN172" s="32">
        <f t="shared" ref="BN172:BW172" si="599">BN145</f>
        <v>-108.9</v>
      </c>
      <c r="BO172" s="32">
        <f t="shared" si="599"/>
        <v>-86.1</v>
      </c>
      <c r="BP172" s="32">
        <f t="shared" si="599"/>
        <v>-79.600000000000023</v>
      </c>
      <c r="BQ172" s="32">
        <f t="shared" si="599"/>
        <v>-148.39999999999995</v>
      </c>
      <c r="BR172" s="33">
        <f t="shared" si="599"/>
        <v>-423</v>
      </c>
      <c r="BS172" s="32">
        <f t="shared" si="599"/>
        <v>-117.1</v>
      </c>
      <c r="BT172" s="32">
        <f t="shared" si="599"/>
        <v>-91.700000000000017</v>
      </c>
      <c r="BU172" s="32">
        <f t="shared" si="599"/>
        <v>-118.19999999999999</v>
      </c>
      <c r="BV172" s="32">
        <f t="shared" si="599"/>
        <v>-109.60000000000002</v>
      </c>
      <c r="BW172" s="33">
        <f t="shared" si="599"/>
        <v>-436.6</v>
      </c>
      <c r="BX172" s="32">
        <f t="shared" ref="BX172:CG172" si="600">BX145</f>
        <v>-48.3</v>
      </c>
      <c r="BY172" s="32">
        <f t="shared" si="600"/>
        <v>-58.8</v>
      </c>
      <c r="BZ172" s="32">
        <f>BZ145</f>
        <v>-70</v>
      </c>
      <c r="CA172" s="32">
        <f>CA145</f>
        <v>-118.79999999999998</v>
      </c>
      <c r="CB172" s="33">
        <f t="shared" si="600"/>
        <v>-295.89999999999998</v>
      </c>
      <c r="CC172" s="32">
        <f t="shared" ref="CC172:CD172" si="601">CC145</f>
        <v>-82.6</v>
      </c>
      <c r="CD172" s="32">
        <f t="shared" si="601"/>
        <v>-75.900000000000006</v>
      </c>
      <c r="CE172" s="32">
        <f t="shared" ref="CE172" si="602">CE145</f>
        <v>-79.099999999999994</v>
      </c>
      <c r="CF172" s="32">
        <f t="shared" si="600"/>
        <v>-92.799999999999983</v>
      </c>
      <c r="CG172" s="33">
        <f t="shared" si="600"/>
        <v>-330.4</v>
      </c>
      <c r="CH172" s="32">
        <f t="shared" ref="CH172:CI172" si="603">CH145</f>
        <v>-45.8</v>
      </c>
      <c r="CI172" s="32">
        <f t="shared" si="603"/>
        <v>-59.5</v>
      </c>
      <c r="CJ172" s="32">
        <f t="shared" ref="CJ172" si="604">CJ145</f>
        <v>-72.000000000000014</v>
      </c>
      <c r="CK172" s="32">
        <f t="shared" ref="CK172:CQ172" si="605">CK145</f>
        <v>-90.099999999999966</v>
      </c>
      <c r="CL172" s="33">
        <f t="shared" si="605"/>
        <v>-267.39999999999998</v>
      </c>
      <c r="CM172" s="32">
        <f t="shared" si="605"/>
        <v>-48.089999999999996</v>
      </c>
      <c r="CN172" s="32">
        <f t="shared" si="605"/>
        <v>-62.475000000000001</v>
      </c>
      <c r="CO172" s="32">
        <f t="shared" si="605"/>
        <v>-75.600000000000023</v>
      </c>
      <c r="CP172" s="32">
        <f t="shared" si="605"/>
        <v>-94.604999999999961</v>
      </c>
      <c r="CQ172" s="33">
        <f t="shared" si="605"/>
        <v>-280.77</v>
      </c>
      <c r="CR172" s="32">
        <f t="shared" ref="CR172:CV172" si="606">CR145</f>
        <v>-50.494499999999995</v>
      </c>
      <c r="CS172" s="32">
        <f t="shared" si="606"/>
        <v>-65.59875000000001</v>
      </c>
      <c r="CT172" s="32">
        <f t="shared" si="606"/>
        <v>-79.380000000000024</v>
      </c>
      <c r="CU172" s="32">
        <f t="shared" si="606"/>
        <v>-99.335249999999959</v>
      </c>
      <c r="CV172" s="33">
        <f t="shared" si="606"/>
        <v>-294.80849999999998</v>
      </c>
      <c r="CW172" s="32">
        <f t="shared" ref="CW172:DF172" si="607">CW145</f>
        <v>-53.019224999999999</v>
      </c>
      <c r="CX172" s="32">
        <f t="shared" si="607"/>
        <v>-68.878687500000012</v>
      </c>
      <c r="CY172" s="32">
        <f t="shared" si="607"/>
        <v>-83.349000000000032</v>
      </c>
      <c r="CZ172" s="32">
        <f t="shared" si="607"/>
        <v>-104.30201249999996</v>
      </c>
      <c r="DA172" s="33">
        <f t="shared" si="607"/>
        <v>-309.548925</v>
      </c>
      <c r="DB172" s="32">
        <f t="shared" si="607"/>
        <v>-55.67018625</v>
      </c>
      <c r="DC172" s="32">
        <f t="shared" si="607"/>
        <v>-72.32262187500001</v>
      </c>
      <c r="DD172" s="32">
        <f t="shared" si="607"/>
        <v>-87.516450000000034</v>
      </c>
      <c r="DE172" s="32">
        <f t="shared" si="607"/>
        <v>-109.51711312499997</v>
      </c>
      <c r="DF172" s="33">
        <f t="shared" si="607"/>
        <v>-325.02637125000001</v>
      </c>
      <c r="DG172"/>
      <c r="DH172"/>
      <c r="DI172"/>
      <c r="DJ172"/>
      <c r="DK172"/>
      <c r="DL172"/>
      <c r="DM172"/>
      <c r="DN172"/>
    </row>
    <row r="173" spans="1:118" s="150" customFormat="1" ht="12.75" hidden="1" customHeight="1" outlineLevel="1" x14ac:dyDescent="0.25">
      <c r="B173" s="721" t="s">
        <v>138</v>
      </c>
      <c r="D173" s="155"/>
      <c r="E173" s="155"/>
      <c r="F173" s="151"/>
      <c r="G173" s="151"/>
      <c r="H173" s="151"/>
      <c r="I173" s="151"/>
      <c r="J173" s="155"/>
      <c r="K173" s="151"/>
      <c r="L173" s="154"/>
      <c r="M173" s="151"/>
      <c r="N173" s="151"/>
      <c r="O173" s="155"/>
      <c r="P173" s="151"/>
      <c r="Q173" s="151"/>
      <c r="R173" s="151"/>
      <c r="S173" s="151"/>
      <c r="T173" s="440"/>
      <c r="U173" s="431">
        <f t="shared" ref="U173:BM173" si="608">U171+U172</f>
        <v>90.046000000000248</v>
      </c>
      <c r="V173" s="431">
        <f t="shared" si="608"/>
        <v>45.910999999999959</v>
      </c>
      <c r="W173" s="431">
        <f t="shared" si="608"/>
        <v>133.93199999999979</v>
      </c>
      <c r="X173" s="431">
        <f t="shared" ca="1" si="608"/>
        <v>174.61799999999909</v>
      </c>
      <c r="Y173" s="412">
        <f t="shared" ca="1" si="608"/>
        <v>444.5069999999991</v>
      </c>
      <c r="Z173" s="431">
        <f t="shared" si="608"/>
        <v>132.21199999999999</v>
      </c>
      <c r="AA173" s="431">
        <f t="shared" si="608"/>
        <v>166.25999999999939</v>
      </c>
      <c r="AB173" s="431">
        <f t="shared" si="608"/>
        <v>198.38499999999985</v>
      </c>
      <c r="AC173" s="431">
        <f t="shared" si="608"/>
        <v>236.24300000000068</v>
      </c>
      <c r="AD173" s="412">
        <f t="shared" si="608"/>
        <v>733.0999999999998</v>
      </c>
      <c r="AE173" s="431">
        <f t="shared" si="608"/>
        <v>32.300000000000381</v>
      </c>
      <c r="AF173" s="431">
        <f t="shared" si="608"/>
        <v>140.80000000000038</v>
      </c>
      <c r="AG173" s="431">
        <f t="shared" si="608"/>
        <v>141.30000000000018</v>
      </c>
      <c r="AH173" s="431">
        <f t="shared" si="608"/>
        <v>277.59999999999894</v>
      </c>
      <c r="AI173" s="412">
        <f t="shared" si="608"/>
        <v>591.99999999999989</v>
      </c>
      <c r="AJ173" s="431">
        <f t="shared" si="608"/>
        <v>147.29999999999927</v>
      </c>
      <c r="AK173" s="431">
        <f t="shared" si="608"/>
        <v>74.000000000000384</v>
      </c>
      <c r="AL173" s="431">
        <f t="shared" si="608"/>
        <v>229.39999999999947</v>
      </c>
      <c r="AM173" s="431">
        <f t="shared" si="608"/>
        <v>301.49999999999966</v>
      </c>
      <c r="AN173" s="412">
        <f t="shared" si="608"/>
        <v>752.19999999999879</v>
      </c>
      <c r="AO173" s="429">
        <f t="shared" si="608"/>
        <v>241.30000000000038</v>
      </c>
      <c r="AP173" s="429">
        <f t="shared" si="608"/>
        <v>215.10000000000036</v>
      </c>
      <c r="AQ173" s="431">
        <f t="shared" si="608"/>
        <v>212.59999999999974</v>
      </c>
      <c r="AR173" s="431">
        <f t="shared" si="608"/>
        <v>348.19999999999925</v>
      </c>
      <c r="AS173" s="412">
        <f t="shared" si="608"/>
        <v>1017.1999999999998</v>
      </c>
      <c r="AT173" s="429">
        <f t="shared" si="608"/>
        <v>272.70000000000033</v>
      </c>
      <c r="AU173" s="429">
        <f t="shared" si="608"/>
        <v>213.29999999999998</v>
      </c>
      <c r="AV173" s="431">
        <f t="shared" si="608"/>
        <v>349.99999999999937</v>
      </c>
      <c r="AW173" s="431">
        <f t="shared" si="608"/>
        <v>786.09999999999991</v>
      </c>
      <c r="AX173" s="412">
        <f t="shared" si="608"/>
        <v>1622.0999999999997</v>
      </c>
      <c r="AY173" s="431">
        <f t="shared" si="608"/>
        <v>726.59999999999945</v>
      </c>
      <c r="AZ173" s="431">
        <f t="shared" si="608"/>
        <v>671.10000000000082</v>
      </c>
      <c r="BA173" s="431">
        <f t="shared" si="608"/>
        <v>359.69999999999879</v>
      </c>
      <c r="BB173" s="431">
        <f t="shared" si="608"/>
        <v>242.60000000000076</v>
      </c>
      <c r="BC173" s="412">
        <f t="shared" si="608"/>
        <v>2000</v>
      </c>
      <c r="BD173" s="431">
        <f t="shared" si="608"/>
        <v>224.89999999999989</v>
      </c>
      <c r="BE173" s="431">
        <f t="shared" si="608"/>
        <v>424.10000000000042</v>
      </c>
      <c r="BF173" s="431">
        <f t="shared" si="608"/>
        <v>912.79999999999927</v>
      </c>
      <c r="BG173" s="431">
        <f t="shared" ca="1" si="608"/>
        <v>485.80000000000013</v>
      </c>
      <c r="BH173" s="412">
        <f t="shared" ca="1" si="608"/>
        <v>2047.6</v>
      </c>
      <c r="BI173" s="431">
        <f t="shared" si="608"/>
        <v>511.40000000000003</v>
      </c>
      <c r="BJ173" s="431">
        <f t="shared" si="608"/>
        <v>657.4</v>
      </c>
      <c r="BK173" s="431">
        <f t="shared" si="608"/>
        <v>769.30000000000007</v>
      </c>
      <c r="BL173" s="431">
        <f t="shared" si="608"/>
        <v>2683.3</v>
      </c>
      <c r="BM173" s="412">
        <f t="shared" si="608"/>
        <v>4621.3999999999996</v>
      </c>
      <c r="BN173" s="431">
        <f t="shared" ref="BN173:BW173" si="609">BN171+BN172</f>
        <v>859.49999999999841</v>
      </c>
      <c r="BO173" s="431">
        <f t="shared" si="609"/>
        <v>-262.00000000000284</v>
      </c>
      <c r="BP173" s="431">
        <f t="shared" si="609"/>
        <v>965.29999999999643</v>
      </c>
      <c r="BQ173" s="431">
        <f t="shared" si="609"/>
        <v>2771.7000000000007</v>
      </c>
      <c r="BR173" s="412">
        <f t="shared" si="609"/>
        <v>4334.4999999999927</v>
      </c>
      <c r="BS173" s="431">
        <f t="shared" si="609"/>
        <v>336.8829949238584</v>
      </c>
      <c r="BT173" s="431">
        <f t="shared" si="609"/>
        <v>643.81700507614141</v>
      </c>
      <c r="BU173" s="431">
        <f t="shared" si="609"/>
        <v>316.89999999999964</v>
      </c>
      <c r="BV173" s="431">
        <f t="shared" si="609"/>
        <v>2814.8000000000006</v>
      </c>
      <c r="BW173" s="412">
        <f t="shared" si="609"/>
        <v>4112.3999999999987</v>
      </c>
      <c r="BX173" s="431">
        <f t="shared" ref="BX173:CG173" si="610">BX171+BX172</f>
        <v>233.10000000000019</v>
      </c>
      <c r="BY173" s="431">
        <f t="shared" si="610"/>
        <v>841.10000000000014</v>
      </c>
      <c r="BZ173" s="431">
        <f>BZ171+BZ172</f>
        <v>722.99999999999955</v>
      </c>
      <c r="CA173" s="431">
        <f>CA171+CA172</f>
        <v>2755.2</v>
      </c>
      <c r="CB173" s="412">
        <f t="shared" si="610"/>
        <v>4552.4000000000005</v>
      </c>
      <c r="CC173" s="431">
        <f t="shared" ref="CC173:CD173" si="611">CC171+CC172</f>
        <v>668.59999999999991</v>
      </c>
      <c r="CD173" s="431">
        <f t="shared" si="611"/>
        <v>362.99999999999989</v>
      </c>
      <c r="CE173" s="431">
        <f t="shared" ref="CE173" si="612">CE171+CE172</f>
        <v>1401.3000000000002</v>
      </c>
      <c r="CF173" s="431">
        <f t="shared" si="610"/>
        <v>2156.1</v>
      </c>
      <c r="CG173" s="412">
        <f t="shared" si="610"/>
        <v>4589</v>
      </c>
      <c r="CH173" s="431">
        <f t="shared" ref="CH173:CI173" si="613">CH171+CH172</f>
        <v>954.59999999999991</v>
      </c>
      <c r="CI173" s="431">
        <f t="shared" si="613"/>
        <v>1021.6999999999998</v>
      </c>
      <c r="CJ173" s="431">
        <f t="shared" ref="CJ173" si="614">CJ171+CJ172</f>
        <v>1827.9000000000003</v>
      </c>
      <c r="CK173" s="431">
        <f t="shared" ref="CK173:CQ173" si="615">CK171+CK172</f>
        <v>1279.6999999999998</v>
      </c>
      <c r="CL173" s="412">
        <f t="shared" si="615"/>
        <v>5083.9000000000005</v>
      </c>
      <c r="CM173" s="431">
        <f t="shared" ca="1" si="615"/>
        <v>1060.0762991483284</v>
      </c>
      <c r="CN173" s="431">
        <f t="shared" ca="1" si="615"/>
        <v>1191.0737331106575</v>
      </c>
      <c r="CO173" s="431">
        <f t="shared" ca="1" si="615"/>
        <v>1455.8944946820257</v>
      </c>
      <c r="CP173" s="431">
        <f t="shared" ca="1" si="615"/>
        <v>1371.6099927175196</v>
      </c>
      <c r="CQ173" s="412">
        <f t="shared" ca="1" si="615"/>
        <v>5078.6545196585303</v>
      </c>
      <c r="CR173" s="431">
        <f t="shared" ref="CR173:CV173" ca="1" si="616">CR171+CR172</f>
        <v>1880.2452189662747</v>
      </c>
      <c r="CS173" s="431">
        <f t="shared" ca="1" si="616"/>
        <v>1221.5219097289521</v>
      </c>
      <c r="CT173" s="431">
        <f t="shared" ca="1" si="616"/>
        <v>1440.5335825472471</v>
      </c>
      <c r="CU173" s="431">
        <f t="shared" ca="1" si="616"/>
        <v>1138.9115218788254</v>
      </c>
      <c r="CV173" s="412">
        <f t="shared" ca="1" si="616"/>
        <v>5681.2122331212995</v>
      </c>
      <c r="CW173" s="431">
        <f t="shared" ref="CW173:DF173" ca="1" si="617">CW171+CW172</f>
        <v>997.44170211568235</v>
      </c>
      <c r="CX173" s="431">
        <f t="shared" ca="1" si="617"/>
        <v>1107.938955477003</v>
      </c>
      <c r="CY173" s="431">
        <f t="shared" ca="1" si="617"/>
        <v>1319.5721873940445</v>
      </c>
      <c r="CZ173" s="431">
        <f t="shared" ca="1" si="617"/>
        <v>995.82817601615182</v>
      </c>
      <c r="DA173" s="412">
        <f t="shared" ca="1" si="617"/>
        <v>4420.7810210028811</v>
      </c>
      <c r="DB173" s="431">
        <f t="shared" ca="1" si="617"/>
        <v>819.09723173919258</v>
      </c>
      <c r="DC173" s="431">
        <f t="shared" ca="1" si="617"/>
        <v>984.4247272805452</v>
      </c>
      <c r="DD173" s="431">
        <f t="shared" ca="1" si="617"/>
        <v>1201.2145246953203</v>
      </c>
      <c r="DE173" s="431">
        <f t="shared" ca="1" si="617"/>
        <v>885.31902339462522</v>
      </c>
      <c r="DF173" s="412">
        <f t="shared" ca="1" si="617"/>
        <v>3890.0555071096833</v>
      </c>
      <c r="DG173"/>
      <c r="DH173"/>
      <c r="DI173"/>
      <c r="DJ173"/>
      <c r="DK173"/>
      <c r="DL173"/>
      <c r="DM173"/>
      <c r="DN173"/>
    </row>
    <row r="174" spans="1:118" s="150" customFormat="1" ht="12.75" hidden="1" customHeight="1" outlineLevel="1" x14ac:dyDescent="0.25">
      <c r="B174" s="721"/>
      <c r="D174" s="155"/>
      <c r="E174" s="155"/>
      <c r="F174" s="151"/>
      <c r="G174" s="151"/>
      <c r="H174" s="151"/>
      <c r="I174" s="151"/>
      <c r="J174" s="155"/>
      <c r="K174" s="151"/>
      <c r="L174" s="154"/>
      <c r="M174" s="151"/>
      <c r="N174" s="151"/>
      <c r="O174" s="155"/>
      <c r="P174" s="151"/>
      <c r="Q174" s="151"/>
      <c r="R174" s="151"/>
      <c r="S174" s="151"/>
      <c r="T174" s="440"/>
      <c r="U174" s="431"/>
      <c r="V174" s="431"/>
      <c r="W174" s="431"/>
      <c r="X174" s="431"/>
      <c r="Y174" s="412"/>
      <c r="Z174" s="431"/>
      <c r="AA174" s="431"/>
      <c r="AB174" s="431"/>
      <c r="AC174" s="431"/>
      <c r="AD174" s="412"/>
      <c r="AE174" s="431"/>
      <c r="AF174" s="431"/>
      <c r="AG174" s="431"/>
      <c r="AH174" s="431"/>
      <c r="AI174" s="412"/>
      <c r="AJ174" s="431"/>
      <c r="AK174" s="431"/>
      <c r="AL174" s="431"/>
      <c r="AM174" s="431"/>
      <c r="AN174" s="412"/>
      <c r="AO174" s="429"/>
      <c r="AP174" s="429"/>
      <c r="AQ174" s="431"/>
      <c r="AR174" s="431"/>
      <c r="AS174" s="412"/>
      <c r="AT174" s="429"/>
      <c r="AU174" s="429"/>
      <c r="AV174" s="431"/>
      <c r="AW174" s="431"/>
      <c r="AX174" s="412"/>
      <c r="AY174" s="431"/>
      <c r="AZ174" s="431"/>
      <c r="BA174" s="431"/>
      <c r="BB174" s="431"/>
      <c r="BC174" s="412"/>
      <c r="BD174" s="431"/>
      <c r="BE174" s="431"/>
      <c r="BF174" s="431"/>
      <c r="BG174" s="431"/>
      <c r="BH174" s="412"/>
      <c r="BI174" s="431"/>
      <c r="BJ174" s="431"/>
      <c r="BK174" s="431"/>
      <c r="BL174" s="431"/>
      <c r="BM174" s="412"/>
      <c r="BN174" s="431"/>
      <c r="BO174" s="431"/>
      <c r="BP174" s="431"/>
      <c r="BQ174" s="431"/>
      <c r="BR174" s="412"/>
      <c r="BS174" s="431"/>
      <c r="BT174" s="431"/>
      <c r="BU174" s="431"/>
      <c r="BV174" s="431"/>
      <c r="BW174" s="412"/>
      <c r="BX174" s="431"/>
      <c r="BY174" s="431"/>
      <c r="BZ174" s="431"/>
      <c r="CA174" s="431"/>
      <c r="CB174" s="412"/>
      <c r="CC174" s="431"/>
      <c r="CD174" s="431"/>
      <c r="CE174" s="431"/>
      <c r="CF174" s="431"/>
      <c r="CG174" s="412"/>
      <c r="CH174" s="431"/>
      <c r="CI174" s="431"/>
      <c r="CJ174" s="431"/>
      <c r="CK174" s="431"/>
      <c r="CL174" s="412"/>
      <c r="CM174" s="431"/>
      <c r="CN174" s="431"/>
      <c r="CO174" s="431"/>
      <c r="CP174" s="431"/>
      <c r="CQ174" s="412"/>
      <c r="CR174" s="431"/>
      <c r="CS174" s="431"/>
      <c r="CT174" s="431"/>
      <c r="CU174" s="431"/>
      <c r="CV174" s="412"/>
      <c r="CW174" s="431"/>
      <c r="CX174" s="431"/>
      <c r="CY174" s="431"/>
      <c r="CZ174" s="431"/>
      <c r="DA174" s="412"/>
      <c r="DB174" s="431"/>
      <c r="DC174" s="431"/>
      <c r="DD174" s="431"/>
      <c r="DE174" s="431"/>
      <c r="DF174" s="412"/>
      <c r="DG174"/>
      <c r="DH174"/>
      <c r="DI174"/>
      <c r="DJ174"/>
      <c r="DK174"/>
      <c r="DL174"/>
      <c r="DM174"/>
      <c r="DN174"/>
    </row>
    <row r="175" spans="1:118" s="693" customFormat="1" ht="13.5" collapsed="1" x14ac:dyDescent="0.25">
      <c r="B175" s="750" t="s">
        <v>142</v>
      </c>
      <c r="D175" s="696"/>
      <c r="E175" s="696"/>
      <c r="F175" s="695"/>
      <c r="G175" s="695"/>
      <c r="H175" s="695"/>
      <c r="I175" s="695"/>
      <c r="J175" s="696"/>
      <c r="K175" s="695"/>
      <c r="L175" s="697"/>
      <c r="M175" s="695"/>
      <c r="N175" s="695"/>
      <c r="O175" s="696"/>
      <c r="P175" s="695"/>
      <c r="Q175" s="695"/>
      <c r="R175" s="695"/>
      <c r="S175" s="695"/>
      <c r="T175" s="698"/>
      <c r="U175" s="116">
        <f t="shared" ref="U175:AZ175" si="618">U173/U47</f>
        <v>0.14325578139517164</v>
      </c>
      <c r="V175" s="116">
        <f t="shared" si="618"/>
        <v>7.3058292595987298E-2</v>
      </c>
      <c r="W175" s="116">
        <f t="shared" si="618"/>
        <v>0.21692343573862644</v>
      </c>
      <c r="X175" s="116">
        <f t="shared" ca="1" si="618"/>
        <v>0.28742378952081071</v>
      </c>
      <c r="Y175" s="253">
        <f t="shared" ca="1" si="618"/>
        <v>0.71694677419354691</v>
      </c>
      <c r="Z175" s="116">
        <f t="shared" si="618"/>
        <v>0.22138647019423974</v>
      </c>
      <c r="AA175" s="116">
        <f t="shared" si="618"/>
        <v>0.2761794019933545</v>
      </c>
      <c r="AB175" s="116">
        <f t="shared" si="618"/>
        <v>0.33308428475486879</v>
      </c>
      <c r="AC175" s="116">
        <f t="shared" si="618"/>
        <v>0.39798349056603888</v>
      </c>
      <c r="AD175" s="253">
        <f t="shared" si="618"/>
        <v>1.2259197324414712</v>
      </c>
      <c r="AE175" s="116">
        <f t="shared" si="618"/>
        <v>0.10831656606304622</v>
      </c>
      <c r="AF175" s="116">
        <f t="shared" si="618"/>
        <v>0.2454672245467231</v>
      </c>
      <c r="AG175" s="116">
        <f t="shared" si="618"/>
        <v>0.25560781476121597</v>
      </c>
      <c r="AH175" s="116">
        <f t="shared" si="618"/>
        <v>0.50509461426491797</v>
      </c>
      <c r="AI175" s="253">
        <f t="shared" si="618"/>
        <v>1.0422535211267603</v>
      </c>
      <c r="AJ175" s="116">
        <f t="shared" si="618"/>
        <v>0.26742919389978081</v>
      </c>
      <c r="AK175" s="116">
        <f t="shared" si="618"/>
        <v>0.13857677902621796</v>
      </c>
      <c r="AL175" s="116">
        <f t="shared" si="618"/>
        <v>0.44578313253011942</v>
      </c>
      <c r="AM175" s="116">
        <f t="shared" si="618"/>
        <v>0.58886718749999933</v>
      </c>
      <c r="AN175" s="253">
        <f t="shared" si="618"/>
        <v>1.4246212121212098</v>
      </c>
      <c r="AO175" s="252">
        <f t="shared" si="618"/>
        <v>0.47184200234650059</v>
      </c>
      <c r="AP175" s="252">
        <f t="shared" si="618"/>
        <v>0.42678571428571499</v>
      </c>
      <c r="AQ175" s="116">
        <f t="shared" si="618"/>
        <v>0.42469037155413447</v>
      </c>
      <c r="AR175" s="116">
        <f t="shared" si="618"/>
        <v>0.69667867146858586</v>
      </c>
      <c r="AS175" s="253">
        <f t="shared" si="618"/>
        <v>2.0198570293884028</v>
      </c>
      <c r="AT175" s="252">
        <f t="shared" si="618"/>
        <v>0.54693140794223893</v>
      </c>
      <c r="AU175" s="252">
        <f t="shared" si="618"/>
        <v>0.41209428129829978</v>
      </c>
      <c r="AV175" s="116">
        <f t="shared" si="618"/>
        <v>0.63131313131313016</v>
      </c>
      <c r="AW175" s="116">
        <f t="shared" si="618"/>
        <v>1.41334052499101</v>
      </c>
      <c r="AX175" s="253">
        <f t="shared" si="618"/>
        <v>3.0507805153281917</v>
      </c>
      <c r="AY175" s="116">
        <f t="shared" si="618"/>
        <v>1.3073047858942057</v>
      </c>
      <c r="AZ175" s="116">
        <f t="shared" si="618"/>
        <v>1.2199600072714067</v>
      </c>
      <c r="BA175" s="116">
        <f t="shared" ref="BA175:CB175" si="619">BA173/BA47</f>
        <v>0.66983240223463458</v>
      </c>
      <c r="BB175" s="116">
        <f t="shared" si="619"/>
        <v>0.45524488647025851</v>
      </c>
      <c r="BC175" s="253">
        <f t="shared" si="619"/>
        <v>3.6768085301957898</v>
      </c>
      <c r="BD175" s="116">
        <f t="shared" si="619"/>
        <v>0.42123993257164244</v>
      </c>
      <c r="BE175" s="116">
        <f t="shared" si="619"/>
        <v>0.83648915187376804</v>
      </c>
      <c r="BF175" s="116">
        <f t="shared" si="619"/>
        <v>1.859820700896494</v>
      </c>
      <c r="BG175" s="116">
        <f t="shared" ca="1" si="619"/>
        <v>0.99345603271983662</v>
      </c>
      <c r="BH175" s="253">
        <f t="shared" ca="1" si="619"/>
        <v>4.053248874152521</v>
      </c>
      <c r="BI175" s="116">
        <f t="shared" si="619"/>
        <v>1.044312844598734</v>
      </c>
      <c r="BJ175" s="116">
        <f t="shared" si="619"/>
        <v>0.79791236800582599</v>
      </c>
      <c r="BK175" s="116">
        <f t="shared" si="619"/>
        <v>0.92731436837029901</v>
      </c>
      <c r="BL175" s="116">
        <f t="shared" si="619"/>
        <v>3.2235703988467086</v>
      </c>
      <c r="BM175" s="253">
        <f t="shared" si="619"/>
        <v>6.1841295329854145</v>
      </c>
      <c r="BN175" s="116">
        <f t="shared" si="619"/>
        <v>1.0324324324324305</v>
      </c>
      <c r="BO175" s="116">
        <f t="shared" si="619"/>
        <v>-0.3162723322066669</v>
      </c>
      <c r="BP175" s="116">
        <f>BP173/BP47</f>
        <v>1.1730465427147849</v>
      </c>
      <c r="BQ175" s="116">
        <f t="shared" si="619"/>
        <v>3.4534014453027666</v>
      </c>
      <c r="BR175" s="253">
        <f t="shared" si="619"/>
        <v>5.2756815968841195</v>
      </c>
      <c r="BS175" s="116">
        <f t="shared" si="619"/>
        <v>0.42838631094081692</v>
      </c>
      <c r="BT175" s="116">
        <f t="shared" si="619"/>
        <v>0.83994390747050418</v>
      </c>
      <c r="BU175" s="116">
        <f t="shared" si="619"/>
        <v>0.42479892761394056</v>
      </c>
      <c r="BV175" s="116">
        <f t="shared" si="619"/>
        <v>3.8146090256132279</v>
      </c>
      <c r="BW175" s="253">
        <f t="shared" si="619"/>
        <v>5.4167544783983121</v>
      </c>
      <c r="BX175" s="116">
        <f t="shared" si="619"/>
        <v>0.31697035626869757</v>
      </c>
      <c r="BY175" s="116">
        <f t="shared" si="619"/>
        <v>1.2343704138538305</v>
      </c>
      <c r="BZ175" s="116">
        <f>BZ173/BZ47</f>
        <v>1.0598065083553203</v>
      </c>
      <c r="CA175" s="116">
        <f>CA173/CA47</f>
        <v>4.0357404423612122</v>
      </c>
      <c r="CB175" s="253">
        <f t="shared" si="619"/>
        <v>6.5473896159930973</v>
      </c>
      <c r="CC175" s="116">
        <f t="shared" ref="CC175:CD175" si="620">CC173/CC47</f>
        <v>1.0290903493920269</v>
      </c>
      <c r="CD175" s="116">
        <f t="shared" si="620"/>
        <v>0.57102406795658311</v>
      </c>
      <c r="CE175" s="116">
        <f t="shared" ref="CE175" si="621">CE173/CE47</f>
        <v>2.2345718386222293</v>
      </c>
      <c r="CF175" s="116">
        <f t="shared" ref="CF175:CL175" si="622">CF173/CF47</f>
        <v>3.5144254278728604</v>
      </c>
      <c r="CG175" s="253">
        <f t="shared" si="622"/>
        <v>7.2668250197941413</v>
      </c>
      <c r="CH175" s="116">
        <f t="shared" ref="CH175:CI175" si="623">CH173/CH47</f>
        <v>1.5775904809122456</v>
      </c>
      <c r="CI175" s="116">
        <f t="shared" si="623"/>
        <v>1.744706284153005</v>
      </c>
      <c r="CJ175" s="116">
        <f t="shared" ref="CJ175" si="624">CJ173/CJ47</f>
        <v>3.1806159735514186</v>
      </c>
      <c r="CK175" s="116">
        <f t="shared" si="622"/>
        <v>2.251407459535538</v>
      </c>
      <c r="CL175" s="253">
        <f t="shared" si="622"/>
        <v>8.7135144399691491</v>
      </c>
      <c r="CM175" s="116">
        <f t="shared" ref="CM175:CV175" ca="1" si="625">CM173/CM47</f>
        <v>1.871482854974216</v>
      </c>
      <c r="CN175" s="116">
        <f t="shared" ca="1" si="625"/>
        <v>2.1076100263024431</v>
      </c>
      <c r="CO175" s="116">
        <f t="shared" ca="1" si="625"/>
        <v>2.5762114879459683</v>
      </c>
      <c r="CP175" s="116">
        <f t="shared" ca="1" si="625"/>
        <v>2.4270697039706204</v>
      </c>
      <c r="CQ175" s="253">
        <f t="shared" ca="1" si="625"/>
        <v>8.9815096714088352</v>
      </c>
      <c r="CR175" s="116">
        <f t="shared" ca="1" si="625"/>
        <v>3.3271018957416505</v>
      </c>
      <c r="CS175" s="116">
        <f t="shared" ca="1" si="625"/>
        <v>2.1614882040670964</v>
      </c>
      <c r="CT175" s="116">
        <f t="shared" ca="1" si="625"/>
        <v>2.5490302887234324</v>
      </c>
      <c r="CU175" s="116">
        <f t="shared" ca="1" si="625"/>
        <v>2.0153087721229914</v>
      </c>
      <c r="CV175" s="253">
        <f t="shared" ca="1" si="625"/>
        <v>10.052929160655172</v>
      </c>
      <c r="CW175" s="116">
        <f t="shared" ref="CW175:DF175" ca="1" si="626">CW173/CW47</f>
        <v>1.7649773255774408</v>
      </c>
      <c r="CX175" s="116">
        <f t="shared" ca="1" si="626"/>
        <v>1.9605026844105908</v>
      </c>
      <c r="CY175" s="116">
        <f t="shared" ca="1" si="626"/>
        <v>2.3349885865740525</v>
      </c>
      <c r="CZ175" s="116">
        <f t="shared" ca="1" si="626"/>
        <v>1.7621221842956414</v>
      </c>
      <c r="DA175" s="253">
        <f t="shared" ca="1" si="626"/>
        <v>7.8225907808577242</v>
      </c>
      <c r="DB175" s="116">
        <f t="shared" ca="1" si="626"/>
        <v>1.44939602825555</v>
      </c>
      <c r="DC175" s="116">
        <f t="shared" ca="1" si="626"/>
        <v>1.7419437333555621</v>
      </c>
      <c r="DD175" s="116">
        <f t="shared" ca="1" si="626"/>
        <v>2.1255542000545251</v>
      </c>
      <c r="DE175" s="116">
        <f t="shared" ca="1" si="626"/>
        <v>1.5665757696710501</v>
      </c>
      <c r="DF175" s="253">
        <f t="shared" ca="1" si="626"/>
        <v>6.883469731336687</v>
      </c>
      <c r="DG175"/>
      <c r="DH175"/>
      <c r="DI175"/>
      <c r="DJ175"/>
      <c r="DK175"/>
      <c r="DL175"/>
      <c r="DM175"/>
      <c r="DN175"/>
    </row>
    <row r="176" spans="1:118" s="694" customFormat="1" ht="14.25" thickBot="1" x14ac:dyDescent="0.3">
      <c r="B176" s="751" t="s">
        <v>143</v>
      </c>
      <c r="C176" s="703"/>
      <c r="D176" s="705"/>
      <c r="E176" s="705"/>
      <c r="F176" s="704"/>
      <c r="G176" s="704"/>
      <c r="H176" s="704"/>
      <c r="I176" s="704"/>
      <c r="J176" s="705"/>
      <c r="K176" s="704"/>
      <c r="L176" s="706"/>
      <c r="M176" s="704"/>
      <c r="N176" s="704"/>
      <c r="O176" s="705"/>
      <c r="P176" s="704"/>
      <c r="Q176" s="704"/>
      <c r="R176" s="704"/>
      <c r="S176" s="704"/>
      <c r="T176" s="707"/>
      <c r="U176" s="708">
        <f>U175/U183*4</f>
        <v>6.518491477940129E-2</v>
      </c>
      <c r="V176" s="708">
        <f>V175/V183*4</f>
        <v>3.0246704529136807E-2</v>
      </c>
      <c r="W176" s="708">
        <f>W175/W183*4</f>
        <v>0.1044185578885693</v>
      </c>
      <c r="X176" s="708">
        <f ca="1">X175/X183*4</f>
        <v>0.13043098283748966</v>
      </c>
      <c r="Y176" s="709">
        <f ca="1">Y175/Y183</f>
        <v>8.0659802450820162E-2</v>
      </c>
      <c r="Z176" s="708">
        <f>Z175/Z183*4</f>
        <v>9.0023827766752038E-2</v>
      </c>
      <c r="AA176" s="708">
        <f>AA175/AA183*4</f>
        <v>9.5073396840836072E-2</v>
      </c>
      <c r="AB176" s="708">
        <f>AB175/AB183*4</f>
        <v>9.6417078466892334E-2</v>
      </c>
      <c r="AC176" s="708">
        <f>AC175/AC183*4</f>
        <v>8.3048227880939227E-2</v>
      </c>
      <c r="AD176" s="709">
        <f>AD175/AD183</f>
        <v>8.9922348397658891E-2</v>
      </c>
      <c r="AE176" s="708">
        <f>AE175/AE183*4</f>
        <v>1.942548915358842E-2</v>
      </c>
      <c r="AF176" s="708">
        <f>AF175/AF183*4</f>
        <v>5.2066956238264239E-2</v>
      </c>
      <c r="AG176" s="708">
        <f>AG175/AG183*4</f>
        <v>5.2118014602524666E-2</v>
      </c>
      <c r="AH176" s="708">
        <f>AH175/AH183*4</f>
        <v>0.11721230666544503</v>
      </c>
      <c r="AI176" s="709">
        <f>AI175/AI183</f>
        <v>5.3470987673773174E-2</v>
      </c>
      <c r="AJ176" s="708">
        <f>AJ175/AJ183*4</f>
        <v>5.7449258490189628E-2</v>
      </c>
      <c r="AK176" s="708">
        <f>AK175/AK183*4</f>
        <v>2.3255405138521514E-2</v>
      </c>
      <c r="AL176" s="708">
        <f>AL175/AL183*4</f>
        <v>6.7621542530055714E-2</v>
      </c>
      <c r="AM176" s="708">
        <f>AM175/AM183*4</f>
        <v>7.2832643653693088E-2</v>
      </c>
      <c r="AN176" s="709">
        <f>AN175/AN183</f>
        <v>5.6162942599085434E-2</v>
      </c>
      <c r="AO176" s="708">
        <f>AO175/AO183*4</f>
        <v>5.8044055844212364E-2</v>
      </c>
      <c r="AP176" s="708">
        <f>AP175/AP183*4</f>
        <v>4.9745774893864274E-2</v>
      </c>
      <c r="AQ176" s="708">
        <f>AQ175/AQ183*4</f>
        <v>4.8459999205647579E-2</v>
      </c>
      <c r="AR176" s="708">
        <f>AR175/AR183*4</f>
        <v>9.5352521430133785E-2</v>
      </c>
      <c r="AS176" s="709">
        <f>AS175/AS183</f>
        <v>6.1617617230404362E-2</v>
      </c>
      <c r="AT176" s="708">
        <f>AT175/AT183*4</f>
        <v>8.4029395124892922E-2</v>
      </c>
      <c r="AU176" s="708">
        <f>AU175/AU183*4</f>
        <v>5.4264865752132782E-2</v>
      </c>
      <c r="AV176" s="708">
        <f>AV175/AV183*4</f>
        <v>7.088210520561268E-2</v>
      </c>
      <c r="AW176" s="708">
        <f>AW175/AW183*4</f>
        <v>0.13451453346557385</v>
      </c>
      <c r="AX176" s="709">
        <f>AX175/AX183</f>
        <v>9.0829521000596838E-2</v>
      </c>
      <c r="AY176" s="708">
        <f>AY175/AY183*4</f>
        <v>0.11333741299707245</v>
      </c>
      <c r="AZ176" s="708">
        <f>AZ175/AZ183*4</f>
        <v>9.5772524023906361E-2</v>
      </c>
      <c r="BA176" s="708">
        <f>BA175/BA183*4</f>
        <v>5.8388498814049998E-2</v>
      </c>
      <c r="BB176" s="708">
        <f>BB175/BB183*4</f>
        <v>3.5212836023097854E-2</v>
      </c>
      <c r="BC176" s="709">
        <f>BC175/BC183</f>
        <v>7.5523766584727051E-2</v>
      </c>
      <c r="BD176" s="708" t="str">
        <f ca="1">IF(ISERROR(BD175/BD183*4), "", BD175/BD183*4)</f>
        <v/>
      </c>
      <c r="BE176" s="708" t="str">
        <f t="shared" ref="BE176:CG176" ca="1" si="627">IF(ISERROR(BE175/BE183*4), "", BE175/BE183*4)</f>
        <v/>
      </c>
      <c r="BF176" s="708" t="str">
        <f t="shared" ca="1" si="627"/>
        <v/>
      </c>
      <c r="BG176" s="708" t="str">
        <f t="shared" ca="1" si="627"/>
        <v/>
      </c>
      <c r="BH176" s="709" t="str">
        <f t="shared" ca="1" si="627"/>
        <v/>
      </c>
      <c r="BI176" s="708" t="str">
        <f t="shared" ca="1" si="627"/>
        <v/>
      </c>
      <c r="BJ176" s="708" t="str">
        <f t="shared" ca="1" si="627"/>
        <v/>
      </c>
      <c r="BK176" s="708" t="str">
        <f t="shared" ca="1" si="627"/>
        <v/>
      </c>
      <c r="BL176" s="708" t="str">
        <f t="shared" ca="1" si="627"/>
        <v/>
      </c>
      <c r="BM176" s="709" t="str">
        <f t="shared" ca="1" si="627"/>
        <v/>
      </c>
      <c r="BN176" s="708">
        <f t="shared" si="627"/>
        <v>6.7150076906174347E-2</v>
      </c>
      <c r="BO176" s="708">
        <f t="shared" si="627"/>
        <v>-2.0570558192303537E-2</v>
      </c>
      <c r="BP176" s="708">
        <f t="shared" si="627"/>
        <v>7.6295710095270558E-2</v>
      </c>
      <c r="BQ176" s="708">
        <f t="shared" si="627"/>
        <v>0.2246114761172531</v>
      </c>
      <c r="BR176" s="709">
        <f t="shared" si="627"/>
        <v>0.34313376239896715</v>
      </c>
      <c r="BS176" s="708" t="str">
        <f t="shared" ca="1" si="627"/>
        <v/>
      </c>
      <c r="BT176" s="708" t="str">
        <f t="shared" ca="1" si="627"/>
        <v/>
      </c>
      <c r="BU176" s="708" t="str">
        <f t="shared" ca="1" si="627"/>
        <v/>
      </c>
      <c r="BV176" s="708" t="str">
        <f t="shared" ca="1" si="627"/>
        <v/>
      </c>
      <c r="BW176" s="709" t="str">
        <f t="shared" ca="1" si="627"/>
        <v/>
      </c>
      <c r="BX176" s="708" t="str">
        <f t="shared" ca="1" si="627"/>
        <v/>
      </c>
      <c r="BY176" s="708" t="str">
        <f t="shared" ca="1" si="627"/>
        <v/>
      </c>
      <c r="BZ176" s="708" t="str">
        <f ca="1">IF(ISERROR(BZ175/BZ183*4), "", BZ175/BZ183*4)</f>
        <v/>
      </c>
      <c r="CA176" s="708" t="str">
        <f ca="1">IF(ISERROR(CA175/CA183*4), "", CA175/CA183*4)</f>
        <v/>
      </c>
      <c r="CB176" s="709" t="str">
        <f t="shared" ca="1" si="627"/>
        <v/>
      </c>
      <c r="CC176" s="708" t="str">
        <f t="shared" ref="CC176:CD176" ca="1" si="628">IF(ISERROR(CC175/CC183*4), "", CC175/CC183*4)</f>
        <v/>
      </c>
      <c r="CD176" s="708" t="str">
        <f t="shared" ca="1" si="628"/>
        <v/>
      </c>
      <c r="CE176" s="708" t="str">
        <f t="shared" ref="CE176" ca="1" si="629">IF(ISERROR(CE175/CE183*4), "", CE175/CE183*4)</f>
        <v/>
      </c>
      <c r="CF176" s="708" t="str">
        <f t="shared" ca="1" si="627"/>
        <v/>
      </c>
      <c r="CG176" s="709" t="str">
        <f t="shared" ca="1" si="627"/>
        <v/>
      </c>
      <c r="CH176" s="708" t="str">
        <f t="shared" ref="CH176:CI176" ca="1" si="630">IF(ISERROR(CH175/CH183*4), "", CH175/CH183*4)</f>
        <v/>
      </c>
      <c r="CI176" s="708" t="str">
        <f t="shared" ca="1" si="630"/>
        <v/>
      </c>
      <c r="CJ176" s="708" t="str">
        <f t="shared" ref="CJ176" ca="1" si="631">IF(ISERROR(CJ175/CJ183*4), "", CJ175/CJ183*4)</f>
        <v/>
      </c>
      <c r="CK176" s="708" t="str">
        <f t="shared" ref="CK176:CQ176" ca="1" si="632">IF(ISERROR(CK175/CK183*4), "", CK175/CK183*4)</f>
        <v/>
      </c>
      <c r="CL176" s="709" t="str">
        <f t="shared" ca="1" si="632"/>
        <v/>
      </c>
      <c r="CM176" s="708">
        <f t="shared" ca="1" si="632"/>
        <v>0.10215517767326507</v>
      </c>
      <c r="CN176" s="708">
        <f t="shared" ca="1" si="632"/>
        <v>0.11462189130128855</v>
      </c>
      <c r="CO176" s="708">
        <f t="shared" ca="1" si="632"/>
        <v>0.13782059585106157</v>
      </c>
      <c r="CP176" s="708">
        <f t="shared" ca="1" si="632"/>
        <v>0.13538249638659158</v>
      </c>
      <c r="CQ176" s="709">
        <f t="shared" ca="1" si="632"/>
        <v>0.51998898083131184</v>
      </c>
      <c r="CR176" s="708" t="str">
        <f t="shared" ref="CR176:CV176" ca="1" si="633">IF(ISERROR(CR175/CR183*4), "", CR175/CR183*4)</f>
        <v/>
      </c>
      <c r="CS176" s="708" t="str">
        <f t="shared" ca="1" si="633"/>
        <v/>
      </c>
      <c r="CT176" s="708" t="str">
        <f t="shared" ca="1" si="633"/>
        <v/>
      </c>
      <c r="CU176" s="708" t="str">
        <f t="shared" ca="1" si="633"/>
        <v/>
      </c>
      <c r="CV176" s="709">
        <f t="shared" ca="1" si="633"/>
        <v>0.58201934639775199</v>
      </c>
      <c r="CW176" s="708" t="str">
        <f t="shared" ref="CW176:DF176" ca="1" si="634">IF(ISERROR(CW175/CW183*4), "", CW175/CW183*4)</f>
        <v/>
      </c>
      <c r="CX176" s="708" t="str">
        <f t="shared" ca="1" si="634"/>
        <v/>
      </c>
      <c r="CY176" s="708" t="str">
        <f t="shared" ca="1" si="634"/>
        <v/>
      </c>
      <c r="CZ176" s="708" t="str">
        <f t="shared" ca="1" si="634"/>
        <v/>
      </c>
      <c r="DA176" s="709">
        <f t="shared" ca="1" si="634"/>
        <v>0.45289279379694447</v>
      </c>
      <c r="DB176" s="708" t="str">
        <f t="shared" ca="1" si="634"/>
        <v/>
      </c>
      <c r="DC176" s="708" t="str">
        <f t="shared" ca="1" si="634"/>
        <v/>
      </c>
      <c r="DD176" s="708" t="str">
        <f t="shared" ca="1" si="634"/>
        <v/>
      </c>
      <c r="DE176" s="708" t="str">
        <f t="shared" ca="1" si="634"/>
        <v/>
      </c>
      <c r="DF176" s="709">
        <f t="shared" ca="1" si="634"/>
        <v>0.39852191236570772</v>
      </c>
      <c r="DG176"/>
      <c r="DH176"/>
      <c r="DI176"/>
      <c r="DJ176"/>
      <c r="DK176"/>
      <c r="DL176"/>
      <c r="DM176"/>
      <c r="DN176"/>
    </row>
    <row r="177" spans="1:118" s="150" customFormat="1" ht="13.5" x14ac:dyDescent="0.25">
      <c r="B177" s="752"/>
      <c r="C177" s="151"/>
      <c r="D177" s="151"/>
      <c r="E177" s="151"/>
      <c r="F177" s="151"/>
      <c r="G177" s="151"/>
      <c r="H177" s="151"/>
      <c r="I177" s="151"/>
      <c r="J177" s="151"/>
      <c r="K177" s="151"/>
      <c r="L177" s="154"/>
      <c r="M177" s="151"/>
      <c r="N177" s="151"/>
      <c r="O177" s="151"/>
      <c r="P177" s="151"/>
      <c r="Q177" s="151"/>
      <c r="R177" s="151"/>
      <c r="S177" s="151"/>
      <c r="T177" s="151"/>
      <c r="U177" s="151"/>
      <c r="V177" s="151"/>
      <c r="W177" s="151"/>
      <c r="X177" s="151"/>
      <c r="Y177" s="151"/>
      <c r="Z177" s="151"/>
      <c r="AA177" s="151"/>
      <c r="AB177" s="151"/>
      <c r="AC177" s="151"/>
      <c r="AD177" s="151"/>
      <c r="AE177" s="151"/>
      <c r="AF177" s="151"/>
      <c r="AG177" s="151"/>
      <c r="AH177" s="151"/>
      <c r="AI177" s="151"/>
      <c r="AJ177" s="151"/>
      <c r="AK177" s="151"/>
      <c r="AL177" s="151"/>
      <c r="AM177" s="151"/>
      <c r="AN177" s="151"/>
      <c r="AO177" s="154"/>
      <c r="AP177" s="154"/>
      <c r="AQ177" s="151"/>
      <c r="AR177" s="151"/>
      <c r="AS177" s="151"/>
      <c r="AT177" s="154"/>
      <c r="AU177" s="154"/>
      <c r="AV177" s="151"/>
      <c r="AW177" s="151"/>
      <c r="AX177" s="151"/>
      <c r="AY177" s="151"/>
      <c r="AZ177" s="151"/>
      <c r="BA177" s="151"/>
      <c r="BB177" s="151"/>
      <c r="BC177" s="151"/>
      <c r="BD177" s="151"/>
      <c r="BE177" s="151"/>
      <c r="BF177" s="151"/>
      <c r="BG177" s="151"/>
      <c r="BH177" s="151"/>
      <c r="BI177" s="151"/>
      <c r="BJ177" s="151"/>
      <c r="BK177" s="151"/>
      <c r="BL177" s="151"/>
      <c r="BM177" s="151"/>
      <c r="BN177" s="151"/>
      <c r="BO177" s="151"/>
      <c r="BP177" s="151"/>
      <c r="BQ177" s="151"/>
      <c r="BR177" s="151"/>
      <c r="BS177" s="151"/>
      <c r="BT177" s="151"/>
      <c r="BU177" s="151"/>
      <c r="BV177" s="151"/>
      <c r="BW177" s="151"/>
      <c r="BX177" s="151"/>
      <c r="BY177" s="151"/>
      <c r="BZ177" s="151"/>
      <c r="CA177" s="151"/>
      <c r="CB177" s="151"/>
      <c r="CC177" s="151"/>
      <c r="CD177" s="151"/>
      <c r="CE177" s="151"/>
      <c r="CF177" s="151"/>
      <c r="CG177" s="151"/>
      <c r="CH177" s="151"/>
      <c r="CI177" s="151"/>
      <c r="CJ177" s="151"/>
      <c r="CK177" s="151"/>
      <c r="CL177" s="151"/>
      <c r="CM177" s="151"/>
      <c r="CN177" s="151"/>
      <c r="CO177" s="151"/>
      <c r="CP177" s="151"/>
      <c r="CQ177" s="151"/>
      <c r="CR177" s="151"/>
      <c r="CS177" s="151"/>
      <c r="CT177" s="151"/>
      <c r="CU177" s="151"/>
      <c r="CV177" s="151"/>
      <c r="CW177" s="151"/>
      <c r="CX177" s="151"/>
      <c r="CY177" s="151"/>
      <c r="CZ177" s="151"/>
      <c r="DA177" s="151"/>
      <c r="DB177" s="151"/>
      <c r="DC177" s="151"/>
      <c r="DD177" s="151"/>
      <c r="DE177" s="151"/>
      <c r="DF177" s="151"/>
      <c r="DG177"/>
      <c r="DH177"/>
      <c r="DI177"/>
      <c r="DJ177"/>
      <c r="DK177"/>
      <c r="DL177"/>
      <c r="DM177"/>
      <c r="DN177"/>
    </row>
    <row r="178" spans="1:118" s="150" customFormat="1" x14ac:dyDescent="0.2">
      <c r="B178" s="371" t="s">
        <v>144</v>
      </c>
      <c r="C178" s="10"/>
      <c r="D178" s="143"/>
      <c r="E178" s="143">
        <f t="shared" ref="E178:AJ178" si="635">E143+E145</f>
        <v>174.52299999999966</v>
      </c>
      <c r="F178" s="143">
        <f t="shared" si="635"/>
        <v>39.620999999999889</v>
      </c>
      <c r="G178" s="143">
        <f t="shared" si="635"/>
        <v>36.959999999999653</v>
      </c>
      <c r="H178" s="143">
        <f t="shared" si="635"/>
        <v>55.856999999999985</v>
      </c>
      <c r="I178" s="143">
        <f t="shared" si="635"/>
        <v>92.501000000000005</v>
      </c>
      <c r="J178" s="143">
        <f t="shared" si="635"/>
        <v>224.93899999999951</v>
      </c>
      <c r="K178" s="143">
        <f t="shared" si="635"/>
        <v>15.536999999999701</v>
      </c>
      <c r="L178" s="143">
        <f t="shared" si="635"/>
        <v>156.97599999999937</v>
      </c>
      <c r="M178" s="143">
        <f t="shared" si="635"/>
        <v>81.978600000000441</v>
      </c>
      <c r="N178" s="143">
        <f t="shared" si="635"/>
        <v>110.16540000000154</v>
      </c>
      <c r="O178" s="143">
        <f t="shared" si="635"/>
        <v>364.65700000000106</v>
      </c>
      <c r="P178" s="143">
        <f t="shared" si="635"/>
        <v>85.241000000001179</v>
      </c>
      <c r="Q178" s="143">
        <f t="shared" si="635"/>
        <v>13.795000000000602</v>
      </c>
      <c r="R178" s="143">
        <f t="shared" si="635"/>
        <v>150.34800000000007</v>
      </c>
      <c r="S178" s="143">
        <f t="shared" si="635"/>
        <v>161.88999999999788</v>
      </c>
      <c r="T178" s="143">
        <f t="shared" si="635"/>
        <v>411.27399999999966</v>
      </c>
      <c r="U178" s="143">
        <f t="shared" si="635"/>
        <v>90.046000000000248</v>
      </c>
      <c r="V178" s="143">
        <f t="shared" si="635"/>
        <v>45.910999999999959</v>
      </c>
      <c r="W178" s="143">
        <f t="shared" si="635"/>
        <v>133.93199999999979</v>
      </c>
      <c r="X178" s="143">
        <f t="shared" ca="1" si="635"/>
        <v>174.61799999999909</v>
      </c>
      <c r="Y178" s="143">
        <f t="shared" ca="1" si="635"/>
        <v>444.5069999999991</v>
      </c>
      <c r="Z178" s="143">
        <f t="shared" si="635"/>
        <v>132.21199999999999</v>
      </c>
      <c r="AA178" s="143">
        <f t="shared" si="635"/>
        <v>166.25999999999939</v>
      </c>
      <c r="AB178" s="143">
        <f t="shared" si="635"/>
        <v>198.38499999999985</v>
      </c>
      <c r="AC178" s="143">
        <f t="shared" si="635"/>
        <v>236.24300000000068</v>
      </c>
      <c r="AD178" s="143">
        <f t="shared" si="635"/>
        <v>733.0999999999998</v>
      </c>
      <c r="AE178" s="143">
        <f t="shared" si="635"/>
        <v>32.300000000000381</v>
      </c>
      <c r="AF178" s="143">
        <f t="shared" si="635"/>
        <v>140.80000000000038</v>
      </c>
      <c r="AG178" s="143">
        <f t="shared" si="635"/>
        <v>141.30000000000018</v>
      </c>
      <c r="AH178" s="143">
        <f t="shared" si="635"/>
        <v>277.59999999999894</v>
      </c>
      <c r="AI178" s="143">
        <f t="shared" si="635"/>
        <v>591.99999999999989</v>
      </c>
      <c r="AJ178" s="143">
        <f t="shared" si="635"/>
        <v>147.29999999999927</v>
      </c>
      <c r="AK178" s="143">
        <f t="shared" ref="AK178:BM178" si="636">AK143+AK145</f>
        <v>74.000000000000384</v>
      </c>
      <c r="AL178" s="143">
        <f t="shared" si="636"/>
        <v>229.39999999999947</v>
      </c>
      <c r="AM178" s="143">
        <f t="shared" si="636"/>
        <v>301.49999999999966</v>
      </c>
      <c r="AN178" s="143">
        <f t="shared" si="636"/>
        <v>752.19999999999879</v>
      </c>
      <c r="AO178" s="143">
        <f t="shared" si="636"/>
        <v>241.30000000000038</v>
      </c>
      <c r="AP178" s="143">
        <f t="shared" si="636"/>
        <v>215.10000000000036</v>
      </c>
      <c r="AQ178" s="143">
        <f t="shared" si="636"/>
        <v>212.59999999999974</v>
      </c>
      <c r="AR178" s="143">
        <f t="shared" si="636"/>
        <v>348.19999999999925</v>
      </c>
      <c r="AS178" s="143">
        <f t="shared" si="636"/>
        <v>1017.1999999999998</v>
      </c>
      <c r="AT178" s="143">
        <f t="shared" si="636"/>
        <v>272.70000000000033</v>
      </c>
      <c r="AU178" s="143">
        <f t="shared" si="636"/>
        <v>213.29999999999998</v>
      </c>
      <c r="AV178" s="143">
        <f t="shared" si="636"/>
        <v>349.99999999999937</v>
      </c>
      <c r="AW178" s="143">
        <f t="shared" si="636"/>
        <v>786.09999999999991</v>
      </c>
      <c r="AX178" s="143">
        <f t="shared" si="636"/>
        <v>1622.0999999999997</v>
      </c>
      <c r="AY178" s="143">
        <f t="shared" si="636"/>
        <v>726.59999999999945</v>
      </c>
      <c r="AZ178" s="143">
        <f t="shared" si="636"/>
        <v>671.10000000000082</v>
      </c>
      <c r="BA178" s="143">
        <f t="shared" si="636"/>
        <v>359.69999999999879</v>
      </c>
      <c r="BB178" s="143">
        <f t="shared" si="636"/>
        <v>242.60000000000076</v>
      </c>
      <c r="BC178" s="143">
        <f t="shared" si="636"/>
        <v>2000</v>
      </c>
      <c r="BD178" s="143">
        <f t="shared" si="636"/>
        <v>224.89999999999989</v>
      </c>
      <c r="BE178" s="143">
        <f t="shared" si="636"/>
        <v>424.10000000000042</v>
      </c>
      <c r="BF178" s="143">
        <f t="shared" si="636"/>
        <v>912.79999999999927</v>
      </c>
      <c r="BG178" s="143">
        <f t="shared" ca="1" si="636"/>
        <v>485.80000000000013</v>
      </c>
      <c r="BH178" s="143">
        <f t="shared" ca="1" si="636"/>
        <v>2047.6</v>
      </c>
      <c r="BI178" s="143">
        <f t="shared" si="636"/>
        <v>511.40000000000003</v>
      </c>
      <c r="BJ178" s="143">
        <f t="shared" si="636"/>
        <v>657.4</v>
      </c>
      <c r="BK178" s="143">
        <f t="shared" si="636"/>
        <v>769.30000000000007</v>
      </c>
      <c r="BL178" s="143">
        <f t="shared" si="636"/>
        <v>2683.3</v>
      </c>
      <c r="BM178" s="143">
        <f t="shared" si="636"/>
        <v>4621.3999999999996</v>
      </c>
      <c r="BN178" s="143">
        <f t="shared" ref="BN178:BW178" si="637">BN143+BN145</f>
        <v>859.49999999999841</v>
      </c>
      <c r="BO178" s="143">
        <f t="shared" si="637"/>
        <v>-262.00000000000284</v>
      </c>
      <c r="BP178" s="143">
        <f t="shared" si="637"/>
        <v>965.29999999999643</v>
      </c>
      <c r="BQ178" s="143">
        <f t="shared" si="637"/>
        <v>2771.7000000000007</v>
      </c>
      <c r="BR178" s="143">
        <f t="shared" si="637"/>
        <v>4334.4999999999927</v>
      </c>
      <c r="BS178" s="143">
        <f t="shared" si="637"/>
        <v>336.8829949238584</v>
      </c>
      <c r="BT178" s="143">
        <f t="shared" si="637"/>
        <v>643.81700507614141</v>
      </c>
      <c r="BU178" s="143">
        <f t="shared" si="637"/>
        <v>316.89999999999964</v>
      </c>
      <c r="BV178" s="143">
        <f t="shared" si="637"/>
        <v>2814.8000000000006</v>
      </c>
      <c r="BW178" s="143">
        <f t="shared" si="637"/>
        <v>4112.3999999999987</v>
      </c>
      <c r="BX178" s="143">
        <f t="shared" ref="BX178:CG178" si="638">BX143+BX145</f>
        <v>233.10000000000019</v>
      </c>
      <c r="BY178" s="143">
        <f t="shared" si="638"/>
        <v>841.10000000000014</v>
      </c>
      <c r="BZ178" s="143">
        <f t="shared" si="638"/>
        <v>722.99999999999955</v>
      </c>
      <c r="CA178" s="143">
        <f>CA143+CA145</f>
        <v>2755.2</v>
      </c>
      <c r="CB178" s="143">
        <f t="shared" si="638"/>
        <v>4552.4000000000005</v>
      </c>
      <c r="CC178" s="143">
        <f t="shared" ref="CC178:CD178" si="639">CC143+CC145</f>
        <v>668.59999999999991</v>
      </c>
      <c r="CD178" s="143">
        <f t="shared" si="639"/>
        <v>362.99999999999989</v>
      </c>
      <c r="CE178" s="143">
        <f t="shared" ref="CE178" si="640">CE143+CE145</f>
        <v>1401.3000000000002</v>
      </c>
      <c r="CF178" s="143">
        <f t="shared" si="638"/>
        <v>2156.1</v>
      </c>
      <c r="CG178" s="143">
        <f t="shared" si="638"/>
        <v>4589</v>
      </c>
      <c r="CH178" s="143">
        <f t="shared" ref="CH178:CI178" si="641">CH143+CH145</f>
        <v>954.59999999999991</v>
      </c>
      <c r="CI178" s="143">
        <f t="shared" si="641"/>
        <v>1021.6999999999998</v>
      </c>
      <c r="CJ178" s="143">
        <f t="shared" ref="CJ178:CQ178" si="642">CJ143+CJ145</f>
        <v>1827.9000000000003</v>
      </c>
      <c r="CK178" s="143">
        <f t="shared" si="642"/>
        <v>1279.6999999999998</v>
      </c>
      <c r="CL178" s="143">
        <f t="shared" si="642"/>
        <v>5083.9000000000005</v>
      </c>
      <c r="CM178" s="143">
        <f t="shared" ca="1" si="642"/>
        <v>1060.0762991483284</v>
      </c>
      <c r="CN178" s="143">
        <f t="shared" ca="1" si="642"/>
        <v>1191.0737331106575</v>
      </c>
      <c r="CO178" s="143">
        <f t="shared" ca="1" si="642"/>
        <v>1455.8944946820257</v>
      </c>
      <c r="CP178" s="143">
        <f t="shared" ca="1" si="642"/>
        <v>1371.6099927175196</v>
      </c>
      <c r="CQ178" s="143">
        <f t="shared" ca="1" si="642"/>
        <v>5078.6545196585303</v>
      </c>
      <c r="CR178" s="143">
        <f t="shared" ref="CR178:CV178" ca="1" si="643">CR143+CR145</f>
        <v>1880.2452189662747</v>
      </c>
      <c r="CS178" s="143">
        <f t="shared" ca="1" si="643"/>
        <v>1221.5219097289521</v>
      </c>
      <c r="CT178" s="143">
        <f t="shared" ca="1" si="643"/>
        <v>1440.5335825472471</v>
      </c>
      <c r="CU178" s="143">
        <f t="shared" ca="1" si="643"/>
        <v>1138.9115218788254</v>
      </c>
      <c r="CV178" s="143">
        <f t="shared" ca="1" si="643"/>
        <v>5681.2122331212995</v>
      </c>
      <c r="CW178" s="143">
        <f t="shared" ref="CW178:DF178" ca="1" si="644">CW143+CW145</f>
        <v>997.44170211568235</v>
      </c>
      <c r="CX178" s="143">
        <f t="shared" ca="1" si="644"/>
        <v>1107.938955477003</v>
      </c>
      <c r="CY178" s="143">
        <f t="shared" ca="1" si="644"/>
        <v>1319.5721873940445</v>
      </c>
      <c r="CZ178" s="143">
        <f t="shared" ca="1" si="644"/>
        <v>995.82817601615182</v>
      </c>
      <c r="DA178" s="143">
        <f t="shared" ca="1" si="644"/>
        <v>4420.7810210028811</v>
      </c>
      <c r="DB178" s="143">
        <f t="shared" ca="1" si="644"/>
        <v>819.09723173919258</v>
      </c>
      <c r="DC178" s="143">
        <f t="shared" ca="1" si="644"/>
        <v>984.4247272805452</v>
      </c>
      <c r="DD178" s="143">
        <f t="shared" ca="1" si="644"/>
        <v>1201.2145246953203</v>
      </c>
      <c r="DE178" s="143">
        <f t="shared" ca="1" si="644"/>
        <v>885.31902339462522</v>
      </c>
      <c r="DF178" s="143">
        <f t="shared" ca="1" si="644"/>
        <v>3890.0555071096833</v>
      </c>
      <c r="DG178"/>
      <c r="DH178"/>
      <c r="DI178"/>
      <c r="DJ178"/>
      <c r="DK178"/>
      <c r="DL178"/>
      <c r="DM178"/>
      <c r="DN178"/>
    </row>
    <row r="179" spans="1:118" s="150" customFormat="1" x14ac:dyDescent="0.2">
      <c r="A179" s="1"/>
      <c r="B179" s="371"/>
      <c r="C179" s="10"/>
      <c r="D179" s="77"/>
      <c r="E179" s="77"/>
      <c r="F179" s="77"/>
      <c r="G179" s="77"/>
      <c r="H179" s="77"/>
      <c r="I179" s="77"/>
      <c r="J179" s="77"/>
      <c r="K179" s="77"/>
      <c r="L179" s="77"/>
      <c r="M179" s="77"/>
      <c r="N179" s="77"/>
      <c r="O179" s="77"/>
      <c r="P179" s="77"/>
      <c r="Q179" s="77"/>
      <c r="R179" s="77"/>
      <c r="S179" s="77"/>
      <c r="T179" s="77"/>
      <c r="U179" s="43"/>
      <c r="V179" s="43"/>
      <c r="W179" s="43"/>
      <c r="X179" s="1"/>
      <c r="Y179" s="1"/>
      <c r="Z179" s="1"/>
      <c r="AA179" s="1"/>
      <c r="AB179" s="1"/>
      <c r="AC179" s="1"/>
      <c r="AD179" s="1"/>
      <c r="AE179" s="1"/>
      <c r="AF179" s="1"/>
      <c r="AG179" s="1"/>
      <c r="AH179" s="1"/>
      <c r="AI179" s="1"/>
      <c r="AJ179" s="1"/>
      <c r="AK179" s="1"/>
      <c r="AL179" s="1"/>
      <c r="AM179" s="1"/>
      <c r="AN179" s="1"/>
      <c r="AO179" s="43"/>
      <c r="AP179" s="43"/>
      <c r="AQ179" s="1"/>
      <c r="AR179" s="1"/>
      <c r="AS179" s="1"/>
      <c r="AT179" s="43"/>
      <c r="AU179" s="43"/>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15">
        <f>CB178/CB163</f>
        <v>0.64601455959358023</v>
      </c>
      <c r="CC179" s="115">
        <f>CC178/CC163</f>
        <v>0.457945205479452</v>
      </c>
      <c r="CD179" s="115">
        <f t="shared" ref="CD179:CG179" si="645">CD178/CD163</f>
        <v>0.2018797619709693</v>
      </c>
      <c r="CE179" s="115">
        <f t="shared" si="645"/>
        <v>0.71931625686566414</v>
      </c>
      <c r="CF179" s="115">
        <f t="shared" si="645"/>
        <v>1.0496056859117906</v>
      </c>
      <c r="CG179" s="115">
        <f t="shared" si="645"/>
        <v>0.63205883973334809</v>
      </c>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c r="DH179"/>
      <c r="DI179"/>
      <c r="DJ179"/>
      <c r="DK179"/>
      <c r="DL179"/>
      <c r="DM179"/>
      <c r="DN179"/>
    </row>
    <row r="180" spans="1:118" s="150" customFormat="1" ht="11.25" hidden="1" customHeight="1" x14ac:dyDescent="0.2">
      <c r="A180" s="1"/>
      <c r="B180" s="371" t="s">
        <v>444</v>
      </c>
      <c r="C180" s="10"/>
      <c r="D180" s="77"/>
      <c r="E180" s="77">
        <v>611.13599999999997</v>
      </c>
      <c r="F180" s="77">
        <v>637.072</v>
      </c>
      <c r="G180" s="77">
        <v>641.024</v>
      </c>
      <c r="H180" s="77">
        <v>644.89599999999996</v>
      </c>
      <c r="I180" s="77">
        <v>633.48</v>
      </c>
      <c r="J180" s="77">
        <v>638.61599999999999</v>
      </c>
      <c r="K180" s="77">
        <v>636.6</v>
      </c>
      <c r="L180" s="77">
        <v>642.21600000000001</v>
      </c>
      <c r="M180" s="77">
        <v>635.59199999999998</v>
      </c>
      <c r="N180" s="77">
        <v>634.04</v>
      </c>
      <c r="O180" s="77">
        <v>637.33600000000001</v>
      </c>
      <c r="P180" s="77">
        <v>632.6</v>
      </c>
      <c r="Q180" s="77">
        <v>640.16800000000001</v>
      </c>
      <c r="R180" s="77">
        <v>640.18399999999997</v>
      </c>
      <c r="S180" s="77">
        <v>628.10400000000004</v>
      </c>
      <c r="T180" s="77">
        <v>631.42399999999998</v>
      </c>
      <c r="U180" s="43">
        <v>628.56799999999998</v>
      </c>
      <c r="V180" s="43">
        <v>628.41600000000005</v>
      </c>
      <c r="W180" s="43">
        <v>617.41600000000005</v>
      </c>
      <c r="X180" s="1">
        <v>607.52800000000002</v>
      </c>
      <c r="Y180" s="1">
        <v>620</v>
      </c>
      <c r="Z180" s="1">
        <v>597.20000000000005</v>
      </c>
      <c r="AA180" s="1">
        <v>602</v>
      </c>
      <c r="AB180" s="1">
        <v>595.6</v>
      </c>
      <c r="AC180" s="1">
        <v>593.6</v>
      </c>
      <c r="AD180" s="1">
        <v>598</v>
      </c>
      <c r="AE180" s="1">
        <v>298.2</v>
      </c>
      <c r="AF180" s="1">
        <v>573.6</v>
      </c>
      <c r="AG180" s="1">
        <v>552.79999999999995</v>
      </c>
      <c r="AH180" s="1">
        <v>549.6</v>
      </c>
      <c r="AI180" s="1">
        <v>568</v>
      </c>
      <c r="AJ180" s="1">
        <v>550.79999999999995</v>
      </c>
      <c r="AK180" s="1">
        <v>534</v>
      </c>
      <c r="AL180" s="1">
        <v>514.6</v>
      </c>
      <c r="AM180" s="1">
        <v>512</v>
      </c>
      <c r="AN180" s="1">
        <v>528</v>
      </c>
      <c r="AO180" s="43">
        <v>511.4</v>
      </c>
      <c r="AP180" s="43">
        <v>504</v>
      </c>
      <c r="AQ180" s="104">
        <v>500.6</v>
      </c>
      <c r="AR180" s="1">
        <v>499.8</v>
      </c>
      <c r="AS180" s="1">
        <v>503.6</v>
      </c>
      <c r="AT180" s="43">
        <v>498.6</v>
      </c>
      <c r="AU180" s="43">
        <v>517.6</v>
      </c>
      <c r="AV180" s="1">
        <v>554.4</v>
      </c>
      <c r="AW180" s="1">
        <v>556.20000000000005</v>
      </c>
      <c r="AX180" s="1">
        <v>531.70000000000005</v>
      </c>
      <c r="AY180" s="1">
        <v>555.79999999999995</v>
      </c>
      <c r="AZ180" s="1">
        <v>550.1</v>
      </c>
      <c r="BA180" s="1">
        <v>537</v>
      </c>
      <c r="BB180" s="1">
        <v>532.9</v>
      </c>
      <c r="BC180" s="1">
        <v>543.95000000000005</v>
      </c>
      <c r="BD180" s="1">
        <v>533.9</v>
      </c>
      <c r="BE180" s="1">
        <v>507</v>
      </c>
      <c r="BF180" s="1">
        <v>490.8</v>
      </c>
      <c r="BG180" s="1">
        <v>489</v>
      </c>
      <c r="BH180" s="1">
        <v>505.17500000000001</v>
      </c>
      <c r="BI180" s="1">
        <v>488.27652586029262</v>
      </c>
      <c r="BJ180" s="1">
        <v>820.07652586029258</v>
      </c>
      <c r="BK180" s="1">
        <v>820.07652586029258</v>
      </c>
      <c r="BL180" s="1">
        <v>820.07652586029246</v>
      </c>
      <c r="BM180" s="1">
        <v>753.94082420568498</v>
      </c>
      <c r="BN180" s="1">
        <v>820.07652586029246</v>
      </c>
      <c r="BO180" s="1">
        <v>820.07652586029246</v>
      </c>
      <c r="BP180" s="1">
        <v>820.07652586029246</v>
      </c>
      <c r="BQ180" s="1">
        <v>820.07652586029246</v>
      </c>
      <c r="BR180" s="1">
        <v>820.07652586029246</v>
      </c>
      <c r="BS180" s="1">
        <v>816.71777869359164</v>
      </c>
      <c r="BT180" s="1">
        <v>810.08220502279198</v>
      </c>
      <c r="BU180" s="1">
        <v>803.60847461225592</v>
      </c>
      <c r="BV180" s="1">
        <v>797.29264006539131</v>
      </c>
      <c r="BW180" s="1">
        <v>806.92527459850771</v>
      </c>
      <c r="BX180" s="1">
        <v>794.17370942496439</v>
      </c>
      <c r="BY180" s="1">
        <v>789.720744798537</v>
      </c>
      <c r="BZ180" s="1">
        <v>780.92342443900941</v>
      </c>
      <c r="CA180" s="1">
        <v>772.34067286873869</v>
      </c>
      <c r="CB180" s="1">
        <v>784.28963788281237</v>
      </c>
      <c r="CC180" s="1">
        <v>794.17370942496439</v>
      </c>
      <c r="CD180" s="1">
        <v>789.720744798537</v>
      </c>
      <c r="CE180" s="1">
        <v>780.92342443900941</v>
      </c>
      <c r="CF180" s="1">
        <v>772.34067286873869</v>
      </c>
      <c r="CG180" s="1">
        <v>784.28963788281237</v>
      </c>
      <c r="CH180" s="1">
        <v>794.17370942496439</v>
      </c>
      <c r="CI180" s="1">
        <v>794.17370942496439</v>
      </c>
      <c r="CJ180" s="1">
        <v>780.92342443900941</v>
      </c>
      <c r="CK180" s="1">
        <v>772.34067286873869</v>
      </c>
      <c r="CL180" s="1">
        <v>784.28963788281237</v>
      </c>
      <c r="CM180" s="1">
        <v>794.17370942496439</v>
      </c>
      <c r="CN180" s="1">
        <v>789.720744798537</v>
      </c>
      <c r="CO180" s="1">
        <v>780.92342443900941</v>
      </c>
      <c r="CP180" s="1">
        <v>772.34067286873869</v>
      </c>
      <c r="CQ180" s="1">
        <v>784.28963788281237</v>
      </c>
      <c r="CR180" s="1">
        <v>794.17370942496439</v>
      </c>
      <c r="CS180" s="1">
        <v>789.720744798537</v>
      </c>
      <c r="CT180" s="1">
        <v>780.92342443900941</v>
      </c>
      <c r="CU180" s="1">
        <v>772.34067286873869</v>
      </c>
      <c r="CV180" s="1">
        <v>784.28963788281237</v>
      </c>
      <c r="CW180" s="1">
        <v>794.17370942496439</v>
      </c>
      <c r="CX180" s="1">
        <v>789.720744798537</v>
      </c>
      <c r="CY180" s="1">
        <v>780.92342443900941</v>
      </c>
      <c r="CZ180" s="1">
        <v>772.34067286873869</v>
      </c>
      <c r="DA180" s="1">
        <v>784.28963788281237</v>
      </c>
      <c r="DB180" s="1">
        <v>794.17370942496439</v>
      </c>
      <c r="DC180" s="1">
        <v>789.720744798537</v>
      </c>
      <c r="DD180" s="1">
        <v>780.92342443900941</v>
      </c>
      <c r="DE180" s="1">
        <v>772.34067286873869</v>
      </c>
      <c r="DF180" s="1">
        <v>784.28963788281237</v>
      </c>
      <c r="DG180"/>
      <c r="DH180"/>
      <c r="DI180"/>
      <c r="DJ180"/>
      <c r="DK180"/>
      <c r="DL180"/>
      <c r="DM180"/>
      <c r="DN180"/>
    </row>
    <row r="181" spans="1:118" x14ac:dyDescent="0.2">
      <c r="D181" s="77"/>
      <c r="E181" s="77"/>
      <c r="F181" s="77"/>
      <c r="G181" s="77"/>
      <c r="H181" s="77"/>
      <c r="I181" s="77"/>
      <c r="J181" s="77"/>
      <c r="K181" s="77"/>
      <c r="L181" s="77"/>
      <c r="M181" s="77"/>
      <c r="N181" s="77"/>
      <c r="O181" s="77"/>
      <c r="P181" s="77"/>
      <c r="Q181" s="77"/>
      <c r="R181" s="77"/>
      <c r="S181" s="77"/>
      <c r="T181" s="77"/>
      <c r="U181" s="43"/>
      <c r="V181" s="43"/>
      <c r="W181" s="43"/>
    </row>
    <row r="182" spans="1:118" x14ac:dyDescent="0.2">
      <c r="B182" s="718"/>
      <c r="C182" s="1018"/>
      <c r="D182" s="77"/>
      <c r="E182" s="77"/>
      <c r="F182" s="77"/>
      <c r="G182" s="77"/>
      <c r="H182" s="77"/>
      <c r="I182" s="77"/>
      <c r="J182" s="77"/>
      <c r="K182" s="77"/>
      <c r="L182" s="77"/>
      <c r="M182" s="77"/>
      <c r="N182" s="77"/>
      <c r="O182" s="77"/>
      <c r="P182" s="77"/>
      <c r="Q182" s="77"/>
      <c r="R182" s="77"/>
      <c r="S182" s="77"/>
      <c r="T182" s="77"/>
      <c r="U182" s="43"/>
      <c r="V182" s="43"/>
      <c r="W182" s="43"/>
    </row>
    <row r="183" spans="1:118" x14ac:dyDescent="0.2">
      <c r="B183" s="371" t="s">
        <v>145</v>
      </c>
      <c r="C183" s="1019"/>
      <c r="D183" s="160"/>
      <c r="E183" s="160">
        <v>6.390625</v>
      </c>
      <c r="F183" s="160">
        <v>5.5001525317460329</v>
      </c>
      <c r="G183" s="160">
        <v>5.8921972656250015</v>
      </c>
      <c r="H183" s="160">
        <v>6.6991666666666685</v>
      </c>
      <c r="I183" s="160">
        <v>5.6370312499999997</v>
      </c>
      <c r="J183" s="160">
        <v>5.9198151987951793</v>
      </c>
      <c r="K183" s="160">
        <v>6.1973770491803268</v>
      </c>
      <c r="L183" s="160">
        <v>6.9449804687499999</v>
      </c>
      <c r="M183" s="160">
        <v>5.99646875</v>
      </c>
      <c r="N183" s="160">
        <v>6.5141406249999996</v>
      </c>
      <c r="O183" s="160">
        <v>6.415801383399212</v>
      </c>
      <c r="P183" s="160">
        <v>6.5808649193548394</v>
      </c>
      <c r="Q183" s="160">
        <v>7.8590865555555549</v>
      </c>
      <c r="R183" s="160">
        <v>8.091506054687498</v>
      </c>
      <c r="S183" s="160">
        <v>7.6171093750000001</v>
      </c>
      <c r="T183" s="160">
        <v>7.543428717391305</v>
      </c>
      <c r="U183" s="160">
        <v>8.7907321428571432</v>
      </c>
      <c r="V183" s="160">
        <v>9.6616532258064503</v>
      </c>
      <c r="W183" s="160">
        <v>8.3097656250000007</v>
      </c>
      <c r="X183" s="160">
        <v>8.8145863281249994</v>
      </c>
      <c r="Y183" s="160">
        <v>8.8885262845849784</v>
      </c>
      <c r="Z183" s="160">
        <v>9.8367943548387125</v>
      </c>
      <c r="AA183" s="160">
        <v>11.619629093749998</v>
      </c>
      <c r="AB183" s="160">
        <v>13.818476562500001</v>
      </c>
      <c r="AC183" s="160">
        <v>19.1687890625</v>
      </c>
      <c r="AD183" s="160">
        <v>13.633092932806321</v>
      </c>
      <c r="AE183" s="160">
        <v>22.304007936507933</v>
      </c>
      <c r="AF183" s="160">
        <v>18.857812500000001</v>
      </c>
      <c r="AG183" s="160">
        <v>19.617617187499999</v>
      </c>
      <c r="AH183" s="160">
        <v>17.236914062499999</v>
      </c>
      <c r="AI183" s="160">
        <v>19.491944444444442</v>
      </c>
      <c r="AJ183" s="160">
        <v>18.620201612903227</v>
      </c>
      <c r="AK183" s="160">
        <v>23.835625</v>
      </c>
      <c r="AL183" s="160">
        <v>26.369296875</v>
      </c>
      <c r="AM183" s="160">
        <v>32.340838281250001</v>
      </c>
      <c r="AN183" s="160">
        <v>25.365857738095237</v>
      </c>
      <c r="AO183" s="160">
        <v>32.516129032258071</v>
      </c>
      <c r="AP183" s="160">
        <v>34.317343749999999</v>
      </c>
      <c r="AQ183" s="160">
        <v>35.054921874999998</v>
      </c>
      <c r="AR183" s="160">
        <v>29.225390624999999</v>
      </c>
      <c r="AS183" s="160">
        <v>32.780511811023622</v>
      </c>
      <c r="AT183" s="160">
        <v>26.035241935483867</v>
      </c>
      <c r="AU183" s="160">
        <v>30.376507936507934</v>
      </c>
      <c r="AV183" s="160">
        <v>35.626093750000003</v>
      </c>
      <c r="AW183" s="160">
        <v>42.027890624999998</v>
      </c>
      <c r="AX183" s="160">
        <v>33.58798418972335</v>
      </c>
      <c r="AY183" s="160">
        <v>46.138508064516131</v>
      </c>
      <c r="AZ183" s="160">
        <v>50.952400793650803</v>
      </c>
      <c r="BA183" s="160">
        <v>45.887968749999999</v>
      </c>
      <c r="BB183" s="160">
        <v>51.713515625000007</v>
      </c>
      <c r="BC183" s="160">
        <v>48.684125494071161</v>
      </c>
      <c r="BD183" s="160" t="e">
        <f ca="1">_xll.ThomsonONEAddinShim.SpreadsheetFormulas.TF(Ticker,"avg(TF.PR.Priceclose(sdate=#1+1d,edate=#2,frq=c))",,TEXT(BC7,"YYYYMMDD"),TEXT(BD7,"YYYYMMDD"))</f>
        <v>#NAME?</v>
      </c>
      <c r="BE183" s="160" t="e">
        <f ca="1">_xll.ThomsonONEAddinShim.SpreadsheetFormulas.TF(Ticker,"avg(TF.PR.Priceclose(sdate=#1+1d,edate=#2,frq=c))",,TEXT(BD7,"YYYYMMDD"),TEXT(BE7,"YYYYMMDD"))</f>
        <v>#NAME?</v>
      </c>
      <c r="BF183" s="160" t="e">
        <f ca="1">_xll.ThomsonONEAddinShim.SpreadsheetFormulas.TF(Ticker,"avg(TF.PR.Priceclose(sdate=#1+1d,edate=#2,frq=c))",,TEXT(BE7,"YYYYMMDD"),TEXT(BF7,"YYYYMMDD"))</f>
        <v>#NAME?</v>
      </c>
      <c r="BG183" s="160" t="e">
        <f ca="1">_xll.ThomsonONEAddinShim.SpreadsheetFormulas.TF(Ticker,"avg(TF.PR.Priceclose(sdate=#1+1d,edate=#2,frq=c))",,TEXT(BF7,"YYYYMMDD"),TEXT(BG7,"YYYYMMDD"))</f>
        <v>#NAME?</v>
      </c>
      <c r="BH183" s="160" t="e">
        <f ca="1">_xll.ThomsonONEAddinShim.SpreadsheetFormulas.TF(Ticker,"avg(TF.PR.Priceclose(sdate=#1+1d,edate=#2,frq=c))",,TEXT(BC7,"YYYYMMDD"),TEXT(BH7,"YYYYMMDD"))</f>
        <v>#NAME?</v>
      </c>
      <c r="BI183" s="160" t="e">
        <f ca="1">_xll.ThomsonONEAddinShim.SpreadsheetFormulas.TF(Ticker,"avg(TF.PR.Priceclose(sdate=#1+1d,edate=#2,frq=c))",,TEXT(BH7,"YYYYMMDD"),TEXT(BI7,"YYYYMMDD"))</f>
        <v>#NAME?</v>
      </c>
      <c r="BJ183" s="160" t="e">
        <f ca="1">_xll.ThomsonONEAddinShim.SpreadsheetFormulas.TF(Ticker,"avg(TF.PR.Priceclose(sdate=#1+1d,edate=#2,frq=c))",,TEXT(BI7,"YYYYMMDD"),TEXT(BJ7,"YYYYMMDD"))</f>
        <v>#NAME?</v>
      </c>
      <c r="BK183" s="160" t="e">
        <f ca="1">_xll.ThomsonONEAddinShim.SpreadsheetFormulas.TF(Ticker,"avg(TF.PR.Priceclose(sdate=#1+1d,edate=#2,frq=c))",,TEXT(BJ7,"YYYYMMDD"),TEXT(BK7,"YYYYMMDD"))</f>
        <v>#NAME?</v>
      </c>
      <c r="BL183" s="160" t="e">
        <f ca="1">_xll.ThomsonONEAddinShim.SpreadsheetFormulas.TF(Ticker,"avg(TF.PR.Priceclose(sdate=#1+1d,edate=#2,frq=c))",,TEXT(BK7,"YYYYMMDD"),TEXT(BL7,"YYYYMMDD"))</f>
        <v>#NAME?</v>
      </c>
      <c r="BM183" s="160" t="e">
        <f ca="1">_xll.ThomsonONEAddinShim.SpreadsheetFormulas.TF(Ticker,"avg(TF.PR.Priceclose(sdate=#1+1d,edate=#2,frq=c))",,TEXT(BH7,"YYYYMMDD"),TEXT(BM7,"YYYYMMDD"))</f>
        <v>#NAME?</v>
      </c>
      <c r="BN183" s="160">
        <v>61.5</v>
      </c>
      <c r="BO183" s="160">
        <v>61.5</v>
      </c>
      <c r="BP183" s="160">
        <v>61.5</v>
      </c>
      <c r="BQ183" s="160">
        <v>61.5</v>
      </c>
      <c r="BR183" s="160">
        <v>61.5</v>
      </c>
      <c r="BS183" s="160" t="e">
        <f ca="1">_xll.ThomsonONEAddinShim.SpreadsheetFormulas.TF(Ticker,"avg(TF.PR.Priceclose(sdate=#1+1d,edate=#2,frq=c))",,TEXT(BR7,"YYYYMMDD"),TEXT(BS7,"YYYYMMDD"))</f>
        <v>#NAME?</v>
      </c>
      <c r="BT183" s="160" t="e">
        <f ca="1">_xll.ThomsonONEAddinShim.SpreadsheetFormulas.TF(Ticker,"avg(TF.PR.Priceclose(sdate=#1+1d,edate=#2,frq=c))",,TEXT(BS7,"YYYYMMDD"),TEXT(BT7,"YYYYMMDD"))</f>
        <v>#NAME?</v>
      </c>
      <c r="BU183" s="160" t="e">
        <f ca="1">_xll.ThomsonONEAddinShim.SpreadsheetFormulas.TF(Ticker,"avg(TF.PR.Priceclose(sdate=#1+1d,edate=#2,frq=c))",,TEXT(BT7,"YYYYMMDD"),TEXT(BU7,"YYYYMMDD"))</f>
        <v>#NAME?</v>
      </c>
      <c r="BV183" s="160" t="e">
        <f ca="1">_xll.ThomsonONEAddinShim.SpreadsheetFormulas.TF(Ticker,"avg(TF.PR.Priceclose(sdate=#1+1d,edate=#2,frq=c))",,TEXT(BU7,"YYYYMMDD"),TEXT(BV7,"YYYYMMDD"))</f>
        <v>#NAME?</v>
      </c>
      <c r="BW183" s="160" t="e">
        <f ca="1">_xll.ThomsonONEAddinShim.SpreadsheetFormulas.TF(Ticker,"avg(TF.PR.Priceclose(sdate=#1+1d,edate=#2,frq=c))",,TEXT(BR7,"YYYYMMDD"),TEXT(BW7,"YYYYMMDD"))</f>
        <v>#NAME?</v>
      </c>
      <c r="BX183" s="160" t="e">
        <f ca="1">_xll.ThomsonONEAddinShim.SpreadsheetFormulas.TF(Ticker,"avg(TF.PR.Priceclose(sdate=#1+1d,edate=#2,frq=c))",,TEXT(BW7,"YYYYMMDD"),TEXT(BX7,"YYYYMMDD"))</f>
        <v>#NAME?</v>
      </c>
      <c r="BY183" s="160" t="e">
        <f ca="1">_xll.ThomsonONEAddinShim.SpreadsheetFormulas.TF(Ticker,"avg(TF.PR.Priceclose(sdate=#1+1d,edate=#2,frq=c))",,TEXT(BX7,"YYYYMMDD"),TEXT(BY7,"YYYYMMDD"))</f>
        <v>#NAME?</v>
      </c>
      <c r="BZ183" s="160" t="e">
        <f ca="1">_xll.ThomsonONEAddinShim.SpreadsheetFormulas.TF(Ticker,"avg(TF.PR.Priceclose(sdate=#1+1d,edate=#2,frq=c))",,TEXT(BY7,"YYYYMMDD"),TEXT(BZ7,"YYYYMMDD"))</f>
        <v>#NAME?</v>
      </c>
      <c r="CA183" s="160" t="e">
        <f ca="1">_xll.ThomsonONEAddinShim.SpreadsheetFormulas.TF(Ticker,"avg(TF.PR.Priceclose(sdate=#1+1d,edate=#2,frq=c))",,TEXT(BZ7,"YYYYMMDD"),TEXT(CA7,"YYYYMMDD"))</f>
        <v>#NAME?</v>
      </c>
      <c r="CB183" s="160" t="e">
        <f ca="1">_xll.ThomsonONEAddinShim.SpreadsheetFormulas.TF(Ticker,"avg(TF.PR.Priceclose(sdate=#1+1d,edate=#2,frq=c))",,TEXT(BW7,"YYYYMMDD"),TEXT(CB7,"YYYYMMDD"))</f>
        <v>#NAME?</v>
      </c>
      <c r="CC183" s="160" t="e">
        <f ca="1">_xll.ThomsonONEAddinShim.SpreadsheetFormulas.TF(Ticker,"avg(TF.PR.Priceclose(sdate=#1+1d,edate=#2,frq=c))",,TEXT(CB7,"YYYYMMDD"),TEXT(CC7,"YYYYMMDD"))</f>
        <v>#NAME?</v>
      </c>
      <c r="CD183" s="160" t="e">
        <f ca="1">_xll.ThomsonONEAddinShim.SpreadsheetFormulas.TF(Ticker,"avg(TF.PR.Priceclose(sdate=#1+1d,edate=#2,frq=c))",,TEXT(CC7,"YYYYMMDD"),TEXT(CD7,"YYYYMMDD"))</f>
        <v>#NAME?</v>
      </c>
      <c r="CE183" s="160" t="e">
        <f ca="1">_xll.ThomsonONEAddinShim.SpreadsheetFormulas.TF(Ticker,"avg(TF.PR.Priceclose(sdate=#1+1d,edate=#2,frq=c))",,TEXT(CD7,"YYYYMMDD"),TEXT(CE7,"YYYYMMDD"))</f>
        <v>#NAME?</v>
      </c>
      <c r="CF183" s="160" t="e">
        <f ca="1">_xll.ThomsonONEAddinShim.SpreadsheetFormulas.TF(Ticker,"avg(TF.PR.Priceclose(sdate=#1+1d,edate=#2,frq=c))",,TEXT(CE7,"YYYYMMDD"),TEXT(CF7,"YYYYMMDD"))</f>
        <v>#NAME?</v>
      </c>
      <c r="CG183" s="160" t="e">
        <f ca="1">_xll.ThomsonONEAddinShim.SpreadsheetFormulas.TF(Ticker,"avg(TF.PR.Priceclose(sdate=#1+1d,edate=#2,frq=c))",,TEXT(CB7,"YYYYMMDD"),TEXT(CG7,"YYYYMMDD"))</f>
        <v>#NAME?</v>
      </c>
      <c r="CH183" s="160" t="e">
        <f ca="1">_xll.ThomsonONEAddinShim.SpreadsheetFormulas.TF(Ticker,"avg(TF.PR.Priceclose(sdate=#1+1d,edate=#2,frq=c))",,TEXT(CG7,"YYYYMMDD"),TEXT(CH7,"YYYYMMDD"))</f>
        <v>#NAME?</v>
      </c>
      <c r="CI183" s="160" t="e">
        <f ca="1">_xll.ThomsonONEAddinShim.SpreadsheetFormulas.TF(Ticker,"avg(TF.PR.Priceclose(sdate=#1+1d,edate=#2,frq=c))",,TEXT(CH7,"YYYYMMDD"),TEXT(CI7,"YYYYMMDD"))</f>
        <v>#NAME?</v>
      </c>
      <c r="CJ183" s="160" t="e">
        <f ca="1">_xll.ThomsonONEAddinShim.SpreadsheetFormulas.TF(Ticker,"avg(TF.PR.Priceclose(sdate=#1+1d,edate=#2,frq=c))",,TEXT(CI7,"YYYYMMDD"),TEXT(CJ7,"YYYYMMDD"))</f>
        <v>#NAME?</v>
      </c>
      <c r="CK183" s="160" t="e">
        <f ca="1">_xll.ThomsonONEAddinShim.SpreadsheetFormulas.TF(Ticker,"avg(TF.PR.Priceclose(sdate=#1+1d,edate=#2,frq=c))",,TEXT(CJ7,"YYYYMMDD"),TEXT(CK7,"YYYYMMDD"))</f>
        <v>#NAME?</v>
      </c>
      <c r="CL183" s="160" t="e">
        <f ca="1">_xll.ThomsonONEAddinShim.SpreadsheetFormulas.TF(Ticker,"avg(TF.PR.Priceclose(sdate=#1+1d,edate=#2,frq=c))",,TEXT(CG7,"YYYYMMDD"),TEXT(CL7,"YYYYMMDD"))</f>
        <v>#NAME?</v>
      </c>
      <c r="CM183" s="160" t="e">
        <f ca="1">_xll.ThomsonONEAddinShim.SpreadsheetFormulas.TF(Ticker,"avg(TF.PR.Priceclose(sdate=#1+1d,edate=#2,frq=c))",,TEXT(CL7,"YYYYMMDD"),TEXT(CM7,"YYYYMMDD"))</f>
        <v>#NAME?</v>
      </c>
      <c r="CN183" s="160" t="e">
        <f ca="1">_xll.ThomsonONEAddinShim.SpreadsheetFormulas.TF(Ticker,"avg(TF.PR.Priceclose(sdate=#1+1d,edate=#2,frq=c))",,TEXT(CM7,"YYYYMMDD"),TEXT(CN7,"YYYYMMDD"))</f>
        <v>#NAME?</v>
      </c>
      <c r="CO183" s="160" t="e">
        <f ca="1">_xll.ThomsonONEAddinShim.SpreadsheetFormulas.TF(Ticker,"avg(TF.PR.Priceclose(sdate=#1+1d,edate=#2,frq=c))",,TEXT(CN7,"YYYYMMDD"),TEXT(CO7,"YYYYMMDD"))</f>
        <v>#NAME?</v>
      </c>
      <c r="CP183" s="160" t="e">
        <f ca="1">_xll.ThomsonONEAddinShim.SpreadsheetFormulas.TF(Ticker,"avg(TF.PR.Priceclose(sdate=#1+1d,edate=#2,frq=c))",,TEXT(CO7,"YYYYMMDD"),TEXT(CP7,"YYYYMMDD"))</f>
        <v>#NAME?</v>
      </c>
      <c r="CQ183" s="160" t="e">
        <f ca="1">_xll.ThomsonONEAddinShim.SpreadsheetFormulas.TF(Ticker,"avg(TF.PR.Priceclose(sdate=#1+1d,edate=#2,frq=c))",,TEXT(CL7,"YYYYMMDD"),TEXT(CQ7,"YYYYMMDD"))</f>
        <v>#NAME?</v>
      </c>
      <c r="CR183" s="160" t="e">
        <f ca="1">_xll.ThomsonONEAddinShim.SpreadsheetFormulas.TF(Ticker,"avg(TF.PR.Priceclose(sdate=#1+1d,edate=#2,frq=c))",,TEXT(CQ7,"YYYYMMDD"),TEXT(CR7,"YYYYMMDD"))</f>
        <v>#NAME?</v>
      </c>
      <c r="CS183" s="160" t="e">
        <f ca="1">_xll.ThomsonONEAddinShim.SpreadsheetFormulas.TF(Ticker,"avg(TF.PR.Priceclose(sdate=#1+1d,edate=#2,frq=c))",,TEXT(CR7,"YYYYMMDD"),TEXT(CS7,"YYYYMMDD"))</f>
        <v>#NAME?</v>
      </c>
      <c r="CT183" s="160" t="e">
        <f ca="1">_xll.ThomsonONEAddinShim.SpreadsheetFormulas.TF(Ticker,"avg(TF.PR.Priceclose(sdate=#1+1d,edate=#2,frq=c))",,TEXT(CS7,"YYYYMMDD"),TEXT(CT7,"YYYYMMDD"))</f>
        <v>#NAME?</v>
      </c>
      <c r="CU183" s="160" t="e">
        <f ca="1">_xll.ThomsonONEAddinShim.SpreadsheetFormulas.TF(Ticker,"avg(TF.PR.Priceclose(sdate=#1+1d,edate=#2,frq=c))",,TEXT(CT7,"YYYYMMDD"),TEXT(CU7,"YYYYMMDD"))</f>
        <v>#NAME?</v>
      </c>
      <c r="CV183" s="160" t="e">
        <f ca="1">_xll.ThomsonONEAddinShim.SpreadsheetFormulas.TF(Ticker,"avg(TF.PR.Priceclose(sdate=#1+1d,edate=#2,frq=c))",,TEXT(CQ7,"YYYYMMDD"),TEXT(CV7,"YYYYMMDD"))</f>
        <v>#NAME?</v>
      </c>
      <c r="CW183" s="160" t="e">
        <f ca="1">_xll.ThomsonONEAddinShim.SpreadsheetFormulas.TF(Ticker,"avg(TF.PR.Priceclose(sdate=#1+1d,edate=#2,frq=c))",,TEXT(CV7,"YYYYMMDD"),TEXT(CW7,"YYYYMMDD"))</f>
        <v>#NAME?</v>
      </c>
      <c r="CX183" s="160" t="e">
        <f ca="1">_xll.ThomsonONEAddinShim.SpreadsheetFormulas.TF(Ticker,"avg(TF.PR.Priceclose(sdate=#1+1d,edate=#2,frq=c))",,TEXT(CW7,"YYYYMMDD"),TEXT(CX7,"YYYYMMDD"))</f>
        <v>#NAME?</v>
      </c>
      <c r="CY183" s="160" t="e">
        <f ca="1">_xll.ThomsonONEAddinShim.SpreadsheetFormulas.TF(Ticker,"avg(TF.PR.Priceclose(sdate=#1+1d,edate=#2,frq=c))",,TEXT(CX7,"YYYYMMDD"),TEXT(CY7,"YYYYMMDD"))</f>
        <v>#NAME?</v>
      </c>
      <c r="CZ183" s="160" t="e">
        <f ca="1">_xll.ThomsonONEAddinShim.SpreadsheetFormulas.TF(Ticker,"avg(TF.PR.Priceclose(sdate=#1+1d,edate=#2,frq=c))",,TEXT(CY7,"YYYYMMDD"),TEXT(CZ7,"YYYYMMDD"))</f>
        <v>#NAME?</v>
      </c>
      <c r="DA183" s="160" t="e">
        <f ca="1">_xll.ThomsonONEAddinShim.SpreadsheetFormulas.TF(Ticker,"avg(TF.PR.Priceclose(sdate=#1+1d,edate=#2,frq=c))",,TEXT(CV7,"YYYYMMDD"),TEXT(DA7,"YYYYMMDD"))</f>
        <v>#NAME?</v>
      </c>
      <c r="DB183" s="160" t="e">
        <f ca="1">_xll.ThomsonONEAddinShim.SpreadsheetFormulas.TF(Ticker,"avg(TF.PR.Priceclose(sdate=#1+1d,edate=#2,frq=c))",,TEXT(DA7,"YYYYMMDD"),TEXT(DB7,"YYYYMMDD"))</f>
        <v>#NAME?</v>
      </c>
      <c r="DC183" s="160" t="e">
        <f ca="1">_xll.ThomsonONEAddinShim.SpreadsheetFormulas.TF(Ticker,"avg(TF.PR.Priceclose(sdate=#1+1d,edate=#2,frq=c))",,TEXT(DB7,"YYYYMMDD"),TEXT(DC7,"YYYYMMDD"))</f>
        <v>#NAME?</v>
      </c>
      <c r="DD183" s="160" t="e">
        <f ca="1">_xll.ThomsonONEAddinShim.SpreadsheetFormulas.TF(Ticker,"avg(TF.PR.Priceclose(sdate=#1+1d,edate=#2,frq=c))",,TEXT(DC7,"YYYYMMDD"),TEXT(DD7,"YYYYMMDD"))</f>
        <v>#NAME?</v>
      </c>
      <c r="DE183" s="160" t="e">
        <f ca="1">_xll.ThomsonONEAddinShim.SpreadsheetFormulas.TF(Ticker,"avg(TF.PR.Priceclose(sdate=#1+1d,edate=#2,frq=c))",,TEXT(DD7,"YYYYMMDD"),TEXT(DE7,"YYYYMMDD"))</f>
        <v>#NAME?</v>
      </c>
      <c r="DF183" s="160" t="e">
        <f ca="1">_xll.ThomsonONEAddinShim.SpreadsheetFormulas.TF(Ticker,"avg(TF.PR.Priceclose(sdate=#1+1d,edate=#2,frq=c))",,TEXT(DA7,"YYYYMMDD"),TEXT(DF7,"YYYYMMDD"))</f>
        <v>#NAME?</v>
      </c>
    </row>
    <row r="184" spans="1:118" x14ac:dyDescent="0.2">
      <c r="D184" s="43"/>
      <c r="E184" s="160"/>
      <c r="F184" s="160"/>
      <c r="G184" s="160"/>
      <c r="H184" s="160"/>
      <c r="I184" s="160"/>
      <c r="J184" s="160"/>
      <c r="K184" s="160"/>
      <c r="L184" s="160"/>
      <c r="M184" s="160"/>
      <c r="N184" s="160"/>
      <c r="O184" s="160"/>
      <c r="P184" s="160"/>
      <c r="Q184" s="160"/>
      <c r="R184" s="160"/>
      <c r="S184" s="160"/>
      <c r="T184" s="160"/>
      <c r="U184" s="160"/>
      <c r="V184" s="160"/>
      <c r="W184" s="160"/>
      <c r="X184" s="160"/>
      <c r="Y184" s="160"/>
      <c r="Z184" s="160"/>
      <c r="AA184" s="160"/>
      <c r="AB184" s="160"/>
      <c r="AC184" s="160"/>
      <c r="AD184" s="160"/>
      <c r="AE184" s="160"/>
      <c r="AF184" s="160"/>
      <c r="AG184" s="160"/>
      <c r="AH184" s="160"/>
      <c r="AI184" s="160"/>
      <c r="AJ184" s="160"/>
      <c r="AK184" s="160"/>
      <c r="AL184" s="160"/>
      <c r="AM184" s="160"/>
      <c r="AN184" s="160"/>
      <c r="AO184" s="160"/>
      <c r="AP184" s="160"/>
      <c r="AQ184" s="160"/>
      <c r="AR184" s="160"/>
      <c r="AS184" s="160"/>
      <c r="AT184" s="160"/>
      <c r="AU184" s="160"/>
      <c r="AV184" s="160"/>
      <c r="AW184" s="160"/>
      <c r="AX184" s="160"/>
      <c r="AY184" s="160"/>
      <c r="AZ184" s="160"/>
      <c r="BA184" s="160"/>
      <c r="BB184" s="160"/>
    </row>
    <row r="185" spans="1:118" x14ac:dyDescent="0.2">
      <c r="B185" s="371" t="s">
        <v>233</v>
      </c>
      <c r="D185" s="43"/>
      <c r="E185" s="43"/>
      <c r="F185" s="43"/>
      <c r="G185" s="43"/>
      <c r="H185" s="43"/>
      <c r="I185" s="43"/>
      <c r="J185" s="43"/>
      <c r="K185" s="43"/>
      <c r="L185" s="43"/>
      <c r="M185" s="43"/>
      <c r="N185" s="43"/>
      <c r="O185" s="43"/>
      <c r="P185" s="43"/>
      <c r="Q185" s="43"/>
      <c r="R185" s="43"/>
      <c r="S185" s="43"/>
      <c r="T185" s="43"/>
      <c r="U185" s="43"/>
      <c r="V185" s="43"/>
      <c r="W185" s="43"/>
    </row>
    <row r="186" spans="1:118" x14ac:dyDescent="0.2">
      <c r="B186" s="371" t="s">
        <v>234</v>
      </c>
      <c r="D186" s="43"/>
      <c r="E186" s="43"/>
      <c r="F186" s="43"/>
      <c r="G186" s="43"/>
      <c r="H186" s="43"/>
      <c r="I186" s="43"/>
      <c r="J186" s="43"/>
      <c r="K186" s="43"/>
      <c r="L186" s="43"/>
      <c r="M186" s="43"/>
      <c r="N186" s="43"/>
      <c r="O186" s="43"/>
      <c r="P186" s="43"/>
      <c r="Q186" s="43"/>
      <c r="R186" s="43"/>
      <c r="S186" s="43"/>
      <c r="T186" s="43"/>
      <c r="U186" s="115">
        <f t="shared" ref="U186:AD186" si="646">Y186</f>
        <v>0.36399999999999999</v>
      </c>
      <c r="V186" s="115">
        <f t="shared" si="646"/>
        <v>0.36399999999999999</v>
      </c>
      <c r="W186" s="115">
        <f t="shared" si="646"/>
        <v>0.36399999999999999</v>
      </c>
      <c r="X186" s="115">
        <f t="shared" si="646"/>
        <v>0.36399999999999999</v>
      </c>
      <c r="Y186" s="115">
        <f t="shared" si="646"/>
        <v>0.36399999999999999</v>
      </c>
      <c r="Z186" s="115">
        <f t="shared" si="646"/>
        <v>0.36399999999999999</v>
      </c>
      <c r="AA186" s="115">
        <f t="shared" si="646"/>
        <v>0.36399999999999999</v>
      </c>
      <c r="AB186" s="115">
        <f t="shared" si="646"/>
        <v>0.36399999999999999</v>
      </c>
      <c r="AC186" s="115">
        <f t="shared" si="646"/>
        <v>0.36399999999999999</v>
      </c>
      <c r="AD186" s="115">
        <f t="shared" si="646"/>
        <v>0.36399999999999999</v>
      </c>
      <c r="AE186" s="115">
        <f t="shared" ref="AE186:AJ186" si="647">AI186</f>
        <v>0.36399999999999999</v>
      </c>
      <c r="AF186" s="115">
        <f t="shared" si="647"/>
        <v>0.36399999999999999</v>
      </c>
      <c r="AG186" s="115">
        <f t="shared" si="647"/>
        <v>0.36399999999999999</v>
      </c>
      <c r="AH186" s="115">
        <f t="shared" si="647"/>
        <v>0.36399999999999999</v>
      </c>
      <c r="AI186" s="115">
        <f t="shared" si="647"/>
        <v>0.36399999999999999</v>
      </c>
      <c r="AJ186" s="115">
        <f t="shared" si="647"/>
        <v>0.36399999999999999</v>
      </c>
      <c r="AK186" s="115">
        <f>AN186</f>
        <v>0.36399999999999999</v>
      </c>
      <c r="AL186" s="115">
        <f>AN186</f>
        <v>0.36399999999999999</v>
      </c>
      <c r="AM186" s="115">
        <f>AN186</f>
        <v>0.36399999999999999</v>
      </c>
      <c r="AN186" s="381">
        <f>0.35+0.009+0.004+0.001</f>
        <v>0.36399999999999999</v>
      </c>
      <c r="AO186" s="115">
        <f>AS186</f>
        <v>0.35799999999999998</v>
      </c>
      <c r="AP186" s="115">
        <f>AS186</f>
        <v>0.35799999999999998</v>
      </c>
      <c r="AQ186" s="115">
        <f>AS186</f>
        <v>0.35799999999999998</v>
      </c>
      <c r="AR186" s="115">
        <f>AS186</f>
        <v>0.35799999999999998</v>
      </c>
      <c r="AS186" s="381">
        <f>0.35+0.008</f>
        <v>0.35799999999999998</v>
      </c>
      <c r="AT186" s="115">
        <f>AX186</f>
        <v>0.36699999999999999</v>
      </c>
      <c r="AU186" s="115">
        <f>AX186</f>
        <v>0.36699999999999999</v>
      </c>
      <c r="AV186" s="115">
        <f>AX186</f>
        <v>0.36699999999999999</v>
      </c>
      <c r="AW186" s="115">
        <f>AX186</f>
        <v>0.36699999999999999</v>
      </c>
      <c r="AX186" s="381">
        <v>0.36699999999999999</v>
      </c>
      <c r="AY186" s="115">
        <f>BC186</f>
        <v>0.36899999999999999</v>
      </c>
      <c r="AZ186" s="115">
        <f>BC186</f>
        <v>0.36899999999999999</v>
      </c>
      <c r="BA186" s="115">
        <f>BC186</f>
        <v>0.36899999999999999</v>
      </c>
      <c r="BB186" s="115">
        <f>BC186</f>
        <v>0.36899999999999999</v>
      </c>
      <c r="BC186" s="381">
        <v>0.36899999999999999</v>
      </c>
      <c r="BD186" s="115">
        <f>BH186</f>
        <v>0.36899999999999999</v>
      </c>
      <c r="BE186" s="115">
        <f>BH186</f>
        <v>0.36899999999999999</v>
      </c>
      <c r="BF186" s="115">
        <f>BH186</f>
        <v>0.36899999999999999</v>
      </c>
      <c r="BG186" s="115">
        <f>BH186</f>
        <v>0.36899999999999999</v>
      </c>
      <c r="BH186" s="115">
        <f>BC186</f>
        <v>0.36899999999999999</v>
      </c>
      <c r="BI186" s="115">
        <f>BM186</f>
        <v>0.36899999999999999</v>
      </c>
      <c r="BJ186" s="115">
        <f>BM186</f>
        <v>0.36899999999999999</v>
      </c>
      <c r="BK186" s="115">
        <f>BM186</f>
        <v>0.36899999999999999</v>
      </c>
      <c r="BL186" s="115">
        <f>BM186</f>
        <v>0.36899999999999999</v>
      </c>
      <c r="BM186" s="115">
        <f>BH186</f>
        <v>0.36899999999999999</v>
      </c>
      <c r="BN186" s="115">
        <f>BR186</f>
        <v>0.36899999999999999</v>
      </c>
      <c r="BO186" s="115">
        <f>BR186</f>
        <v>0.36899999999999999</v>
      </c>
      <c r="BP186" s="115">
        <f>BR186</f>
        <v>0.36899999999999999</v>
      </c>
      <c r="BQ186" s="115">
        <f>BR186</f>
        <v>0.36899999999999999</v>
      </c>
      <c r="BR186" s="115">
        <f>BM186</f>
        <v>0.36899999999999999</v>
      </c>
      <c r="BS186" s="115">
        <f>BW186</f>
        <v>0.36899999999999999</v>
      </c>
      <c r="BT186" s="115">
        <f>BW186</f>
        <v>0.36899999999999999</v>
      </c>
      <c r="BU186" s="115">
        <f>BW186</f>
        <v>0.36899999999999999</v>
      </c>
      <c r="BV186" s="115">
        <f>BW186</f>
        <v>0.36899999999999999</v>
      </c>
      <c r="BW186" s="115">
        <f>BR186</f>
        <v>0.36899999999999999</v>
      </c>
      <c r="BX186" s="115">
        <f>CB186</f>
        <v>0.36899999999999999</v>
      </c>
      <c r="BY186" s="115">
        <f>CB186</f>
        <v>0.36899999999999999</v>
      </c>
      <c r="BZ186" s="115">
        <f>CB186</f>
        <v>0.36899999999999999</v>
      </c>
      <c r="CA186" s="115">
        <f>CB186</f>
        <v>0.36899999999999999</v>
      </c>
      <c r="CB186" s="115">
        <f>BW186</f>
        <v>0.36899999999999999</v>
      </c>
      <c r="CC186" s="115">
        <f>CG186</f>
        <v>0.36899999999999999</v>
      </c>
      <c r="CD186" s="115">
        <f>CG186</f>
        <v>0.36899999999999999</v>
      </c>
      <c r="CE186" s="115">
        <f>CG186</f>
        <v>0.36899999999999999</v>
      </c>
      <c r="CF186" s="115">
        <f>CG186</f>
        <v>0.36899999999999999</v>
      </c>
      <c r="CG186" s="115">
        <f>CB186</f>
        <v>0.36899999999999999</v>
      </c>
      <c r="CH186" s="115">
        <f>CL186</f>
        <v>0.36899999999999999</v>
      </c>
      <c r="CI186" s="115">
        <f>CM186</f>
        <v>0.36899999999999999</v>
      </c>
      <c r="CJ186" s="115">
        <f>CL186</f>
        <v>0.36899999999999999</v>
      </c>
      <c r="CK186" s="115">
        <f>CL186</f>
        <v>0.36899999999999999</v>
      </c>
      <c r="CL186" s="115">
        <f>CG186</f>
        <v>0.36899999999999999</v>
      </c>
      <c r="CM186" s="115">
        <f>CQ186</f>
        <v>0.36899999999999999</v>
      </c>
      <c r="CN186" s="115">
        <f>CQ186</f>
        <v>0.36899999999999999</v>
      </c>
      <c r="CO186" s="115">
        <f>CQ186</f>
        <v>0.36899999999999999</v>
      </c>
      <c r="CP186" s="115">
        <f>CQ186</f>
        <v>0.36899999999999999</v>
      </c>
      <c r="CQ186" s="115">
        <f>CL186</f>
        <v>0.36899999999999999</v>
      </c>
      <c r="CR186" s="115">
        <f>CV186</f>
        <v>0.36899999999999999</v>
      </c>
      <c r="CS186" s="115">
        <f>CV186</f>
        <v>0.36899999999999999</v>
      </c>
      <c r="CT186" s="115">
        <f>CV186</f>
        <v>0.36899999999999999</v>
      </c>
      <c r="CU186" s="115">
        <f>CV186</f>
        <v>0.36899999999999999</v>
      </c>
      <c r="CV186" s="115">
        <f>CQ186</f>
        <v>0.36899999999999999</v>
      </c>
      <c r="CW186" s="115">
        <f>DA186</f>
        <v>0.36899999999999999</v>
      </c>
      <c r="CX186" s="115">
        <f>DA186</f>
        <v>0.36899999999999999</v>
      </c>
      <c r="CY186" s="115">
        <f>DA186</f>
        <v>0.36899999999999999</v>
      </c>
      <c r="CZ186" s="115">
        <f>DA186</f>
        <v>0.36899999999999999</v>
      </c>
      <c r="DA186" s="115">
        <f>CV186</f>
        <v>0.36899999999999999</v>
      </c>
      <c r="DB186" s="115">
        <f>DF186</f>
        <v>0.36899999999999999</v>
      </c>
      <c r="DC186" s="115">
        <f>DF186</f>
        <v>0.36899999999999999</v>
      </c>
      <c r="DD186" s="115">
        <f>DF186</f>
        <v>0.36899999999999999</v>
      </c>
      <c r="DE186" s="115">
        <f>DF186</f>
        <v>0.36899999999999999</v>
      </c>
      <c r="DF186" s="115">
        <f>DA186</f>
        <v>0.36899999999999999</v>
      </c>
    </row>
    <row r="187" spans="1:118" x14ac:dyDescent="0.2">
      <c r="B187" s="371" t="s">
        <v>235</v>
      </c>
      <c r="D187" s="43"/>
      <c r="E187" s="43"/>
      <c r="F187" s="43"/>
      <c r="G187" s="43"/>
      <c r="H187" s="43"/>
      <c r="I187" s="43"/>
      <c r="J187" s="43"/>
      <c r="K187" s="43"/>
      <c r="L187" s="43"/>
      <c r="M187" s="43"/>
      <c r="N187" s="43"/>
      <c r="O187" s="43"/>
      <c r="P187" s="43"/>
      <c r="Q187" s="43"/>
      <c r="R187" s="43"/>
      <c r="S187" s="43"/>
      <c r="T187" s="43"/>
      <c r="U187" s="379" t="s">
        <v>236</v>
      </c>
      <c r="V187" s="379" t="s">
        <v>236</v>
      </c>
      <c r="W187" s="379" t="s">
        <v>236</v>
      </c>
      <c r="X187" s="379" t="s">
        <v>236</v>
      </c>
      <c r="Y187" s="379" t="s">
        <v>236</v>
      </c>
      <c r="Z187" s="379" t="s">
        <v>236</v>
      </c>
      <c r="AA187" s="379" t="s">
        <v>236</v>
      </c>
      <c r="AB187" s="379" t="s">
        <v>236</v>
      </c>
      <c r="AC187" s="379" t="s">
        <v>236</v>
      </c>
      <c r="AD187" s="379" t="s">
        <v>236</v>
      </c>
      <c r="AE187" s="379" t="s">
        <v>236</v>
      </c>
      <c r="AF187" s="379" t="s">
        <v>236</v>
      </c>
      <c r="AG187" s="379" t="s">
        <v>236</v>
      </c>
      <c r="AH187" s="379" t="s">
        <v>236</v>
      </c>
      <c r="AI187" s="379" t="s">
        <v>236</v>
      </c>
      <c r="AJ187" s="379" t="s">
        <v>236</v>
      </c>
      <c r="AK187" s="379" t="s">
        <v>236</v>
      </c>
      <c r="AL187" s="379" t="s">
        <v>236</v>
      </c>
      <c r="AM187" s="379" t="s">
        <v>236</v>
      </c>
      <c r="AN187" s="379" t="s">
        <v>236</v>
      </c>
      <c r="AO187" s="379" t="s">
        <v>236</v>
      </c>
      <c r="AP187" s="379" t="s">
        <v>236</v>
      </c>
      <c r="AQ187" s="379" t="s">
        <v>236</v>
      </c>
      <c r="AR187" s="379" t="s">
        <v>236</v>
      </c>
      <c r="AS187" s="379" t="s">
        <v>236</v>
      </c>
      <c r="AT187" s="379" t="s">
        <v>236</v>
      </c>
      <c r="AU187" s="379" t="s">
        <v>236</v>
      </c>
      <c r="AV187" s="379" t="s">
        <v>236</v>
      </c>
      <c r="AW187" s="379" t="s">
        <v>236</v>
      </c>
      <c r="AX187" s="379" t="s">
        <v>236</v>
      </c>
      <c r="AY187" s="379" t="s">
        <v>236</v>
      </c>
      <c r="AZ187" s="379" t="s">
        <v>236</v>
      </c>
      <c r="BA187" s="379" t="s">
        <v>236</v>
      </c>
      <c r="BB187" s="379" t="s">
        <v>236</v>
      </c>
      <c r="BC187" s="379" t="s">
        <v>236</v>
      </c>
      <c r="BD187" s="379" t="s">
        <v>236</v>
      </c>
      <c r="BE187" s="379" t="s">
        <v>236</v>
      </c>
      <c r="BF187" s="379" t="s">
        <v>236</v>
      </c>
      <c r="BG187" s="379" t="s">
        <v>236</v>
      </c>
      <c r="BH187" s="379" t="s">
        <v>236</v>
      </c>
      <c r="BI187" s="379" t="s">
        <v>236</v>
      </c>
      <c r="BJ187" s="379" t="s">
        <v>236</v>
      </c>
      <c r="BK187" s="379" t="s">
        <v>236</v>
      </c>
      <c r="BL187" s="379" t="s">
        <v>236</v>
      </c>
      <c r="BM187" s="379" t="s">
        <v>236</v>
      </c>
      <c r="BN187" s="379" t="s">
        <v>236</v>
      </c>
      <c r="BO187" s="379" t="s">
        <v>236</v>
      </c>
      <c r="BP187" s="379" t="s">
        <v>236</v>
      </c>
      <c r="BQ187" s="379" t="s">
        <v>236</v>
      </c>
      <c r="BR187" s="379" t="s">
        <v>236</v>
      </c>
      <c r="BS187" s="379" t="s">
        <v>236</v>
      </c>
      <c r="BT187" s="379" t="s">
        <v>236</v>
      </c>
      <c r="BU187" s="379" t="s">
        <v>236</v>
      </c>
      <c r="BV187" s="379" t="s">
        <v>236</v>
      </c>
      <c r="BW187" s="379" t="s">
        <v>236</v>
      </c>
      <c r="BX187" s="379" t="s">
        <v>236</v>
      </c>
      <c r="BY187" s="379" t="s">
        <v>236</v>
      </c>
      <c r="BZ187" s="379" t="s">
        <v>236</v>
      </c>
      <c r="CA187" s="379" t="s">
        <v>236</v>
      </c>
      <c r="CB187" s="379" t="s">
        <v>236</v>
      </c>
      <c r="CC187" s="379" t="s">
        <v>236</v>
      </c>
      <c r="CD187" s="379" t="s">
        <v>236</v>
      </c>
      <c r="CE187" s="379" t="s">
        <v>236</v>
      </c>
      <c r="CF187" s="379" t="s">
        <v>236</v>
      </c>
      <c r="CG187" s="379" t="s">
        <v>236</v>
      </c>
      <c r="CH187" s="379" t="s">
        <v>236</v>
      </c>
      <c r="CI187" s="379" t="s">
        <v>236</v>
      </c>
      <c r="CJ187" s="379" t="s">
        <v>236</v>
      </c>
      <c r="CK187" s="379" t="s">
        <v>236</v>
      </c>
      <c r="CL187" s="379" t="s">
        <v>236</v>
      </c>
      <c r="CM187" s="379" t="s">
        <v>236</v>
      </c>
      <c r="CN187" s="379" t="s">
        <v>236</v>
      </c>
      <c r="CO187" s="379" t="s">
        <v>236</v>
      </c>
      <c r="CP187" s="379" t="s">
        <v>236</v>
      </c>
      <c r="CQ187" s="379" t="s">
        <v>236</v>
      </c>
      <c r="CR187" s="379" t="s">
        <v>236</v>
      </c>
      <c r="CS187" s="379" t="s">
        <v>236</v>
      </c>
      <c r="CT187" s="379" t="s">
        <v>236</v>
      </c>
      <c r="CU187" s="379" t="s">
        <v>236</v>
      </c>
      <c r="CV187" s="379" t="s">
        <v>236</v>
      </c>
      <c r="CW187" s="379" t="s">
        <v>236</v>
      </c>
      <c r="CX187" s="379" t="s">
        <v>236</v>
      </c>
      <c r="CY187" s="379" t="s">
        <v>236</v>
      </c>
      <c r="CZ187" s="379" t="s">
        <v>236</v>
      </c>
      <c r="DA187" s="379" t="s">
        <v>236</v>
      </c>
      <c r="DB187" s="379" t="s">
        <v>236</v>
      </c>
      <c r="DC187" s="379" t="s">
        <v>236</v>
      </c>
      <c r="DD187" s="379" t="s">
        <v>236</v>
      </c>
      <c r="DE187" s="379" t="s">
        <v>236</v>
      </c>
      <c r="DF187" s="379" t="s">
        <v>236</v>
      </c>
    </row>
    <row r="188" spans="1:118" ht="11.25" hidden="1" customHeight="1" outlineLevel="1" x14ac:dyDescent="0.2">
      <c r="D188" s="43"/>
      <c r="E188" s="43"/>
      <c r="F188" s="43"/>
      <c r="G188" s="43"/>
      <c r="H188" s="43"/>
      <c r="I188" s="43"/>
      <c r="J188" s="43"/>
      <c r="K188" s="43"/>
      <c r="L188" s="43"/>
      <c r="M188" s="43"/>
      <c r="N188" s="43"/>
      <c r="O188" s="43"/>
      <c r="P188" s="43"/>
      <c r="Q188" s="43"/>
      <c r="R188" s="43"/>
      <c r="S188" s="43"/>
      <c r="T188" s="43"/>
      <c r="U188" s="43"/>
      <c r="V188" s="43"/>
      <c r="W188" s="43"/>
    </row>
    <row r="189" spans="1:118" ht="11.25" hidden="1" customHeight="1" outlineLevel="1" x14ac:dyDescent="0.2">
      <c r="B189" s="736" t="s">
        <v>237</v>
      </c>
      <c r="D189" s="77"/>
      <c r="E189" s="77"/>
      <c r="F189" s="77"/>
      <c r="G189" s="77"/>
      <c r="H189" s="77"/>
      <c r="I189" s="77"/>
      <c r="J189" s="77"/>
      <c r="K189" s="77"/>
      <c r="L189" s="77"/>
      <c r="M189" s="77"/>
      <c r="N189" s="77"/>
      <c r="O189" s="77"/>
      <c r="P189" s="77"/>
      <c r="Q189" s="77"/>
      <c r="R189" s="77"/>
      <c r="S189" s="77"/>
      <c r="T189" s="77"/>
      <c r="U189" s="77"/>
      <c r="V189" s="77"/>
      <c r="W189" s="77"/>
      <c r="X189" s="10"/>
      <c r="Y189" s="10"/>
      <c r="Z189" s="10"/>
      <c r="AA189" s="10"/>
      <c r="AB189" s="10"/>
      <c r="AC189" s="10"/>
      <c r="AD189" s="10"/>
      <c r="AE189" s="10"/>
      <c r="AF189" s="10"/>
      <c r="AG189" s="10"/>
      <c r="AH189" s="10"/>
      <c r="AI189" s="10"/>
      <c r="AJ189" s="10"/>
      <c r="AK189" s="10"/>
      <c r="AL189" s="10"/>
      <c r="AM189" s="10"/>
      <c r="AN189" s="10"/>
      <c r="AO189" s="77"/>
      <c r="AP189" s="77"/>
      <c r="AQ189" s="10"/>
      <c r="AR189" s="10"/>
      <c r="AS189" s="10"/>
      <c r="AT189" s="77"/>
      <c r="AU189" s="77"/>
      <c r="AV189" s="10"/>
      <c r="AW189" s="10"/>
      <c r="AX189" s="10"/>
      <c r="AY189" s="10"/>
      <c r="AZ189" s="10"/>
      <c r="BA189" s="10"/>
      <c r="BB189" s="10"/>
      <c r="BC189" s="10"/>
      <c r="BD189" s="10"/>
      <c r="BE189" s="10"/>
      <c r="BF189" s="10"/>
      <c r="BG189" s="10"/>
      <c r="BH189" s="10"/>
      <c r="BI189" s="10"/>
      <c r="BJ189" s="10"/>
      <c r="BK189" s="10"/>
      <c r="BL189" s="10"/>
      <c r="BM189" s="10"/>
      <c r="BN189" s="10"/>
      <c r="BO189" s="10"/>
      <c r="BP189" s="10"/>
      <c r="BQ189" s="10"/>
      <c r="BR189" s="10"/>
      <c r="BS189" s="10"/>
      <c r="BT189" s="10"/>
      <c r="BU189" s="10"/>
      <c r="BV189" s="10"/>
      <c r="BW189" s="10"/>
      <c r="BX189" s="10"/>
      <c r="BY189" s="10"/>
      <c r="BZ189" s="10"/>
      <c r="CA189" s="10"/>
      <c r="CB189" s="10"/>
      <c r="CC189" s="10"/>
      <c r="CD189" s="10"/>
      <c r="CE189" s="10"/>
      <c r="CF189" s="10"/>
      <c r="CG189" s="10"/>
      <c r="CH189" s="10"/>
      <c r="CI189" s="10"/>
      <c r="CJ189" s="10"/>
      <c r="CK189" s="10"/>
      <c r="CL189" s="10"/>
      <c r="CM189" s="10"/>
      <c r="CN189" s="10"/>
      <c r="CO189" s="10"/>
      <c r="CP189" s="10"/>
      <c r="CQ189" s="10"/>
      <c r="CR189" s="10"/>
      <c r="CS189" s="10"/>
      <c r="CT189" s="10"/>
      <c r="CU189" s="10"/>
      <c r="CV189" s="10"/>
      <c r="CW189" s="10"/>
      <c r="CX189" s="10"/>
      <c r="CY189" s="10"/>
      <c r="CZ189" s="10"/>
      <c r="DA189" s="10"/>
      <c r="DB189" s="10"/>
      <c r="DC189" s="10"/>
      <c r="DD189" s="10"/>
      <c r="DE189" s="10"/>
      <c r="DF189" s="10"/>
    </row>
    <row r="190" spans="1:118" ht="11.25" hidden="1" customHeight="1" outlineLevel="1" x14ac:dyDescent="0.2">
      <c r="B190" s="724" t="s">
        <v>238</v>
      </c>
      <c r="D190" s="77"/>
      <c r="E190" s="77"/>
      <c r="F190" s="32"/>
      <c r="G190" s="32"/>
      <c r="H190" s="32"/>
      <c r="I190" s="32"/>
      <c r="J190" s="32"/>
      <c r="K190" s="32"/>
      <c r="L190" s="32"/>
      <c r="M190" s="32"/>
      <c r="N190" s="32"/>
      <c r="O190" s="32"/>
      <c r="P190" s="32"/>
      <c r="Q190" s="32"/>
      <c r="R190" s="32"/>
      <c r="S190" s="32"/>
      <c r="T190" s="32"/>
      <c r="U190" s="32"/>
      <c r="V190" s="32"/>
      <c r="W190" s="32"/>
      <c r="X190" s="32"/>
      <c r="Y190" s="32"/>
      <c r="Z190" s="32"/>
      <c r="AA190" s="32"/>
      <c r="AB190" s="32"/>
      <c r="AC190" s="32"/>
      <c r="AD190" s="32"/>
      <c r="AE190" s="32"/>
      <c r="AF190" s="32"/>
      <c r="AG190" s="32"/>
      <c r="AH190" s="32"/>
      <c r="AI190" s="32"/>
      <c r="AJ190" s="32">
        <f>AJ120-AI120+AJ121-AI121-AJ41+AJ153</f>
        <v>10.90000000000083</v>
      </c>
      <c r="AK190" s="32">
        <f>AK120-AJ120+AK121-AJ121-AK41+AK153</f>
        <v>30.099999999999341</v>
      </c>
      <c r="AL190" s="32">
        <f>AL120-AK120+AL121-AK121-AL41+AL153</f>
        <v>12.300000000000409</v>
      </c>
      <c r="AM190" s="32">
        <f>AM120-AL120+AM121-AL121-AM41+AM153</f>
        <v>17.300000000000551</v>
      </c>
      <c r="AN190" s="32">
        <f>SUM(AJ190:AM190)</f>
        <v>70.600000000001131</v>
      </c>
      <c r="AO190" s="32">
        <f>AO120-AN120+AO121-AN121-AO41+AO153</f>
        <v>13.69999999999925</v>
      </c>
      <c r="AP190" s="32">
        <f>AP120-AO120+AP121-AO121-AP41+AP153</f>
        <v>21.499999999999432</v>
      </c>
      <c r="AQ190" s="32">
        <f>AQ120-AP120+AQ121-AP121-AQ41+AQ153</f>
        <v>24.300000000000125</v>
      </c>
      <c r="AR190" s="32">
        <f>AR120-AQ120+AR121-AQ121-AR41+AR153</f>
        <v>13.600000000000847</v>
      </c>
      <c r="AS190" s="32">
        <f>SUM(AO190:AR190)</f>
        <v>73.099999999999653</v>
      </c>
      <c r="AT190" s="32">
        <f>AT120-AS120+AT121-AS121-AT41+AT153</f>
        <v>4.8999999999998352</v>
      </c>
      <c r="AU190" s="32">
        <f>AU120-AT120+AU121-AT121-AU41+AU153</f>
        <v>1582.8</v>
      </c>
      <c r="AV190" s="32">
        <f>AV120-AU120+AV121-AU121-AV41+AV153</f>
        <v>15.500000000000938</v>
      </c>
      <c r="AW190" s="32">
        <f>AW120-AV120+AW121-AV121-AW41+AW153</f>
        <v>16.400000000000318</v>
      </c>
      <c r="AX190" s="32">
        <f>SUM(AT190:AW190)</f>
        <v>1619.600000000001</v>
      </c>
      <c r="AY190" s="32">
        <f>AY120-AX120+AY121-AX121-AY41+AY153</f>
        <v>23.000000000000171</v>
      </c>
      <c r="AZ190" s="32">
        <f>AZ120-AY120+AZ121-AY121-AZ41+AZ153</f>
        <v>15.099999999998374</v>
      </c>
      <c r="BA190" s="32">
        <f>BA120-AZ120+BA121-AZ121-BA41+BA153</f>
        <v>16.200000000000955</v>
      </c>
      <c r="BB190" s="32">
        <f>BB120-BA120+BB121-BA121-BB41+BB153</f>
        <v>40.099999999999056</v>
      </c>
      <c r="BC190" s="32">
        <f>SUM(AY190:BB190)</f>
        <v>94.399999999998556</v>
      </c>
      <c r="BD190" s="32">
        <f>BD120-BC120+BD121-BC121-BD41+BD153</f>
        <v>16.599999999999511</v>
      </c>
      <c r="BE190" s="32">
        <f>BE120-BD120+BE121-BD121-BE41+BE153</f>
        <v>35.799999999999613</v>
      </c>
      <c r="BF190" s="32">
        <f>BF120-BE120+BF121-BE121-BF41+BF153</f>
        <v>15.700000000000387</v>
      </c>
      <c r="BG190" s="32">
        <f ca="1">BG120-BF120+BG121-BF121-BG41+BG153</f>
        <v>8.8028607159609464</v>
      </c>
      <c r="BH190" s="32">
        <f ca="1">SUM(BD190:BG190)</f>
        <v>76.902860715960458</v>
      </c>
      <c r="BI190" s="32">
        <f>BI120-BH120+BI121-BH121-BI41+BI153</f>
        <v>19.199999999999989</v>
      </c>
      <c r="BJ190" s="32">
        <f>BJ120-BI120+BJ121-BI121-BJ41+BJ153</f>
        <v>12591.699999999997</v>
      </c>
      <c r="BK190" s="32">
        <f>BK120-BJ120+BK121-BJ121-BK41+BK153</f>
        <v>216.69999999999982</v>
      </c>
      <c r="BL190" s="32">
        <f>BL120-BK120+BL121-BK121-BL41+BL153</f>
        <v>133.64000000000084</v>
      </c>
      <c r="BM190" s="32">
        <f>SUM(BI190:BL190)</f>
        <v>12961.24</v>
      </c>
      <c r="BN190" s="32">
        <f>BN120-BM120+BN121-BM121-BN41+BN153</f>
        <v>156.79999999999961</v>
      </c>
      <c r="BO190" s="32">
        <f>BO120-BN120+BO121-BN121-BO41+BO153</f>
        <v>203.10000000000502</v>
      </c>
      <c r="BP190" s="32">
        <f>BP120-BO120+BP121-BO121-BP41+BP153</f>
        <v>158.70000000000402</v>
      </c>
      <c r="BQ190" s="32">
        <f>BQ120-BP120+BQ121-BP121-BQ41+BQ153</f>
        <v>-6.4000000000004889</v>
      </c>
      <c r="BR190" s="32">
        <f>SUM(BN190:BQ190)</f>
        <v>512.20000000000823</v>
      </c>
      <c r="BS190" s="32">
        <f>BS120-BR120+BS121-BR121-BS41+BS153</f>
        <v>334.8170050761417</v>
      </c>
      <c r="BT190" s="32">
        <f>BT120-BS120+BT121-BS121-BT41+BT153</f>
        <v>250.50000000000045</v>
      </c>
      <c r="BU190" s="32">
        <f>BU120-BT120+BU121-BT121-BU41+BU153</f>
        <v>136.09999999999786</v>
      </c>
      <c r="BV190" s="32">
        <f>BV120-BU120+BV121-BU121-BV41+BV153</f>
        <v>152.08880024360656</v>
      </c>
      <c r="BW190" s="32">
        <f>SUM(BS190:BV190)</f>
        <v>873.50580531974651</v>
      </c>
      <c r="BX190" s="32">
        <f>BX120-BW120+BX121-BW121-BX41+BX153</f>
        <v>117.5000000000004</v>
      </c>
      <c r="BY190" s="32">
        <f>BY120-BX120+BY121-BX121-BY41+BY153</f>
        <v>-710.20000000000027</v>
      </c>
      <c r="BZ190" s="32">
        <f>BZ120-BY120+BZ121-BY121-BZ41+BZ153</f>
        <v>56.000000000000682</v>
      </c>
      <c r="CA190" s="32">
        <f ca="1">CA120-BZ120+CA121-BZ121-CA41+CA153</f>
        <v>64.299999999998363</v>
      </c>
      <c r="CB190" s="32">
        <f ca="1">SUM(BX190:CA190)</f>
        <v>-472.40000000000077</v>
      </c>
      <c r="CC190" s="32">
        <f>CC120-CB120+CC121-CB121-CC41+CC153</f>
        <v>422.30000000000035</v>
      </c>
      <c r="CD190" s="32">
        <f>CD120-CC120+CD121-CC121-CD41+CD153</f>
        <v>142.40000000000077</v>
      </c>
      <c r="CE190" s="32">
        <f>CE120-CD120+CE121-CD121-CE41+CE153</f>
        <v>608.49999999999955</v>
      </c>
      <c r="CF190" s="32">
        <f>CF120-CE120+CF121-CE121-CF41+CF153</f>
        <v>-27.500000000001734</v>
      </c>
      <c r="CG190" s="32">
        <f>SUM(CC190:CF190)</f>
        <v>1145.6999999999989</v>
      </c>
      <c r="CH190" s="32">
        <f>CH120-CG120+CH121-CG121-CH41+CH153</f>
        <v>-846.70000000000027</v>
      </c>
      <c r="CI190" s="32">
        <f>CI120-CH120+CI121-CH121-CI41+CI153</f>
        <v>-461.40000000000077</v>
      </c>
      <c r="CJ190" s="32">
        <f>CJ120-CI120+CJ121-CI121-CJ41+CJ153</f>
        <v>-553.70000000000005</v>
      </c>
      <c r="CK190" s="32">
        <f>CK120-CJ120+CK121-CJ121-CK41+CK153</f>
        <v>944.60000000000105</v>
      </c>
      <c r="CL190" s="32">
        <f>SUM(CH190:CK190)</f>
        <v>-917.2</v>
      </c>
      <c r="CM190" s="32">
        <f ca="1">CM120-CL120+CM121-CL121-CM41+CM153</f>
        <v>-9.0949470177292824E-13</v>
      </c>
      <c r="CN190" s="32">
        <f ca="1">CN120-CM120+CN121-CM121-CN41+CN153</f>
        <v>9.0949470177292824E-13</v>
      </c>
      <c r="CO190" s="32">
        <f ca="1">CO120-CN120+CO121-CN121-CO41+CO153</f>
        <v>0</v>
      </c>
      <c r="CP190" s="32">
        <f ca="1">CP120-CO120+CP121-CO121-CP41+CP153</f>
        <v>4.5474735088646412E-13</v>
      </c>
      <c r="CQ190" s="32">
        <f ca="1">SUM(CM190:CP190)</f>
        <v>4.5474735088646412E-13</v>
      </c>
      <c r="CR190" s="32">
        <f ca="1">CR120-CQ120+CR121-CQ121-CR41+CR153</f>
        <v>-1.3642420526593924E-12</v>
      </c>
      <c r="CS190" s="32">
        <f ca="1">CS120-CR120+CS121-CR121-CS41+CS153</f>
        <v>1.8189894035458565E-12</v>
      </c>
      <c r="CT190" s="32">
        <f ca="1">CT120-CS120+CT121-CS121-CT41+CT153</f>
        <v>1.1368683772161603E-12</v>
      </c>
      <c r="CU190" s="32">
        <f ca="1">CU120-CT120+CU121-CT121-CU41+CU153</f>
        <v>1.5916157281026244E-12</v>
      </c>
      <c r="CV190" s="32">
        <f ca="1">SUM(CR190:CU190)</f>
        <v>3.1832314562052488E-12</v>
      </c>
      <c r="CW190" s="32">
        <f ca="1">CW120-CV120+CW121-CV121-CW41+CW153</f>
        <v>-1.5916157281026244E-12</v>
      </c>
      <c r="CX190" s="32">
        <f ca="1">CX120-CW120+CX121-CW121-CX41+CX153</f>
        <v>-6.8212102632969618E-13</v>
      </c>
      <c r="CY190" s="32">
        <f ca="1">CY120-CX120+CY121-CX121-CY41+CY153</f>
        <v>2.2737367544323206E-13</v>
      </c>
      <c r="CZ190" s="32">
        <f ca="1">CZ120-CY120+CZ121-CY121-CZ41+CZ153</f>
        <v>9.0949470177292824E-13</v>
      </c>
      <c r="DA190" s="32">
        <f ca="1">SUM(CW190:CZ190)</f>
        <v>-1.1368683772161603E-12</v>
      </c>
      <c r="DB190" s="32">
        <f ca="1">DB120-DA120+DB121-DA121-DB41+DB153</f>
        <v>-7.3896444519050419E-13</v>
      </c>
      <c r="DC190" s="32">
        <f ca="1">DC120-DB120+DC121-DB121-DC41+DC153</f>
        <v>1.8189894035458565E-12</v>
      </c>
      <c r="DD190" s="32">
        <f ca="1">DD120-DC120+DD121-DC121-DD41+DD153</f>
        <v>-2.2737367544323206E-13</v>
      </c>
      <c r="DE190" s="32">
        <f ca="1">DE120-DD120+DE121-DD121-DE41+DE153</f>
        <v>-1.1368683772161603E-12</v>
      </c>
      <c r="DF190" s="32">
        <f ca="1">SUM(DB190:DE190)</f>
        <v>-2.8421709430404007E-13</v>
      </c>
    </row>
    <row r="191" spans="1:118" collapsed="1" x14ac:dyDescent="0.2"/>
    <row r="192" spans="1:118" x14ac:dyDescent="0.2">
      <c r="B192" s="1892" t="s">
        <v>720</v>
      </c>
      <c r="C192" s="1893"/>
      <c r="D192" s="1894"/>
      <c r="E192" s="1894"/>
      <c r="F192" s="1895"/>
      <c r="G192" s="1896"/>
      <c r="H192" s="1896"/>
      <c r="I192" s="1897"/>
      <c r="J192" s="1894"/>
      <c r="K192" s="1895"/>
      <c r="L192" s="1896"/>
      <c r="M192" s="1896"/>
      <c r="N192" s="1897"/>
      <c r="O192" s="1894"/>
      <c r="P192" s="1895"/>
      <c r="Q192" s="1896"/>
      <c r="R192" s="1896"/>
      <c r="S192" s="1897"/>
      <c r="T192" s="1894"/>
      <c r="U192" s="1896"/>
      <c r="V192" s="1896"/>
      <c r="W192" s="1896"/>
      <c r="X192" s="1897"/>
      <c r="Y192" s="1898"/>
      <c r="Z192" s="1897"/>
      <c r="AA192" s="1897"/>
      <c r="AB192" s="1897"/>
      <c r="AC192" s="1897"/>
      <c r="AD192" s="1898"/>
      <c r="AE192" s="1897"/>
      <c r="AF192" s="1897"/>
      <c r="AG192" s="1897"/>
      <c r="AH192" s="1897"/>
      <c r="AI192" s="1898"/>
      <c r="AJ192" s="1897"/>
      <c r="AK192" s="1897"/>
      <c r="AL192" s="1897"/>
      <c r="AM192" s="1897"/>
      <c r="AN192" s="1898"/>
      <c r="AO192" s="1896"/>
      <c r="AP192" s="1896"/>
      <c r="AQ192" s="1897"/>
      <c r="AR192" s="1896"/>
      <c r="AS192" s="1894"/>
      <c r="AT192" s="1896">
        <f>+SUM(AT96:AT102)</f>
        <v>2407.7000000000003</v>
      </c>
      <c r="AU192" s="1896">
        <f t="shared" ref="AU192:AW192" si="648">+SUM(AU96:AU102)</f>
        <v>7694.1</v>
      </c>
      <c r="AV192" s="1897">
        <f t="shared" si="648"/>
        <v>8109.5999999999985</v>
      </c>
      <c r="AW192" s="1897">
        <f t="shared" si="648"/>
        <v>4382.3999999999996</v>
      </c>
      <c r="AX192" s="1898">
        <f>+AW192</f>
        <v>4382.3999999999996</v>
      </c>
      <c r="AY192" s="1896">
        <f>+SUM(AY96:AY102)</f>
        <v>4217.8</v>
      </c>
      <c r="AZ192" s="1896">
        <f t="shared" ref="AZ192:BB192" si="649">+SUM(AZ96:AZ102)</f>
        <v>3995.9</v>
      </c>
      <c r="BA192" s="1897">
        <f t="shared" si="649"/>
        <v>2729.2</v>
      </c>
      <c r="BB192" s="1897">
        <f t="shared" si="649"/>
        <v>3255.6000000000008</v>
      </c>
      <c r="BC192" s="1898">
        <f>+BB192</f>
        <v>3255.6000000000008</v>
      </c>
      <c r="BD192" s="1896">
        <f>+SUM(BD96:BD102)</f>
        <v>3297.7999999999997</v>
      </c>
      <c r="BE192" s="1896">
        <f t="shared" ref="BE192:BG192" si="650">+SUM(BE96:BE102)</f>
        <v>2831</v>
      </c>
      <c r="BF192" s="1897">
        <f t="shared" si="650"/>
        <v>3439.3</v>
      </c>
      <c r="BG192" s="1897">
        <f t="shared" si="650"/>
        <v>8205.7999999999993</v>
      </c>
      <c r="BH192" s="1898">
        <f>+BG192</f>
        <v>8205.7999999999993</v>
      </c>
      <c r="BI192" s="1896">
        <f>+SUM(BI96:BI102)</f>
        <v>12236.7</v>
      </c>
      <c r="BJ192" s="1896">
        <f t="shared" ref="BJ192:BL192" si="651">+SUM(BJ96:BJ102)</f>
        <v>10460.199999999999</v>
      </c>
      <c r="BK192" s="1897">
        <f t="shared" si="651"/>
        <v>10329.6</v>
      </c>
      <c r="BL192" s="1897">
        <f t="shared" si="651"/>
        <v>11577.4</v>
      </c>
      <c r="BM192" s="1898">
        <f>+BL192</f>
        <v>11577.4</v>
      </c>
      <c r="BN192" s="1896">
        <f>+SUM(BN96:BN102)</f>
        <v>9474.2999999999993</v>
      </c>
      <c r="BO192" s="1896">
        <f t="shared" ref="BO192:BQ192" si="652">+SUM(BO96:BO102)</f>
        <v>9037.6999999999989</v>
      </c>
      <c r="BP192" s="1897">
        <f t="shared" si="652"/>
        <v>9970.1</v>
      </c>
      <c r="BQ192" s="1897">
        <f t="shared" si="652"/>
        <v>9051.7999999999993</v>
      </c>
      <c r="BR192" s="1898">
        <f>+BQ192</f>
        <v>9051.7999999999993</v>
      </c>
      <c r="BS192" s="1896">
        <f>+SUM(BS96:BS102)</f>
        <v>8134.4000000000015</v>
      </c>
      <c r="BT192" s="1896">
        <f t="shared" ref="BT192:BV192" si="653">+SUM(BT96:BT102)</f>
        <v>10431.799999999999</v>
      </c>
      <c r="BU192" s="1897">
        <f t="shared" si="653"/>
        <v>10400.300000000001</v>
      </c>
      <c r="BV192" s="1897">
        <f t="shared" si="653"/>
        <v>10568.099999999999</v>
      </c>
      <c r="BW192" s="1898">
        <f>+BV192</f>
        <v>10568.099999999999</v>
      </c>
      <c r="BX192" s="1896">
        <f>+SUM(BX96:BX102)</f>
        <v>9703.9</v>
      </c>
      <c r="BY192" s="1896">
        <f t="shared" ref="BY192:CA192" si="654">+SUM(BY96:BY102)</f>
        <v>10409.9</v>
      </c>
      <c r="BZ192" s="1897">
        <f t="shared" si="654"/>
        <v>10989.1</v>
      </c>
      <c r="CA192" s="1897">
        <f t="shared" si="654"/>
        <v>12188.3</v>
      </c>
      <c r="CB192" s="1898">
        <f>+CA192</f>
        <v>12188.3</v>
      </c>
      <c r="CC192" s="1896">
        <f>+SUM(CC96:CC102)</f>
        <v>10536.699999999999</v>
      </c>
      <c r="CD192" s="1896">
        <f t="shared" ref="CD192:CF192" si="655">+SUM(CD96:CD102)</f>
        <v>10815.3</v>
      </c>
      <c r="CE192" s="1897">
        <f t="shared" si="655"/>
        <v>11296.9</v>
      </c>
      <c r="CF192" s="1897">
        <f t="shared" si="655"/>
        <v>12628.5</v>
      </c>
      <c r="CG192" s="1898">
        <f>+CF192</f>
        <v>12628.5</v>
      </c>
      <c r="CH192" s="1896">
        <f>+SUM(CH96:CH102)</f>
        <v>12323.1</v>
      </c>
      <c r="CI192" s="1896">
        <f>+SUM(CI96:CI102)</f>
        <v>11934.900000000001</v>
      </c>
      <c r="CJ192" s="1897">
        <f t="shared" ref="CJ192:CK192" si="656">+SUM(CJ96:CJ102)</f>
        <v>13037.7</v>
      </c>
      <c r="CK192" s="1897">
        <f t="shared" si="656"/>
        <v>12423.399999999998</v>
      </c>
      <c r="CL192" s="1898">
        <f>+CK192</f>
        <v>12423.399999999998</v>
      </c>
      <c r="CM192" s="1896">
        <f ca="1">+SUM(CM96:CM102)</f>
        <v>11035.295787430219</v>
      </c>
      <c r="CN192" s="1896">
        <f t="shared" ref="CN192:CP192" ca="1" si="657">+SUM(CN96:CN102)</f>
        <v>12505.256205640324</v>
      </c>
      <c r="CO192" s="1897">
        <f t="shared" ca="1" si="657"/>
        <v>14140.550565862193</v>
      </c>
      <c r="CP192" s="1897">
        <f t="shared" ca="1" si="657"/>
        <v>15727.183483727642</v>
      </c>
      <c r="CQ192" s="1898">
        <f ca="1">+CP192</f>
        <v>15727.183483727642</v>
      </c>
      <c r="CR192" s="1896">
        <f ca="1">+SUM(CR96:CR102)</f>
        <v>17337.103598796166</v>
      </c>
      <c r="CS192" s="1896">
        <f t="shared" ref="CS192:CU192" ca="1" si="658">+SUM(CS96:CS102)</f>
        <v>17571.565150640457</v>
      </c>
      <c r="CT192" s="1897">
        <f t="shared" ca="1" si="658"/>
        <v>19226.143210452021</v>
      </c>
      <c r="CU192" s="1897">
        <f t="shared" ca="1" si="658"/>
        <v>20770.925220839679</v>
      </c>
      <c r="CV192" s="1898">
        <f ca="1">+CU192</f>
        <v>20770.925220839679</v>
      </c>
      <c r="CW192" s="1896">
        <f ca="1">+SUM(CW96:CW102)</f>
        <v>20457.989966097528</v>
      </c>
      <c r="CX192" s="1896">
        <f t="shared" ref="CX192:CZ192" ca="1" si="659">+SUM(CX96:CX102)</f>
        <v>20554.382437576289</v>
      </c>
      <c r="CY192" s="1897">
        <f t="shared" ca="1" si="659"/>
        <v>22065.235862597227</v>
      </c>
      <c r="CZ192" s="1897">
        <f t="shared" ca="1" si="659"/>
        <v>23400.599385211262</v>
      </c>
      <c r="DA192" s="1898">
        <f ca="1">+CZ192</f>
        <v>23400.599385211262</v>
      </c>
      <c r="DB192" s="1896">
        <f ca="1">+SUM(DB96:DB102)</f>
        <v>23085.445314238372</v>
      </c>
      <c r="DC192" s="1896">
        <f t="shared" ref="DC192:DE192" ca="1" si="660">+SUM(DC96:DC102)</f>
        <v>23040.060536803448</v>
      </c>
      <c r="DD192" s="1897">
        <f t="shared" ca="1" si="660"/>
        <v>24414.484317080489</v>
      </c>
      <c r="DE192" s="1897">
        <f t="shared" ca="1" si="660"/>
        <v>25588.312805083093</v>
      </c>
      <c r="DF192" s="1898">
        <f ca="1">+DE192</f>
        <v>25588.312805083093</v>
      </c>
    </row>
    <row r="193" spans="1:110" x14ac:dyDescent="0.2">
      <c r="B193" s="1899" t="s">
        <v>721</v>
      </c>
      <c r="C193" s="1900"/>
      <c r="D193" s="38"/>
      <c r="E193" s="38"/>
      <c r="F193" s="1901"/>
      <c r="G193" s="44"/>
      <c r="H193" s="44"/>
      <c r="I193" s="1902"/>
      <c r="J193" s="38"/>
      <c r="K193" s="1901"/>
      <c r="L193" s="44"/>
      <c r="M193" s="44"/>
      <c r="N193" s="1902"/>
      <c r="O193" s="38"/>
      <c r="P193" s="1901"/>
      <c r="Q193" s="44"/>
      <c r="R193" s="44"/>
      <c r="S193" s="1902"/>
      <c r="T193" s="38"/>
      <c r="U193" s="44"/>
      <c r="V193" s="44"/>
      <c r="W193" s="44"/>
      <c r="X193" s="1902"/>
      <c r="Y193" s="46"/>
      <c r="Z193" s="1902"/>
      <c r="AA193" s="1902"/>
      <c r="AB193" s="1902"/>
      <c r="AC193" s="1902"/>
      <c r="AD193" s="46"/>
      <c r="AE193" s="1902"/>
      <c r="AF193" s="1902"/>
      <c r="AG193" s="1902"/>
      <c r="AH193" s="1902"/>
      <c r="AI193" s="46"/>
      <c r="AJ193" s="1902"/>
      <c r="AK193" s="1902"/>
      <c r="AL193" s="1902"/>
      <c r="AM193" s="1902"/>
      <c r="AN193" s="46"/>
      <c r="AO193" s="44"/>
      <c r="AP193" s="44"/>
      <c r="AQ193" s="1902"/>
      <c r="AR193" s="44"/>
      <c r="AS193" s="38"/>
      <c r="AT193" s="44">
        <f>+SUM(AT110:AT113)</f>
        <v>2871.2</v>
      </c>
      <c r="AU193" s="44">
        <f t="shared" ref="AU193:AW193" si="661">+SUM(AU110:AU113)</f>
        <v>2865.7</v>
      </c>
      <c r="AV193" s="1902">
        <f t="shared" si="661"/>
        <v>3055.9</v>
      </c>
      <c r="AW193" s="1902">
        <f t="shared" si="661"/>
        <v>5456.8</v>
      </c>
      <c r="AX193" s="46">
        <f>+AW193</f>
        <v>5456.8</v>
      </c>
      <c r="AY193" s="44">
        <f>+SUM(AY110:AY113)</f>
        <v>5189.5</v>
      </c>
      <c r="AZ193" s="44">
        <f t="shared" ref="AZ193:BB193" si="662">+SUM(AZ110:AZ113)</f>
        <v>4869.1000000000004</v>
      </c>
      <c r="BA193" s="1902">
        <f t="shared" si="662"/>
        <v>3966.6</v>
      </c>
      <c r="BB193" s="1902">
        <f t="shared" si="662"/>
        <v>3917.2</v>
      </c>
      <c r="BC193" s="46">
        <f>+BB193</f>
        <v>3917.2</v>
      </c>
      <c r="BD193" s="44">
        <f>+SUM(BD110:BD113)</f>
        <v>3710.9</v>
      </c>
      <c r="BE193" s="44">
        <f t="shared" ref="BE193:BG193" si="663">+SUM(BE110:BE113)</f>
        <v>4763.5</v>
      </c>
      <c r="BF193" s="1902">
        <f t="shared" si="663"/>
        <v>5143.7</v>
      </c>
      <c r="BG193" s="1902">
        <f t="shared" si="663"/>
        <v>5458.0999999999995</v>
      </c>
      <c r="BH193" s="46">
        <f>+BG193</f>
        <v>5458.0999999999995</v>
      </c>
      <c r="BI193" s="44">
        <f>+SUM(BI110:BI113)</f>
        <v>5667.3</v>
      </c>
      <c r="BJ193" s="44">
        <f t="shared" ref="BJ193:BL193" si="664">+SUM(BJ110:BJ113)</f>
        <v>12843.8</v>
      </c>
      <c r="BK193" s="1902">
        <f t="shared" si="664"/>
        <v>11792.9</v>
      </c>
      <c r="BL193" s="1902">
        <f t="shared" si="664"/>
        <v>13057.4</v>
      </c>
      <c r="BM193" s="46">
        <f>+BL193</f>
        <v>13057.4</v>
      </c>
      <c r="BN193" s="44">
        <f>+SUM(BN110:BN113)</f>
        <v>11524.1</v>
      </c>
      <c r="BO193" s="44">
        <f t="shared" ref="BO193:BQ193" si="665">+SUM(BO110:BO113)</f>
        <v>10618.300000000001</v>
      </c>
      <c r="BP193" s="1902">
        <f t="shared" si="665"/>
        <v>11226.2</v>
      </c>
      <c r="BQ193" s="1902">
        <f t="shared" si="665"/>
        <v>13235.3</v>
      </c>
      <c r="BR193" s="46">
        <f>+BQ193</f>
        <v>13235.3</v>
      </c>
      <c r="BS193" s="44">
        <f>+SUM(BS110:BS113)</f>
        <v>13574.9</v>
      </c>
      <c r="BT193" s="44">
        <f t="shared" ref="BT193:BV193" si="666">+SUM(BT110:BT113)</f>
        <v>15984.399999999998</v>
      </c>
      <c r="BU193" s="1902">
        <f t="shared" si="666"/>
        <v>15922.5</v>
      </c>
      <c r="BV193" s="1902">
        <f t="shared" si="666"/>
        <v>17016.899999999998</v>
      </c>
      <c r="BW193" s="46">
        <f>+BV193</f>
        <v>17016.899999999998</v>
      </c>
      <c r="BX193" s="44">
        <f>+SUM(BX110:BX113)</f>
        <v>14900.2</v>
      </c>
      <c r="BY193" s="44">
        <f t="shared" ref="BY193:CA193" si="667">+SUM(BY110:BY113)</f>
        <v>15868.8</v>
      </c>
      <c r="BZ193" s="1902">
        <f t="shared" si="667"/>
        <v>16013.800000000001</v>
      </c>
      <c r="CA193" s="1902">
        <f t="shared" si="667"/>
        <v>17155.3</v>
      </c>
      <c r="CB193" s="46">
        <f>+CA193</f>
        <v>17155.3</v>
      </c>
      <c r="CC193" s="44">
        <f>+SUM(CC110:CC113)</f>
        <v>17236.900000000001</v>
      </c>
      <c r="CD193" s="44">
        <f t="shared" ref="CD193:CF193" si="668">+SUM(CD110:CD113)</f>
        <v>19136.5</v>
      </c>
      <c r="CE193" s="1902">
        <f t="shared" si="668"/>
        <v>15978.5</v>
      </c>
      <c r="CF193" s="1902">
        <f t="shared" si="668"/>
        <v>16428.099999999999</v>
      </c>
      <c r="CG193" s="46">
        <f>+CF193</f>
        <v>16428.099999999999</v>
      </c>
      <c r="CH193" s="44">
        <f>+SUM(CH110:CH113)</f>
        <v>17041.699999999997</v>
      </c>
      <c r="CI193" s="44">
        <f>+SUM(CI110:CI113)</f>
        <v>16779.3</v>
      </c>
      <c r="CJ193" s="1902">
        <f t="shared" ref="CJ193:CK193" si="669">+SUM(CJ110:CJ113)</f>
        <v>17356.8</v>
      </c>
      <c r="CK193" s="1902">
        <f t="shared" si="669"/>
        <v>17846.400000000001</v>
      </c>
      <c r="CL193" s="46">
        <f>+CK193</f>
        <v>17846.400000000001</v>
      </c>
      <c r="CM193" s="44">
        <f ca="1">+SUM(CM110:CM113)</f>
        <v>16333.820855351991</v>
      </c>
      <c r="CN193" s="44">
        <f t="shared" ref="CN193:CP193" ca="1" si="670">+SUM(CN110:CN113)</f>
        <v>17711.343650373285</v>
      </c>
      <c r="CO193" s="1902">
        <f t="shared" ca="1" si="670"/>
        <v>17916.679769641771</v>
      </c>
      <c r="CP193" s="1902">
        <f t="shared" ca="1" si="670"/>
        <v>17963.180313724042</v>
      </c>
      <c r="CQ193" s="46">
        <f ca="1">+CP193</f>
        <v>17963.180313724042</v>
      </c>
      <c r="CR193" s="44">
        <f ca="1">+SUM(CR110:CR113)</f>
        <v>18444.02806017864</v>
      </c>
      <c r="CS193" s="44">
        <f t="shared" ref="CS193:CU193" ca="1" si="671">+SUM(CS110:CS113)</f>
        <v>18610.913736941813</v>
      </c>
      <c r="CT193" s="1902">
        <f t="shared" ca="1" si="671"/>
        <v>18875.670460241097</v>
      </c>
      <c r="CU193" s="1902">
        <f t="shared" ca="1" si="671"/>
        <v>18932.383890603673</v>
      </c>
      <c r="CV193" s="46">
        <f ca="1">+CU193</f>
        <v>18932.383890603673</v>
      </c>
      <c r="CW193" s="44">
        <f ca="1">+SUM(CW110:CW113)</f>
        <v>17594.954119456743</v>
      </c>
      <c r="CX193" s="44">
        <f t="shared" ref="CX193:CZ193" ca="1" si="672">+SUM(CX110:CX113)</f>
        <v>17779.214906054589</v>
      </c>
      <c r="CY193" s="1902">
        <f t="shared" ca="1" si="672"/>
        <v>18066.98380159006</v>
      </c>
      <c r="CZ193" s="1902">
        <f t="shared" ca="1" si="672"/>
        <v>18101.43499887154</v>
      </c>
      <c r="DA193" s="46">
        <f ca="1">+CZ193</f>
        <v>18101.43499887154</v>
      </c>
      <c r="DB193" s="44">
        <f ca="1">+SUM(DB110:DB113)</f>
        <v>16871.349666133123</v>
      </c>
      <c r="DC193" s="44">
        <f t="shared" ref="DC193:DE193" ca="1" si="673">+SUM(DC110:DC113)</f>
        <v>15740.633451426595</v>
      </c>
      <c r="DD193" s="1902">
        <f t="shared" ca="1" si="673"/>
        <v>16013.719964735301</v>
      </c>
      <c r="DE193" s="1902">
        <f t="shared" ca="1" si="673"/>
        <v>16037.31935846102</v>
      </c>
      <c r="DF193" s="46">
        <f ca="1">+DE193</f>
        <v>16037.31935846102</v>
      </c>
    </row>
    <row r="195" spans="1:110" customFormat="1" x14ac:dyDescent="0.2"/>
    <row r="196" spans="1:110" x14ac:dyDescent="0.2">
      <c r="A196" s="43"/>
      <c r="B196" s="753"/>
      <c r="C196" s="77"/>
      <c r="D196" s="43"/>
      <c r="E196" s="43"/>
      <c r="F196" s="43"/>
      <c r="G196" s="43"/>
      <c r="H196" s="43"/>
      <c r="I196" s="43"/>
      <c r="J196" s="43"/>
      <c r="K196" s="43"/>
      <c r="L196" s="43"/>
      <c r="M196" s="43"/>
      <c r="N196" s="43"/>
      <c r="O196" s="43"/>
      <c r="P196" s="43"/>
      <c r="Q196" s="43"/>
      <c r="R196" s="43"/>
      <c r="S196" s="43"/>
      <c r="T196" s="43"/>
      <c r="U196" s="43"/>
      <c r="V196" s="43"/>
      <c r="W196" s="43"/>
      <c r="X196" s="43"/>
      <c r="Y196" s="43"/>
      <c r="Z196" s="43"/>
      <c r="AA196" s="43"/>
      <c r="AB196" s="43"/>
      <c r="AC196" s="43"/>
      <c r="AD196" s="43"/>
      <c r="AE196" s="43"/>
      <c r="AF196" s="43"/>
      <c r="AG196" s="43"/>
      <c r="AH196" s="43"/>
      <c r="AI196" s="43"/>
      <c r="AJ196" s="43"/>
      <c r="AK196" s="43"/>
      <c r="AL196" s="43"/>
      <c r="AM196" s="43"/>
      <c r="AN196" s="43"/>
      <c r="AQ196" s="43"/>
      <c r="AR196" s="43"/>
      <c r="AS196" s="43"/>
      <c r="AV196" s="43"/>
      <c r="AW196" s="43"/>
      <c r="AX196" s="43"/>
      <c r="AY196" s="43"/>
      <c r="AZ196" s="43"/>
      <c r="BA196" s="43"/>
      <c r="BB196" s="43"/>
      <c r="BC196" s="43"/>
      <c r="BD196" s="43"/>
      <c r="BE196" s="43"/>
      <c r="BF196" s="43"/>
      <c r="BG196" s="43"/>
      <c r="BH196" s="43"/>
      <c r="BI196" s="43"/>
      <c r="BJ196" s="43"/>
      <c r="BK196" s="43"/>
      <c r="BL196" s="43"/>
      <c r="BM196" s="43"/>
      <c r="BN196" s="43"/>
      <c r="BO196" s="43"/>
      <c r="BP196" s="43"/>
      <c r="BQ196" s="43"/>
      <c r="BR196" s="43"/>
      <c r="BS196" s="43"/>
      <c r="BT196" s="43"/>
      <c r="BU196" s="43"/>
      <c r="BV196" s="43"/>
      <c r="BW196" s="43"/>
      <c r="BX196" s="43"/>
      <c r="BY196" s="43"/>
      <c r="BZ196" s="43"/>
      <c r="CA196" s="43"/>
      <c r="CB196" s="43"/>
      <c r="CC196" s="43"/>
      <c r="CD196" s="43"/>
      <c r="CE196" s="43"/>
      <c r="CF196" s="43"/>
      <c r="CG196" s="43"/>
      <c r="CH196" s="43"/>
      <c r="CI196" s="43"/>
      <c r="CJ196" s="43"/>
      <c r="CK196" s="43"/>
      <c r="CL196" s="43"/>
      <c r="CM196" s="43"/>
      <c r="CN196" s="43"/>
      <c r="CO196" s="43"/>
      <c r="CP196" s="43"/>
      <c r="CQ196" s="43"/>
      <c r="CR196" s="43"/>
      <c r="CS196" s="43"/>
      <c r="CT196" s="43"/>
      <c r="CU196" s="43"/>
      <c r="CV196" s="43"/>
      <c r="CW196" s="43"/>
      <c r="CX196" s="43"/>
      <c r="CY196" s="43"/>
      <c r="CZ196" s="43"/>
      <c r="DA196" s="43"/>
      <c r="DB196" s="43"/>
      <c r="DC196" s="43"/>
      <c r="DD196" s="43"/>
      <c r="DE196" s="43"/>
      <c r="DF196" s="43"/>
    </row>
    <row r="202" spans="1:110" x14ac:dyDescent="0.2">
      <c r="AO202" s="1"/>
      <c r="AP202" s="1"/>
    </row>
    <row r="203" spans="1:110" x14ac:dyDescent="0.2">
      <c r="AO203" s="1"/>
      <c r="AP203" s="1"/>
    </row>
    <row r="205" spans="1:110" x14ac:dyDescent="0.2">
      <c r="AO205" s="1"/>
      <c r="AP205" s="1"/>
    </row>
    <row r="206" spans="1:110" x14ac:dyDescent="0.2">
      <c r="AO206" s="1"/>
      <c r="AP206" s="1"/>
    </row>
    <row r="209" spans="1:118" s="378" customFormat="1" x14ac:dyDescent="0.2">
      <c r="A209" s="1"/>
      <c r="B209" s="371"/>
      <c r="C209" s="10"/>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43"/>
      <c r="AP209" s="43"/>
      <c r="AQ209" s="1"/>
      <c r="AR209" s="1"/>
      <c r="AS209" s="1"/>
      <c r="AT209" s="43"/>
      <c r="AU209" s="43"/>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c r="DH209"/>
      <c r="DI209"/>
      <c r="DJ209"/>
      <c r="DK209"/>
      <c r="DL209"/>
      <c r="DM209"/>
      <c r="DN209"/>
    </row>
  </sheetData>
  <phoneticPr fontId="0" type="noConversion"/>
  <conditionalFormatting sqref="D125:BY125 CB125 CG125">
    <cfRule type="expression" dxfId="13" priority="17" stopIfTrue="1">
      <formula>"abs($S$79-$S$98)&gt;.005"</formula>
    </cfRule>
  </conditionalFormatting>
  <conditionalFormatting sqref="CI125:CJ125 CL125">
    <cfRule type="expression" dxfId="12" priority="15" stopIfTrue="1">
      <formula>"abs($S$79-$S$98)&gt;.005"</formula>
    </cfRule>
  </conditionalFormatting>
  <conditionalFormatting sqref="BZ125">
    <cfRule type="expression" dxfId="11" priority="14" stopIfTrue="1">
      <formula>"abs($S$79-$S$98)&gt;.005"</formula>
    </cfRule>
  </conditionalFormatting>
  <conditionalFormatting sqref="CM125:CQ125">
    <cfRule type="expression" dxfId="10" priority="13" stopIfTrue="1">
      <formula>"abs($S$79-$S$98)&gt;.005"</formula>
    </cfRule>
  </conditionalFormatting>
  <conditionalFormatting sqref="CA125">
    <cfRule type="expression" dxfId="9" priority="12" stopIfTrue="1">
      <formula>"abs($S$79-$S$98)&gt;.005"</formula>
    </cfRule>
  </conditionalFormatting>
  <conditionalFormatting sqref="CC125">
    <cfRule type="expression" dxfId="8" priority="11" stopIfTrue="1">
      <formula>"abs($S$79-$S$98)&gt;.005"</formula>
    </cfRule>
  </conditionalFormatting>
  <conditionalFormatting sqref="CD125">
    <cfRule type="expression" dxfId="7" priority="10" stopIfTrue="1">
      <formula>"abs($S$79-$S$98)&gt;.005"</formula>
    </cfRule>
  </conditionalFormatting>
  <conditionalFormatting sqref="CE125">
    <cfRule type="expression" dxfId="6" priority="9" stopIfTrue="1">
      <formula>"abs($S$79-$S$98)&gt;.005"</formula>
    </cfRule>
  </conditionalFormatting>
  <conditionalFormatting sqref="CF125">
    <cfRule type="expression" dxfId="5" priority="8" stopIfTrue="1">
      <formula>"abs($S$79-$S$98)&gt;.005"</formula>
    </cfRule>
  </conditionalFormatting>
  <conditionalFormatting sqref="CR125:CV125">
    <cfRule type="expression" dxfId="4" priority="7" stopIfTrue="1">
      <formula>"abs($S$79-$S$98)&gt;.005"</formula>
    </cfRule>
  </conditionalFormatting>
  <conditionalFormatting sqref="CH125">
    <cfRule type="expression" dxfId="3" priority="6" stopIfTrue="1">
      <formula>"abs($S$79-$S$98)&gt;.005"</formula>
    </cfRule>
  </conditionalFormatting>
  <conditionalFormatting sqref="CW125:DA125">
    <cfRule type="expression" dxfId="2" priority="3" stopIfTrue="1">
      <formula>"abs($S$79-$S$98)&gt;.005"</formula>
    </cfRule>
  </conditionalFormatting>
  <conditionalFormatting sqref="DB125:DF125">
    <cfRule type="expression" dxfId="1" priority="2" stopIfTrue="1">
      <formula>"abs($S$79-$S$98)&gt;.005"</formula>
    </cfRule>
  </conditionalFormatting>
  <conditionalFormatting sqref="CK125">
    <cfRule type="expression" dxfId="0" priority="1" stopIfTrue="1">
      <formula>"abs($S$79-$S$98)&gt;.005"</formula>
    </cfRule>
  </conditionalFormatting>
  <pageMargins left="0" right="0" top="0" bottom="0" header="0" footer="0"/>
  <pageSetup scale="94" orientation="landscape" r:id="rId1"/>
  <headerFooter alignWithMargins="0">
    <oddFooter>&amp;L&amp;8&amp;F
&amp;D  &amp;T&amp;R&amp;8&amp;P of &amp;N</oddFooter>
  </headerFooter>
  <rowBreaks count="2" manualBreakCount="2">
    <brk id="89" min="1" max="79" man="1"/>
    <brk id="161" min="1" max="79" man="1"/>
  </rowBreaks>
  <ignoredErrors>
    <ignoredError sqref="AF117" formula="1" emptyCellReference="1"/>
    <ignoredError sqref="AS139" formula="1"/>
  </ignoredErrors>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enableFormatConditionsCalculation="0">
    <tabColor indexed="57"/>
  </sheetPr>
  <dimension ref="A1:DH230"/>
  <sheetViews>
    <sheetView showGridLines="0" zoomScaleNormal="100" zoomScaleSheetLayoutView="100" workbookViewId="0">
      <pane xSplit="2" ySplit="8" topLeftCell="CH45" activePane="bottomRight" state="frozen"/>
      <selection activeCell="B2" sqref="B2"/>
      <selection pane="topRight" activeCell="B2" sqref="B2"/>
      <selection pane="bottomLeft" activeCell="B2" sqref="B2"/>
      <selection pane="bottomRight" activeCell="CM79" sqref="CM79"/>
    </sheetView>
  </sheetViews>
  <sheetFormatPr defaultRowHeight="11.25" outlineLevelRow="2" outlineLevelCol="3" x14ac:dyDescent="0.2"/>
  <cols>
    <col min="1" max="1" width="1.42578125" style="10" customWidth="1"/>
    <col min="2" max="2" width="33.85546875" style="10" customWidth="1"/>
    <col min="3" max="3" width="4.5703125" style="10" hidden="1" customWidth="1" outlineLevel="1"/>
    <col min="4" max="4" width="7.7109375" style="10" hidden="1" customWidth="1" outlineLevel="1"/>
    <col min="5" max="5" width="7.7109375" style="10" hidden="1" customWidth="1" outlineLevel="1" collapsed="1"/>
    <col min="6" max="7" width="9.28515625" style="10" hidden="1" customWidth="1" outlineLevel="2"/>
    <col min="8" max="8" width="9.7109375" style="10" hidden="1" customWidth="1" outlineLevel="2"/>
    <col min="9" max="9" width="9.28515625" style="10" hidden="1" customWidth="1" outlineLevel="2"/>
    <col min="10" max="10" width="7.7109375" style="10" hidden="1" customWidth="1" outlineLevel="1"/>
    <col min="11" max="14" width="7.7109375" style="10" hidden="1" customWidth="1" outlineLevel="2"/>
    <col min="15" max="15" width="9" style="10" hidden="1" customWidth="1" outlineLevel="1"/>
    <col min="16" max="16" width="8.85546875" style="10" hidden="1" customWidth="1" outlineLevel="2" collapsed="1"/>
    <col min="17" max="17" width="8.5703125" style="10" hidden="1" customWidth="1" outlineLevel="2"/>
    <col min="18" max="19" width="8.140625" style="10" hidden="1" customWidth="1" outlineLevel="2"/>
    <col min="20" max="20" width="9" style="10" hidden="1" customWidth="1" outlineLevel="1"/>
    <col min="21" max="22" width="8.140625" style="10" hidden="1" customWidth="1" outlineLevel="2"/>
    <col min="23" max="23" width="8" style="10" hidden="1" customWidth="1" outlineLevel="2"/>
    <col min="24" max="24" width="8.85546875" style="10" hidden="1" customWidth="1" outlineLevel="2"/>
    <col min="25" max="25" width="10.42578125" style="10" hidden="1" customWidth="1" outlineLevel="1"/>
    <col min="26" max="26" width="9" style="10" hidden="1" customWidth="1" outlineLevel="2" collapsed="1"/>
    <col min="27" max="29" width="8.28515625" style="10" hidden="1" customWidth="1" outlineLevel="2"/>
    <col min="30" max="30" width="10.42578125" style="10" hidden="1" customWidth="1" outlineLevel="1"/>
    <col min="31" max="31" width="8.140625" style="10" hidden="1" customWidth="1" outlineLevel="2"/>
    <col min="32" max="32" width="8.28515625" style="10" hidden="1" customWidth="1" outlineLevel="2"/>
    <col min="33" max="34" width="8.140625" style="10" hidden="1" customWidth="1" outlineLevel="2"/>
    <col min="35" max="35" width="9.140625" style="10" hidden="1" customWidth="1" outlineLevel="1"/>
    <col min="36" max="36" width="8.140625" style="10" hidden="1" customWidth="1" outlineLevel="3"/>
    <col min="37" max="37" width="8.28515625" style="10" hidden="1" customWidth="1" outlineLevel="3"/>
    <col min="38" max="39" width="8.140625" style="10" hidden="1" customWidth="1" outlineLevel="3"/>
    <col min="40" max="44" width="8.140625" style="10" hidden="1" customWidth="1" outlineLevel="1"/>
    <col min="45" max="45" width="8.140625" style="10" hidden="1" customWidth="1" outlineLevel="1" collapsed="1"/>
    <col min="46" max="49" width="8.140625" style="10" hidden="1" customWidth="1" outlineLevel="2"/>
    <col min="50" max="50" width="8.140625" style="10" hidden="1" customWidth="1" outlineLevel="1"/>
    <col min="51" max="54" width="8.140625" style="10" hidden="1" customWidth="1" outlineLevel="2"/>
    <col min="55" max="55" width="8.140625" style="10" hidden="1" customWidth="1" collapsed="1"/>
    <col min="56" max="59" width="8.140625" style="10" hidden="1" customWidth="1" outlineLevel="1"/>
    <col min="60" max="60" width="8.140625" style="10" hidden="1" customWidth="1" collapsed="1"/>
    <col min="61" max="64" width="8.140625" style="10" hidden="1" customWidth="1" outlineLevel="1"/>
    <col min="65" max="65" width="8.140625" style="10" hidden="1" customWidth="1" collapsed="1"/>
    <col min="66" max="69" width="8.140625" style="10" hidden="1" customWidth="1" outlineLevel="1"/>
    <col min="70" max="70" width="9" style="10" hidden="1" customWidth="1" collapsed="1"/>
    <col min="71" max="74" width="8.140625" style="10" hidden="1" customWidth="1" outlineLevel="1"/>
    <col min="75" max="75" width="9" style="10" hidden="1" customWidth="1" collapsed="1"/>
    <col min="76" max="79" width="8.140625" style="10" hidden="1" customWidth="1" outlineLevel="1"/>
    <col min="80" max="80" width="9" style="10" hidden="1" customWidth="1" collapsed="1"/>
    <col min="81" max="84" width="8.140625" style="10" hidden="1" customWidth="1" outlineLevel="1"/>
    <col min="85" max="85" width="9.5703125" style="10" hidden="1" customWidth="1" collapsed="1"/>
    <col min="86" max="89" width="8.140625" style="10" customWidth="1" outlineLevel="1"/>
    <col min="90" max="90" width="9" style="10" bestFit="1" customWidth="1"/>
    <col min="91" max="94" width="8.140625" style="10" customWidth="1" outlineLevel="1"/>
    <col min="95" max="95" width="9" style="10" bestFit="1" customWidth="1"/>
    <col min="96" max="99" width="9.140625" style="77" hidden="1" customWidth="1" outlineLevel="1"/>
    <col min="100" max="100" width="9.140625" style="77" collapsed="1"/>
    <col min="101" max="104" width="9.140625" style="77" hidden="1" customWidth="1" outlineLevel="1"/>
    <col min="105" max="105" width="9.140625" style="77" collapsed="1"/>
    <col min="106" max="109" width="9.140625" style="77" hidden="1" customWidth="1" outlineLevel="1"/>
    <col min="110" max="110" width="9.140625" style="77" collapsed="1"/>
    <col min="111" max="111" width="9.85546875" style="77" bestFit="1" customWidth="1"/>
    <col min="112" max="16384" width="9.140625" style="77"/>
  </cols>
  <sheetData>
    <row r="1" spans="1:111" s="679" customFormat="1" ht="12.75" hidden="1" outlineLevel="1" x14ac:dyDescent="0.2">
      <c r="B1" s="943" t="s">
        <v>152</v>
      </c>
      <c r="C1" s="943"/>
      <c r="D1" s="1408"/>
      <c r="E1" s="1408"/>
      <c r="F1" s="1408"/>
      <c r="G1" s="1408"/>
      <c r="H1" s="1408"/>
      <c r="I1" s="1408"/>
      <c r="J1" s="1408"/>
      <c r="K1" s="1408"/>
      <c r="L1" s="1408"/>
      <c r="M1" s="1408"/>
      <c r="N1" s="1408"/>
      <c r="O1" s="1408"/>
      <c r="P1" s="1408"/>
      <c r="Q1" s="1408"/>
      <c r="R1" s="1408"/>
      <c r="S1" s="1408"/>
      <c r="T1" s="1408"/>
      <c r="U1" s="1408"/>
      <c r="V1" s="1408"/>
      <c r="W1" s="1408"/>
      <c r="X1" s="1408"/>
      <c r="Y1" s="1408"/>
      <c r="Z1" s="1408"/>
      <c r="AA1" s="1408"/>
      <c r="AB1" s="1408"/>
      <c r="AC1" s="1408"/>
      <c r="AD1" s="1408"/>
      <c r="AE1" s="1408"/>
      <c r="AF1" s="1408"/>
      <c r="AG1" s="1408"/>
      <c r="AH1" s="1408"/>
      <c r="AI1" s="1408"/>
      <c r="AJ1" s="1408"/>
      <c r="AK1" s="1408"/>
      <c r="AL1" s="1408"/>
      <c r="AM1" s="1408"/>
      <c r="AN1" s="1409"/>
      <c r="AO1" s="1409"/>
      <c r="AP1" s="1409"/>
      <c r="AQ1" s="1409"/>
      <c r="AR1" s="1408"/>
      <c r="AS1" s="945"/>
      <c r="AT1" s="944">
        <f>Model!AT28</f>
        <v>0.44203770557561239</v>
      </c>
      <c r="AU1" s="944">
        <f>Model!AU28</f>
        <v>0.44918856259659962</v>
      </c>
      <c r="AV1" s="944">
        <f>Model!AV28</f>
        <v>0.41630591630591529</v>
      </c>
      <c r="AW1" s="944">
        <f>Model!AW28</f>
        <v>0.48705501618122948</v>
      </c>
      <c r="AX1" s="945">
        <f>Model!AX28</f>
        <v>1.7953733308256565</v>
      </c>
      <c r="AY1" s="1068">
        <f>Model!AY28</f>
        <v>0.54839870456998863</v>
      </c>
      <c r="AZ1" s="1068">
        <f>Model!AZ28</f>
        <v>0.5980730776222517</v>
      </c>
      <c r="BA1" s="1068">
        <f>Model!BA28</f>
        <v>0.64916201117318229</v>
      </c>
      <c r="BB1" s="1068">
        <f>Model!BB28</f>
        <v>0.70895102270595001</v>
      </c>
      <c r="BC1" s="1011">
        <f>Model!BC28</f>
        <v>2.5005974813861567</v>
      </c>
      <c r="BD1" s="1068">
        <f>Model!BD28</f>
        <v>0.65761378535306236</v>
      </c>
      <c r="BE1" s="1068">
        <f>Model!BE28</f>
        <v>0.70729783037475413</v>
      </c>
      <c r="BF1" s="1068">
        <f>Model!BF28</f>
        <v>0.79299103504482327</v>
      </c>
      <c r="BG1" s="1068">
        <f ca="1">Model!BG28</f>
        <v>0.83434997808597022</v>
      </c>
      <c r="BH1" s="1011">
        <f ca="1">Model!BH28</f>
        <v>2.9829210457446247</v>
      </c>
      <c r="BI1" s="1068">
        <f>Model!BI28</f>
        <v>0.73228507249336339</v>
      </c>
      <c r="BJ1" s="1068">
        <f>Model!BJ28</f>
        <v>0.85422988226726559</v>
      </c>
      <c r="BK1" s="1068">
        <f>Model!BK28</f>
        <v>1.0383317261330762</v>
      </c>
      <c r="BL1" s="1068">
        <f>Model!BL28</f>
        <v>1.0502162421912558</v>
      </c>
      <c r="BM1" s="1011">
        <f>Model!BM28</f>
        <v>3.7441455907935253</v>
      </c>
      <c r="BN1" s="1068">
        <f>Model!BN28</f>
        <v>0.98942942942942735</v>
      </c>
      <c r="BO1" s="1068">
        <f>Model!BO28</f>
        <v>1.1307339449541247</v>
      </c>
      <c r="BP1" s="1068">
        <f>Model!BP28</f>
        <v>1.0905334791590671</v>
      </c>
      <c r="BQ1" s="1068">
        <f>Model!BQ28</f>
        <v>1.1163717916770513</v>
      </c>
      <c r="BR1" s="1011">
        <f>Model!BR28</f>
        <v>4.3253407984420553</v>
      </c>
      <c r="BS1" s="1068">
        <f>Model!BS28</f>
        <v>0.99084435401831239</v>
      </c>
      <c r="BT1" s="1068">
        <f>Model!BT28</f>
        <v>1.2255707762557071</v>
      </c>
      <c r="BU1" s="1068">
        <f>Model!BU28</f>
        <v>1.2902144772117965</v>
      </c>
      <c r="BV1" s="1068">
        <f>Model!BV28</f>
        <v>1.3865022360753494</v>
      </c>
      <c r="BW1" s="1011">
        <f>Model!BW28</f>
        <v>4.8790832455216027</v>
      </c>
      <c r="BX1" s="1114">
        <f>Model!BX28</f>
        <v>1.1000815882512918</v>
      </c>
      <c r="BY1" s="1068">
        <f>Model!BY28</f>
        <v>1.4368946287056059</v>
      </c>
      <c r="BZ1" s="1068">
        <f>Model!BZ28</f>
        <v>1.4508941659337435</v>
      </c>
      <c r="CA1" s="1068">
        <f>Model!CA28</f>
        <v>1.5574923099458033</v>
      </c>
      <c r="CB1" s="1011">
        <f>Model!CB28</f>
        <v>5.545362692836445</v>
      </c>
      <c r="CC1" s="1114">
        <f>Model!CC28</f>
        <v>1.2031706941665383</v>
      </c>
      <c r="CD1" s="1068">
        <f>Model!CD28</f>
        <v>1.571024067956583</v>
      </c>
      <c r="CE1" s="1068">
        <f>Model!CE28</f>
        <v>1.7407112103332802</v>
      </c>
      <c r="CF1" s="1068">
        <f>Model!CF28</f>
        <v>1.8793806030969846</v>
      </c>
      <c r="CG1" s="1011">
        <f>Model!CG28</f>
        <v>6.3942865755533873</v>
      </c>
      <c r="CH1" s="1114">
        <f ca="1">Model!CR28</f>
        <v>1.7837130603578375</v>
      </c>
      <c r="CI1" s="1068">
        <f ca="1">Model!CV28</f>
        <v>8.8363872546867164</v>
      </c>
      <c r="CJ1" s="1068">
        <f>Model!DI28</f>
        <v>0</v>
      </c>
      <c r="CK1" s="1068">
        <f>Model!DJ28</f>
        <v>0</v>
      </c>
      <c r="CL1" s="1011">
        <f>Model!DK28</f>
        <v>0</v>
      </c>
      <c r="CM1" s="1114">
        <f>Model!DL28</f>
        <v>0</v>
      </c>
      <c r="CN1" s="1068">
        <f>Model!DM28</f>
        <v>0</v>
      </c>
      <c r="CO1" s="1068">
        <f>Model!DN28</f>
        <v>0</v>
      </c>
      <c r="CP1" s="1068">
        <f>Model!DO28</f>
        <v>0</v>
      </c>
      <c r="CQ1" s="1011">
        <f>Model!DP28</f>
        <v>0</v>
      </c>
    </row>
    <row r="2" spans="1:111" s="679" customFormat="1" ht="12.75" hidden="1" outlineLevel="1" x14ac:dyDescent="0.2">
      <c r="B2" s="943"/>
      <c r="C2" s="943"/>
      <c r="D2" s="1408"/>
      <c r="E2" s="1408"/>
      <c r="F2" s="1408"/>
      <c r="G2" s="1408"/>
      <c r="H2" s="1408"/>
      <c r="I2" s="1408"/>
      <c r="J2" s="1408"/>
      <c r="K2" s="1408"/>
      <c r="L2" s="1408"/>
      <c r="M2" s="1408"/>
      <c r="N2" s="1408"/>
      <c r="O2" s="1408"/>
      <c r="P2" s="1408"/>
      <c r="Q2" s="1408"/>
      <c r="R2" s="1408"/>
      <c r="S2" s="1408"/>
      <c r="T2" s="1408"/>
      <c r="U2" s="1408"/>
      <c r="V2" s="1408"/>
      <c r="W2" s="1408"/>
      <c r="X2" s="1408"/>
      <c r="Y2" s="1408"/>
      <c r="Z2" s="1408"/>
      <c r="AA2" s="1408"/>
      <c r="AB2" s="1408"/>
      <c r="AC2" s="1408"/>
      <c r="AD2" s="1408"/>
      <c r="AE2" s="1408"/>
      <c r="AF2" s="1408"/>
      <c r="AG2" s="1408"/>
      <c r="AH2" s="1408"/>
      <c r="AI2" s="1408"/>
      <c r="AJ2" s="1408"/>
      <c r="AK2" s="1408"/>
      <c r="AL2" s="1408"/>
      <c r="AM2" s="1408"/>
      <c r="AN2" s="1410"/>
      <c r="AO2" s="1411"/>
      <c r="AP2" s="1412"/>
      <c r="AQ2" s="1409"/>
      <c r="AR2" s="1408"/>
      <c r="AS2" s="947"/>
      <c r="AT2" s="946"/>
      <c r="AU2" s="946"/>
      <c r="AV2" s="946"/>
      <c r="AW2" s="946"/>
      <c r="AX2" s="947"/>
      <c r="AY2" s="1069"/>
      <c r="AZ2" s="1069"/>
      <c r="BA2" s="1069"/>
      <c r="BB2" s="1069"/>
      <c r="BC2" s="1012"/>
      <c r="BD2" s="1069"/>
      <c r="BE2" s="1069"/>
      <c r="BF2" s="1069"/>
      <c r="BG2" s="1069"/>
      <c r="BH2" s="947"/>
      <c r="BI2" s="1069"/>
      <c r="BJ2" s="1069"/>
      <c r="BK2" s="1069"/>
      <c r="BL2" s="1069"/>
      <c r="BM2" s="1460"/>
      <c r="BN2" s="1069"/>
      <c r="BO2" s="1069"/>
      <c r="BP2" s="1069"/>
      <c r="BQ2" s="1069"/>
      <c r="BR2" s="1460"/>
      <c r="BS2" s="1115"/>
      <c r="BT2" s="1069"/>
      <c r="BU2" s="1069"/>
      <c r="BV2" s="1069"/>
      <c r="BW2" s="1460"/>
      <c r="BX2" s="1115"/>
      <c r="BY2" s="1069"/>
      <c r="BZ2" s="1069"/>
      <c r="CA2" s="1069"/>
      <c r="CB2" s="1012"/>
      <c r="CC2" s="1115"/>
      <c r="CD2" s="1069"/>
      <c r="CE2" s="1069"/>
      <c r="CF2" s="1069"/>
      <c r="CG2" s="1012"/>
      <c r="CH2" s="1115"/>
      <c r="CI2" s="1069"/>
      <c r="CJ2" s="1069"/>
      <c r="CK2" s="1069"/>
      <c r="CL2" s="1012"/>
      <c r="CM2" s="1115"/>
      <c r="CN2" s="1069"/>
      <c r="CO2" s="1069"/>
      <c r="CP2" s="1069"/>
      <c r="CQ2" s="1012"/>
    </row>
    <row r="3" spans="1:111" s="679" customFormat="1" ht="12.75" hidden="1" outlineLevel="1" x14ac:dyDescent="0.2">
      <c r="B3" s="943"/>
      <c r="C3" s="943"/>
      <c r="D3" s="1408"/>
      <c r="E3" s="1408"/>
      <c r="F3" s="1408"/>
      <c r="G3" s="1408"/>
      <c r="H3" s="1408"/>
      <c r="I3" s="1408"/>
      <c r="J3" s="1408"/>
      <c r="K3" s="1408"/>
      <c r="L3" s="1408"/>
      <c r="M3" s="1408"/>
      <c r="N3" s="1408"/>
      <c r="O3" s="1408"/>
      <c r="P3" s="1408"/>
      <c r="Q3" s="1408"/>
      <c r="R3" s="1408"/>
      <c r="S3" s="1408"/>
      <c r="T3" s="1408"/>
      <c r="U3" s="1408"/>
      <c r="V3" s="1408"/>
      <c r="W3" s="1408"/>
      <c r="X3" s="1408"/>
      <c r="Y3" s="1408"/>
      <c r="Z3" s="1408"/>
      <c r="AA3" s="1408"/>
      <c r="AB3" s="1408"/>
      <c r="AC3" s="1408"/>
      <c r="AD3" s="1408"/>
      <c r="AE3" s="1408"/>
      <c r="AF3" s="1408"/>
      <c r="AG3" s="1408"/>
      <c r="AH3" s="1408"/>
      <c r="AI3" s="1408"/>
      <c r="AJ3" s="1408"/>
      <c r="AK3" s="1408"/>
      <c r="AL3" s="1408"/>
      <c r="AM3" s="1408"/>
      <c r="AN3" s="1410"/>
      <c r="AO3" s="1411"/>
      <c r="AP3" s="1412"/>
      <c r="AQ3" s="1409"/>
      <c r="AR3" s="1408"/>
      <c r="AS3" s="947"/>
      <c r="AT3" s="946"/>
      <c r="AU3" s="946"/>
      <c r="AV3" s="946"/>
      <c r="AW3" s="946"/>
      <c r="AX3" s="947"/>
      <c r="AY3" s="1069"/>
      <c r="AZ3" s="1069"/>
      <c r="BA3" s="1069"/>
      <c r="BB3" s="1069"/>
      <c r="BC3" s="1012"/>
      <c r="BD3" s="1069"/>
      <c r="BE3" s="1069"/>
      <c r="BF3" s="1069"/>
      <c r="BG3" s="1069"/>
      <c r="BH3" s="947"/>
      <c r="BI3" s="1069"/>
      <c r="BJ3" s="1069"/>
      <c r="BK3" s="1069"/>
      <c r="BL3" s="1069"/>
      <c r="BM3" s="1012"/>
      <c r="BN3" s="1069"/>
      <c r="BO3" s="1069"/>
      <c r="BP3" s="1069"/>
      <c r="BQ3" s="1069"/>
      <c r="BR3" s="1012"/>
      <c r="BS3" s="1115"/>
      <c r="BT3" s="1069"/>
      <c r="BU3" s="1069"/>
      <c r="BV3" s="1069"/>
      <c r="BW3" s="1012"/>
      <c r="BX3" s="1115"/>
      <c r="BY3" s="1069"/>
      <c r="BZ3" s="1069"/>
      <c r="CA3" s="1069"/>
      <c r="CB3" s="1012"/>
      <c r="CC3" s="1115"/>
      <c r="CD3" s="1069"/>
      <c r="CE3" s="1069"/>
      <c r="CF3" s="1069"/>
      <c r="CG3" s="1012"/>
      <c r="CH3" s="1115"/>
      <c r="CI3" s="1069"/>
      <c r="CJ3" s="1069"/>
      <c r="CK3" s="1069"/>
      <c r="CL3" s="1012"/>
      <c r="CM3" s="1115"/>
      <c r="CN3" s="1069"/>
      <c r="CO3" s="1069"/>
      <c r="CP3" s="1069"/>
      <c r="CQ3" s="1012"/>
    </row>
    <row r="4" spans="1:111" ht="18.75" collapsed="1" x14ac:dyDescent="0.3">
      <c r="B4" s="882" t="str">
        <f>Ticker</f>
        <v>ESRX</v>
      </c>
      <c r="C4" s="883"/>
      <c r="D4" s="883"/>
      <c r="E4" s="884"/>
      <c r="F4" s="885"/>
      <c r="G4" s="884"/>
      <c r="H4" s="884"/>
      <c r="I4" s="886"/>
      <c r="J4" s="884"/>
      <c r="K4" s="884"/>
      <c r="L4" s="884"/>
      <c r="M4" s="887"/>
      <c r="N4" s="887"/>
      <c r="O4" s="886"/>
      <c r="P4" s="888"/>
      <c r="Q4" s="889"/>
      <c r="R4" s="890"/>
      <c r="S4" s="890"/>
      <c r="T4" s="884"/>
      <c r="U4" s="888"/>
      <c r="V4" s="889"/>
      <c r="W4" s="884"/>
      <c r="X4" s="884"/>
      <c r="Y4" s="890"/>
      <c r="Z4" s="884"/>
      <c r="AA4" s="884"/>
      <c r="AB4" s="884"/>
      <c r="AC4" s="884"/>
      <c r="AD4" s="884"/>
      <c r="AE4" s="884"/>
      <c r="AF4" s="884"/>
      <c r="AG4" s="884"/>
      <c r="AH4" s="884"/>
      <c r="AI4" s="891"/>
      <c r="AJ4" s="884"/>
      <c r="AK4" s="884"/>
      <c r="AL4" s="884"/>
      <c r="AM4" s="884"/>
      <c r="AN4" s="884"/>
      <c r="AO4" s="884"/>
      <c r="AP4" s="884"/>
      <c r="AQ4" s="884"/>
      <c r="AR4" s="884"/>
      <c r="AS4" s="884"/>
      <c r="AT4" s="884"/>
      <c r="AU4" s="884"/>
      <c r="AV4" s="884"/>
      <c r="AW4" s="884"/>
      <c r="AX4" s="1064"/>
      <c r="AY4" s="1064"/>
      <c r="AZ4" s="1064"/>
      <c r="BA4" s="1064"/>
      <c r="BB4" s="1064"/>
      <c r="BC4" s="1064"/>
      <c r="BD4" s="1064"/>
      <c r="BE4" s="1064"/>
      <c r="BF4" s="1064"/>
      <c r="BG4" s="1064"/>
      <c r="BH4" s="1064"/>
      <c r="BI4" s="1064"/>
      <c r="BJ4" s="1064"/>
      <c r="BK4" s="1064"/>
      <c r="BL4" s="1064"/>
      <c r="BM4" s="1064"/>
      <c r="BN4" s="1064"/>
      <c r="BO4" s="1064"/>
      <c r="BP4" s="1064"/>
      <c r="BQ4" s="1065"/>
      <c r="BR4" s="1065"/>
      <c r="BS4" s="1065"/>
      <c r="BT4" s="1065"/>
      <c r="BU4" s="1065"/>
      <c r="BV4" s="1065"/>
      <c r="BW4" s="1065"/>
      <c r="BX4" s="1065"/>
      <c r="BY4" s="1065"/>
      <c r="BZ4" s="1065"/>
      <c r="CA4" s="1065"/>
      <c r="CB4" s="1065"/>
      <c r="CC4" s="1065"/>
      <c r="CD4" s="1065"/>
      <c r="CE4" s="1065"/>
      <c r="CF4" s="1065"/>
      <c r="CG4" s="1065"/>
      <c r="CH4" s="1065"/>
      <c r="CI4" s="1065"/>
      <c r="CJ4" s="1065"/>
      <c r="CK4" s="1065"/>
      <c r="CL4" s="1065"/>
      <c r="CM4" s="1065"/>
      <c r="CN4" s="1065"/>
      <c r="CO4" s="1065"/>
      <c r="CP4" s="1065"/>
      <c r="CQ4" s="1065"/>
      <c r="CR4" s="1065"/>
      <c r="CS4" s="1065"/>
      <c r="CT4" s="1065"/>
      <c r="CU4" s="1065"/>
      <c r="CV4" s="1065"/>
      <c r="CW4" s="1065"/>
      <c r="CX4" s="1065"/>
      <c r="CY4" s="1065"/>
      <c r="CZ4" s="1065"/>
      <c r="DA4" s="1065"/>
      <c r="DB4" s="1065"/>
      <c r="DC4" s="1065"/>
      <c r="DD4" s="1065"/>
      <c r="DE4" s="1065"/>
      <c r="DF4" s="1065"/>
    </row>
    <row r="5" spans="1:111" x14ac:dyDescent="0.2">
      <c r="B5" s="893" t="s">
        <v>360</v>
      </c>
      <c r="C5" s="884"/>
      <c r="D5" s="884"/>
      <c r="E5" s="884"/>
      <c r="F5" s="884"/>
      <c r="G5" s="894"/>
      <c r="H5" s="884"/>
      <c r="I5" s="884"/>
      <c r="J5" s="884"/>
      <c r="K5" s="886"/>
      <c r="L5" s="885"/>
      <c r="M5" s="886"/>
      <c r="N5" s="886"/>
      <c r="O5" s="884"/>
      <c r="P5" s="886"/>
      <c r="Q5" s="886"/>
      <c r="R5" s="886"/>
      <c r="S5" s="886"/>
      <c r="T5" s="889"/>
      <c r="U5" s="886"/>
      <c r="V5" s="886"/>
      <c r="W5" s="886"/>
      <c r="X5" s="889"/>
      <c r="Y5" s="889"/>
      <c r="Z5" s="884"/>
      <c r="AA5" s="884"/>
      <c r="AB5" s="884"/>
      <c r="AC5" s="891"/>
      <c r="AD5" s="884"/>
      <c r="AE5" s="895"/>
      <c r="AF5" s="896"/>
      <c r="AG5" s="889"/>
      <c r="AH5" s="884"/>
      <c r="AI5" s="897"/>
      <c r="AJ5" s="885"/>
      <c r="AK5" s="884"/>
      <c r="AL5" s="884"/>
      <c r="AM5" s="884"/>
      <c r="AN5" s="885"/>
      <c r="AO5" s="891"/>
      <c r="AP5" s="884"/>
      <c r="AQ5" s="884"/>
      <c r="AR5" s="884"/>
      <c r="AS5" s="884"/>
      <c r="AT5" s="891"/>
      <c r="AU5" s="884"/>
      <c r="AV5" s="884"/>
      <c r="AW5" s="884"/>
      <c r="AX5" s="884"/>
      <c r="AY5" s="884"/>
      <c r="AZ5" s="884"/>
      <c r="BA5" s="884"/>
      <c r="BB5" s="884"/>
      <c r="BC5" s="884"/>
      <c r="BD5" s="884"/>
      <c r="BE5" s="884"/>
      <c r="BF5" s="884"/>
      <c r="BG5" s="1066"/>
      <c r="BH5" s="1067"/>
      <c r="BI5" s="884"/>
      <c r="BJ5" s="884"/>
      <c r="BK5" s="884"/>
      <c r="BL5" s="1066"/>
      <c r="BM5" s="1067"/>
      <c r="BN5" s="884"/>
      <c r="BO5" s="884"/>
      <c r="BP5" s="884"/>
      <c r="BQ5" s="884"/>
      <c r="BR5" s="1066"/>
      <c r="BS5" s="884"/>
      <c r="BT5" s="884"/>
      <c r="BU5" s="884"/>
      <c r="BV5" s="884"/>
      <c r="BW5" s="884"/>
      <c r="BX5" s="884"/>
      <c r="BY5" s="884"/>
      <c r="BZ5" s="884"/>
      <c r="CA5" s="884"/>
      <c r="CB5" s="892"/>
      <c r="CC5" s="884"/>
      <c r="CD5" s="884"/>
      <c r="CE5" s="884"/>
      <c r="CF5" s="884"/>
      <c r="CG5" s="892"/>
      <c r="CH5" s="884"/>
      <c r="CI5" s="884"/>
      <c r="CJ5" s="884"/>
      <c r="CK5" s="884"/>
      <c r="CL5" s="892"/>
      <c r="CM5" s="884"/>
      <c r="CN5" s="884"/>
      <c r="CO5" s="884"/>
      <c r="CP5" s="884"/>
      <c r="CQ5" s="892"/>
      <c r="CR5" s="884"/>
      <c r="CS5" s="884"/>
      <c r="CT5" s="884"/>
      <c r="CU5" s="884"/>
      <c r="CV5" s="892"/>
      <c r="CW5" s="884"/>
      <c r="CX5" s="884"/>
      <c r="CY5" s="884"/>
      <c r="CZ5" s="884"/>
      <c r="DA5" s="892"/>
      <c r="DB5" s="884"/>
      <c r="DC5" s="884"/>
      <c r="DD5" s="884"/>
      <c r="DE5" s="884"/>
      <c r="DF5" s="892"/>
    </row>
    <row r="6" spans="1:111" ht="12" outlineLevel="1" thickBot="1" x14ac:dyDescent="0.25">
      <c r="B6" s="77"/>
      <c r="E6" s="162"/>
      <c r="F6" s="162">
        <v>36981</v>
      </c>
      <c r="G6" s="162">
        <v>37072</v>
      </c>
      <c r="H6" s="162">
        <v>37164</v>
      </c>
      <c r="I6" s="162">
        <v>37256</v>
      </c>
      <c r="J6" s="162"/>
      <c r="K6" s="162">
        <v>37346</v>
      </c>
      <c r="L6" s="162">
        <v>37437</v>
      </c>
      <c r="M6" s="162">
        <v>37529</v>
      </c>
      <c r="N6" s="162">
        <v>37621</v>
      </c>
      <c r="O6" s="162"/>
      <c r="P6" s="163">
        <v>37711</v>
      </c>
      <c r="Q6" s="163">
        <v>37802</v>
      </c>
      <c r="R6" s="163">
        <v>37894</v>
      </c>
      <c r="S6" s="163">
        <v>37986</v>
      </c>
      <c r="T6" s="163"/>
      <c r="U6" s="163">
        <v>38077</v>
      </c>
      <c r="V6" s="163">
        <v>38168</v>
      </c>
      <c r="W6" s="163">
        <v>38260</v>
      </c>
      <c r="X6" s="162">
        <v>38352</v>
      </c>
      <c r="Y6" s="162"/>
      <c r="Z6" s="162">
        <v>38442</v>
      </c>
      <c r="AA6" s="162">
        <v>38533</v>
      </c>
      <c r="AB6" s="162">
        <v>38625</v>
      </c>
      <c r="AC6" s="162">
        <v>38717</v>
      </c>
      <c r="AD6" s="162"/>
      <c r="AE6" s="162">
        <v>38807</v>
      </c>
      <c r="AF6" s="162">
        <v>38898</v>
      </c>
      <c r="AG6" s="162">
        <v>38990</v>
      </c>
      <c r="AH6" s="162">
        <v>39082</v>
      </c>
      <c r="AI6" s="162"/>
      <c r="AJ6" s="162">
        <v>39172</v>
      </c>
      <c r="AK6" s="162">
        <v>39263</v>
      </c>
      <c r="AL6" s="162">
        <v>39355</v>
      </c>
      <c r="AM6" s="162">
        <v>39447</v>
      </c>
      <c r="AN6" s="162"/>
      <c r="AO6" s="162">
        <v>39538</v>
      </c>
      <c r="AP6" s="162">
        <v>39629</v>
      </c>
      <c r="AQ6" s="162">
        <v>39721</v>
      </c>
      <c r="AR6" s="162">
        <v>39813</v>
      </c>
      <c r="AS6" s="162"/>
      <c r="AT6" s="162">
        <v>39903</v>
      </c>
      <c r="AU6" s="162">
        <v>39994</v>
      </c>
      <c r="AV6" s="162">
        <v>40086</v>
      </c>
      <c r="AW6" s="162">
        <v>40178</v>
      </c>
      <c r="AX6" s="162"/>
      <c r="AY6" s="162">
        <v>40268</v>
      </c>
      <c r="AZ6" s="162">
        <v>40359</v>
      </c>
      <c r="BA6" s="162">
        <v>40451</v>
      </c>
      <c r="BB6" s="162">
        <v>40543</v>
      </c>
      <c r="BC6" s="162"/>
      <c r="BD6" s="162">
        <v>40633</v>
      </c>
      <c r="BE6" s="162">
        <v>40724</v>
      </c>
      <c r="BF6" s="162">
        <v>40816</v>
      </c>
      <c r="BG6" s="162">
        <v>40908</v>
      </c>
      <c r="BH6" s="162"/>
      <c r="BI6" s="162">
        <v>40999</v>
      </c>
      <c r="BJ6" s="162">
        <v>41090</v>
      </c>
      <c r="BK6" s="162">
        <v>41182</v>
      </c>
      <c r="BL6" s="162">
        <v>41274</v>
      </c>
      <c r="BM6" s="162"/>
      <c r="BN6" s="162">
        <v>41364</v>
      </c>
      <c r="BO6" s="162">
        <v>41455</v>
      </c>
      <c r="BP6" s="162">
        <v>41547</v>
      </c>
      <c r="BQ6" s="162">
        <v>41639</v>
      </c>
      <c r="BR6" s="162"/>
      <c r="BS6" s="162">
        <v>41729</v>
      </c>
      <c r="BT6" s="162">
        <v>41820</v>
      </c>
      <c r="BU6" s="162">
        <v>41912</v>
      </c>
      <c r="BV6" s="162">
        <v>42004</v>
      </c>
      <c r="BW6" s="162"/>
      <c r="BX6" s="162">
        <v>42094</v>
      </c>
      <c r="BY6" s="162">
        <v>42185</v>
      </c>
      <c r="BZ6" s="162">
        <v>42277</v>
      </c>
      <c r="CA6" s="162">
        <v>42369</v>
      </c>
      <c r="CB6" s="162"/>
      <c r="CC6" s="162">
        <v>42094</v>
      </c>
      <c r="CD6" s="162">
        <v>42185</v>
      </c>
      <c r="CE6" s="162">
        <v>42277</v>
      </c>
      <c r="CF6" s="162">
        <v>42369</v>
      </c>
      <c r="CG6" s="162"/>
      <c r="CH6" s="162">
        <v>42094</v>
      </c>
      <c r="CI6" s="162">
        <v>42185</v>
      </c>
      <c r="CJ6" s="162">
        <v>42277</v>
      </c>
      <c r="CK6" s="162">
        <v>42369</v>
      </c>
      <c r="CL6" s="162"/>
      <c r="CM6" s="162">
        <v>42094</v>
      </c>
      <c r="CN6" s="162">
        <v>42185</v>
      </c>
      <c r="CO6" s="162">
        <v>42277</v>
      </c>
      <c r="CP6" s="162">
        <v>42369</v>
      </c>
      <c r="CQ6" s="162"/>
      <c r="CR6" s="162">
        <v>42094</v>
      </c>
      <c r="CS6" s="162">
        <v>42185</v>
      </c>
      <c r="CT6" s="162">
        <v>42277</v>
      </c>
      <c r="CU6" s="162">
        <v>42369</v>
      </c>
      <c r="CV6" s="162"/>
      <c r="CW6" s="162">
        <v>42094</v>
      </c>
      <c r="CX6" s="162">
        <v>42185</v>
      </c>
      <c r="CY6" s="162">
        <v>42277</v>
      </c>
      <c r="CZ6" s="162">
        <v>42369</v>
      </c>
      <c r="DA6" s="1961"/>
      <c r="DB6" s="162"/>
      <c r="DC6" s="162"/>
      <c r="DD6" s="162"/>
      <c r="DE6" s="162"/>
      <c r="DF6" s="1961"/>
    </row>
    <row r="7" spans="1:111" ht="10.5" customHeight="1" thickBot="1" x14ac:dyDescent="0.25">
      <c r="B7" s="799"/>
      <c r="C7" s="800"/>
      <c r="D7" s="826"/>
      <c r="E7" s="801"/>
      <c r="F7" s="802" t="s">
        <v>26</v>
      </c>
      <c r="G7" s="803"/>
      <c r="H7" s="803"/>
      <c r="I7" s="804"/>
      <c r="J7" s="801"/>
      <c r="K7" s="802" t="s">
        <v>27</v>
      </c>
      <c r="L7" s="803"/>
      <c r="M7" s="803"/>
      <c r="N7" s="804"/>
      <c r="O7" s="801"/>
      <c r="P7" s="802" t="s">
        <v>28</v>
      </c>
      <c r="Q7" s="803"/>
      <c r="R7" s="803"/>
      <c r="S7" s="804"/>
      <c r="T7" s="801"/>
      <c r="U7" s="802" t="s">
        <v>29</v>
      </c>
      <c r="V7" s="803"/>
      <c r="W7" s="803"/>
      <c r="X7" s="804"/>
      <c r="Y7" s="801"/>
      <c r="Z7" s="802" t="s">
        <v>30</v>
      </c>
      <c r="AA7" s="803"/>
      <c r="AB7" s="803"/>
      <c r="AC7" s="803"/>
      <c r="AD7" s="801"/>
      <c r="AE7" s="803" t="s">
        <v>31</v>
      </c>
      <c r="AF7" s="803"/>
      <c r="AG7" s="803"/>
      <c r="AH7" s="803"/>
      <c r="AI7" s="801"/>
      <c r="AJ7" s="803" t="s">
        <v>32</v>
      </c>
      <c r="AK7" s="803"/>
      <c r="AL7" s="803"/>
      <c r="AM7" s="803"/>
      <c r="AN7" s="801"/>
      <c r="AO7" s="803" t="s">
        <v>33</v>
      </c>
      <c r="AP7" s="803"/>
      <c r="AQ7" s="803"/>
      <c r="AR7" s="803"/>
      <c r="AS7" s="801"/>
      <c r="AT7" s="803" t="s">
        <v>34</v>
      </c>
      <c r="AU7" s="803"/>
      <c r="AV7" s="803"/>
      <c r="AW7" s="803"/>
      <c r="AX7" s="801"/>
      <c r="AY7" s="803" t="s">
        <v>35</v>
      </c>
      <c r="AZ7" s="803"/>
      <c r="BA7" s="803"/>
      <c r="BB7" s="803"/>
      <c r="BC7" s="801"/>
      <c r="BD7" s="803" t="s">
        <v>36</v>
      </c>
      <c r="BE7" s="803"/>
      <c r="BF7" s="803"/>
      <c r="BG7" s="803"/>
      <c r="BH7" s="801"/>
      <c r="BI7" s="803" t="s">
        <v>37</v>
      </c>
      <c r="BJ7" s="803"/>
      <c r="BK7" s="803"/>
      <c r="BL7" s="803"/>
      <c r="BM7" s="801"/>
      <c r="BN7" s="803" t="s">
        <v>331</v>
      </c>
      <c r="BO7" s="803"/>
      <c r="BP7" s="803"/>
      <c r="BQ7" s="803"/>
      <c r="BR7" s="801"/>
      <c r="BS7" s="803" t="s">
        <v>334</v>
      </c>
      <c r="BT7" s="803"/>
      <c r="BU7" s="803"/>
      <c r="BV7" s="803"/>
      <c r="BW7" s="801"/>
      <c r="BX7" s="803" t="s">
        <v>356</v>
      </c>
      <c r="BY7" s="803"/>
      <c r="BZ7" s="803"/>
      <c r="CA7" s="803"/>
      <c r="CB7" s="801"/>
      <c r="CC7" s="803" t="str">
        <f>Model!CC8</f>
        <v>Fiscal Year End, Dec 31 2016</v>
      </c>
      <c r="CD7" s="803"/>
      <c r="CE7" s="803"/>
      <c r="CF7" s="803"/>
      <c r="CG7" s="801"/>
      <c r="CH7" s="803" t="str">
        <f>Model!CH8</f>
        <v>Fiscal Year End, Dec 31 2017</v>
      </c>
      <c r="CI7" s="803"/>
      <c r="CJ7" s="803"/>
      <c r="CK7" s="803"/>
      <c r="CL7" s="801"/>
      <c r="CM7" s="803" t="str">
        <f>Model!CM8</f>
        <v>Fiscal Year End, Dec 31 2018</v>
      </c>
      <c r="CN7" s="803"/>
      <c r="CO7" s="803"/>
      <c r="CP7" s="803"/>
      <c r="CQ7" s="801"/>
      <c r="CR7" s="803" t="str">
        <f>Model!CR8</f>
        <v>Fiscal Year End, Dec 31 2019</v>
      </c>
      <c r="CS7" s="803"/>
      <c r="CT7" s="803"/>
      <c r="CU7" s="803"/>
      <c r="CV7" s="801"/>
      <c r="CW7" s="803" t="str">
        <f>Model!CW8</f>
        <v>Fiscal Year End, Dec 31 2020</v>
      </c>
      <c r="CX7" s="803"/>
      <c r="CY7" s="803"/>
      <c r="CZ7" s="803"/>
      <c r="DA7" s="801"/>
      <c r="DB7" s="803" t="str">
        <f>Model!DB8</f>
        <v>Fiscal Year End, Dec 31 2021</v>
      </c>
      <c r="DC7" s="803"/>
      <c r="DD7" s="803"/>
      <c r="DE7" s="803"/>
      <c r="DF7" s="801"/>
    </row>
    <row r="8" spans="1:111" ht="11.25" customHeight="1" thickBot="1" x14ac:dyDescent="0.25">
      <c r="B8" s="807" t="s">
        <v>25</v>
      </c>
      <c r="C8" s="808"/>
      <c r="D8" s="827" t="str">
        <f>Model!D9</f>
        <v>1999A</v>
      </c>
      <c r="E8" s="828" t="str">
        <f>Model!E9</f>
        <v>2000A</v>
      </c>
      <c r="F8" s="810" t="str">
        <f>Model!F9</f>
        <v>1Q01A</v>
      </c>
      <c r="G8" s="810" t="str">
        <f>Model!G9</f>
        <v>2Q01A</v>
      </c>
      <c r="H8" s="810" t="str">
        <f>Model!H9</f>
        <v>3Q01A</v>
      </c>
      <c r="I8" s="810" t="str">
        <f>Model!I9</f>
        <v>4Q01A</v>
      </c>
      <c r="J8" s="828" t="str">
        <f>Model!J9</f>
        <v>2001A</v>
      </c>
      <c r="K8" s="810" t="str">
        <f>Model!K9</f>
        <v>1Q02A</v>
      </c>
      <c r="L8" s="810" t="str">
        <f>Model!L9</f>
        <v>2Q02A</v>
      </c>
      <c r="M8" s="810" t="str">
        <f>Model!M9</f>
        <v>3Q02A</v>
      </c>
      <c r="N8" s="810" t="str">
        <f>Model!N9</f>
        <v>4Q02A</v>
      </c>
      <c r="O8" s="828" t="str">
        <f>Model!O9</f>
        <v>2002A</v>
      </c>
      <c r="P8" s="811" t="str">
        <f>Model!P9</f>
        <v>1Q03A</v>
      </c>
      <c r="Q8" s="810" t="str">
        <f>Model!Q9</f>
        <v>2Q03A</v>
      </c>
      <c r="R8" s="810" t="str">
        <f>Model!R9</f>
        <v>3Q03A</v>
      </c>
      <c r="S8" s="812" t="str">
        <f>Model!S9</f>
        <v>4Q03A</v>
      </c>
      <c r="T8" s="828" t="str">
        <f>Model!T9</f>
        <v>2003A</v>
      </c>
      <c r="U8" s="810" t="str">
        <f>Model!U9</f>
        <v>1QA</v>
      </c>
      <c r="V8" s="810" t="str">
        <f>Model!V9</f>
        <v>2QA</v>
      </c>
      <c r="W8" s="810" t="str">
        <f>Model!W9</f>
        <v>3QA</v>
      </c>
      <c r="X8" s="810" t="str">
        <f>Model!X9</f>
        <v>4QA</v>
      </c>
      <c r="Y8" s="828" t="str">
        <f>Model!Y9</f>
        <v>2004A</v>
      </c>
      <c r="Z8" s="810" t="str">
        <f>Model!Z9</f>
        <v>1QA</v>
      </c>
      <c r="AA8" s="810" t="str">
        <f>Model!AA9</f>
        <v>2QA</v>
      </c>
      <c r="AB8" s="810" t="str">
        <f>Model!AB9</f>
        <v>3QA</v>
      </c>
      <c r="AC8" s="810" t="str">
        <f>Model!AC9</f>
        <v>4QA</v>
      </c>
      <c r="AD8" s="829" t="str">
        <f>Model!AD9</f>
        <v>2005A</v>
      </c>
      <c r="AE8" s="810" t="str">
        <f>Model!AE9</f>
        <v>1QA</v>
      </c>
      <c r="AF8" s="810" t="str">
        <f>Model!AF9</f>
        <v>2QA</v>
      </c>
      <c r="AG8" s="810" t="str">
        <f>Model!AG9</f>
        <v>3QA</v>
      </c>
      <c r="AH8" s="810" t="str">
        <f>Model!AH9</f>
        <v>4QA</v>
      </c>
      <c r="AI8" s="829" t="str">
        <f>Model!AI9</f>
        <v>2006A</v>
      </c>
      <c r="AJ8" s="810" t="str">
        <f>Model!AJ9</f>
        <v>1QA</v>
      </c>
      <c r="AK8" s="810" t="str">
        <f>Model!AK9</f>
        <v>2QA</v>
      </c>
      <c r="AL8" s="810" t="str">
        <f>Model!AL9</f>
        <v>3QA</v>
      </c>
      <c r="AM8" s="810" t="str">
        <f>Model!AM9</f>
        <v>4QA</v>
      </c>
      <c r="AN8" s="813" t="str">
        <f>Model!AN9</f>
        <v>2007A</v>
      </c>
      <c r="AO8" s="810" t="str">
        <f>Model!AO9</f>
        <v>1QA</v>
      </c>
      <c r="AP8" s="810" t="str">
        <f>Model!AP9</f>
        <v>2QA</v>
      </c>
      <c r="AQ8" s="810" t="str">
        <f>Model!AQ9</f>
        <v>3QA</v>
      </c>
      <c r="AR8" s="810" t="str">
        <f>Model!AR9</f>
        <v>4QA</v>
      </c>
      <c r="AS8" s="809" t="str">
        <f>Model!AS9</f>
        <v>2008A</v>
      </c>
      <c r="AT8" s="810" t="str">
        <f>Model!AT9</f>
        <v>1QA</v>
      </c>
      <c r="AU8" s="810" t="str">
        <f>Model!AU9</f>
        <v>2QA</v>
      </c>
      <c r="AV8" s="810" t="str">
        <f>Model!AV9</f>
        <v>3QA</v>
      </c>
      <c r="AW8" s="810" t="str">
        <f>Model!AW9</f>
        <v>4QA</v>
      </c>
      <c r="AX8" s="809" t="str">
        <f>Model!AX9</f>
        <v>2009A</v>
      </c>
      <c r="AY8" s="810" t="str">
        <f>Model!AY9</f>
        <v>1QA</v>
      </c>
      <c r="AZ8" s="810" t="str">
        <f>Model!AZ9</f>
        <v>2QA</v>
      </c>
      <c r="BA8" s="810" t="str">
        <f>Model!BA9</f>
        <v>3QA</v>
      </c>
      <c r="BB8" s="810" t="str">
        <f>Model!BB9</f>
        <v>4QA</v>
      </c>
      <c r="BC8" s="809" t="str">
        <f>Model!BC9</f>
        <v>2010A</v>
      </c>
      <c r="BD8" s="810" t="str">
        <f>Model!BD9</f>
        <v>1QA</v>
      </c>
      <c r="BE8" s="810" t="str">
        <f>Model!BE9</f>
        <v>2QA</v>
      </c>
      <c r="BF8" s="810" t="str">
        <f>Model!BF9</f>
        <v>3QA</v>
      </c>
      <c r="BG8" s="810" t="str">
        <f>Model!BG9</f>
        <v>4QA</v>
      </c>
      <c r="BH8" s="809" t="str">
        <f>Model!BH9</f>
        <v>2011A</v>
      </c>
      <c r="BI8" s="810" t="str">
        <f>Model!BI9</f>
        <v>1QA</v>
      </c>
      <c r="BJ8" s="810" t="str">
        <f>Model!BJ9</f>
        <v>2QA</v>
      </c>
      <c r="BK8" s="810" t="str">
        <f>Model!BK9</f>
        <v>3QA</v>
      </c>
      <c r="BL8" s="810" t="str">
        <f>Model!BL9</f>
        <v>4QA</v>
      </c>
      <c r="BM8" s="809" t="str">
        <f>Model!BM9</f>
        <v>2012A</v>
      </c>
      <c r="BN8" s="810" t="str">
        <f>Model!BN9</f>
        <v>1QA</v>
      </c>
      <c r="BO8" s="810" t="str">
        <f>Model!BO9</f>
        <v>2QA</v>
      </c>
      <c r="BP8" s="810" t="str">
        <f>Model!BP9</f>
        <v>3QA</v>
      </c>
      <c r="BQ8" s="810" t="str">
        <f>Model!BQ9</f>
        <v>4QA</v>
      </c>
      <c r="BR8" s="809" t="str">
        <f>Model!BR9</f>
        <v>2013A</v>
      </c>
      <c r="BS8" s="810" t="str">
        <f>Model!BS9</f>
        <v>1QA</v>
      </c>
      <c r="BT8" s="810" t="str">
        <f>Model!BT9</f>
        <v>2QA</v>
      </c>
      <c r="BU8" s="810" t="str">
        <f>Model!BU9</f>
        <v>3QA</v>
      </c>
      <c r="BV8" s="810" t="str">
        <f>Model!BV9</f>
        <v>4QA</v>
      </c>
      <c r="BW8" s="809" t="str">
        <f>Model!BW9</f>
        <v>2014A</v>
      </c>
      <c r="BX8" s="810" t="str">
        <f>Model!BX9</f>
        <v>1QA</v>
      </c>
      <c r="BY8" s="810" t="str">
        <f>Model!BY9</f>
        <v>2QA</v>
      </c>
      <c r="BZ8" s="810" t="str">
        <f>Model!BZ9</f>
        <v>3QA</v>
      </c>
      <c r="CA8" s="810" t="str">
        <f>Model!CA9</f>
        <v>4QA</v>
      </c>
      <c r="CB8" s="809" t="str">
        <f>Model!CB9</f>
        <v>2015A</v>
      </c>
      <c r="CC8" s="810" t="str">
        <f>Model!CC9</f>
        <v>1QA</v>
      </c>
      <c r="CD8" s="810" t="str">
        <f>Model!CD9</f>
        <v>2QA</v>
      </c>
      <c r="CE8" s="810" t="str">
        <f>Model!CE9</f>
        <v>3QA</v>
      </c>
      <c r="CF8" s="810" t="str">
        <f>Model!CF9</f>
        <v>4QA</v>
      </c>
      <c r="CG8" s="809" t="str">
        <f>Model!CG9</f>
        <v>2016A</v>
      </c>
      <c r="CH8" s="810" t="str">
        <f>Model!CH9</f>
        <v>1QA</v>
      </c>
      <c r="CI8" s="810" t="str">
        <f>Model!CI9</f>
        <v>2QA</v>
      </c>
      <c r="CJ8" s="810" t="str">
        <f>Model!CJ9</f>
        <v>3QA</v>
      </c>
      <c r="CK8" s="810" t="str">
        <f>Model!CK9</f>
        <v>4QA</v>
      </c>
      <c r="CL8" s="809" t="str">
        <f>Model!CL9</f>
        <v>2017A</v>
      </c>
      <c r="CM8" s="810" t="str">
        <f>Model!CM9</f>
        <v>1QE</v>
      </c>
      <c r="CN8" s="810" t="str">
        <f>Model!CN9</f>
        <v>2QE</v>
      </c>
      <c r="CO8" s="810" t="str">
        <f>Model!CO9</f>
        <v>3QE</v>
      </c>
      <c r="CP8" s="810" t="str">
        <f>Model!CP9</f>
        <v>4QE</v>
      </c>
      <c r="CQ8" s="809" t="str">
        <f>Model!CQ9</f>
        <v>2018E</v>
      </c>
      <c r="CR8" s="810" t="str">
        <f>Model!CR9</f>
        <v>1QE</v>
      </c>
      <c r="CS8" s="810" t="str">
        <f>Model!CS9</f>
        <v>2QE</v>
      </c>
      <c r="CT8" s="810" t="str">
        <f>Model!CT9</f>
        <v>3QE</v>
      </c>
      <c r="CU8" s="810" t="str">
        <f>Model!CU9</f>
        <v>4QE</v>
      </c>
      <c r="CV8" s="809" t="str">
        <f>Model!CV9</f>
        <v>2019E</v>
      </c>
      <c r="CW8" s="810" t="str">
        <f>Model!CW9</f>
        <v>1QE</v>
      </c>
      <c r="CX8" s="810" t="str">
        <f>Model!CX9</f>
        <v>2QE</v>
      </c>
      <c r="CY8" s="810" t="str">
        <f>Model!CY9</f>
        <v>3QE</v>
      </c>
      <c r="CZ8" s="810" t="str">
        <f>Model!CZ9</f>
        <v>4QE</v>
      </c>
      <c r="DA8" s="809" t="str">
        <f>Model!DA9</f>
        <v>2020E</v>
      </c>
      <c r="DB8" s="810" t="str">
        <f>Model!DB9</f>
        <v>1QE</v>
      </c>
      <c r="DC8" s="810" t="str">
        <f>Model!DC9</f>
        <v>2QE</v>
      </c>
      <c r="DD8" s="810" t="str">
        <f>Model!DD9</f>
        <v>3QE</v>
      </c>
      <c r="DE8" s="810" t="str">
        <f>Model!DE9</f>
        <v>4QE</v>
      </c>
      <c r="DF8" s="809" t="str">
        <f>Model!DF9</f>
        <v>2021E</v>
      </c>
    </row>
    <row r="9" spans="1:111" ht="12" hidden="1" thickBot="1" x14ac:dyDescent="0.25">
      <c r="B9" s="851"/>
      <c r="C9" s="851"/>
      <c r="D9" s="852"/>
      <c r="E9" s="852"/>
      <c r="F9" s="852"/>
      <c r="G9" s="852"/>
      <c r="H9" s="852"/>
      <c r="I9" s="852"/>
      <c r="J9" s="852"/>
      <c r="K9" s="852"/>
      <c r="L9" s="852"/>
      <c r="M9" s="852"/>
      <c r="N9" s="852"/>
      <c r="O9" s="852"/>
      <c r="P9" s="852"/>
      <c r="Q9" s="852"/>
      <c r="R9" s="852"/>
      <c r="S9" s="852"/>
      <c r="T9" s="852"/>
      <c r="U9" s="852"/>
      <c r="V9" s="852"/>
      <c r="W9" s="852"/>
      <c r="X9" s="852"/>
      <c r="Y9" s="852"/>
      <c r="Z9" s="852"/>
      <c r="AA9" s="852"/>
      <c r="AB9" s="852"/>
      <c r="AC9" s="852"/>
      <c r="AD9" s="852"/>
      <c r="AE9" s="853"/>
      <c r="AF9" s="852"/>
      <c r="AG9" s="852"/>
      <c r="AH9" s="852"/>
      <c r="AI9" s="852"/>
      <c r="AJ9" s="852"/>
      <c r="AK9" s="852"/>
      <c r="AL9" s="852"/>
      <c r="AM9" s="852"/>
      <c r="AN9" s="852"/>
      <c r="AO9" s="854"/>
      <c r="AP9" s="852"/>
      <c r="AQ9" s="852"/>
      <c r="AR9" s="852"/>
      <c r="AS9" s="852"/>
      <c r="AT9" s="852"/>
      <c r="AU9" s="852"/>
      <c r="AV9" s="852"/>
      <c r="AW9" s="852"/>
      <c r="AX9" s="852"/>
      <c r="AY9" s="852"/>
      <c r="AZ9" s="852"/>
      <c r="BA9" s="852"/>
      <c r="BB9" s="852"/>
      <c r="BC9" s="852"/>
      <c r="BD9" s="852"/>
      <c r="BE9" s="852"/>
      <c r="BF9" s="852"/>
      <c r="BG9" s="852"/>
      <c r="BH9" s="852"/>
      <c r="BI9" s="852"/>
      <c r="BJ9" s="852"/>
      <c r="BK9" s="852"/>
      <c r="BL9" s="852"/>
      <c r="BM9" s="852"/>
      <c r="BN9" s="852"/>
      <c r="BO9" s="852"/>
      <c r="BP9" s="852"/>
      <c r="BQ9" s="852"/>
      <c r="BR9" s="852"/>
      <c r="BS9" s="852"/>
      <c r="BT9" s="852"/>
      <c r="BU9" s="852"/>
      <c r="BV9" s="852"/>
      <c r="BW9" s="852"/>
      <c r="BX9" s="852"/>
      <c r="BY9" s="852"/>
      <c r="BZ9" s="852"/>
      <c r="CA9" s="852"/>
      <c r="CB9" s="852"/>
      <c r="CC9" s="852"/>
      <c r="CD9" s="852"/>
      <c r="CE9" s="852"/>
      <c r="CF9" s="852"/>
      <c r="CG9" s="852"/>
      <c r="CH9" s="852"/>
      <c r="CI9" s="852"/>
      <c r="CJ9" s="852"/>
      <c r="CK9" s="852"/>
      <c r="CL9" s="852"/>
      <c r="CM9" s="852"/>
      <c r="CN9" s="852"/>
      <c r="CO9" s="852"/>
      <c r="CP9" s="852"/>
      <c r="CQ9" s="852"/>
      <c r="CR9" s="852"/>
      <c r="CS9" s="852"/>
      <c r="CT9" s="852"/>
      <c r="CU9" s="852"/>
      <c r="CV9" s="852"/>
      <c r="CW9" s="852"/>
      <c r="CX9" s="852"/>
      <c r="CY9" s="852"/>
      <c r="CZ9" s="852"/>
      <c r="DA9" s="852"/>
      <c r="DB9" s="852"/>
      <c r="DC9" s="852"/>
      <c r="DD9" s="852"/>
      <c r="DE9" s="852"/>
      <c r="DF9" s="852"/>
    </row>
    <row r="10" spans="1:111" ht="11.25" customHeight="1" thickBot="1" x14ac:dyDescent="0.25">
      <c r="B10" s="855" t="s">
        <v>69</v>
      </c>
      <c r="C10" s="819"/>
      <c r="D10" s="856"/>
      <c r="E10" s="857"/>
      <c r="F10" s="857"/>
      <c r="G10" s="857"/>
      <c r="H10" s="857"/>
      <c r="I10" s="857"/>
      <c r="J10" s="857"/>
      <c r="K10" s="857"/>
      <c r="L10" s="857"/>
      <c r="M10" s="857"/>
      <c r="N10" s="857"/>
      <c r="O10" s="857"/>
      <c r="P10" s="857"/>
      <c r="Q10" s="857"/>
      <c r="R10" s="857"/>
      <c r="S10" s="857"/>
      <c r="T10" s="857"/>
      <c r="U10" s="857"/>
      <c r="V10" s="857"/>
      <c r="W10" s="857"/>
      <c r="X10" s="857"/>
      <c r="Y10" s="858"/>
      <c r="Z10" s="857"/>
      <c r="AA10" s="857"/>
      <c r="AB10" s="857"/>
      <c r="AC10" s="857"/>
      <c r="AD10" s="857"/>
      <c r="AE10" s="857"/>
      <c r="AF10" s="857"/>
      <c r="AG10" s="857"/>
      <c r="AH10" s="857"/>
      <c r="AI10" s="857"/>
      <c r="AJ10" s="859"/>
      <c r="AK10" s="859"/>
      <c r="AL10" s="859"/>
      <c r="AM10" s="859"/>
      <c r="AN10" s="857"/>
      <c r="AO10" s="857"/>
      <c r="AP10" s="857"/>
      <c r="AQ10" s="857"/>
      <c r="AR10" s="857"/>
      <c r="AS10" s="857"/>
      <c r="AT10" s="857"/>
      <c r="AU10" s="857"/>
      <c r="AV10" s="860"/>
      <c r="AW10" s="857"/>
      <c r="AX10" s="857"/>
      <c r="AY10" s="857"/>
      <c r="AZ10" s="857"/>
      <c r="BA10" s="857"/>
      <c r="BB10" s="857"/>
      <c r="BC10" s="857"/>
      <c r="BD10" s="857"/>
      <c r="BE10" s="857"/>
      <c r="BF10" s="857"/>
      <c r="BG10" s="857"/>
      <c r="BH10" s="857"/>
      <c r="BI10" s="857"/>
      <c r="BJ10" s="857"/>
      <c r="BK10" s="857"/>
      <c r="BL10" s="857"/>
      <c r="BM10" s="857"/>
      <c r="BN10" s="857"/>
      <c r="BO10" s="857"/>
      <c r="BP10" s="857"/>
      <c r="BQ10" s="857"/>
      <c r="BR10" s="857"/>
      <c r="BS10" s="857"/>
      <c r="BT10" s="857"/>
      <c r="BU10" s="857"/>
      <c r="BV10" s="857"/>
      <c r="BW10" s="857"/>
      <c r="BX10" s="857"/>
      <c r="BY10" s="857"/>
      <c r="BZ10" s="857"/>
      <c r="CA10" s="857"/>
      <c r="CB10" s="861"/>
      <c r="CC10" s="857"/>
      <c r="CD10" s="857"/>
      <c r="CE10" s="857"/>
      <c r="CF10" s="857"/>
      <c r="CG10" s="861"/>
      <c r="CH10" s="857"/>
      <c r="CI10" s="857"/>
      <c r="CJ10" s="857"/>
      <c r="CK10" s="857"/>
      <c r="CL10" s="861"/>
      <c r="CM10" s="857"/>
      <c r="CN10" s="857"/>
      <c r="CO10" s="857"/>
      <c r="CP10" s="857"/>
      <c r="CQ10" s="861"/>
      <c r="CR10" s="857"/>
      <c r="CS10" s="857"/>
      <c r="CT10" s="857"/>
      <c r="CU10" s="857"/>
      <c r="CV10" s="861"/>
      <c r="CW10" s="857"/>
      <c r="CX10" s="857"/>
      <c r="CY10" s="857"/>
      <c r="CZ10" s="857"/>
      <c r="DA10" s="861"/>
      <c r="DB10" s="857"/>
      <c r="DC10" s="857"/>
      <c r="DD10" s="857"/>
      <c r="DE10" s="857"/>
      <c r="DF10" s="861"/>
    </row>
    <row r="11" spans="1:111" ht="10.5" customHeight="1" x14ac:dyDescent="0.2">
      <c r="A11" s="77"/>
      <c r="B11" s="88" t="s">
        <v>155</v>
      </c>
      <c r="C11" s="164"/>
      <c r="D11" s="164"/>
      <c r="E11" s="165"/>
      <c r="F11" s="165"/>
      <c r="G11" s="165"/>
      <c r="H11" s="165"/>
      <c r="I11" s="165"/>
      <c r="J11" s="165"/>
      <c r="K11" s="165"/>
      <c r="L11" s="165"/>
      <c r="M11" s="165"/>
      <c r="N11" s="165"/>
      <c r="O11" s="165"/>
      <c r="P11" s="165"/>
      <c r="Q11" s="165"/>
      <c r="R11" s="165"/>
      <c r="S11" s="165"/>
      <c r="T11" s="142"/>
      <c r="U11" s="165"/>
      <c r="V11" s="166"/>
      <c r="W11" s="167"/>
      <c r="X11" s="167"/>
      <c r="Y11" s="168"/>
      <c r="Z11" s="167"/>
      <c r="AA11" s="166"/>
      <c r="AB11" s="165"/>
      <c r="AC11" s="165"/>
      <c r="AD11" s="142"/>
      <c r="AE11" s="165"/>
      <c r="AF11" s="165"/>
      <c r="AG11" s="165"/>
      <c r="AH11" s="165"/>
      <c r="AI11" s="142"/>
      <c r="AJ11" s="165"/>
      <c r="AK11" s="165"/>
      <c r="AL11" s="475"/>
      <c r="AM11" s="475"/>
      <c r="AN11" s="142"/>
      <c r="AO11" s="165"/>
      <c r="AP11" s="165"/>
      <c r="AQ11" s="165"/>
      <c r="AR11" s="165"/>
      <c r="AS11" s="142"/>
      <c r="AT11" s="165"/>
      <c r="AU11" s="165"/>
      <c r="AV11" s="165"/>
      <c r="AW11" s="165"/>
      <c r="AX11" s="142"/>
      <c r="AY11" s="165"/>
      <c r="AZ11" s="165"/>
      <c r="BA11" s="165"/>
      <c r="BB11" s="165"/>
      <c r="BC11" s="142"/>
      <c r="BD11" s="165"/>
      <c r="BE11" s="165"/>
      <c r="BF11" s="165"/>
      <c r="BG11" s="165"/>
      <c r="BH11" s="142"/>
      <c r="BI11" s="165"/>
      <c r="BJ11" s="165"/>
      <c r="BK11" s="165"/>
      <c r="BL11" s="165"/>
      <c r="BM11" s="142"/>
      <c r="BN11" s="165"/>
      <c r="BO11" s="165"/>
      <c r="BP11" s="165"/>
      <c r="BQ11" s="165"/>
      <c r="BR11" s="142"/>
      <c r="BS11" s="165"/>
      <c r="BT11" s="165"/>
      <c r="BU11" s="165"/>
      <c r="BV11" s="165"/>
      <c r="BW11" s="142"/>
      <c r="BX11" s="165"/>
      <c r="BY11" s="165"/>
      <c r="BZ11" s="165"/>
      <c r="CA11" s="165"/>
      <c r="CB11" s="142"/>
      <c r="CC11" s="475"/>
      <c r="CD11" s="475"/>
      <c r="CE11" s="165"/>
      <c r="CF11" s="166"/>
      <c r="CG11" s="174"/>
      <c r="CH11" s="165"/>
      <c r="CI11" s="475"/>
      <c r="CJ11" s="165"/>
      <c r="CK11" s="165"/>
      <c r="CL11" s="142"/>
      <c r="CM11" s="165"/>
      <c r="CN11" s="165"/>
      <c r="CO11" s="165"/>
      <c r="CP11" s="165"/>
      <c r="CQ11" s="142"/>
      <c r="CR11" s="165"/>
      <c r="CS11" s="165"/>
      <c r="CT11" s="165"/>
      <c r="CU11" s="165"/>
      <c r="CV11" s="142"/>
      <c r="CW11" s="165"/>
      <c r="CX11" s="165"/>
      <c r="CY11" s="165"/>
      <c r="CZ11" s="165"/>
      <c r="DA11" s="1928"/>
      <c r="DB11" s="165"/>
      <c r="DC11" s="165"/>
      <c r="DD11" s="165"/>
      <c r="DE11" s="165"/>
      <c r="DF11" s="1928"/>
    </row>
    <row r="12" spans="1:111" s="40" customFormat="1" x14ac:dyDescent="0.2">
      <c r="A12" s="175"/>
      <c r="B12" s="169" t="s">
        <v>255</v>
      </c>
      <c r="C12" s="25"/>
      <c r="D12" s="25"/>
      <c r="E12" s="145">
        <v>4165.0050000000001</v>
      </c>
      <c r="F12" s="145">
        <v>1123.1280000000002</v>
      </c>
      <c r="G12" s="145">
        <v>1258.8499999999999</v>
      </c>
      <c r="H12" s="145">
        <v>1392.8270000000002</v>
      </c>
      <c r="I12" s="19">
        <v>2203.0279999999993</v>
      </c>
      <c r="J12" s="145">
        <v>5977.8329999999996</v>
      </c>
      <c r="K12" s="145">
        <v>1805.2</v>
      </c>
      <c r="L12" s="145">
        <v>2336.7920000000004</v>
      </c>
      <c r="M12" s="145">
        <v>2343.0279999999998</v>
      </c>
      <c r="N12" s="19">
        <v>1930.2659999999996</v>
      </c>
      <c r="O12" s="145">
        <v>8415.2860000000001</v>
      </c>
      <c r="P12" s="170">
        <v>2188.2080000000001</v>
      </c>
      <c r="Q12" s="170">
        <v>2303.3110000000001</v>
      </c>
      <c r="R12" s="170">
        <v>2201.3009999999999</v>
      </c>
      <c r="S12" s="170">
        <v>2344.1799999999998</v>
      </c>
      <c r="T12" s="171">
        <v>9037</v>
      </c>
      <c r="U12" s="170">
        <v>2337.2539999999999</v>
      </c>
      <c r="V12" s="170">
        <v>2365.4760000000001</v>
      </c>
      <c r="W12" s="170">
        <v>2283.0100000000002</v>
      </c>
      <c r="X12" s="170">
        <v>2401.2600000000002</v>
      </c>
      <c r="Y12" s="171">
        <v>9387</v>
      </c>
      <c r="Z12" s="170">
        <v>2301.9</v>
      </c>
      <c r="AA12" s="170">
        <v>2324.1</v>
      </c>
      <c r="AB12" s="170">
        <v>2207</v>
      </c>
      <c r="AC12" s="172">
        <v>2338</v>
      </c>
      <c r="AD12" s="173">
        <v>9171</v>
      </c>
      <c r="AE12" s="170">
        <v>2197.1</v>
      </c>
      <c r="AF12" s="170">
        <v>2199.5</v>
      </c>
      <c r="AG12" s="170">
        <v>2159.3000000000002</v>
      </c>
      <c r="AH12" s="170">
        <v>2313.1</v>
      </c>
      <c r="AI12" s="174">
        <v>8869</v>
      </c>
      <c r="AJ12" s="170">
        <f>2332.1+935.6</f>
        <v>3267.7</v>
      </c>
      <c r="AK12" s="170">
        <f>2376.8+894</f>
        <v>3270.8</v>
      </c>
      <c r="AL12" s="170">
        <f>2320+864.4</f>
        <v>3184.4</v>
      </c>
      <c r="AM12" s="170">
        <f>2439.9+860.5</f>
        <v>3300.4</v>
      </c>
      <c r="AN12" s="174">
        <f>SUM(AJ12:AM12)</f>
        <v>13023.3</v>
      </c>
      <c r="AO12" s="170">
        <f>3278.5</f>
        <v>3278.5</v>
      </c>
      <c r="AP12" s="170">
        <f>3299.2</f>
        <v>3299.2</v>
      </c>
      <c r="AQ12" s="170">
        <f>3181.3</f>
        <v>3181.3</v>
      </c>
      <c r="AR12" s="170">
        <v>3280.9</v>
      </c>
      <c r="AS12" s="174">
        <f>SUM(AO12:AR12)</f>
        <v>13039.9</v>
      </c>
      <c r="AT12" s="170">
        <f>3250.6</f>
        <v>3250.6</v>
      </c>
      <c r="AU12" s="170">
        <f>3232.9</f>
        <v>3232.9</v>
      </c>
      <c r="AV12" s="170">
        <v>3288.8</v>
      </c>
      <c r="AW12" s="170">
        <f>15019.3-SUM(AT12:AV12)+9.5*retail</f>
        <v>5254.6879746368795</v>
      </c>
      <c r="AX12" s="174">
        <f>SUM(AT12:AW12)</f>
        <v>15026.987974636879</v>
      </c>
      <c r="AY12" s="170">
        <f>7521.5+28.5*retail</f>
        <v>7544.5639239106395</v>
      </c>
      <c r="AZ12" s="170">
        <f>7590.6+(28.5-30)*retail</f>
        <v>7589.3861092678617</v>
      </c>
      <c r="BA12" s="170">
        <f>7490.9+28.5*retail</f>
        <v>7513.9639239106391</v>
      </c>
      <c r="BB12" s="170">
        <f>30147.8-7521.5-7590.6-7490.9+28.5*retail</f>
        <v>7567.8639239106387</v>
      </c>
      <c r="BC12" s="174">
        <f>SUM(AY12:BB12)</f>
        <v>30215.77788099978</v>
      </c>
      <c r="BD12" s="170">
        <f>7258.1+28.5*retail</f>
        <v>7281.1639239106398</v>
      </c>
      <c r="BE12" s="170">
        <f>7389+28.5*retail</f>
        <v>7412.0639239106395</v>
      </c>
      <c r="BF12" s="170">
        <f>7491+28.5*retail</f>
        <v>7514.0639239106395</v>
      </c>
      <c r="BG12" s="170">
        <f>7869.2+(28.5+30)*retail</f>
        <v>7916.5417385534174</v>
      </c>
      <c r="BH12" s="174">
        <f>SUM(BD12:BG12)</f>
        <v>30123.833510285334</v>
      </c>
      <c r="BI12" s="170">
        <f>7683.8+(28.5)*retail</f>
        <v>7706.8639239106396</v>
      </c>
      <c r="BJ12" s="170">
        <f>16834.8+(28.5)*retail</f>
        <v>16857.863923910638</v>
      </c>
      <c r="BK12" s="170">
        <f>16341.9+(28.5)*retail</f>
        <v>16364.963923910638</v>
      </c>
      <c r="BL12" s="170">
        <f>16905+(28.5)*retail</f>
        <v>16928.063923910639</v>
      </c>
      <c r="BM12" s="174">
        <f>SUM(BI12:BL12)</f>
        <v>57857.755695642554</v>
      </c>
      <c r="BN12" s="170">
        <f>16097.8+28.5*retail</f>
        <v>16120.863923910638</v>
      </c>
      <c r="BO12" s="170">
        <f>16273.7+(28.5)*retail</f>
        <v>16296.763923910639</v>
      </c>
      <c r="BP12" s="170">
        <f>15387.3+(28.5)*retail</f>
        <v>15410.363923910638</v>
      </c>
      <c r="BQ12" s="170">
        <f>63244.4-BP12-BO12-BN12</f>
        <v>15416.40822826809</v>
      </c>
      <c r="BR12" s="174">
        <f>SUM(BN12:BQ12)</f>
        <v>63244.400000000009</v>
      </c>
      <c r="BS12" s="170">
        <f>13912.3+(28.5)*retail</f>
        <v>13935.363923910638</v>
      </c>
      <c r="BT12" s="170">
        <f>14605+(28.5)*retail</f>
        <v>14628.063923910639</v>
      </c>
      <c r="BU12" s="170">
        <f>14722+(28.5)*retail</f>
        <v>14745.063923910639</v>
      </c>
      <c r="BV12" s="172">
        <f>58468.6-BU12-BT12-BS12+retail*26.9+retail*3*28.5</f>
        <v>15251.069107129691</v>
      </c>
      <c r="BW12" s="1889">
        <f>SUM(BS12:BV12)</f>
        <v>58559.560878861608</v>
      </c>
      <c r="BX12" s="170">
        <f>14242+(23.8)*retail</f>
        <v>14261.260399616604</v>
      </c>
      <c r="BY12" s="170">
        <f>14277+(23.8)*retail</f>
        <v>14296.260399616604</v>
      </c>
      <c r="BZ12" s="170">
        <f>13747.2+(23.8)*retail</f>
        <v>13766.460399616604</v>
      </c>
      <c r="CA12" s="172">
        <f>CB12-SUM(BX12:BZ12)</f>
        <v>14225.579473567799</v>
      </c>
      <c r="CB12" s="174">
        <f>56472.6+23.8*3*retail+23.7*retail</f>
        <v>56549.56067241761</v>
      </c>
      <c r="CC12" s="170">
        <f>13000.6+(34.3)*retail</f>
        <v>13028.357634741576</v>
      </c>
      <c r="CD12" s="170">
        <f>13084.1+(55.4)*retail</f>
        <v>13128.933031040331</v>
      </c>
      <c r="CE12" s="170">
        <f>13000.6+(55.4)*retail</f>
        <v>13045.433031040331</v>
      </c>
      <c r="CF12" s="170">
        <f>51402.5-CE12-CD12-CC12+(55.4)*retail*3+34.3*retail</f>
        <v>12362.033031040328</v>
      </c>
      <c r="CG12" s="174">
        <f>SUM(CC12:CF12)</f>
        <v>51564.756727862572</v>
      </c>
      <c r="CH12" s="170">
        <f>12406.4+(55.4)*retail</f>
        <v>12451.23303104033</v>
      </c>
      <c r="CI12" s="170">
        <f>12392.9+(55.4)*retail</f>
        <v>12437.73303104033</v>
      </c>
      <c r="CJ12" s="170">
        <f>12182.9+(55.4)*retail</f>
        <v>12227.73303104033</v>
      </c>
      <c r="CK12" s="170">
        <f>49562.2-CJ12-CI12-CH12+(55.4)*retail</f>
        <v>12490.333937919333</v>
      </c>
      <c r="CL12" s="174">
        <f>SUM(CH12:CK12)</f>
        <v>49607.033031040322</v>
      </c>
      <c r="CM12" s="172">
        <f>SUM(CM180:CM181)</f>
        <v>12336.748613429387</v>
      </c>
      <c r="CN12" s="172">
        <f>SUM(CN180:CN181)</f>
        <v>12322.480679920722</v>
      </c>
      <c r="CO12" s="172">
        <f>SUM(CO180:CO181)</f>
        <v>12526.902648441001</v>
      </c>
      <c r="CP12" s="172">
        <f>SUM(CP180:CP181)</f>
        <v>12798.841030763506</v>
      </c>
      <c r="CQ12" s="174">
        <f>SUM(CM12:CP12)</f>
        <v>49984.972972554613</v>
      </c>
      <c r="CR12" s="172">
        <f>SUM(CR180:CR181)</f>
        <v>13067.801752074363</v>
      </c>
      <c r="CS12" s="172">
        <f>SUM(CS180:CS181)</f>
        <v>13055.663285987244</v>
      </c>
      <c r="CT12" s="172">
        <f>SUM(CT180:CT181)</f>
        <v>13299.22609818176</v>
      </c>
      <c r="CU12" s="172">
        <f>SUM(CU180:CU181)</f>
        <v>13571.814938533709</v>
      </c>
      <c r="CV12" s="174">
        <f>SUM(CR12:CU12)</f>
        <v>52994.506074777077</v>
      </c>
      <c r="CW12" s="172">
        <f>SUM(CW180:CW181)</f>
        <v>12332.383824693767</v>
      </c>
      <c r="CX12" s="172">
        <f>SUM(CX180:CX181)</f>
        <v>12323.718237274939</v>
      </c>
      <c r="CY12" s="172">
        <f>SUM(CY180:CY181)</f>
        <v>12568.605546956447</v>
      </c>
      <c r="CZ12" s="172">
        <f>SUM(CZ180:CZ181)</f>
        <v>12811.603145347586</v>
      </c>
      <c r="DA12" s="174">
        <f>SUM(CW12:CZ12)</f>
        <v>50036.310754272738</v>
      </c>
      <c r="DB12" s="172">
        <f>SUM(DB180:DB181)</f>
        <v>11695.598056003502</v>
      </c>
      <c r="DC12" s="172">
        <f>SUM(DC180:DC181)</f>
        <v>11690.018091449138</v>
      </c>
      <c r="DD12" s="172">
        <f>SUM(DD180:DD181)</f>
        <v>11938.86565077046</v>
      </c>
      <c r="DE12" s="172">
        <f>SUM(DE180:DE181)</f>
        <v>12155.782996733353</v>
      </c>
      <c r="DF12" s="174">
        <f>SUM(DB12:DE12)</f>
        <v>47480.264794956449</v>
      </c>
      <c r="DG12" s="198"/>
    </row>
    <row r="13" spans="1:111" s="40" customFormat="1" ht="4.5" customHeight="1" x14ac:dyDescent="0.2">
      <c r="A13" s="175"/>
      <c r="B13" s="169"/>
      <c r="C13" s="25"/>
      <c r="D13" s="25"/>
      <c r="E13" s="145"/>
      <c r="F13" s="145"/>
      <c r="G13" s="145"/>
      <c r="H13" s="145"/>
      <c r="I13" s="19"/>
      <c r="J13" s="145"/>
      <c r="K13" s="145"/>
      <c r="L13" s="145"/>
      <c r="M13" s="145"/>
      <c r="N13" s="19"/>
      <c r="O13" s="145"/>
      <c r="P13" s="170"/>
      <c r="Q13" s="170"/>
      <c r="R13" s="170"/>
      <c r="S13" s="170"/>
      <c r="T13" s="171"/>
      <c r="U13" s="170"/>
      <c r="V13" s="170"/>
      <c r="W13" s="170"/>
      <c r="X13" s="170"/>
      <c r="Y13" s="171"/>
      <c r="Z13" s="170"/>
      <c r="AA13" s="170"/>
      <c r="AB13" s="170"/>
      <c r="AC13" s="172"/>
      <c r="AD13" s="173"/>
      <c r="AE13" s="170"/>
      <c r="AF13" s="170"/>
      <c r="AG13" s="170"/>
      <c r="AH13" s="170"/>
      <c r="AI13" s="174"/>
      <c r="AJ13" s="170"/>
      <c r="AK13" s="170"/>
      <c r="AL13" s="170"/>
      <c r="AM13" s="170"/>
      <c r="AN13" s="174"/>
      <c r="AO13" s="170"/>
      <c r="AP13" s="170"/>
      <c r="AQ13" s="170"/>
      <c r="AR13" s="170"/>
      <c r="AS13" s="174"/>
      <c r="AT13" s="170"/>
      <c r="AU13" s="170"/>
      <c r="AV13" s="172"/>
      <c r="AW13" s="172"/>
      <c r="AX13" s="174"/>
      <c r="AY13" s="172"/>
      <c r="AZ13" s="172"/>
      <c r="BA13" s="172"/>
      <c r="BB13" s="172"/>
      <c r="BC13" s="174"/>
      <c r="BD13" s="172"/>
      <c r="BE13" s="172"/>
      <c r="BF13" s="170"/>
      <c r="BG13" s="172"/>
      <c r="BH13" s="174"/>
      <c r="BI13" s="172"/>
      <c r="BJ13" s="172"/>
      <c r="BK13" s="172"/>
      <c r="BL13" s="172"/>
      <c r="BM13" s="174"/>
      <c r="BN13" s="172"/>
      <c r="BO13" s="172"/>
      <c r="BP13" s="172"/>
      <c r="BQ13" s="172"/>
      <c r="BR13" s="174"/>
      <c r="BS13" s="172"/>
      <c r="BT13" s="172"/>
      <c r="BU13" s="172"/>
      <c r="BV13" s="172"/>
      <c r="BW13" s="174"/>
      <c r="BX13" s="172"/>
      <c r="BY13" s="172"/>
      <c r="BZ13" s="172"/>
      <c r="CA13" s="172"/>
      <c r="CB13" s="174"/>
      <c r="CC13" s="172"/>
      <c r="CD13" s="172"/>
      <c r="CE13" s="172"/>
      <c r="CF13" s="172"/>
      <c r="CG13" s="174"/>
      <c r="CH13" s="172"/>
      <c r="CI13" s="172"/>
      <c r="CJ13" s="172"/>
      <c r="CK13" s="172"/>
      <c r="CL13" s="174"/>
      <c r="CM13" s="172"/>
      <c r="CN13" s="172"/>
      <c r="CO13" s="172"/>
      <c r="CP13" s="172"/>
      <c r="CQ13" s="174"/>
      <c r="CR13" s="172"/>
      <c r="CS13" s="172"/>
      <c r="CT13" s="172"/>
      <c r="CU13" s="172"/>
      <c r="CV13" s="174"/>
      <c r="CW13" s="172"/>
      <c r="CX13" s="172"/>
      <c r="CY13" s="172"/>
      <c r="CZ13" s="172"/>
      <c r="DA13" s="174"/>
      <c r="DB13" s="172"/>
      <c r="DC13" s="172"/>
      <c r="DD13" s="172"/>
      <c r="DE13" s="172"/>
      <c r="DF13" s="174"/>
    </row>
    <row r="14" spans="1:111" s="40" customFormat="1" ht="11.25" customHeight="1" x14ac:dyDescent="0.2">
      <c r="A14" s="175"/>
      <c r="B14" s="176" t="s">
        <v>8</v>
      </c>
      <c r="C14" s="25"/>
      <c r="D14" s="25"/>
      <c r="E14" s="145"/>
      <c r="F14" s="145"/>
      <c r="G14" s="145"/>
      <c r="H14" s="145"/>
      <c r="I14" s="19"/>
      <c r="J14" s="145"/>
      <c r="K14" s="145"/>
      <c r="L14" s="145"/>
      <c r="M14" s="145"/>
      <c r="N14" s="19"/>
      <c r="O14" s="145"/>
      <c r="P14" s="170"/>
      <c r="Q14" s="170"/>
      <c r="R14" s="170"/>
      <c r="S14" s="170"/>
      <c r="T14" s="171"/>
      <c r="U14" s="170"/>
      <c r="V14" s="170"/>
      <c r="W14" s="170"/>
      <c r="X14" s="170"/>
      <c r="Y14" s="171"/>
      <c r="Z14" s="170"/>
      <c r="AA14" s="170"/>
      <c r="AB14" s="170"/>
      <c r="AC14" s="172"/>
      <c r="AD14" s="173"/>
      <c r="AE14" s="170"/>
      <c r="AF14" s="170"/>
      <c r="AG14" s="170"/>
      <c r="AH14" s="170"/>
      <c r="AI14" s="174"/>
      <c r="AJ14" s="170"/>
      <c r="AK14" s="170"/>
      <c r="AL14" s="170"/>
      <c r="AM14" s="170"/>
      <c r="AN14" s="174"/>
      <c r="AO14" s="170">
        <v>1235.4000000000001</v>
      </c>
      <c r="AP14" s="170">
        <v>1243.0999999999999</v>
      </c>
      <c r="AQ14" s="170">
        <v>1264.2</v>
      </c>
      <c r="AR14" s="170">
        <v>1250</v>
      </c>
      <c r="AS14" s="174">
        <f>SUM(AO14:AR14)</f>
        <v>4992.7</v>
      </c>
      <c r="AT14" s="172">
        <f ca="1">SUM(AT183:AT184)</f>
        <v>1152.4335960000003</v>
      </c>
      <c r="AU14" s="172">
        <f ca="1">SUM(AU183:AU184)</f>
        <v>1235.9740799999997</v>
      </c>
      <c r="AV14" s="172">
        <f ca="1">SUM(AV183:AV184)</f>
        <v>1233.4009590000001</v>
      </c>
      <c r="AW14" s="172">
        <f ca="1">SUM(AW183:AW184)</f>
        <v>1753.8565562941199</v>
      </c>
      <c r="AX14" s="174">
        <f ca="1">SUM(AT14:AW14)</f>
        <v>5375.6651912941197</v>
      </c>
      <c r="AY14" s="172">
        <f ca="1">SUM(AY183:AY184)</f>
        <v>2175.4987755443603</v>
      </c>
      <c r="AZ14" s="172">
        <f ca="1">SUM(AZ183:AZ184)</f>
        <v>2199.6313145228573</v>
      </c>
      <c r="BA14" s="172">
        <f ca="1">SUM(BA183:BA184)</f>
        <v>2195.6537979900809</v>
      </c>
      <c r="BB14" s="172">
        <f ca="1">SUM(BB183:BB184)</f>
        <v>2209.4258175507566</v>
      </c>
      <c r="BC14" s="174">
        <f ca="1">SUM(AY14:BB14)</f>
        <v>8780.2097056080547</v>
      </c>
      <c r="BD14" s="170">
        <f ca="1">3462.3+(28.5)*mail-BD16</f>
        <v>2235.8853889442767</v>
      </c>
      <c r="BE14" s="170">
        <f>3574.9+(28.5)*mail-BE16</f>
        <v>2286.8928545870222</v>
      </c>
      <c r="BF14" s="170">
        <f>3678.4+(28.5)*mail-BF16</f>
        <v>2371.0573398255997</v>
      </c>
      <c r="BG14" s="170">
        <f>3831.8+(28.5+30)*mail-BG16</f>
        <v>2485.5120871466447</v>
      </c>
      <c r="BH14" s="174">
        <f ca="1">SUM(BD14:BG14)</f>
        <v>9379.3476705035428</v>
      </c>
      <c r="BI14" s="170">
        <f ca="1">3980.7+(28.5)*mail-BI16</f>
        <v>2581.3141962132486</v>
      </c>
      <c r="BJ14" s="170">
        <f ca="1">9791.6+(28.5)*mail-BJ16</f>
        <v>6701.5696920417204</v>
      </c>
      <c r="BK14" s="170">
        <f ca="1">9580.4+(28.5)*mail-BK16</f>
        <v>6369.3435253008192</v>
      </c>
      <c r="BL14" s="170">
        <f ca="1">9652+(28.5)*mail-BL16</f>
        <v>6389.325833906214</v>
      </c>
      <c r="BM14" s="174">
        <f ca="1">SUM(BI14:BL14)</f>
        <v>22041.553247462001</v>
      </c>
      <c r="BN14" s="170">
        <f ca="1">9226.2+(28.5)*mail-BN16</f>
        <v>5999.1304412183599</v>
      </c>
      <c r="BO14" s="170">
        <f ca="1">9318.4+(28.5)*mail-BO16</f>
        <v>5955.360870384131</v>
      </c>
      <c r="BP14" s="170">
        <f ca="1">9705.7+(28.5)*mail-BP16</f>
        <v>6214.9185323734782</v>
      </c>
      <c r="BQ14" s="170">
        <f ca="1">(37621.2-BP14-BO14-BN14-BN16-BO16-BP16)+(28.5)*mail-BQ16+194.76</f>
        <v>5999.4732092277054</v>
      </c>
      <c r="BR14" s="174">
        <f ca="1">SUM(BN14:BQ14)-5.4</f>
        <v>24163.483053203672</v>
      </c>
      <c r="BS14" s="1719">
        <f ca="1">8913.6+(28.5)*mail-BS16</f>
        <v>5320.9729046530647</v>
      </c>
      <c r="BT14" s="1719">
        <f ca="1">9559.7+(28.5)*mail-BT16</f>
        <v>5744.0326738591484</v>
      </c>
      <c r="BU14" s="1719">
        <f ca="1">10072.1+(28.5)*mail-BU16</f>
        <v>6112.3667069272078</v>
      </c>
      <c r="BV14" s="172">
        <f ca="1">38633-BW16-BU14-BT14-BS14+26.9*mail+28.5*3*mail</f>
        <v>6059.9012597826913</v>
      </c>
      <c r="BW14" s="174">
        <f ca="1">SUM(BS14:BV14)+3*28.5*mail+26.9*mail</f>
        <v>23258.712666360501</v>
      </c>
      <c r="BX14" s="1719">
        <f ca="1">9626.2+(23.8)*mail-BX16</f>
        <v>5298.6715419740949</v>
      </c>
      <c r="BY14" s="1719">
        <f ca="1">10083.9+(23.8)*mail-BY16</f>
        <v>5487.8311040982171</v>
      </c>
      <c r="BZ14" s="1719">
        <f ca="1">10331.8+(23.8)*mail-BZ16</f>
        <v>5562.2756799121607</v>
      </c>
      <c r="CA14" s="172">
        <f ca="1">CB14-SUM(BX14:BZ14)</f>
        <v>6110.605322417483</v>
      </c>
      <c r="CB14" s="1889">
        <f ca="1">40830.1-CB16+23.8*3*mail+23.7*mail</f>
        <v>22459.383648401956</v>
      </c>
      <c r="CC14" s="1719">
        <f ca="1">10611.2+(34.3)*mail-CC16</f>
        <v>5681.3508127010246</v>
      </c>
      <c r="CD14" s="1719">
        <f ca="1">10821.8+(55.4)*mail-CD16</f>
        <v>5515.788775440109</v>
      </c>
      <c r="CE14" s="1719">
        <f ca="1">11031.8+(55.4)*mail-CE16</f>
        <v>5525.3393508650979</v>
      </c>
      <c r="CF14" s="170">
        <f ca="1">43685.6+(55.4)*mail*3+34.3*mail-CF16-CE14-CD14-CC14-CD16-CE16-CC16</f>
        <v>5820.5975863201547</v>
      </c>
      <c r="CG14" s="174">
        <f ca="1">SUM(CC14:CF14)</f>
        <v>22543.076525326389</v>
      </c>
      <c r="CH14" s="1719">
        <f ca="1">10828.4+(55.4)*mail-CH16</f>
        <v>5134.3494810355251</v>
      </c>
      <c r="CI14" s="1719">
        <f ca="1">11365.8+(55.4)*mail-CI16</f>
        <v>5260.9729018637954</v>
      </c>
      <c r="CJ14" s="1719">
        <f ca="1">10948.3+(55.4)*mail-CJ16</f>
        <v>4612.9059512463882</v>
      </c>
      <c r="CK14" s="170">
        <f ca="1">44334.2+(55.4)*mail*3+34.3*mail-CK16-CJ14-CI14-CH14-CI16-CJ16-CH16</f>
        <v>4974.5048828773242</v>
      </c>
      <c r="CL14" s="174">
        <f ca="1">SUM(CH14:CK14)</f>
        <v>19982.733217023033</v>
      </c>
      <c r="CM14" s="172">
        <f ca="1">SUM(CM183:CM184)</f>
        <v>4545.081738592261</v>
      </c>
      <c r="CN14" s="172">
        <f ca="1">SUM(CN183:CN184)</f>
        <v>4621.7381904459371</v>
      </c>
      <c r="CO14" s="172">
        <f ca="1">SUM(CO183:CO184)</f>
        <v>4162.7050836848684</v>
      </c>
      <c r="CP14" s="172">
        <f ca="1">SUM(CP183:CP184)</f>
        <v>4507.9248816571826</v>
      </c>
      <c r="CQ14" s="174">
        <f ca="1">SUM(CM14:CP14)</f>
        <v>17837.44989438025</v>
      </c>
      <c r="CR14" s="172">
        <f ca="1">SUM(CR183:CR184)</f>
        <v>4320.4091412314592</v>
      </c>
      <c r="CS14" s="172">
        <f ca="1">SUM(CS183:CS184)</f>
        <v>4509.7299796829939</v>
      </c>
      <c r="CT14" s="172">
        <f ca="1">SUM(CT183:CT184)</f>
        <v>4047.0747154514929</v>
      </c>
      <c r="CU14" s="172">
        <f ca="1">SUM(CU183:CU184)</f>
        <v>4428.797794313783</v>
      </c>
      <c r="CV14" s="174">
        <f ca="1">SUM(CR14:CU14)</f>
        <v>17306.011630679728</v>
      </c>
      <c r="CW14" s="172">
        <f ca="1">SUM(CW183:CW184)</f>
        <v>3732.5676534522809</v>
      </c>
      <c r="CX14" s="172">
        <f ca="1">SUM(CX183:CX184)</f>
        <v>3893.9872624971608</v>
      </c>
      <c r="CY14" s="172">
        <f ca="1">SUM(CY183:CY184)</f>
        <v>3482.2110126965767</v>
      </c>
      <c r="CZ14" s="172">
        <f ca="1">SUM(CZ183:CZ184)</f>
        <v>3814.5035698589818</v>
      </c>
      <c r="DA14" s="174">
        <f ca="1">SUM(CW14:CZ14)</f>
        <v>14923.269498505</v>
      </c>
      <c r="DB14" s="172">
        <f ca="1">SUM(DB183:DB184)</f>
        <v>3210.0798598905085</v>
      </c>
      <c r="DC14" s="172">
        <f ca="1">SUM(DC183:DC184)</f>
        <v>3346.7268911149886</v>
      </c>
      <c r="DD14" s="172">
        <f ca="1">SUM(DD183:DD184)</f>
        <v>2979.7011258780999</v>
      </c>
      <c r="DE14" s="172">
        <f ca="1">SUM(DE183:DE184)</f>
        <v>3268.2091506611919</v>
      </c>
      <c r="DF14" s="174">
        <f ca="1">SUM(DB14:DE14)</f>
        <v>12804.71702754479</v>
      </c>
      <c r="DG14" s="198"/>
    </row>
    <row r="15" spans="1:111" s="40" customFormat="1" ht="4.5" customHeight="1" x14ac:dyDescent="0.2">
      <c r="A15" s="175"/>
      <c r="B15" s="176"/>
      <c r="C15" s="25"/>
      <c r="D15" s="25"/>
      <c r="E15" s="145"/>
      <c r="F15" s="145"/>
      <c r="G15" s="145"/>
      <c r="H15" s="145"/>
      <c r="I15" s="19"/>
      <c r="J15" s="145"/>
      <c r="K15" s="145"/>
      <c r="L15" s="145"/>
      <c r="M15" s="145"/>
      <c r="N15" s="19"/>
      <c r="O15" s="145"/>
      <c r="P15" s="170"/>
      <c r="Q15" s="170"/>
      <c r="R15" s="170"/>
      <c r="S15" s="170"/>
      <c r="T15" s="171"/>
      <c r="U15" s="170"/>
      <c r="V15" s="170"/>
      <c r="W15" s="170"/>
      <c r="X15" s="170"/>
      <c r="Y15" s="171"/>
      <c r="Z15" s="170"/>
      <c r="AA15" s="170"/>
      <c r="AB15" s="170"/>
      <c r="AC15" s="172"/>
      <c r="AD15" s="171"/>
      <c r="AE15" s="170"/>
      <c r="AF15" s="170"/>
      <c r="AG15" s="170"/>
      <c r="AH15" s="170"/>
      <c r="AI15" s="174"/>
      <c r="AJ15" s="170"/>
      <c r="AK15" s="170"/>
      <c r="AL15" s="170"/>
      <c r="AM15" s="170"/>
      <c r="AN15" s="174"/>
      <c r="AO15" s="170"/>
      <c r="AP15" s="170"/>
      <c r="AQ15" s="170"/>
      <c r="AR15" s="170"/>
      <c r="AS15" s="174"/>
      <c r="AT15" s="170"/>
      <c r="AU15" s="170"/>
      <c r="AV15" s="172"/>
      <c r="AW15" s="172"/>
      <c r="AX15" s="174"/>
      <c r="AY15" s="170"/>
      <c r="AZ15" s="170"/>
      <c r="BA15" s="172"/>
      <c r="BB15" s="172"/>
      <c r="BC15" s="174"/>
      <c r="BD15" s="170"/>
      <c r="BE15" s="170"/>
      <c r="BF15" s="170"/>
      <c r="BG15" s="172"/>
      <c r="BH15" s="174"/>
      <c r="BI15" s="172"/>
      <c r="BJ15" s="172"/>
      <c r="BK15" s="172"/>
      <c r="BL15" s="172"/>
      <c r="BM15" s="174"/>
      <c r="BN15" s="172"/>
      <c r="BO15" s="172"/>
      <c r="BP15" s="172"/>
      <c r="BQ15" s="172"/>
      <c r="BR15" s="174"/>
      <c r="BS15" s="172"/>
      <c r="BT15" s="172"/>
      <c r="BU15" s="172"/>
      <c r="BV15" s="172"/>
      <c r="BW15" s="174"/>
      <c r="BX15" s="172"/>
      <c r="BY15" s="172"/>
      <c r="BZ15" s="172"/>
      <c r="CA15" s="172"/>
      <c r="CB15" s="174"/>
      <c r="CC15" s="172"/>
      <c r="CD15" s="172"/>
      <c r="CE15" s="172"/>
      <c r="CF15" s="172"/>
      <c r="CG15" s="174"/>
      <c r="CH15" s="172"/>
      <c r="CI15" s="172"/>
      <c r="CJ15" s="172"/>
      <c r="CK15" s="172"/>
      <c r="CL15" s="174"/>
      <c r="CM15" s="172"/>
      <c r="CN15" s="172"/>
      <c r="CO15" s="172"/>
      <c r="CP15" s="172"/>
      <c r="CQ15" s="174"/>
      <c r="CR15" s="172"/>
      <c r="CS15" s="172"/>
      <c r="CT15" s="172"/>
      <c r="CU15" s="172"/>
      <c r="CV15" s="174"/>
      <c r="CW15" s="172"/>
      <c r="CX15" s="172"/>
      <c r="CY15" s="172"/>
      <c r="CZ15" s="172"/>
      <c r="DA15" s="174"/>
      <c r="DB15" s="172"/>
      <c r="DC15" s="172"/>
      <c r="DD15" s="172"/>
      <c r="DE15" s="172"/>
      <c r="DF15" s="174"/>
    </row>
    <row r="16" spans="1:111" s="40" customFormat="1" ht="11.25" customHeight="1" x14ac:dyDescent="0.2">
      <c r="A16" s="175"/>
      <c r="B16" s="176" t="s">
        <v>9</v>
      </c>
      <c r="C16" s="25"/>
      <c r="D16" s="25"/>
      <c r="E16" s="145"/>
      <c r="F16" s="145"/>
      <c r="G16" s="145"/>
      <c r="H16" s="145"/>
      <c r="I16" s="19"/>
      <c r="J16" s="145"/>
      <c r="K16" s="145"/>
      <c r="L16" s="145"/>
      <c r="M16" s="145"/>
      <c r="N16" s="19"/>
      <c r="O16" s="145"/>
      <c r="P16" s="170"/>
      <c r="Q16" s="170"/>
      <c r="R16" s="170"/>
      <c r="S16" s="170"/>
      <c r="T16" s="171"/>
      <c r="U16" s="170"/>
      <c r="V16" s="170"/>
      <c r="W16" s="170"/>
      <c r="X16" s="170"/>
      <c r="Y16" s="171"/>
      <c r="Z16" s="170"/>
      <c r="AA16" s="170"/>
      <c r="AB16" s="170"/>
      <c r="AC16" s="172"/>
      <c r="AD16" s="173"/>
      <c r="AE16" s="170"/>
      <c r="AF16" s="170"/>
      <c r="AG16" s="170"/>
      <c r="AH16" s="170"/>
      <c r="AI16" s="174"/>
      <c r="AJ16" s="170"/>
      <c r="AK16" s="170"/>
      <c r="AL16" s="170"/>
      <c r="AM16" s="170"/>
      <c r="AN16" s="174"/>
      <c r="AO16" s="172">
        <f ca="1">AO185</f>
        <v>541.19999999999982</v>
      </c>
      <c r="AP16" s="172">
        <f ca="1">AP185</f>
        <v>546.80000000000018</v>
      </c>
      <c r="AQ16" s="172">
        <f ca="1">AQ185</f>
        <v>567.29999999999995</v>
      </c>
      <c r="AR16" s="172">
        <f ca="1">AR185</f>
        <v>577.70000000000005</v>
      </c>
      <c r="AS16" s="174">
        <f ca="1">SUM(AO16:AR16)</f>
        <v>2233</v>
      </c>
      <c r="AT16" s="172">
        <f>AT185</f>
        <v>628.96640399999978</v>
      </c>
      <c r="AU16" s="172">
        <f>AU185</f>
        <v>631.22592000000031</v>
      </c>
      <c r="AV16" s="172">
        <f>AV185</f>
        <v>659.29904099999999</v>
      </c>
      <c r="AW16" s="172">
        <f>AW185</f>
        <v>805.65546906899999</v>
      </c>
      <c r="AX16" s="174">
        <f>SUM(AT16:AW16)</f>
        <v>2725.1468340689999</v>
      </c>
      <c r="AY16" s="172">
        <f>AY185</f>
        <v>1060.5373005450001</v>
      </c>
      <c r="AZ16" s="172">
        <f>AZ185</f>
        <v>1095.2825762092816</v>
      </c>
      <c r="BA16" s="172">
        <f>BA185</f>
        <v>1125.8822780992803</v>
      </c>
      <c r="BB16" s="172">
        <f>BB185</f>
        <v>1153.3102585386048</v>
      </c>
      <c r="BC16" s="174">
        <f>SUM(AY16:BB16)</f>
        <v>4435.0124133921672</v>
      </c>
      <c r="BD16" s="172">
        <f ca="1">BD185</f>
        <v>1231.8506871450841</v>
      </c>
      <c r="BE16" s="170">
        <v>1293.4432215023382</v>
      </c>
      <c r="BF16" s="170">
        <v>1312.7787362637609</v>
      </c>
      <c r="BG16" s="170">
        <v>1357.4461742999379</v>
      </c>
      <c r="BH16" s="174">
        <f ca="1">SUM(BD16:BG16)</f>
        <v>5195.5188192111218</v>
      </c>
      <c r="BI16" s="172">
        <f ca="1">BI185</f>
        <v>1404.821879876112</v>
      </c>
      <c r="BJ16" s="172">
        <f ca="1">BJ185</f>
        <v>3095.4663840476414</v>
      </c>
      <c r="BK16" s="172">
        <f ca="1">BK185</f>
        <v>3216.4925507885414</v>
      </c>
      <c r="BL16" s="172">
        <f ca="1">BL185</f>
        <v>3268.1102421831479</v>
      </c>
      <c r="BM16" s="174">
        <f ca="1">SUM(BI16:BL16)</f>
        <v>10984.891056895442</v>
      </c>
      <c r="BN16" s="172">
        <f ca="1">BN185</f>
        <v>3232.5056348710027</v>
      </c>
      <c r="BO16" s="172">
        <f ca="1">BO185</f>
        <v>3368.4752057052306</v>
      </c>
      <c r="BP16" s="172">
        <f ca="1">BP185</f>
        <v>3496.2175437158835</v>
      </c>
      <c r="BQ16" s="172">
        <f ca="1">BQ185</f>
        <v>3555.3146385935679</v>
      </c>
      <c r="BR16" s="174">
        <f ca="1">SUM(BN16:BQ16)</f>
        <v>13652.513022885683</v>
      </c>
      <c r="BS16" s="172">
        <f ca="1">BS185</f>
        <v>3598.0631714362967</v>
      </c>
      <c r="BT16" s="172">
        <f ca="1">BT185</f>
        <v>3821.1034022302138</v>
      </c>
      <c r="BU16" s="172">
        <f ca="1">BU185</f>
        <v>3965.169369162154</v>
      </c>
      <c r="BV16" s="172">
        <f ca="1">BV185</f>
        <v>4032.8296330876155</v>
      </c>
      <c r="BW16" s="174">
        <f ca="1">SUM(BS16:BV16)</f>
        <v>15417.165575916279</v>
      </c>
      <c r="BX16" s="172">
        <f ca="1">BX185</f>
        <v>4332.0680584093016</v>
      </c>
      <c r="BY16" s="172">
        <f ca="1">BY185</f>
        <v>4600.6084962851783</v>
      </c>
      <c r="BZ16" s="172">
        <f ca="1">BZ185</f>
        <v>4774.0639204712343</v>
      </c>
      <c r="CA16" s="172">
        <f ca="1">CA185</f>
        <v>4682.1152040147226</v>
      </c>
      <c r="CB16" s="174">
        <f ca="1">SUM(BX16:CA16)</f>
        <v>18388.855679180437</v>
      </c>
      <c r="CC16" s="172">
        <f ca="1">CC185</f>
        <v>4936.3915525573993</v>
      </c>
      <c r="CD16" s="172">
        <f ca="1">CD185</f>
        <v>5316.5781935195591</v>
      </c>
      <c r="CE16" s="172">
        <f ca="1">CE185</f>
        <v>5517.0276180945702</v>
      </c>
      <c r="CF16" s="172">
        <f ca="1">CF185</f>
        <v>5410.7693826395134</v>
      </c>
      <c r="CG16" s="174">
        <f ca="1">SUM(CC16:CF16)</f>
        <v>21180.766746811045</v>
      </c>
      <c r="CH16" s="172">
        <f ca="1">CH185</f>
        <v>5704.6174879241435</v>
      </c>
      <c r="CI16" s="172">
        <f ca="1">CI185</f>
        <v>6115.3940670958727</v>
      </c>
      <c r="CJ16" s="172">
        <f ca="1">CJ185</f>
        <v>6345.9610177132799</v>
      </c>
      <c r="CK16" s="172">
        <f ca="1">CK185</f>
        <v>6223.7374823810997</v>
      </c>
      <c r="CL16" s="174">
        <f ca="1">SUM(CH16:CK16)</f>
        <v>24389.710055114399</v>
      </c>
      <c r="CM16" s="172">
        <f ca="1">CM185</f>
        <v>6086.8268596150619</v>
      </c>
      <c r="CN16" s="172">
        <f ca="1">CN185</f>
        <v>6525.1254695912976</v>
      </c>
      <c r="CO16" s="172">
        <f ca="1">CO185</f>
        <v>6771.1404059000706</v>
      </c>
      <c r="CP16" s="172">
        <f ca="1">CP185</f>
        <v>6640.727893700634</v>
      </c>
      <c r="CQ16" s="174">
        <f ca="1">SUM(CM16:CP16)</f>
        <v>26023.820628807065</v>
      </c>
      <c r="CR16" s="172">
        <f ca="1">CR185</f>
        <v>6645.5975653277246</v>
      </c>
      <c r="CS16" s="172">
        <f ca="1">CS185</f>
        <v>7124.1319876997786</v>
      </c>
      <c r="CT16" s="172">
        <f ca="1">CT185</f>
        <v>7392.7310951616964</v>
      </c>
      <c r="CU16" s="172">
        <f ca="1">CU185</f>
        <v>7250.3467143423532</v>
      </c>
      <c r="CV16" s="174">
        <f ca="1">SUM(CR16:CU16)</f>
        <v>28412.807362531552</v>
      </c>
      <c r="CW16" s="172">
        <f ca="1">CW185</f>
        <v>6489.4260225425223</v>
      </c>
      <c r="CX16" s="172">
        <f ca="1">CX185</f>
        <v>6956.7148859888339</v>
      </c>
      <c r="CY16" s="172">
        <f ca="1">CY185</f>
        <v>7219.0019144253965</v>
      </c>
      <c r="CZ16" s="172">
        <f ca="1">CZ185</f>
        <v>7079.9635665553069</v>
      </c>
      <c r="DA16" s="174">
        <f ca="1">SUM(CW16:CZ16)</f>
        <v>27745.106389512061</v>
      </c>
      <c r="DB16" s="172">
        <f ca="1">DB185</f>
        <v>6336.924511012774</v>
      </c>
      <c r="DC16" s="172">
        <f ca="1">DC185</f>
        <v>6793.2320861680955</v>
      </c>
      <c r="DD16" s="172">
        <f ca="1">DD185</f>
        <v>7049.3553694363991</v>
      </c>
      <c r="DE16" s="172">
        <f ca="1">DE185</f>
        <v>6913.5844227412581</v>
      </c>
      <c r="DF16" s="174">
        <f ca="1">SUM(DB16:DE16)</f>
        <v>27093.096389358529</v>
      </c>
      <c r="DG16" s="198"/>
    </row>
    <row r="17" spans="1:112" s="40" customFormat="1" x14ac:dyDescent="0.2">
      <c r="A17" s="175"/>
      <c r="B17" s="176" t="s">
        <v>545</v>
      </c>
      <c r="C17" s="177"/>
      <c r="D17" s="177"/>
      <c r="E17" s="145">
        <v>166.35900000000001</v>
      </c>
      <c r="F17" s="145">
        <v>70</v>
      </c>
      <c r="G17" s="145">
        <v>80.001999999999995</v>
      </c>
      <c r="H17" s="145">
        <v>74.192999999999998</v>
      </c>
      <c r="I17" s="19">
        <v>-129.63999999999999</v>
      </c>
      <c r="J17" s="145">
        <v>94.555000000000007</v>
      </c>
      <c r="K17" s="145">
        <v>0</v>
      </c>
      <c r="L17" s="145">
        <v>102.208</v>
      </c>
      <c r="M17" s="145">
        <v>98.311999999999998</v>
      </c>
      <c r="N17" s="19">
        <v>-113.658</v>
      </c>
      <c r="O17" s="145">
        <v>86.861999999999995</v>
      </c>
      <c r="P17" s="170">
        <v>18.811</v>
      </c>
      <c r="Q17" s="170">
        <v>17.786999999999999</v>
      </c>
      <c r="R17" s="170">
        <v>14.922000000000001</v>
      </c>
      <c r="S17" s="170">
        <v>21.48</v>
      </c>
      <c r="T17" s="171">
        <v>73</v>
      </c>
      <c r="U17" s="170">
        <v>21.963000000000001</v>
      </c>
      <c r="V17" s="170">
        <v>19.021999999999998</v>
      </c>
      <c r="W17" s="170">
        <v>28.661000000000001</v>
      </c>
      <c r="X17" s="170">
        <v>31.082999999999998</v>
      </c>
      <c r="Y17" s="171">
        <v>101</v>
      </c>
      <c r="Z17" s="170">
        <v>33.799999999999997</v>
      </c>
      <c r="AA17" s="170">
        <v>38.299999999999997</v>
      </c>
      <c r="AB17" s="170">
        <v>38.6</v>
      </c>
      <c r="AC17" s="172">
        <v>41.3</v>
      </c>
      <c r="AD17" s="171">
        <v>152</v>
      </c>
      <c r="AE17" s="170">
        <v>39.799999999999997</v>
      </c>
      <c r="AF17" s="170">
        <v>41.3</v>
      </c>
      <c r="AG17" s="170">
        <v>40.5</v>
      </c>
      <c r="AH17" s="170">
        <v>41.4</v>
      </c>
      <c r="AI17" s="174">
        <v>163</v>
      </c>
      <c r="AJ17" s="170">
        <v>40.9</v>
      </c>
      <c r="AK17" s="170">
        <v>42</v>
      </c>
      <c r="AL17" s="170">
        <v>41.2</v>
      </c>
      <c r="AM17" s="170">
        <f>168.7-SUM(AJ17:AL17)</f>
        <v>44.59999999999998</v>
      </c>
      <c r="AN17" s="174">
        <f>SUM(AJ17:AM17)</f>
        <v>168.7</v>
      </c>
      <c r="AO17" s="170">
        <f>62.5+11.1</f>
        <v>73.599999999999994</v>
      </c>
      <c r="AP17" s="170">
        <f>65.5+13</f>
        <v>78.5</v>
      </c>
      <c r="AQ17" s="170">
        <f>63.9+14.8</f>
        <v>78.7</v>
      </c>
      <c r="AR17" s="170">
        <f>58.5+16</f>
        <v>74.5</v>
      </c>
      <c r="AS17" s="174">
        <f>SUM(AO17:AR17)</f>
        <v>305.3</v>
      </c>
      <c r="AT17" s="170">
        <f>64.1+16.4</f>
        <v>80.5</v>
      </c>
      <c r="AU17" s="170">
        <f>69.6+19.7</f>
        <v>89.3</v>
      </c>
      <c r="AV17" s="170">
        <f>22.4+67.1</f>
        <v>89.5</v>
      </c>
      <c r="AW17" s="170">
        <f>83.9+264.7-SUM(AT17:AV17)</f>
        <v>89.300000000000011</v>
      </c>
      <c r="AX17" s="174">
        <f>SUM(AT17:AW17)</f>
        <v>348.6</v>
      </c>
      <c r="AY17" s="170">
        <v>59.3</v>
      </c>
      <c r="AZ17" s="170">
        <v>65.8</v>
      </c>
      <c r="BA17" s="170">
        <v>62.6</v>
      </c>
      <c r="BB17" s="170">
        <f>260.9-SUM(AY17:BA17)</f>
        <v>73.199999999999989</v>
      </c>
      <c r="BC17" s="174">
        <f>SUM(AY17:BB17)</f>
        <v>260.89999999999998</v>
      </c>
      <c r="BD17" s="170">
        <v>73.5</v>
      </c>
      <c r="BE17" s="170">
        <v>65.900000000000006</v>
      </c>
      <c r="BF17" s="170">
        <v>65.8</v>
      </c>
      <c r="BG17" s="170">
        <v>67.8</v>
      </c>
      <c r="BH17" s="174">
        <f>SUM(BD17:BG17)</f>
        <v>273</v>
      </c>
      <c r="BI17" s="170">
        <v>90.1</v>
      </c>
      <c r="BJ17" s="170">
        <v>239.8</v>
      </c>
      <c r="BK17" s="170">
        <v>233.7</v>
      </c>
      <c r="BL17" s="170">
        <v>242.2</v>
      </c>
      <c r="BM17" s="174">
        <f>SUM(BI17:BL17)</f>
        <v>805.8</v>
      </c>
      <c r="BN17" s="170">
        <v>235.7</v>
      </c>
      <c r="BO17" s="170">
        <v>277.10000000000002</v>
      </c>
      <c r="BP17" s="170">
        <v>237.7</v>
      </c>
      <c r="BQ17" s="170">
        <f>1020.1-BP17-BO17-BN17</f>
        <v>269.60000000000008</v>
      </c>
      <c r="BR17" s="174">
        <f>SUM(BN17:BQ17)</f>
        <v>1020.1000000000001</v>
      </c>
      <c r="BS17" s="170">
        <v>282.3</v>
      </c>
      <c r="BT17" s="170">
        <v>311.7</v>
      </c>
      <c r="BU17" s="170">
        <v>339</v>
      </c>
      <c r="BV17" s="172">
        <f>1278-BU17-BT17-BS17</f>
        <v>344.99999999999994</v>
      </c>
      <c r="BW17" s="174">
        <f>SUM(BS17:BV17)</f>
        <v>1278</v>
      </c>
      <c r="BX17" s="170">
        <v>382.2</v>
      </c>
      <c r="BY17" s="170">
        <v>399.3</v>
      </c>
      <c r="BZ17" s="170">
        <v>432.4</v>
      </c>
      <c r="CA17" s="172">
        <f>CB17-SUM(BX17:BZ17)</f>
        <v>443.69999999999982</v>
      </c>
      <c r="CB17" s="174">
        <v>1657.6</v>
      </c>
      <c r="CC17" s="170">
        <v>342.2</v>
      </c>
      <c r="CD17" s="170">
        <v>328</v>
      </c>
      <c r="CE17" s="170">
        <v>377</v>
      </c>
      <c r="CF17" s="170">
        <f>1421.4-CE17-CD17-CC17</f>
        <v>374.2000000000001</v>
      </c>
      <c r="CG17" s="174">
        <f>SUM(CC17:CF17)</f>
        <v>1421.4</v>
      </c>
      <c r="CH17" s="170">
        <v>326.5</v>
      </c>
      <c r="CI17" s="170">
        <v>373</v>
      </c>
      <c r="CJ17" s="170">
        <v>341.9</v>
      </c>
      <c r="CK17" s="170">
        <f>1363.6-CJ17-CI17-CH17</f>
        <v>322.19999999999993</v>
      </c>
      <c r="CL17" s="174">
        <f>SUM(CH17:CK17)</f>
        <v>1363.6</v>
      </c>
      <c r="CM17" s="172">
        <f>CH17*(1+CM39)</f>
        <v>277.52499999999998</v>
      </c>
      <c r="CN17" s="172">
        <f>CI17*(1+CN39)</f>
        <v>317.05</v>
      </c>
      <c r="CO17" s="172">
        <f>CJ17*(1+CO39)</f>
        <v>307.70999999999998</v>
      </c>
      <c r="CP17" s="172">
        <f>CK17*(1+CP39)</f>
        <v>306.08999999999992</v>
      </c>
      <c r="CQ17" s="174">
        <f>SUM(CM17:CP17)</f>
        <v>1208.375</v>
      </c>
      <c r="CR17" s="172">
        <f>CM17*(1+CR39)</f>
        <v>283.07549999999998</v>
      </c>
      <c r="CS17" s="172">
        <f>CN17*(1+CS39)</f>
        <v>323.39100000000002</v>
      </c>
      <c r="CT17" s="172">
        <f>CO17*(1+CT39)</f>
        <v>313.86419999999998</v>
      </c>
      <c r="CU17" s="172">
        <f>CP17*(1+CU39)</f>
        <v>312.21179999999993</v>
      </c>
      <c r="CV17" s="174">
        <f>SUM(CR17:CU17)</f>
        <v>1232.5425</v>
      </c>
      <c r="CW17" s="172">
        <f>CR17*(1+CW39)</f>
        <v>288.73701</v>
      </c>
      <c r="CX17" s="172">
        <f>CS17*(1+CX39)</f>
        <v>329.85882000000004</v>
      </c>
      <c r="CY17" s="172">
        <f>CT17*(1+CY39)</f>
        <v>320.14148399999999</v>
      </c>
      <c r="CZ17" s="172">
        <f>CU17*(1+CZ39)</f>
        <v>318.45603599999993</v>
      </c>
      <c r="DA17" s="174">
        <f>SUM(CW17:CZ17)</f>
        <v>1257.19335</v>
      </c>
      <c r="DB17" s="172">
        <f>CW17*(1+DB39)</f>
        <v>294.51175019999999</v>
      </c>
      <c r="DC17" s="172">
        <f>CX17*(1+DC39)</f>
        <v>336.45599640000006</v>
      </c>
      <c r="DD17" s="172">
        <f>CY17*(1+DD39)</f>
        <v>326.54431368000002</v>
      </c>
      <c r="DE17" s="172">
        <f>CZ17*(1+DE39)</f>
        <v>324.82515671999994</v>
      </c>
      <c r="DF17" s="174">
        <f>SUM(DB17:DE17)</f>
        <v>1282.337217</v>
      </c>
      <c r="DG17" s="198"/>
    </row>
    <row r="18" spans="1:112" s="40" customFormat="1" ht="4.5" customHeight="1" outlineLevel="1" x14ac:dyDescent="0.2">
      <c r="A18" s="175"/>
      <c r="B18" s="176"/>
      <c r="C18" s="177"/>
      <c r="D18" s="177"/>
      <c r="E18" s="145"/>
      <c r="F18" s="145"/>
      <c r="G18" s="145"/>
      <c r="H18" s="145"/>
      <c r="I18" s="19"/>
      <c r="J18" s="145"/>
      <c r="K18" s="145"/>
      <c r="L18" s="145"/>
      <c r="M18" s="145"/>
      <c r="N18" s="19"/>
      <c r="O18" s="145"/>
      <c r="P18" s="170"/>
      <c r="Q18" s="170"/>
      <c r="R18" s="170"/>
      <c r="S18" s="170"/>
      <c r="T18" s="171"/>
      <c r="U18" s="170"/>
      <c r="V18" s="170"/>
      <c r="W18" s="170"/>
      <c r="X18" s="170"/>
      <c r="Y18" s="171"/>
      <c r="Z18" s="170"/>
      <c r="AA18" s="170"/>
      <c r="AB18" s="170"/>
      <c r="AC18" s="172"/>
      <c r="AD18" s="171"/>
      <c r="AE18" s="170"/>
      <c r="AF18" s="170"/>
      <c r="AG18" s="170"/>
      <c r="AH18" s="170"/>
      <c r="AI18" s="174"/>
      <c r="AJ18" s="170"/>
      <c r="AK18" s="170"/>
      <c r="AL18" s="170"/>
      <c r="AM18" s="170"/>
      <c r="AN18" s="174"/>
      <c r="AO18" s="170"/>
      <c r="AP18" s="170"/>
      <c r="AQ18" s="170"/>
      <c r="AR18" s="170"/>
      <c r="AS18" s="174"/>
      <c r="AT18" s="170"/>
      <c r="AU18" s="170"/>
      <c r="AV18" s="172"/>
      <c r="AW18" s="172"/>
      <c r="AX18" s="174"/>
      <c r="AY18" s="172"/>
      <c r="AZ18" s="172"/>
      <c r="BA18" s="172"/>
      <c r="BB18" s="172"/>
      <c r="BC18" s="174"/>
      <c r="BD18" s="172"/>
      <c r="BE18" s="172"/>
      <c r="BF18" s="172"/>
      <c r="BG18" s="172"/>
      <c r="BH18" s="174"/>
      <c r="BI18" s="172"/>
      <c r="BJ18" s="172"/>
      <c r="BK18" s="172"/>
      <c r="BL18" s="172"/>
      <c r="BM18" s="174"/>
      <c r="BN18" s="172"/>
      <c r="BO18" s="172"/>
      <c r="BP18" s="172"/>
      <c r="BQ18" s="172"/>
      <c r="BR18" s="174"/>
      <c r="BS18" s="172"/>
      <c r="BT18" s="172"/>
      <c r="BU18" s="172"/>
      <c r="BV18" s="172"/>
      <c r="BW18" s="174"/>
      <c r="BX18" s="172"/>
      <c r="BY18" s="172"/>
      <c r="BZ18" s="172"/>
      <c r="CA18" s="172"/>
      <c r="CB18" s="174"/>
      <c r="CC18" s="172"/>
      <c r="CD18" s="172"/>
      <c r="CE18" s="172"/>
      <c r="CF18" s="172"/>
      <c r="CG18" s="174"/>
      <c r="CH18" s="172"/>
      <c r="CI18" s="172"/>
      <c r="CJ18" s="172"/>
      <c r="CK18" s="172"/>
      <c r="CL18" s="174"/>
      <c r="CM18" s="172"/>
      <c r="CN18" s="172"/>
      <c r="CO18" s="172"/>
      <c r="CP18" s="172"/>
      <c r="CQ18" s="174"/>
      <c r="CR18" s="172"/>
      <c r="CS18" s="172"/>
      <c r="CT18" s="172"/>
      <c r="CU18" s="172"/>
      <c r="CV18" s="174"/>
      <c r="CW18" s="172"/>
      <c r="CX18" s="172"/>
      <c r="CY18" s="172"/>
      <c r="CZ18" s="172"/>
      <c r="DA18" s="174"/>
      <c r="DB18" s="172"/>
      <c r="DC18" s="172"/>
      <c r="DD18" s="172"/>
      <c r="DE18" s="172"/>
      <c r="DF18" s="174"/>
    </row>
    <row r="19" spans="1:112" s="40" customFormat="1" x14ac:dyDescent="0.2">
      <c r="A19" s="175"/>
      <c r="B19" s="169" t="s">
        <v>157</v>
      </c>
      <c r="C19" s="25"/>
      <c r="D19" s="25"/>
      <c r="E19" s="19">
        <v>6013.0120000000006</v>
      </c>
      <c r="F19" s="19">
        <v>2068.1280000000002</v>
      </c>
      <c r="G19" s="19">
        <v>2228.8519999999999</v>
      </c>
      <c r="H19" s="19">
        <v>2367.02</v>
      </c>
      <c r="I19" s="19">
        <v>1851.17</v>
      </c>
      <c r="J19" s="145">
        <v>8515.17</v>
      </c>
      <c r="K19" s="19">
        <v>2720.2</v>
      </c>
      <c r="L19" s="19">
        <v>3360.3830000000003</v>
      </c>
      <c r="M19" s="19">
        <v>3382.5989999999997</v>
      </c>
      <c r="N19" s="19">
        <v>2633.9549999999995</v>
      </c>
      <c r="O19" s="19">
        <v>12097.136999999999</v>
      </c>
      <c r="P19" s="172">
        <v>3179.2740000000003</v>
      </c>
      <c r="Q19" s="172">
        <v>3285.2170000000001</v>
      </c>
      <c r="R19" s="172">
        <v>3200.6909999999998</v>
      </c>
      <c r="S19" s="172">
        <v>3432.8180000000007</v>
      </c>
      <c r="T19" s="174">
        <v>13098</v>
      </c>
      <c r="U19" s="172">
        <v>3498.797</v>
      </c>
      <c r="V19" s="172">
        <v>3565.6350000000002</v>
      </c>
      <c r="W19" s="172">
        <v>3520.3070000000002</v>
      </c>
      <c r="X19" s="172">
        <v>3673.99</v>
      </c>
      <c r="Y19" s="174">
        <v>14259</v>
      </c>
      <c r="Z19" s="172">
        <v>3549</v>
      </c>
      <c r="AA19" s="172">
        <v>3618.8</v>
      </c>
      <c r="AB19" s="172">
        <v>3491.2</v>
      </c>
      <c r="AC19" s="170">
        <v>3673.7</v>
      </c>
      <c r="AD19" s="174">
        <v>14339</v>
      </c>
      <c r="AE19" s="170">
        <v>3506.6</v>
      </c>
      <c r="AF19" s="170">
        <v>3528.4</v>
      </c>
      <c r="AG19" s="172">
        <v>3465.1</v>
      </c>
      <c r="AH19" s="172">
        <v>3626.3</v>
      </c>
      <c r="AI19" s="174">
        <v>14222</v>
      </c>
      <c r="AJ19" s="172">
        <f t="shared" ref="AJ19:AN19" si="0">SUM(AJ12:AJ17)</f>
        <v>3308.6</v>
      </c>
      <c r="AK19" s="172">
        <f t="shared" si="0"/>
        <v>3312.8</v>
      </c>
      <c r="AL19" s="172">
        <f t="shared" si="0"/>
        <v>3225.6</v>
      </c>
      <c r="AM19" s="172">
        <f t="shared" si="0"/>
        <v>3345</v>
      </c>
      <c r="AN19" s="174">
        <f t="shared" si="0"/>
        <v>13192</v>
      </c>
      <c r="AO19" s="172">
        <f ca="1">SUM(AO12:AO17)</f>
        <v>5128.7</v>
      </c>
      <c r="AP19" s="172">
        <f ca="1">SUM(AP12:AP17)</f>
        <v>5167.5999999999995</v>
      </c>
      <c r="AQ19" s="172">
        <f ca="1">SUM(AQ12:AQ17)</f>
        <v>5091.5</v>
      </c>
      <c r="AR19" s="172">
        <f ca="1">SUM(AR12:AR17)</f>
        <v>5183.0999999999995</v>
      </c>
      <c r="AS19" s="174">
        <f ca="1">SUM(AO19:AR19)</f>
        <v>20570.899999999998</v>
      </c>
      <c r="AT19" s="172">
        <f ca="1">SUM(AT12:AT17)</f>
        <v>5112.5</v>
      </c>
      <c r="AU19" s="172">
        <f ca="1">SUM(AU12:AU17)</f>
        <v>5189.4000000000005</v>
      </c>
      <c r="AV19" s="172">
        <f ca="1">SUM(AV12:AV17)</f>
        <v>5271</v>
      </c>
      <c r="AW19" s="172">
        <f ca="1">SUM(AW12:AW17)</f>
        <v>7903.5</v>
      </c>
      <c r="AX19" s="174">
        <f ca="1">SUM(AT19:AW19)</f>
        <v>23476.400000000001</v>
      </c>
      <c r="AY19" s="172">
        <f ca="1">SUM(AY12:AY17)</f>
        <v>10839.9</v>
      </c>
      <c r="AZ19" s="172">
        <f ca="1">SUM(AZ12:AZ17)</f>
        <v>10950.1</v>
      </c>
      <c r="BA19" s="172">
        <f ca="1">SUM(BA12:BA17)</f>
        <v>10898.1</v>
      </c>
      <c r="BB19" s="172">
        <f ca="1">SUM(BB12:BB17)</f>
        <v>11003.8</v>
      </c>
      <c r="BC19" s="174">
        <f ca="1">SUM(AY19:BB19)</f>
        <v>43691.899999999994</v>
      </c>
      <c r="BD19" s="172">
        <f ca="1">SUM(BD12:BD17)</f>
        <v>10822.400000000001</v>
      </c>
      <c r="BE19" s="172">
        <f>SUM(BE12:BE17)</f>
        <v>11058.3</v>
      </c>
      <c r="BF19" s="172">
        <f>SUM(BF12:BF17)</f>
        <v>11263.699999999999</v>
      </c>
      <c r="BG19" s="172">
        <f>SUM(BG12:BG17)</f>
        <v>11827.3</v>
      </c>
      <c r="BH19" s="174">
        <f ca="1">SUM(BD19:BG19)</f>
        <v>44971.7</v>
      </c>
      <c r="BI19" s="172">
        <f ca="1">SUM(BI12:BI17)</f>
        <v>11783.1</v>
      </c>
      <c r="BJ19" s="172">
        <f ca="1">SUM(BJ12:BJ17)</f>
        <v>26894.7</v>
      </c>
      <c r="BK19" s="172">
        <f ca="1">SUM(BK12:BK17)</f>
        <v>26184.5</v>
      </c>
      <c r="BL19" s="172">
        <f ca="1">SUM(BL12:BL17)</f>
        <v>26827.700000000004</v>
      </c>
      <c r="BM19" s="174">
        <f ca="1">SUM(BI19:BL19)</f>
        <v>91690</v>
      </c>
      <c r="BN19" s="172">
        <f ca="1">SUM(BN12:BN17)</f>
        <v>25588.2</v>
      </c>
      <c r="BO19" s="172">
        <f ca="1">SUM(BO12:BO17)</f>
        <v>25897.7</v>
      </c>
      <c r="BP19" s="172">
        <f ca="1">SUM(BP12:BP17)</f>
        <v>25359.200000000001</v>
      </c>
      <c r="BQ19" s="172">
        <f ca="1">SUM(BQ12:BQ17)</f>
        <v>25240.796076089362</v>
      </c>
      <c r="BR19" s="174">
        <f ca="1">SUM(BN19:BQ19)</f>
        <v>102085.89607608937</v>
      </c>
      <c r="BS19" s="172">
        <f ca="1">SUM(BS12:BS17)</f>
        <v>23136.7</v>
      </c>
      <c r="BT19" s="172">
        <f ca="1">SUM(BT12:BT17)</f>
        <v>24504.899999999998</v>
      </c>
      <c r="BU19" s="172">
        <f ca="1">SUM(BU12:BU17)</f>
        <v>25161.600000000002</v>
      </c>
      <c r="BV19" s="172">
        <f ca="1">SUM(BV12:BV17)</f>
        <v>25688.799999999999</v>
      </c>
      <c r="BW19" s="174">
        <f ca="1">SUM(BS19:BV19)</f>
        <v>98492</v>
      </c>
      <c r="BX19" s="172">
        <f ca="1">SUM(BX12:BX17)</f>
        <v>24274.2</v>
      </c>
      <c r="BY19" s="172">
        <f ca="1">SUM(BY12:BY17)</f>
        <v>24784</v>
      </c>
      <c r="BZ19" s="172">
        <f ca="1">SUM(BZ12:BZ17)</f>
        <v>24535.200000000001</v>
      </c>
      <c r="CA19" s="172">
        <f ca="1">SUM(CA12:CA17)</f>
        <v>25462.000000000004</v>
      </c>
      <c r="CB19" s="174">
        <f ca="1">SUM(BX19:CA19)</f>
        <v>99055.4</v>
      </c>
      <c r="CC19" s="172">
        <f ca="1">SUM(CC12:CC17)</f>
        <v>23988.3</v>
      </c>
      <c r="CD19" s="172">
        <f ca="1">SUM(CD12:CD17)</f>
        <v>24289.3</v>
      </c>
      <c r="CE19" s="172">
        <f ca="1">SUM(CE12:CE17)</f>
        <v>24464.799999999999</v>
      </c>
      <c r="CF19" s="172">
        <f ca="1">SUM(CF12:CF17)</f>
        <v>23967.599999999995</v>
      </c>
      <c r="CG19" s="174">
        <f ca="1">SUM(CC19:CF19)</f>
        <v>96709.999999999985</v>
      </c>
      <c r="CH19" s="172">
        <f ca="1">SUM(CH12:CH17)</f>
        <v>23616.7</v>
      </c>
      <c r="CI19" s="172">
        <f ca="1">SUM(CI12:CI17)</f>
        <v>24187.1</v>
      </c>
      <c r="CJ19" s="172">
        <f ca="1">SUM(CJ12:CJ17)</f>
        <v>23528.5</v>
      </c>
      <c r="CK19" s="172">
        <f ca="1">SUM(CK12:CK17)</f>
        <v>24010.776303177758</v>
      </c>
      <c r="CL19" s="174">
        <f ca="1">SUM(CH19:CK19)</f>
        <v>95343.076303177761</v>
      </c>
      <c r="CM19" s="172">
        <f ca="1">SUM(CM12:CM17)</f>
        <v>23246.182211636711</v>
      </c>
      <c r="CN19" s="172">
        <f ca="1">SUM(CN12:CN17)</f>
        <v>23786.394339957955</v>
      </c>
      <c r="CO19" s="172">
        <f ca="1">SUM(CO12:CO17)</f>
        <v>23768.458138025941</v>
      </c>
      <c r="CP19" s="172">
        <f ca="1">SUM(CP12:CP17)</f>
        <v>24253.583806121322</v>
      </c>
      <c r="CQ19" s="174">
        <f ca="1">SUM(CM19:CP19)</f>
        <v>95054.618495741917</v>
      </c>
      <c r="CR19" s="172">
        <f ca="1">SUM(CR12:CR17)</f>
        <v>24316.883958633545</v>
      </c>
      <c r="CS19" s="172">
        <f ca="1">SUM(CS12:CS17)</f>
        <v>25012.916253370018</v>
      </c>
      <c r="CT19" s="172">
        <f ca="1">SUM(CT12:CT17)</f>
        <v>25052.89610879495</v>
      </c>
      <c r="CU19" s="172">
        <f ca="1">SUM(CU12:CU17)</f>
        <v>25563.171247189846</v>
      </c>
      <c r="CV19" s="174">
        <f ca="1">SUM(CR19:CU19)</f>
        <v>99945.86756798836</v>
      </c>
      <c r="CW19" s="172">
        <f ca="1">SUM(CW12:CW17)</f>
        <v>22843.114510688571</v>
      </c>
      <c r="CX19" s="172">
        <f ca="1">SUM(CX12:CX17)</f>
        <v>23504.279205760937</v>
      </c>
      <c r="CY19" s="172">
        <f ca="1">SUM(CY12:CY17)</f>
        <v>23589.95995807842</v>
      </c>
      <c r="CZ19" s="172">
        <f ca="1">SUM(CZ12:CZ17)</f>
        <v>24024.526317761873</v>
      </c>
      <c r="DA19" s="174">
        <f ca="1">SUM(CW19:CZ19)</f>
        <v>93961.879992289803</v>
      </c>
      <c r="DB19" s="172">
        <f ca="1">SUM(DB12:DB17)</f>
        <v>21537.114177106785</v>
      </c>
      <c r="DC19" s="172">
        <f ca="1">SUM(DC12:DC17)</f>
        <v>22166.433065132223</v>
      </c>
      <c r="DD19" s="172">
        <f ca="1">SUM(DD12:DD17)</f>
        <v>22294.466459764957</v>
      </c>
      <c r="DE19" s="172">
        <f ca="1">SUM(DE12:DE17)</f>
        <v>22662.401726855802</v>
      </c>
      <c r="DF19" s="174">
        <f ca="1">SUM(DB19:DE19)</f>
        <v>88660.415428859764</v>
      </c>
      <c r="DG19" s="1965"/>
    </row>
    <row r="20" spans="1:112" s="40" customFormat="1" ht="10.5" customHeight="1" x14ac:dyDescent="0.2">
      <c r="A20" s="175"/>
      <c r="B20" s="178" t="s">
        <v>220</v>
      </c>
      <c r="C20" s="25"/>
      <c r="D20" s="25"/>
      <c r="E20" s="19"/>
      <c r="F20" s="19"/>
      <c r="G20" s="19"/>
      <c r="H20" s="19"/>
      <c r="I20" s="19"/>
      <c r="J20" s="145"/>
      <c r="K20" s="19"/>
      <c r="L20" s="19"/>
      <c r="M20" s="19"/>
      <c r="N20" s="19"/>
      <c r="O20" s="19"/>
      <c r="P20" s="172"/>
      <c r="Q20" s="172"/>
      <c r="R20" s="172"/>
      <c r="S20" s="172"/>
      <c r="T20" s="174"/>
      <c r="U20" s="172"/>
      <c r="V20" s="172"/>
      <c r="W20" s="172"/>
      <c r="X20" s="172"/>
      <c r="Y20" s="174"/>
      <c r="Z20" s="172"/>
      <c r="AA20" s="172"/>
      <c r="AB20" s="172"/>
      <c r="AC20" s="170"/>
      <c r="AD20" s="174"/>
      <c r="AE20" s="170"/>
      <c r="AF20" s="170"/>
      <c r="AG20" s="172"/>
      <c r="AH20" s="172"/>
      <c r="AI20" s="174"/>
      <c r="AJ20" s="172"/>
      <c r="AK20" s="172"/>
      <c r="AL20" s="172"/>
      <c r="AM20" s="172"/>
      <c r="AN20" s="174"/>
      <c r="AO20" s="172"/>
      <c r="AP20" s="172"/>
      <c r="AQ20" s="172"/>
      <c r="AR20" s="172"/>
      <c r="AS20" s="174"/>
      <c r="AT20" s="172"/>
      <c r="AU20" s="172"/>
      <c r="AV20" s="172"/>
      <c r="AW20" s="172"/>
      <c r="AX20" s="174"/>
      <c r="AY20" s="172"/>
      <c r="AZ20" s="172"/>
      <c r="BA20" s="170"/>
      <c r="BB20" s="172"/>
      <c r="BC20" s="174"/>
      <c r="BD20" s="172"/>
      <c r="BE20" s="172"/>
      <c r="BF20" s="172"/>
      <c r="BG20" s="172"/>
      <c r="BH20" s="174"/>
      <c r="BI20" s="172"/>
      <c r="BJ20" s="172"/>
      <c r="BK20" s="172"/>
      <c r="BL20" s="172"/>
      <c r="BM20" s="174"/>
      <c r="BN20" s="172"/>
      <c r="BO20" s="172"/>
      <c r="BP20" s="172"/>
      <c r="BQ20" s="172"/>
      <c r="BR20" s="174"/>
      <c r="BS20" s="172"/>
      <c r="BT20" s="172"/>
      <c r="BU20" s="172"/>
      <c r="BV20" s="172"/>
      <c r="BW20" s="174"/>
      <c r="BX20" s="172"/>
      <c r="BY20" s="172"/>
      <c r="BZ20" s="172"/>
      <c r="CA20" s="172"/>
      <c r="CB20" s="174"/>
      <c r="CC20" s="172"/>
      <c r="CD20" s="172"/>
      <c r="CE20" s="172"/>
      <c r="CF20" s="172"/>
      <c r="CG20" s="174"/>
      <c r="CH20" s="172"/>
      <c r="CI20" s="172"/>
      <c r="CJ20" s="172"/>
      <c r="CK20" s="172"/>
      <c r="CL20" s="174"/>
      <c r="CM20" s="172"/>
      <c r="CN20" s="172"/>
      <c r="CO20" s="172"/>
      <c r="CP20" s="172"/>
      <c r="CQ20" s="174"/>
      <c r="CR20" s="172"/>
      <c r="CS20" s="172"/>
      <c r="CT20" s="172"/>
      <c r="CU20" s="172"/>
      <c r="CV20" s="174"/>
      <c r="CW20" s="172"/>
      <c r="CX20" s="172"/>
      <c r="CY20" s="172"/>
      <c r="CZ20" s="172"/>
      <c r="DA20" s="174"/>
      <c r="DB20" s="172"/>
      <c r="DC20" s="172"/>
      <c r="DD20" s="172"/>
      <c r="DE20" s="172"/>
      <c r="DF20" s="174"/>
      <c r="DG20" s="1966"/>
    </row>
    <row r="21" spans="1:112" s="40" customFormat="1" outlineLevel="1" x14ac:dyDescent="0.2">
      <c r="A21" s="175"/>
      <c r="B21" s="169" t="s">
        <v>221</v>
      </c>
      <c r="C21" s="25"/>
      <c r="D21" s="25"/>
      <c r="E21" s="473"/>
      <c r="F21" s="473"/>
      <c r="G21" s="473"/>
      <c r="H21" s="473"/>
      <c r="I21" s="470" t="s">
        <v>256</v>
      </c>
      <c r="J21" s="474"/>
      <c r="K21" s="473"/>
      <c r="L21" s="473"/>
      <c r="M21" s="473"/>
      <c r="N21" s="473"/>
      <c r="O21" s="473"/>
      <c r="P21" s="470" t="s">
        <v>256</v>
      </c>
      <c r="Q21" s="467"/>
      <c r="R21" s="467"/>
      <c r="S21" s="467"/>
      <c r="T21" s="468"/>
      <c r="U21" s="467"/>
      <c r="V21" s="467"/>
      <c r="W21" s="467"/>
      <c r="X21" s="470" t="s">
        <v>256</v>
      </c>
      <c r="Y21" s="468"/>
      <c r="Z21" s="467"/>
      <c r="AA21" s="467"/>
      <c r="AB21" s="467"/>
      <c r="AC21" s="469"/>
      <c r="AD21" s="470" t="s">
        <v>256</v>
      </c>
      <c r="AE21" s="469"/>
      <c r="AF21" s="469"/>
      <c r="AG21" s="467"/>
      <c r="AH21" s="467"/>
      <c r="AI21" s="468"/>
      <c r="AJ21" s="467"/>
      <c r="AK21" s="470" t="s">
        <v>256</v>
      </c>
      <c r="AL21" s="467"/>
      <c r="AM21" s="467"/>
      <c r="AN21" s="468"/>
      <c r="AO21" s="170">
        <v>350.7</v>
      </c>
      <c r="AP21" s="170">
        <v>352.2</v>
      </c>
      <c r="AQ21" s="170">
        <v>348.4</v>
      </c>
      <c r="AR21" s="170">
        <v>309.89999999999998</v>
      </c>
      <c r="AS21" s="174">
        <f>SUM(AO21:AR21)</f>
        <v>1361.1999999999998</v>
      </c>
      <c r="AT21" s="170">
        <v>300</v>
      </c>
      <c r="AU21" s="170">
        <v>304.39999999999998</v>
      </c>
      <c r="AV21" s="170">
        <v>339.5</v>
      </c>
      <c r="AW21" s="170">
        <f>1244.1-SUM(AT21:AV21)</f>
        <v>300.19999999999993</v>
      </c>
      <c r="AX21" s="174">
        <f>SUM(AT21:AW21)</f>
        <v>1244.0999999999999</v>
      </c>
      <c r="AY21" s="170">
        <v>324.10000000000002</v>
      </c>
      <c r="AZ21" s="170">
        <v>334.2</v>
      </c>
      <c r="BA21" s="170">
        <v>379.2</v>
      </c>
      <c r="BB21" s="170">
        <f>1352.9-SUM(AY21:BA21)</f>
        <v>315.40000000000009</v>
      </c>
      <c r="BC21" s="174">
        <f>SUM(AY21:BB21)</f>
        <v>1352.9</v>
      </c>
      <c r="BD21" s="170">
        <v>295.3</v>
      </c>
      <c r="BE21" s="170">
        <v>326.3</v>
      </c>
      <c r="BF21" s="170">
        <v>330.6</v>
      </c>
      <c r="BG21" s="170">
        <f>1279.3-SUM(BD21:BF21)</f>
        <v>327.09999999999991</v>
      </c>
      <c r="BH21" s="174">
        <f>SUM(BD21:BG21)</f>
        <v>1279.3</v>
      </c>
      <c r="BI21" s="170">
        <v>371.6</v>
      </c>
      <c r="BJ21" s="170">
        <v>585.79999999999995</v>
      </c>
      <c r="BK21" s="170">
        <v>601.29999999999995</v>
      </c>
      <c r="BL21" s="170">
        <v>560</v>
      </c>
      <c r="BM21" s="174">
        <f>SUM(BI21:BL21)</f>
        <v>2118.6999999999998</v>
      </c>
      <c r="BN21" s="170">
        <v>451.8</v>
      </c>
      <c r="BO21" s="170">
        <v>503.5</v>
      </c>
      <c r="BP21" s="170">
        <v>533.70000000000005</v>
      </c>
      <c r="BQ21" s="170">
        <f>2001.9-BP21-BO21-BN21</f>
        <v>512.90000000000009</v>
      </c>
      <c r="BR21" s="174">
        <f>SUM(BN21:BQ21)</f>
        <v>2001.9</v>
      </c>
      <c r="BS21" s="170">
        <v>506.3</v>
      </c>
      <c r="BT21" s="170">
        <v>559.6</v>
      </c>
      <c r="BU21" s="170">
        <v>571.9</v>
      </c>
      <c r="BV21" s="172">
        <f>2203.5-BU21-BT21-BS21</f>
        <v>565.70000000000005</v>
      </c>
      <c r="BW21" s="174">
        <f>SUM(BS21:BV21)</f>
        <v>2203.5</v>
      </c>
      <c r="BX21" s="170">
        <v>570.6</v>
      </c>
      <c r="BY21" s="170">
        <v>614.79999999999995</v>
      </c>
      <c r="BZ21" s="170">
        <v>624.29999999999995</v>
      </c>
      <c r="CA21" s="172">
        <f>CB21-SUM(BX21:BZ21)</f>
        <v>643.99999999999977</v>
      </c>
      <c r="CB21" s="174">
        <v>2453.6999999999998</v>
      </c>
      <c r="CC21" s="170">
        <v>748</v>
      </c>
      <c r="CD21" s="170">
        <v>908.1</v>
      </c>
      <c r="CE21" s="170">
        <v>922.2</v>
      </c>
      <c r="CF21" s="172">
        <f>3538.4-CE21-CD21-CC21</f>
        <v>960.09999999999991</v>
      </c>
      <c r="CG21" s="174">
        <f>SUM(CC21:CF21)</f>
        <v>3538.4</v>
      </c>
      <c r="CH21" s="170">
        <v>1010.2</v>
      </c>
      <c r="CI21" s="170">
        <v>1130.0999999999999</v>
      </c>
      <c r="CJ21" s="1953">
        <v>1130.2</v>
      </c>
      <c r="CK21" s="172">
        <f>4361.8-CJ21-CI21-CH21</f>
        <v>1091.3000000000004</v>
      </c>
      <c r="CL21" s="174">
        <f>SUM(CH21:CK21)</f>
        <v>4361.8</v>
      </c>
      <c r="CM21" s="172">
        <f t="shared" ref="CM21:CP22" si="1">CH21*(1+CM42)</f>
        <v>1010.2</v>
      </c>
      <c r="CN21" s="172">
        <f t="shared" si="1"/>
        <v>1130.0999999999999</v>
      </c>
      <c r="CO21" s="172">
        <f t="shared" si="1"/>
        <v>1130.2</v>
      </c>
      <c r="CP21" s="172">
        <f t="shared" si="1"/>
        <v>1091.3000000000004</v>
      </c>
      <c r="CQ21" s="174">
        <f>SUM(CM21:CP21)</f>
        <v>4361.8</v>
      </c>
      <c r="CR21" s="172">
        <f t="shared" ref="CR21:CU22" si="2">CM21*(1+CR42)</f>
        <v>1010.2</v>
      </c>
      <c r="CS21" s="172">
        <f t="shared" si="2"/>
        <v>1130.0999999999999</v>
      </c>
      <c r="CT21" s="172">
        <f t="shared" si="2"/>
        <v>1130.2</v>
      </c>
      <c r="CU21" s="172">
        <f t="shared" si="2"/>
        <v>1091.3000000000004</v>
      </c>
      <c r="CV21" s="174">
        <f>SUM(CR21:CU21)</f>
        <v>4361.8</v>
      </c>
      <c r="CW21" s="172">
        <f t="shared" ref="CW21:CZ22" si="3">CR21*(1+CW42)</f>
        <v>1010.2</v>
      </c>
      <c r="CX21" s="172">
        <f t="shared" si="3"/>
        <v>1130.0999999999999</v>
      </c>
      <c r="CY21" s="172">
        <f t="shared" si="3"/>
        <v>1130.2</v>
      </c>
      <c r="CZ21" s="172">
        <f t="shared" si="3"/>
        <v>1091.3000000000004</v>
      </c>
      <c r="DA21" s="174">
        <f>SUM(CW21:CZ21)</f>
        <v>4361.8</v>
      </c>
      <c r="DB21" s="172">
        <f t="shared" ref="DB21:DE22" si="4">CW21*(1+DB42)</f>
        <v>1010.2</v>
      </c>
      <c r="DC21" s="172">
        <f t="shared" si="4"/>
        <v>1130.0999999999999</v>
      </c>
      <c r="DD21" s="172">
        <f t="shared" si="4"/>
        <v>1130.2</v>
      </c>
      <c r="DE21" s="172">
        <f t="shared" si="4"/>
        <v>1091.3000000000004</v>
      </c>
      <c r="DF21" s="174">
        <f>SUM(DB21:DE21)</f>
        <v>4361.8</v>
      </c>
      <c r="DG21" s="198"/>
    </row>
    <row r="22" spans="1:112" s="40" customFormat="1" outlineLevel="1" x14ac:dyDescent="0.2">
      <c r="A22" s="175"/>
      <c r="B22" s="169" t="s">
        <v>222</v>
      </c>
      <c r="C22" s="25"/>
      <c r="D22" s="25"/>
      <c r="E22" s="473"/>
      <c r="F22" s="473"/>
      <c r="G22" s="473"/>
      <c r="H22" s="473"/>
      <c r="I22" s="473"/>
      <c r="J22" s="474"/>
      <c r="K22" s="473"/>
      <c r="L22" s="473"/>
      <c r="M22" s="473"/>
      <c r="N22" s="473"/>
      <c r="O22" s="473"/>
      <c r="P22" s="467"/>
      <c r="Q22" s="467"/>
      <c r="R22" s="467"/>
      <c r="S22" s="467"/>
      <c r="T22" s="468"/>
      <c r="U22" s="467"/>
      <c r="V22" s="467"/>
      <c r="W22" s="467"/>
      <c r="X22" s="467"/>
      <c r="Y22" s="468"/>
      <c r="Z22" s="467"/>
      <c r="AA22" s="467"/>
      <c r="AB22" s="467"/>
      <c r="AC22" s="469"/>
      <c r="AD22" s="468"/>
      <c r="AE22" s="469"/>
      <c r="AF22" s="469"/>
      <c r="AG22" s="467"/>
      <c r="AH22" s="467"/>
      <c r="AI22" s="468"/>
      <c r="AJ22" s="467"/>
      <c r="AK22" s="467"/>
      <c r="AL22" s="467"/>
      <c r="AM22" s="467"/>
      <c r="AN22" s="468"/>
      <c r="AO22" s="170">
        <v>11.4</v>
      </c>
      <c r="AP22" s="170">
        <v>11</v>
      </c>
      <c r="AQ22" s="170">
        <v>10.6</v>
      </c>
      <c r="AR22" s="170">
        <v>12.9</v>
      </c>
      <c r="AS22" s="174">
        <f>SUM(AO22:AR22)</f>
        <v>45.9</v>
      </c>
      <c r="AT22" s="170">
        <v>10.3</v>
      </c>
      <c r="AU22" s="170">
        <v>9.5</v>
      </c>
      <c r="AV22" s="170">
        <v>8.9</v>
      </c>
      <c r="AW22" s="170">
        <f>37.9-SUM(AT22:AV22)</f>
        <v>9.1999999999999957</v>
      </c>
      <c r="AX22" s="174">
        <f>SUM(AT22:AW22)</f>
        <v>37.9</v>
      </c>
      <c r="AY22" s="170">
        <f>8.4</f>
        <v>8.4</v>
      </c>
      <c r="AZ22" s="170">
        <v>3</v>
      </c>
      <c r="BA22" s="170">
        <v>3</v>
      </c>
      <c r="BB22" s="170">
        <f ca="1">BB24-BB21</f>
        <v>3.5000000000013642</v>
      </c>
      <c r="BC22" s="174">
        <f ca="1">SUM(AY22:BB22)</f>
        <v>17.900000000001363</v>
      </c>
      <c r="BD22" s="170">
        <v>5.3</v>
      </c>
      <c r="BE22" s="170">
        <v>5.3</v>
      </c>
      <c r="BF22" s="170">
        <v>5.2</v>
      </c>
      <c r="BG22" s="170">
        <f>21.3-SUM(BD22:BF22)</f>
        <v>5.5</v>
      </c>
      <c r="BH22" s="174">
        <f>SUM(BD22:BG22)</f>
        <v>21.3</v>
      </c>
      <c r="BI22" s="170">
        <v>6.4</v>
      </c>
      <c r="BJ22" s="170">
        <v>52.6</v>
      </c>
      <c r="BK22" s="170">
        <v>52.9</v>
      </c>
      <c r="BL22" s="170">
        <v>51.5</v>
      </c>
      <c r="BM22" s="174">
        <f>SUM(BI22:BL22)</f>
        <v>163.4</v>
      </c>
      <c r="BN22" s="170">
        <v>51.5</v>
      </c>
      <c r="BO22" s="170">
        <v>52.3</v>
      </c>
      <c r="BP22" s="170">
        <v>51.2</v>
      </c>
      <c r="BQ22" s="170">
        <f>211.2-BP22-BO22-BN22</f>
        <v>56.2</v>
      </c>
      <c r="BR22" s="174">
        <f>SUM(BN22:BQ22)</f>
        <v>211.2</v>
      </c>
      <c r="BS22" s="170">
        <v>70.5</v>
      </c>
      <c r="BT22" s="170">
        <v>75</v>
      </c>
      <c r="BU22" s="170">
        <v>73.5</v>
      </c>
      <c r="BV22" s="172">
        <f>304-BU22-BT22-BS22</f>
        <v>85</v>
      </c>
      <c r="BW22" s="174">
        <f>SUM(BS22:BV22)</f>
        <v>304</v>
      </c>
      <c r="BX22" s="170">
        <v>78.599999999999994</v>
      </c>
      <c r="BY22" s="170">
        <v>79.2</v>
      </c>
      <c r="BZ22" s="170">
        <v>86.9</v>
      </c>
      <c r="CA22" s="172">
        <f>CB22-SUM(BX22:BZ22)</f>
        <v>93.1</v>
      </c>
      <c r="CB22" s="174">
        <v>337.8</v>
      </c>
      <c r="CC22" s="170">
        <v>89.8</v>
      </c>
      <c r="CD22" s="170">
        <v>80.3</v>
      </c>
      <c r="CE22" s="170">
        <v>78.5</v>
      </c>
      <c r="CF22" s="172">
        <f>239.6-CE22-CD22-CC22</f>
        <v>-9</v>
      </c>
      <c r="CG22" s="174">
        <f>SUM(CC22:CF22)</f>
        <v>239.6</v>
      </c>
      <c r="CH22" s="170">
        <v>83.4</v>
      </c>
      <c r="CI22" s="170">
        <v>85.7</v>
      </c>
      <c r="CJ22" s="170">
        <v>80.099999999999994</v>
      </c>
      <c r="CK22" s="172">
        <f>442.8-CJ22-CI22-CH22</f>
        <v>193.60000000000005</v>
      </c>
      <c r="CL22" s="174">
        <f>SUM(CH22:CK22)</f>
        <v>442.80000000000007</v>
      </c>
      <c r="CM22" s="172">
        <f t="shared" si="1"/>
        <v>83.4</v>
      </c>
      <c r="CN22" s="172">
        <f t="shared" si="1"/>
        <v>85.7</v>
      </c>
      <c r="CO22" s="172">
        <f t="shared" si="1"/>
        <v>80.099999999999994</v>
      </c>
      <c r="CP22" s="172">
        <f t="shared" si="1"/>
        <v>193.60000000000005</v>
      </c>
      <c r="CQ22" s="174">
        <f>SUM(CM22:CP22)</f>
        <v>442.80000000000007</v>
      </c>
      <c r="CR22" s="172">
        <f t="shared" si="2"/>
        <v>83.4</v>
      </c>
      <c r="CS22" s="172">
        <f t="shared" si="2"/>
        <v>85.7</v>
      </c>
      <c r="CT22" s="172">
        <f t="shared" si="2"/>
        <v>80.099999999999994</v>
      </c>
      <c r="CU22" s="172">
        <f t="shared" si="2"/>
        <v>193.60000000000005</v>
      </c>
      <c r="CV22" s="174">
        <f>SUM(CR22:CU22)</f>
        <v>442.80000000000007</v>
      </c>
      <c r="CW22" s="172">
        <f t="shared" si="3"/>
        <v>83.4</v>
      </c>
      <c r="CX22" s="172">
        <f t="shared" si="3"/>
        <v>85.7</v>
      </c>
      <c r="CY22" s="172">
        <f t="shared" si="3"/>
        <v>80.099999999999994</v>
      </c>
      <c r="CZ22" s="172">
        <f t="shared" si="3"/>
        <v>193.60000000000005</v>
      </c>
      <c r="DA22" s="174">
        <f>SUM(CW22:CZ22)</f>
        <v>442.80000000000007</v>
      </c>
      <c r="DB22" s="172">
        <f t="shared" si="4"/>
        <v>83.4</v>
      </c>
      <c r="DC22" s="172">
        <f t="shared" si="4"/>
        <v>85.7</v>
      </c>
      <c r="DD22" s="172">
        <f t="shared" si="4"/>
        <v>80.099999999999994</v>
      </c>
      <c r="DE22" s="172">
        <f t="shared" si="4"/>
        <v>193.60000000000005</v>
      </c>
      <c r="DF22" s="174">
        <f>SUM(DB22:DE22)</f>
        <v>442.80000000000007</v>
      </c>
      <c r="DG22" s="198"/>
      <c r="DH22" s="198"/>
    </row>
    <row r="23" spans="1:112" s="40" customFormat="1" outlineLevel="1" x14ac:dyDescent="0.2">
      <c r="A23" s="175"/>
      <c r="B23" s="169" t="s">
        <v>759</v>
      </c>
      <c r="C23" s="25"/>
      <c r="D23" s="25"/>
      <c r="E23" s="473"/>
      <c r="F23" s="473"/>
      <c r="G23" s="473"/>
      <c r="H23" s="473"/>
      <c r="I23" s="473"/>
      <c r="J23" s="474"/>
      <c r="K23" s="473"/>
      <c r="L23" s="473"/>
      <c r="M23" s="473"/>
      <c r="N23" s="473"/>
      <c r="O23" s="473"/>
      <c r="P23" s="467"/>
      <c r="Q23" s="467"/>
      <c r="R23" s="467"/>
      <c r="S23" s="467"/>
      <c r="T23" s="468"/>
      <c r="U23" s="467"/>
      <c r="V23" s="467"/>
      <c r="W23" s="467"/>
      <c r="X23" s="467"/>
      <c r="Y23" s="468"/>
      <c r="Z23" s="467"/>
      <c r="AA23" s="467"/>
      <c r="AB23" s="467"/>
      <c r="AC23" s="469"/>
      <c r="AD23" s="468"/>
      <c r="AE23" s="469"/>
      <c r="AF23" s="469"/>
      <c r="AG23" s="467"/>
      <c r="AH23" s="467"/>
      <c r="AI23" s="468"/>
      <c r="AJ23" s="467"/>
      <c r="AK23" s="467"/>
      <c r="AL23" s="467"/>
      <c r="AM23" s="467"/>
      <c r="AN23" s="468"/>
      <c r="AO23" s="170"/>
      <c r="AP23" s="170"/>
      <c r="AQ23" s="170"/>
      <c r="AR23" s="170"/>
      <c r="AS23" s="174"/>
      <c r="AT23" s="170"/>
      <c r="AU23" s="170"/>
      <c r="AV23" s="170"/>
      <c r="AW23" s="170"/>
      <c r="AX23" s="174"/>
      <c r="AY23" s="170"/>
      <c r="AZ23" s="170"/>
      <c r="BA23" s="170"/>
      <c r="BB23" s="170"/>
      <c r="BC23" s="174"/>
      <c r="BD23" s="170"/>
      <c r="BE23" s="170"/>
      <c r="BF23" s="170"/>
      <c r="BG23" s="170"/>
      <c r="BH23" s="174"/>
      <c r="BI23" s="170"/>
      <c r="BJ23" s="170"/>
      <c r="BK23" s="170"/>
      <c r="BL23" s="170"/>
      <c r="BM23" s="174"/>
      <c r="BN23" s="170"/>
      <c r="BO23" s="170"/>
      <c r="BP23" s="170"/>
      <c r="BQ23" s="170"/>
      <c r="BR23" s="174"/>
      <c r="BS23" s="170"/>
      <c r="BT23" s="170"/>
      <c r="BU23" s="170"/>
      <c r="BV23" s="172"/>
      <c r="BW23" s="174"/>
      <c r="BX23" s="170"/>
      <c r="BY23" s="170"/>
      <c r="BZ23" s="170"/>
      <c r="CA23" s="172"/>
      <c r="CB23" s="174"/>
      <c r="CC23" s="170"/>
      <c r="CD23" s="170"/>
      <c r="CE23" s="170"/>
      <c r="CF23" s="172"/>
      <c r="CG23" s="174"/>
      <c r="CH23" s="170"/>
      <c r="CI23" s="170"/>
      <c r="CJ23" s="170"/>
      <c r="CK23" s="172"/>
      <c r="CL23" s="174">
        <f>SUM(CH23:CK23)</f>
        <v>0</v>
      </c>
      <c r="CM23" s="172">
        <f>EM!CM28</f>
        <v>550</v>
      </c>
      <c r="CN23" s="172">
        <f>EM!CN28</f>
        <v>550</v>
      </c>
      <c r="CO23" s="172">
        <f>EM!CO28</f>
        <v>550</v>
      </c>
      <c r="CP23" s="172">
        <f>EM!CP28</f>
        <v>550</v>
      </c>
      <c r="CQ23" s="174">
        <f>SUM(CM23:CP23)</f>
        <v>2200</v>
      </c>
      <c r="CR23" s="172">
        <f>EM!CR28</f>
        <v>605</v>
      </c>
      <c r="CS23" s="172">
        <f>EM!CS28</f>
        <v>605</v>
      </c>
      <c r="CT23" s="172">
        <f>EM!CT28</f>
        <v>605</v>
      </c>
      <c r="CU23" s="172">
        <f>EM!CU28</f>
        <v>605</v>
      </c>
      <c r="CV23" s="174">
        <f>SUM(CR23:CU23)</f>
        <v>2420</v>
      </c>
      <c r="CW23" s="172">
        <f>EM!CW28</f>
        <v>665.5</v>
      </c>
      <c r="CX23" s="172">
        <f>EM!CX28</f>
        <v>665.5</v>
      </c>
      <c r="CY23" s="172">
        <f>EM!CY28</f>
        <v>665.5</v>
      </c>
      <c r="CZ23" s="172">
        <f>EM!CZ28</f>
        <v>665.5</v>
      </c>
      <c r="DA23" s="174">
        <f>SUM(CW23:CZ23)</f>
        <v>2662</v>
      </c>
      <c r="DB23" s="172">
        <f>EM!DB28</f>
        <v>732.05000000000007</v>
      </c>
      <c r="DC23" s="172">
        <f>EM!DC28</f>
        <v>732.05000000000007</v>
      </c>
      <c r="DD23" s="172">
        <f>EM!DD28</f>
        <v>732.05000000000007</v>
      </c>
      <c r="DE23" s="172">
        <f>EM!DE28</f>
        <v>732.05000000000007</v>
      </c>
      <c r="DF23" s="174">
        <f>SUM(DB23:DE23)</f>
        <v>2928.2000000000003</v>
      </c>
      <c r="DG23" s="1965"/>
      <c r="DH23" s="198"/>
    </row>
    <row r="24" spans="1:112" s="40" customFormat="1" x14ac:dyDescent="0.2">
      <c r="A24" s="175"/>
      <c r="B24" s="169" t="s">
        <v>546</v>
      </c>
      <c r="C24" s="25"/>
      <c r="D24" s="25"/>
      <c r="E24" s="473"/>
      <c r="F24" s="473"/>
      <c r="G24" s="473"/>
      <c r="H24" s="473"/>
      <c r="I24" s="473"/>
      <c r="J24" s="474"/>
      <c r="K24" s="473"/>
      <c r="L24" s="473"/>
      <c r="M24" s="473"/>
      <c r="N24" s="473"/>
      <c r="O24" s="473"/>
      <c r="P24" s="467"/>
      <c r="Q24" s="467"/>
      <c r="R24" s="467"/>
      <c r="S24" s="467"/>
      <c r="T24" s="468"/>
      <c r="U24" s="467"/>
      <c r="V24" s="467"/>
      <c r="W24" s="467"/>
      <c r="X24" s="467"/>
      <c r="Y24" s="468"/>
      <c r="Z24" s="467"/>
      <c r="AA24" s="467"/>
      <c r="AB24" s="467"/>
      <c r="AC24" s="469"/>
      <c r="AD24" s="468"/>
      <c r="AE24" s="469"/>
      <c r="AF24" s="469"/>
      <c r="AG24" s="467"/>
      <c r="AH24" s="467"/>
      <c r="AI24" s="468"/>
      <c r="AJ24" s="467"/>
      <c r="AK24" s="467"/>
      <c r="AL24" s="467"/>
      <c r="AM24" s="467"/>
      <c r="AN24" s="468"/>
      <c r="AO24" s="172">
        <f>SUM(AO21:AO22)</f>
        <v>362.09999999999997</v>
      </c>
      <c r="AP24" s="172">
        <f>SUM(AP21:AP22)</f>
        <v>363.2</v>
      </c>
      <c r="AQ24" s="172">
        <f>SUM(AQ21:AQ22)</f>
        <v>359</v>
      </c>
      <c r="AR24" s="172">
        <f>SUM(AR21:AR22)</f>
        <v>322.79999999999995</v>
      </c>
      <c r="AS24" s="174">
        <f>AS21+AS22</f>
        <v>1407.1</v>
      </c>
      <c r="AT24" s="172">
        <f t="shared" ref="AT24:BA24" si="5">SUM(AT21:AT22)</f>
        <v>310.3</v>
      </c>
      <c r="AU24" s="172">
        <f t="shared" si="5"/>
        <v>313.89999999999998</v>
      </c>
      <c r="AV24" s="172">
        <f t="shared" si="5"/>
        <v>348.4</v>
      </c>
      <c r="AW24" s="172">
        <f t="shared" si="5"/>
        <v>309.39999999999992</v>
      </c>
      <c r="AX24" s="174">
        <f t="shared" si="5"/>
        <v>1282</v>
      </c>
      <c r="AY24" s="172">
        <f t="shared" si="5"/>
        <v>332.5</v>
      </c>
      <c r="AZ24" s="172">
        <f t="shared" si="5"/>
        <v>337.2</v>
      </c>
      <c r="BA24" s="172">
        <f t="shared" si="5"/>
        <v>382.2</v>
      </c>
      <c r="BB24" s="172">
        <f ca="1">Model!BB11-BB19</f>
        <v>318.90000000000146</v>
      </c>
      <c r="BC24" s="174">
        <f ca="1">SUM(BC21:BC22)</f>
        <v>1370.8000000000015</v>
      </c>
      <c r="BD24" s="172">
        <f t="shared" ref="BD24:CB24" si="6">SUM(BD21:BD22)</f>
        <v>300.60000000000002</v>
      </c>
      <c r="BE24" s="172">
        <f t="shared" si="6"/>
        <v>331.6</v>
      </c>
      <c r="BF24" s="172">
        <f t="shared" si="6"/>
        <v>335.8</v>
      </c>
      <c r="BG24" s="172">
        <f t="shared" si="6"/>
        <v>332.59999999999991</v>
      </c>
      <c r="BH24" s="174">
        <f t="shared" si="6"/>
        <v>1300.5999999999999</v>
      </c>
      <c r="BI24" s="172">
        <f t="shared" si="6"/>
        <v>378</v>
      </c>
      <c r="BJ24" s="172">
        <f t="shared" si="6"/>
        <v>638.4</v>
      </c>
      <c r="BK24" s="172">
        <f t="shared" si="6"/>
        <v>654.19999999999993</v>
      </c>
      <c r="BL24" s="172">
        <f t="shared" si="6"/>
        <v>611.5</v>
      </c>
      <c r="BM24" s="174">
        <f t="shared" si="6"/>
        <v>2282.1</v>
      </c>
      <c r="BN24" s="172">
        <f t="shared" si="6"/>
        <v>503.3</v>
      </c>
      <c r="BO24" s="172">
        <f t="shared" si="6"/>
        <v>555.79999999999995</v>
      </c>
      <c r="BP24" s="172">
        <f t="shared" si="6"/>
        <v>584.90000000000009</v>
      </c>
      <c r="BQ24" s="172">
        <f t="shared" si="6"/>
        <v>569.10000000000014</v>
      </c>
      <c r="BR24" s="174">
        <f t="shared" si="6"/>
        <v>2213.1</v>
      </c>
      <c r="BS24" s="172">
        <f>SUM(BS21:BS22)</f>
        <v>576.79999999999995</v>
      </c>
      <c r="BT24" s="172">
        <f>SUM(BT21:BT22)</f>
        <v>634.6</v>
      </c>
      <c r="BU24" s="172">
        <f t="shared" si="6"/>
        <v>645.4</v>
      </c>
      <c r="BV24" s="172">
        <f t="shared" si="6"/>
        <v>650.70000000000005</v>
      </c>
      <c r="BW24" s="174">
        <f t="shared" si="6"/>
        <v>2507.5</v>
      </c>
      <c r="BX24" s="172">
        <f>SUM(BX21:BX22)</f>
        <v>649.20000000000005</v>
      </c>
      <c r="BY24" s="172">
        <f>SUM(BY21:BY22)</f>
        <v>694</v>
      </c>
      <c r="BZ24" s="172">
        <f>SUM(BZ21:BZ22)</f>
        <v>711.19999999999993</v>
      </c>
      <c r="CA24" s="172">
        <f t="shared" si="6"/>
        <v>737.0999999999998</v>
      </c>
      <c r="CB24" s="174">
        <f t="shared" si="6"/>
        <v>2791.5</v>
      </c>
      <c r="CC24" s="172">
        <f>SUM(CC21:CC22)</f>
        <v>837.8</v>
      </c>
      <c r="CD24" s="172">
        <f>SUM(CD21:CD22)</f>
        <v>988.4</v>
      </c>
      <c r="CE24" s="172">
        <f>SUM(CE21:CE22)</f>
        <v>1000.7</v>
      </c>
      <c r="CF24" s="172">
        <f t="shared" ref="CF24:CG24" si="7">SUM(CF21:CF22)</f>
        <v>951.09999999999991</v>
      </c>
      <c r="CG24" s="174">
        <f t="shared" si="7"/>
        <v>3778</v>
      </c>
      <c r="CH24" s="172">
        <f>SUM(CH21:CH23)</f>
        <v>1093.6000000000001</v>
      </c>
      <c r="CI24" s="172">
        <f t="shared" ref="CI24" si="8">SUM(CI21:CI23)</f>
        <v>1215.8</v>
      </c>
      <c r="CJ24" s="172">
        <f t="shared" ref="CJ24" si="9">SUM(CJ21:CJ23)</f>
        <v>1210.3</v>
      </c>
      <c r="CK24" s="172">
        <f t="shared" ref="CK24" si="10">SUM(CK21:CK22)</f>
        <v>1284.9000000000005</v>
      </c>
      <c r="CL24" s="174">
        <f t="shared" ref="CL24" si="11">SUM(CL21:CL23)</f>
        <v>4804.6000000000004</v>
      </c>
      <c r="CM24" s="172">
        <f t="shared" ref="CM24" si="12">SUM(CM21:CM23)</f>
        <v>1643.6000000000001</v>
      </c>
      <c r="CN24" s="172">
        <f t="shared" ref="CN24" si="13">SUM(CN21:CN23)</f>
        <v>1765.8</v>
      </c>
      <c r="CO24" s="172">
        <f t="shared" ref="CO24" si="14">SUM(CO21:CO23)</f>
        <v>1760.3</v>
      </c>
      <c r="CP24" s="172">
        <f t="shared" ref="CP24" si="15">SUM(CP21:CP23)</f>
        <v>1834.9000000000005</v>
      </c>
      <c r="CQ24" s="174">
        <f t="shared" ref="CQ24" si="16">SUM(CQ21:CQ23)</f>
        <v>7004.6</v>
      </c>
      <c r="CR24" s="172">
        <f t="shared" ref="CR24" si="17">SUM(CR21:CR23)</f>
        <v>1698.6000000000001</v>
      </c>
      <c r="CS24" s="172">
        <f t="shared" ref="CS24" si="18">SUM(CS21:CS23)</f>
        <v>1820.8</v>
      </c>
      <c r="CT24" s="172">
        <f t="shared" ref="CT24" si="19">SUM(CT21:CT23)</f>
        <v>1815.3</v>
      </c>
      <c r="CU24" s="172">
        <f t="shared" ref="CU24" si="20">SUM(CU21:CU23)</f>
        <v>1889.9000000000005</v>
      </c>
      <c r="CV24" s="174">
        <f t="shared" ref="CV24" si="21">SUM(CV21:CV23)</f>
        <v>7224.6</v>
      </c>
      <c r="CW24" s="172">
        <f t="shared" ref="CW24" si="22">SUM(CW21:CW23)</f>
        <v>1759.1000000000001</v>
      </c>
      <c r="CX24" s="172">
        <f t="shared" ref="CX24" si="23">SUM(CX21:CX23)</f>
        <v>1881.3</v>
      </c>
      <c r="CY24" s="172">
        <f t="shared" ref="CY24" si="24">SUM(CY21:CY23)</f>
        <v>1875.8</v>
      </c>
      <c r="CZ24" s="172">
        <f t="shared" ref="CZ24" si="25">SUM(CZ21:CZ23)</f>
        <v>1950.4000000000005</v>
      </c>
      <c r="DA24" s="174">
        <f t="shared" ref="DA24" si="26">SUM(DA21:DA23)</f>
        <v>7466.6</v>
      </c>
      <c r="DB24" s="172">
        <f t="shared" ref="DB24" si="27">SUM(DB21:DB23)</f>
        <v>1825.65</v>
      </c>
      <c r="DC24" s="172">
        <f t="shared" ref="DC24" si="28">SUM(DC21:DC23)</f>
        <v>1947.85</v>
      </c>
      <c r="DD24" s="172">
        <f t="shared" ref="DD24" si="29">SUM(DD21:DD23)</f>
        <v>1942.35</v>
      </c>
      <c r="DE24" s="172">
        <f t="shared" ref="DE24" si="30">SUM(DE21:DE23)</f>
        <v>2016.9500000000007</v>
      </c>
      <c r="DF24" s="174">
        <f t="shared" ref="DF24" si="31">SUM(DF21:DF23)</f>
        <v>7732.8000000000011</v>
      </c>
      <c r="DG24" s="198"/>
      <c r="DH24" s="198"/>
    </row>
    <row r="25" spans="1:112" s="40" customFormat="1" ht="4.5" customHeight="1" x14ac:dyDescent="0.2">
      <c r="B25" s="176"/>
      <c r="C25" s="185"/>
      <c r="D25" s="185"/>
      <c r="P25" s="99"/>
      <c r="Q25" s="99"/>
      <c r="R25" s="99"/>
      <c r="S25" s="99"/>
      <c r="T25" s="184"/>
      <c r="U25" s="172"/>
      <c r="V25" s="172"/>
      <c r="W25" s="172"/>
      <c r="X25" s="172"/>
      <c r="Y25" s="174"/>
      <c r="Z25" s="172"/>
      <c r="AA25" s="172"/>
      <c r="AB25" s="172"/>
      <c r="AC25" s="172"/>
      <c r="AD25" s="174"/>
      <c r="AE25" s="172"/>
      <c r="AF25" s="170"/>
      <c r="AG25" s="172"/>
      <c r="AH25" s="172"/>
      <c r="AI25" s="174"/>
      <c r="AJ25" s="170"/>
      <c r="AK25" s="172"/>
      <c r="AL25" s="172"/>
      <c r="AM25" s="172"/>
      <c r="AN25" s="174"/>
      <c r="AO25" s="172"/>
      <c r="AP25" s="172"/>
      <c r="AQ25" s="172"/>
      <c r="AR25" s="172"/>
      <c r="AS25" s="174"/>
      <c r="AT25" s="172"/>
      <c r="AU25" s="172"/>
      <c r="AV25" s="172"/>
      <c r="AW25" s="172"/>
      <c r="AX25" s="174"/>
      <c r="AY25" s="172"/>
      <c r="AZ25" s="172"/>
      <c r="BA25" s="172"/>
      <c r="BB25" s="172"/>
      <c r="BC25" s="174"/>
      <c r="BD25" s="172"/>
      <c r="BE25" s="172"/>
      <c r="BF25" s="172"/>
      <c r="BG25" s="172"/>
      <c r="BH25" s="174"/>
      <c r="BI25" s="172"/>
      <c r="BJ25" s="172"/>
      <c r="BK25" s="172"/>
      <c r="BL25" s="172"/>
      <c r="BM25" s="174"/>
      <c r="BN25" s="172"/>
      <c r="BO25" s="172"/>
      <c r="BP25" s="172"/>
      <c r="BQ25" s="172"/>
      <c r="BR25" s="174"/>
      <c r="BS25" s="172"/>
      <c r="BT25" s="172"/>
      <c r="BU25" s="172"/>
      <c r="BV25" s="172"/>
      <c r="BW25" s="174"/>
      <c r="BX25" s="172"/>
      <c r="BY25" s="172"/>
      <c r="BZ25" s="172"/>
      <c r="CA25" s="172"/>
      <c r="CB25" s="174"/>
      <c r="CC25" s="172"/>
      <c r="CD25" s="172"/>
      <c r="CE25" s="172"/>
      <c r="CF25" s="172"/>
      <c r="CG25" s="174"/>
      <c r="CH25" s="172"/>
      <c r="CI25" s="172"/>
      <c r="CJ25" s="172"/>
      <c r="CK25" s="172"/>
      <c r="CL25" s="174"/>
      <c r="CM25" s="172"/>
      <c r="CN25" s="172"/>
      <c r="CO25" s="172"/>
      <c r="CP25" s="172"/>
      <c r="CQ25" s="174"/>
      <c r="CR25" s="172"/>
      <c r="CS25" s="172"/>
      <c r="CT25" s="172"/>
      <c r="CU25" s="172"/>
      <c r="CV25" s="174"/>
      <c r="CW25" s="172"/>
      <c r="CX25" s="172"/>
      <c r="CY25" s="172"/>
      <c r="CZ25" s="172"/>
      <c r="DA25" s="174"/>
      <c r="DB25" s="172"/>
      <c r="DC25" s="172"/>
      <c r="DD25" s="172"/>
      <c r="DE25" s="172"/>
      <c r="DF25" s="174"/>
    </row>
    <row r="26" spans="1:112" ht="12" thickBot="1" x14ac:dyDescent="0.25">
      <c r="A26" s="77"/>
      <c r="B26" s="186" t="s">
        <v>159</v>
      </c>
      <c r="C26" s="323"/>
      <c r="D26" s="323"/>
      <c r="E26" s="188">
        <v>6013.0120000000006</v>
      </c>
      <c r="F26" s="188">
        <v>2068.1280000000002</v>
      </c>
      <c r="G26" s="189">
        <v>2228.8519999999999</v>
      </c>
      <c r="H26" s="188">
        <v>2367.02</v>
      </c>
      <c r="I26" s="189">
        <v>1851.17</v>
      </c>
      <c r="J26" s="188">
        <v>8515.17</v>
      </c>
      <c r="K26" s="188">
        <v>2720.2</v>
      </c>
      <c r="L26" s="188">
        <v>3360.3830000000003</v>
      </c>
      <c r="M26" s="188">
        <v>3382.5989999999997</v>
      </c>
      <c r="N26" s="188">
        <v>2633.9549999999995</v>
      </c>
      <c r="O26" s="188">
        <v>12097.136999999999</v>
      </c>
      <c r="P26" s="190">
        <v>3179.2740000000003</v>
      </c>
      <c r="Q26" s="190">
        <v>3285.2170000000001</v>
      </c>
      <c r="R26" s="190">
        <v>3200.6909999999998</v>
      </c>
      <c r="S26" s="190">
        <v>3432.8180000000007</v>
      </c>
      <c r="T26" s="191">
        <v>13098</v>
      </c>
      <c r="U26" s="190">
        <v>3572.297</v>
      </c>
      <c r="V26" s="190">
        <v>3721.7350000000001</v>
      </c>
      <c r="W26" s="190">
        <v>3707.0070000000001</v>
      </c>
      <c r="X26" s="190">
        <v>3877.69</v>
      </c>
      <c r="Y26" s="191">
        <v>14879</v>
      </c>
      <c r="Z26" s="190">
        <v>3839.1</v>
      </c>
      <c r="AA26" s="190">
        <v>3944.3</v>
      </c>
      <c r="AB26" s="190">
        <v>3847.6</v>
      </c>
      <c r="AC26" s="190">
        <v>4582.1000000000004</v>
      </c>
      <c r="AD26" s="191">
        <v>16219.4</v>
      </c>
      <c r="AE26" s="190">
        <v>4379.8999999999996</v>
      </c>
      <c r="AF26" s="190">
        <v>4421.1000000000004</v>
      </c>
      <c r="AG26" s="190">
        <v>4330.2</v>
      </c>
      <c r="AH26" s="190">
        <v>4528.7</v>
      </c>
      <c r="AI26" s="191">
        <v>17755.599999999999</v>
      </c>
      <c r="AJ26" s="190">
        <v>5475.1</v>
      </c>
      <c r="AK26" s="190">
        <v>5494.4</v>
      </c>
      <c r="AL26" s="190">
        <v>5383.4</v>
      </c>
      <c r="AM26" s="190">
        <v>5554.5</v>
      </c>
      <c r="AN26" s="191">
        <v>21907.4</v>
      </c>
      <c r="AO26" s="190">
        <f ca="1">+AO24+AO19</f>
        <v>5490.8</v>
      </c>
      <c r="AP26" s="190">
        <f ca="1">+AP24+AP19</f>
        <v>5530.7999999999993</v>
      </c>
      <c r="AQ26" s="190">
        <f ca="1">+AQ24+AQ19</f>
        <v>5450.5</v>
      </c>
      <c r="AR26" s="190">
        <f ca="1">+AR24+AR19</f>
        <v>5505.9</v>
      </c>
      <c r="AS26" s="191">
        <f ca="1">SUM(AO26:AR26)</f>
        <v>21978</v>
      </c>
      <c r="AT26" s="190">
        <f t="shared" ref="AT26:BD26" ca="1" si="32">+AT24+AT19</f>
        <v>5422.8</v>
      </c>
      <c r="AU26" s="190">
        <f t="shared" ca="1" si="32"/>
        <v>5503.3</v>
      </c>
      <c r="AV26" s="190">
        <f t="shared" ca="1" si="32"/>
        <v>5619.4</v>
      </c>
      <c r="AW26" s="190">
        <f t="shared" ca="1" si="32"/>
        <v>8212.9</v>
      </c>
      <c r="AX26" s="191">
        <f t="shared" ca="1" si="32"/>
        <v>24758.400000000001</v>
      </c>
      <c r="AY26" s="481">
        <f t="shared" ca="1" si="32"/>
        <v>11172.4</v>
      </c>
      <c r="AZ26" s="190">
        <f t="shared" ca="1" si="32"/>
        <v>11287.300000000001</v>
      </c>
      <c r="BA26" s="190">
        <f t="shared" ca="1" si="32"/>
        <v>11280.300000000001</v>
      </c>
      <c r="BB26" s="482">
        <f t="shared" ca="1" si="32"/>
        <v>11322.7</v>
      </c>
      <c r="BC26" s="191">
        <f t="shared" ca="1" si="32"/>
        <v>45062.7</v>
      </c>
      <c r="BD26" s="481">
        <f t="shared" ca="1" si="32"/>
        <v>11123.000000000002</v>
      </c>
      <c r="BE26" s="190">
        <f t="shared" ref="BE26:BG26" si="33">+BE24+BE19</f>
        <v>11389.9</v>
      </c>
      <c r="BF26" s="190">
        <f t="shared" si="33"/>
        <v>11599.499999999998</v>
      </c>
      <c r="BG26" s="482">
        <f t="shared" si="33"/>
        <v>12159.9</v>
      </c>
      <c r="BH26" s="191">
        <f t="shared" ref="BH26:CM26" ca="1" si="34">+BH24+BH19</f>
        <v>46272.299999999996</v>
      </c>
      <c r="BI26" s="481">
        <f t="shared" ca="1" si="34"/>
        <v>12161.1</v>
      </c>
      <c r="BJ26" s="190">
        <f t="shared" ca="1" si="34"/>
        <v>27533.100000000002</v>
      </c>
      <c r="BK26" s="190">
        <f t="shared" ca="1" si="34"/>
        <v>26838.7</v>
      </c>
      <c r="BL26" s="190">
        <f t="shared" ca="1" si="34"/>
        <v>27439.200000000004</v>
      </c>
      <c r="BM26" s="191">
        <f t="shared" ca="1" si="34"/>
        <v>93972.1</v>
      </c>
      <c r="BN26" s="481">
        <f t="shared" ca="1" si="34"/>
        <v>26091.5</v>
      </c>
      <c r="BO26" s="190">
        <f t="shared" ca="1" si="34"/>
        <v>26453.5</v>
      </c>
      <c r="BP26" s="190">
        <f t="shared" ca="1" si="34"/>
        <v>25944.100000000002</v>
      </c>
      <c r="BQ26" s="482">
        <f t="shared" ca="1" si="34"/>
        <v>25809.896076089361</v>
      </c>
      <c r="BR26" s="191">
        <f t="shared" ca="1" si="34"/>
        <v>104298.99607608937</v>
      </c>
      <c r="BS26" s="190">
        <f t="shared" ca="1" si="34"/>
        <v>23713.5</v>
      </c>
      <c r="BT26" s="190">
        <f t="shared" ca="1" si="34"/>
        <v>25139.499999999996</v>
      </c>
      <c r="BU26" s="190">
        <f t="shared" ca="1" si="34"/>
        <v>25807.000000000004</v>
      </c>
      <c r="BV26" s="482">
        <f t="shared" ca="1" si="34"/>
        <v>26339.5</v>
      </c>
      <c r="BW26" s="191">
        <f t="shared" ca="1" si="34"/>
        <v>100999.5</v>
      </c>
      <c r="BX26" s="481">
        <f t="shared" ca="1" si="34"/>
        <v>24923.4</v>
      </c>
      <c r="BY26" s="190">
        <f t="shared" ca="1" si="34"/>
        <v>25478</v>
      </c>
      <c r="BZ26" s="190">
        <f t="shared" ca="1" si="34"/>
        <v>25246.400000000001</v>
      </c>
      <c r="CA26" s="482">
        <f t="shared" ca="1" si="34"/>
        <v>26199.100000000002</v>
      </c>
      <c r="CB26" s="191">
        <f t="shared" ca="1" si="34"/>
        <v>101846.9</v>
      </c>
      <c r="CC26" s="481">
        <f t="shared" ca="1" si="34"/>
        <v>24826.1</v>
      </c>
      <c r="CD26" s="190">
        <f t="shared" ca="1" si="34"/>
        <v>25277.7</v>
      </c>
      <c r="CE26" s="190">
        <f t="shared" ca="1" si="34"/>
        <v>25465.5</v>
      </c>
      <c r="CF26" s="482">
        <f t="shared" ca="1" si="34"/>
        <v>24918.699999999993</v>
      </c>
      <c r="CG26" s="191">
        <f t="shared" ca="1" si="34"/>
        <v>100487.99999999999</v>
      </c>
      <c r="CH26" s="190">
        <f t="shared" ca="1" si="34"/>
        <v>24710.3</v>
      </c>
      <c r="CI26" s="190">
        <f t="shared" ca="1" si="34"/>
        <v>25402.899999999998</v>
      </c>
      <c r="CJ26" s="190">
        <f t="shared" ca="1" si="34"/>
        <v>24738.799999999999</v>
      </c>
      <c r="CK26" s="482">
        <f t="shared" ca="1" si="34"/>
        <v>25295.676303177759</v>
      </c>
      <c r="CL26" s="191">
        <f t="shared" ca="1" si="34"/>
        <v>100147.67630317777</v>
      </c>
      <c r="CM26" s="481">
        <f t="shared" ca="1" si="34"/>
        <v>24889.78221163671</v>
      </c>
      <c r="CN26" s="190">
        <f t="shared" ref="CN26:DF26" ca="1" si="35">+CN24+CN19</f>
        <v>25552.194339957954</v>
      </c>
      <c r="CO26" s="190">
        <f t="shared" ca="1" si="35"/>
        <v>25528.75813802594</v>
      </c>
      <c r="CP26" s="482">
        <f t="shared" ca="1" si="35"/>
        <v>26088.483806121323</v>
      </c>
      <c r="CQ26" s="191">
        <f t="shared" ca="1" si="35"/>
        <v>102059.21849574192</v>
      </c>
      <c r="CR26" s="481">
        <f t="shared" ca="1" si="35"/>
        <v>26015.483958633544</v>
      </c>
      <c r="CS26" s="190">
        <f t="shared" ca="1" si="35"/>
        <v>26833.716253370018</v>
      </c>
      <c r="CT26" s="190">
        <f t="shared" ca="1" si="35"/>
        <v>26868.196108794949</v>
      </c>
      <c r="CU26" s="482">
        <f t="shared" ca="1" si="35"/>
        <v>27453.071247189848</v>
      </c>
      <c r="CV26" s="191">
        <f t="shared" ca="1" si="35"/>
        <v>107170.46756798837</v>
      </c>
      <c r="CW26" s="481">
        <f t="shared" ca="1" si="35"/>
        <v>24602.214510688569</v>
      </c>
      <c r="CX26" s="190">
        <f t="shared" ca="1" si="35"/>
        <v>25385.579205760936</v>
      </c>
      <c r="CY26" s="190">
        <f t="shared" ca="1" si="35"/>
        <v>25465.759958078419</v>
      </c>
      <c r="CZ26" s="482">
        <f t="shared" ca="1" si="35"/>
        <v>25974.926317761874</v>
      </c>
      <c r="DA26" s="191">
        <f t="shared" ca="1" si="35"/>
        <v>101428.47999228981</v>
      </c>
      <c r="DB26" s="481">
        <f t="shared" ca="1" si="35"/>
        <v>23362.764177106787</v>
      </c>
      <c r="DC26" s="190">
        <f t="shared" ca="1" si="35"/>
        <v>24114.283065132222</v>
      </c>
      <c r="DD26" s="190">
        <f t="shared" ca="1" si="35"/>
        <v>24236.816459764956</v>
      </c>
      <c r="DE26" s="482">
        <f t="shared" ca="1" si="35"/>
        <v>24679.351726855803</v>
      </c>
      <c r="DF26" s="191">
        <f t="shared" ca="1" si="35"/>
        <v>96393.215428859767</v>
      </c>
    </row>
    <row r="27" spans="1:112" s="40" customFormat="1" hidden="1" outlineLevel="1" x14ac:dyDescent="0.2">
      <c r="B27" s="176" t="s">
        <v>373</v>
      </c>
      <c r="C27" s="185"/>
      <c r="D27" s="185"/>
      <c r="P27" s="99"/>
      <c r="Q27" s="99"/>
      <c r="R27" s="99"/>
      <c r="S27" s="99"/>
      <c r="T27" s="184"/>
      <c r="U27" s="172"/>
      <c r="V27" s="172"/>
      <c r="W27" s="172"/>
      <c r="X27" s="172"/>
      <c r="Y27" s="174"/>
      <c r="Z27" s="172"/>
      <c r="AA27" s="172"/>
      <c r="AB27" s="172"/>
      <c r="AC27" s="172"/>
      <c r="AD27" s="174"/>
      <c r="AE27" s="172"/>
      <c r="AF27" s="170"/>
      <c r="AG27" s="172"/>
      <c r="AH27" s="172"/>
      <c r="AI27" s="174"/>
      <c r="AJ27" s="170"/>
      <c r="AK27" s="172"/>
      <c r="AL27" s="172"/>
      <c r="AM27" s="172"/>
      <c r="AN27" s="174"/>
      <c r="AO27" s="172"/>
      <c r="AP27" s="172"/>
      <c r="AQ27" s="172"/>
      <c r="AR27" s="172"/>
      <c r="AS27" s="1124"/>
      <c r="AT27" s="172">
        <v>0</v>
      </c>
      <c r="AU27" s="172">
        <v>0</v>
      </c>
      <c r="AV27" s="172">
        <v>0</v>
      </c>
      <c r="AW27" s="172">
        <v>0</v>
      </c>
      <c r="AX27" s="174">
        <f>SUM(AT27:AW27)</f>
        <v>0</v>
      </c>
      <c r="AY27" s="172">
        <v>0</v>
      </c>
      <c r="AZ27" s="172">
        <v>0</v>
      </c>
      <c r="BA27" s="172">
        <v>0</v>
      </c>
      <c r="BB27" s="172">
        <v>0</v>
      </c>
      <c r="BC27" s="174">
        <f>SUM(AY27:BB27)</f>
        <v>0</v>
      </c>
      <c r="BD27" s="172">
        <v>0</v>
      </c>
      <c r="BE27" s="172">
        <v>0</v>
      </c>
      <c r="BF27" s="172">
        <v>0</v>
      </c>
      <c r="BG27" s="172">
        <v>0</v>
      </c>
      <c r="BH27" s="174">
        <f>SUM(BD27:BG27)</f>
        <v>0</v>
      </c>
      <c r="BI27" s="172">
        <v>0</v>
      </c>
      <c r="BJ27" s="172">
        <v>0</v>
      </c>
      <c r="BK27" s="172">
        <v>0</v>
      </c>
      <c r="BL27" s="172">
        <v>0</v>
      </c>
      <c r="BM27" s="174">
        <f>SUM(BI27:BL27)</f>
        <v>0</v>
      </c>
      <c r="BN27" s="172">
        <v>0</v>
      </c>
      <c r="BO27" s="172">
        <v>0</v>
      </c>
      <c r="BP27" s="172">
        <v>0</v>
      </c>
      <c r="BQ27" s="172">
        <v>0</v>
      </c>
      <c r="BR27" s="174">
        <f>SUM(BN27:BQ27)</f>
        <v>0</v>
      </c>
      <c r="BS27" s="172">
        <v>0</v>
      </c>
      <c r="BT27" s="172">
        <v>0</v>
      </c>
      <c r="BU27" s="172">
        <v>0</v>
      </c>
      <c r="BV27" s="172">
        <v>0</v>
      </c>
      <c r="BW27" s="174">
        <f>SUM(BS27:BV27)</f>
        <v>0</v>
      </c>
      <c r="BX27" s="172">
        <v>0</v>
      </c>
      <c r="BY27" s="172">
        <v>0</v>
      </c>
      <c r="BZ27" s="172">
        <v>0</v>
      </c>
      <c r="CA27" s="172">
        <v>0</v>
      </c>
      <c r="CB27" s="174">
        <f>SUM(BX27:CA27)</f>
        <v>0</v>
      </c>
      <c r="CC27" s="172">
        <v>0</v>
      </c>
      <c r="CD27" s="172">
        <v>0</v>
      </c>
      <c r="CE27" s="172">
        <v>0</v>
      </c>
      <c r="CF27" s="172">
        <v>0</v>
      </c>
      <c r="CG27" s="174">
        <f>SUM(CC27:CF27)</f>
        <v>0</v>
      </c>
      <c r="CH27" s="172">
        <v>0</v>
      </c>
      <c r="CI27" s="172">
        <v>0</v>
      </c>
      <c r="CJ27" s="172">
        <v>0</v>
      </c>
      <c r="CK27" s="172">
        <v>0</v>
      </c>
      <c r="CL27" s="174">
        <f>SUM(CH27:CK27)</f>
        <v>0</v>
      </c>
      <c r="CM27" s="172">
        <v>0</v>
      </c>
      <c r="CN27" s="172">
        <v>0</v>
      </c>
      <c r="CO27" s="172">
        <v>0</v>
      </c>
      <c r="CP27" s="172">
        <v>0</v>
      </c>
      <c r="CQ27" s="174">
        <f>SUM(CM27:CP27)</f>
        <v>0</v>
      </c>
      <c r="CR27" s="172">
        <v>0</v>
      </c>
      <c r="CS27" s="172">
        <v>0</v>
      </c>
      <c r="CT27" s="172">
        <v>0</v>
      </c>
      <c r="CU27" s="172">
        <v>0</v>
      </c>
      <c r="CV27" s="174">
        <f>SUM(CR27:CU27)</f>
        <v>0</v>
      </c>
      <c r="CW27" s="172">
        <v>0</v>
      </c>
      <c r="CX27" s="172">
        <v>0</v>
      </c>
      <c r="CY27" s="172">
        <v>0</v>
      </c>
      <c r="CZ27" s="172">
        <v>0</v>
      </c>
      <c r="DA27" s="174">
        <f>SUM(CW27:CZ27)</f>
        <v>0</v>
      </c>
      <c r="DB27" s="172">
        <v>0</v>
      </c>
      <c r="DC27" s="172">
        <v>0</v>
      </c>
      <c r="DD27" s="172">
        <v>0</v>
      </c>
      <c r="DE27" s="172">
        <v>0</v>
      </c>
      <c r="DF27" s="174">
        <f>SUM(DB27:DE27)</f>
        <v>0</v>
      </c>
    </row>
    <row r="28" spans="1:112" ht="12" hidden="1" outlineLevel="1" thickBot="1" x14ac:dyDescent="0.25">
      <c r="A28" s="77"/>
      <c r="B28" s="186" t="s">
        <v>374</v>
      </c>
      <c r="C28" s="323"/>
      <c r="D28" s="323"/>
      <c r="E28" s="188"/>
      <c r="F28" s="188"/>
      <c r="G28" s="189"/>
      <c r="H28" s="188"/>
      <c r="I28" s="189"/>
      <c r="J28" s="188"/>
      <c r="K28" s="188"/>
      <c r="L28" s="188"/>
      <c r="M28" s="188"/>
      <c r="N28" s="188"/>
      <c r="O28" s="188"/>
      <c r="P28" s="190"/>
      <c r="Q28" s="190"/>
      <c r="R28" s="190"/>
      <c r="S28" s="190"/>
      <c r="T28" s="191"/>
      <c r="U28" s="190"/>
      <c r="V28" s="190"/>
      <c r="W28" s="190"/>
      <c r="X28" s="190"/>
      <c r="Y28" s="191"/>
      <c r="Z28" s="190"/>
      <c r="AA28" s="190"/>
      <c r="AB28" s="190"/>
      <c r="AC28" s="190"/>
      <c r="AD28" s="191"/>
      <c r="AE28" s="190"/>
      <c r="AF28" s="190"/>
      <c r="AG28" s="190"/>
      <c r="AH28" s="190"/>
      <c r="AI28" s="191"/>
      <c r="AJ28" s="190"/>
      <c r="AK28" s="190"/>
      <c r="AL28" s="190"/>
      <c r="AM28" s="190"/>
      <c r="AN28" s="191"/>
      <c r="AO28" s="190"/>
      <c r="AP28" s="190"/>
      <c r="AQ28" s="190"/>
      <c r="AR28" s="190"/>
      <c r="AS28" s="1125"/>
      <c r="AT28" s="190">
        <f ca="1">AT26+AT27</f>
        <v>5422.8</v>
      </c>
      <c r="AU28" s="190">
        <f ca="1">AU26+AU27</f>
        <v>5503.3</v>
      </c>
      <c r="AV28" s="190">
        <f ca="1">AV26+AV27</f>
        <v>5619.4</v>
      </c>
      <c r="AW28" s="190">
        <f ca="1">AW26+AW27</f>
        <v>8212.9</v>
      </c>
      <c r="AX28" s="191">
        <f ca="1">SUM(AT28:AW28)</f>
        <v>24758.400000000001</v>
      </c>
      <c r="AY28" s="190">
        <f ca="1">AY26+AY27</f>
        <v>11172.4</v>
      </c>
      <c r="AZ28" s="190">
        <f ca="1">AZ26+AZ27</f>
        <v>11287.300000000001</v>
      </c>
      <c r="BA28" s="190">
        <f ca="1">BA26+BA27</f>
        <v>11280.300000000001</v>
      </c>
      <c r="BB28" s="190">
        <f ca="1">BB26+BB27</f>
        <v>11322.7</v>
      </c>
      <c r="BC28" s="191">
        <f ca="1">SUM(AY28:BB28)</f>
        <v>45062.7</v>
      </c>
      <c r="BD28" s="481">
        <f ca="1">BD26+BD27</f>
        <v>11123.000000000002</v>
      </c>
      <c r="BE28" s="190">
        <f>BE26+BE27</f>
        <v>11389.9</v>
      </c>
      <c r="BF28" s="190">
        <f>BF26+BF27</f>
        <v>11599.499999999998</v>
      </c>
      <c r="BG28" s="482">
        <f>BG26+BG27</f>
        <v>12159.9</v>
      </c>
      <c r="BH28" s="191">
        <f ca="1">SUM(BD28:BG28)</f>
        <v>46272.3</v>
      </c>
      <c r="BI28" s="481">
        <f ca="1">BI26+BI27</f>
        <v>12161.1</v>
      </c>
      <c r="BJ28" s="190">
        <f ca="1">BJ26+BJ27</f>
        <v>27533.100000000002</v>
      </c>
      <c r="BK28" s="190">
        <f ca="1">BK26+BK27</f>
        <v>26838.7</v>
      </c>
      <c r="BL28" s="482">
        <f ca="1">BL26+BL27</f>
        <v>27439.200000000004</v>
      </c>
      <c r="BM28" s="191">
        <f ca="1">SUM(BI28:BL28)</f>
        <v>93972.1</v>
      </c>
      <c r="BN28" s="481">
        <f ca="1">BN26+BN27</f>
        <v>26091.5</v>
      </c>
      <c r="BO28" s="190">
        <f ca="1">BO26+BO27</f>
        <v>26453.5</v>
      </c>
      <c r="BP28" s="190">
        <f ca="1">BP26+BP27</f>
        <v>25944.100000000002</v>
      </c>
      <c r="BQ28" s="482">
        <f ca="1">BQ26+BQ27</f>
        <v>25809.896076089361</v>
      </c>
      <c r="BR28" s="191">
        <f ca="1">SUM(BN28:BQ28)</f>
        <v>104298.99607608936</v>
      </c>
      <c r="BS28" s="190">
        <f ca="1">BS26+BS27</f>
        <v>23713.5</v>
      </c>
      <c r="BT28" s="190">
        <f ca="1">BT26+BT27</f>
        <v>25139.499999999996</v>
      </c>
      <c r="BU28" s="190">
        <f ca="1">BU26+BU27</f>
        <v>25807.000000000004</v>
      </c>
      <c r="BV28" s="482">
        <f ca="1">BV26+BV27</f>
        <v>26339.5</v>
      </c>
      <c r="BW28" s="191">
        <f ca="1">SUM(BS28:BV28)</f>
        <v>100999.5</v>
      </c>
      <c r="BX28" s="481">
        <f ca="1">BX26+BX27</f>
        <v>24923.4</v>
      </c>
      <c r="BY28" s="190">
        <f ca="1">BY26+BY27</f>
        <v>25478</v>
      </c>
      <c r="BZ28" s="190">
        <f ca="1">BZ26+BZ27</f>
        <v>25246.400000000001</v>
      </c>
      <c r="CA28" s="482">
        <f ca="1">CA26+CA27</f>
        <v>26199.100000000002</v>
      </c>
      <c r="CB28" s="191">
        <f ca="1">SUM(BX28:CA28)</f>
        <v>101846.90000000001</v>
      </c>
      <c r="CC28" s="481">
        <f ca="1">CC26+CC27</f>
        <v>24826.1</v>
      </c>
      <c r="CD28" s="190">
        <f ca="1">CD26+CD27</f>
        <v>25277.7</v>
      </c>
      <c r="CE28" s="190">
        <f ca="1">CE26+CE27</f>
        <v>25465.5</v>
      </c>
      <c r="CF28" s="482">
        <f ca="1">CF26+CF27</f>
        <v>24918.699999999993</v>
      </c>
      <c r="CG28" s="191">
        <f ca="1">SUM(CC28:CF28)</f>
        <v>100488</v>
      </c>
      <c r="CH28" s="481">
        <f ca="1">CH26+CH27</f>
        <v>24710.3</v>
      </c>
      <c r="CI28" s="190">
        <f ca="1">CI26+CI27</f>
        <v>25402.899999999998</v>
      </c>
      <c r="CJ28" s="190">
        <f ca="1">CJ26+CJ27</f>
        <v>24738.799999999999</v>
      </c>
      <c r="CK28" s="190">
        <f ca="1">CK26+CK27</f>
        <v>25295.676303177759</v>
      </c>
      <c r="CL28" s="191">
        <f ca="1">SUM(CH28:CK28)</f>
        <v>100147.67630317775</v>
      </c>
      <c r="CM28" s="481">
        <f ca="1">CM26+CM27</f>
        <v>24889.78221163671</v>
      </c>
      <c r="CN28" s="190">
        <f ca="1">CN26+CN27</f>
        <v>25552.194339957954</v>
      </c>
      <c r="CO28" s="190">
        <f ca="1">CO26+CO27</f>
        <v>25528.75813802594</v>
      </c>
      <c r="CP28" s="482">
        <f ca="1">CP26+CP27</f>
        <v>26088.483806121323</v>
      </c>
      <c r="CQ28" s="191">
        <f ca="1">SUM(CM28:CP28)</f>
        <v>102059.21849574192</v>
      </c>
      <c r="CR28" s="481">
        <f ca="1">CR26+CR27</f>
        <v>26015.483958633544</v>
      </c>
      <c r="CS28" s="190">
        <f ca="1">CS26+CS27</f>
        <v>26833.716253370018</v>
      </c>
      <c r="CT28" s="190">
        <f ca="1">CT26+CT27</f>
        <v>26868.196108794949</v>
      </c>
      <c r="CU28" s="482">
        <f ca="1">CU26+CU27</f>
        <v>27453.071247189848</v>
      </c>
      <c r="CV28" s="191">
        <f ca="1">SUM(CR28:CU28)</f>
        <v>107170.46756798835</v>
      </c>
      <c r="CW28" s="481">
        <f ca="1">CW26+CW27</f>
        <v>24602.214510688569</v>
      </c>
      <c r="CX28" s="190">
        <f ca="1">CX26+CX27</f>
        <v>25385.579205760936</v>
      </c>
      <c r="CY28" s="190">
        <f ca="1">CY26+CY27</f>
        <v>25465.759958078419</v>
      </c>
      <c r="CZ28" s="482">
        <f ca="1">CZ26+CZ27</f>
        <v>25974.926317761874</v>
      </c>
      <c r="DA28" s="191">
        <f ca="1">SUM(CW28:CZ28)</f>
        <v>101428.47999228979</v>
      </c>
      <c r="DB28" s="481">
        <f ca="1">DB26+DB27</f>
        <v>23362.764177106787</v>
      </c>
      <c r="DC28" s="190">
        <f ca="1">DC26+DC27</f>
        <v>24114.283065132222</v>
      </c>
      <c r="DD28" s="190">
        <f ca="1">DD26+DD27</f>
        <v>24236.816459764956</v>
      </c>
      <c r="DE28" s="482">
        <f ca="1">DE26+DE27</f>
        <v>24679.351726855803</v>
      </c>
      <c r="DF28" s="191">
        <f ca="1">SUM(DB28:DE28)</f>
        <v>96393.215428859767</v>
      </c>
    </row>
    <row r="29" spans="1:112" s="78" customFormat="1" ht="12" hidden="1" outlineLevel="1" thickBot="1" x14ac:dyDescent="0.25">
      <c r="B29" s="1120" t="s">
        <v>168</v>
      </c>
      <c r="C29" s="1119"/>
      <c r="D29" s="1119"/>
      <c r="E29" s="1119"/>
      <c r="F29" s="1119"/>
      <c r="G29" s="1119"/>
      <c r="H29" s="1119"/>
      <c r="I29" s="1119"/>
      <c r="J29" s="1119"/>
      <c r="K29" s="1119"/>
      <c r="L29" s="1119"/>
      <c r="M29" s="1119"/>
      <c r="N29" s="1119"/>
      <c r="O29" s="1119"/>
      <c r="P29" s="1119"/>
      <c r="Q29" s="1119"/>
      <c r="R29" s="1119"/>
      <c r="S29" s="1119"/>
      <c r="T29" s="1121"/>
      <c r="U29" s="1119"/>
      <c r="V29" s="1119"/>
      <c r="W29" s="1119"/>
      <c r="X29" s="1119"/>
      <c r="Y29" s="1121"/>
      <c r="Z29" s="1119"/>
      <c r="AA29" s="1119"/>
      <c r="AB29" s="1119"/>
      <c r="AC29" s="1119"/>
      <c r="AD29" s="1121"/>
      <c r="AE29" s="1119"/>
      <c r="AF29" s="1119"/>
      <c r="AG29" s="1119"/>
      <c r="AH29" s="1119"/>
      <c r="AI29" s="1121"/>
      <c r="AJ29" s="1119"/>
      <c r="AK29" s="1119"/>
      <c r="AL29" s="1119"/>
      <c r="AM29" s="1119"/>
      <c r="AN29" s="1121"/>
      <c r="AO29" s="1119"/>
      <c r="AP29" s="1119"/>
      <c r="AQ29" s="1119"/>
      <c r="AR29" s="1119"/>
      <c r="AS29" s="1121"/>
      <c r="AT29" s="1119">
        <f ca="1">AT28-Model!AT11</f>
        <v>0</v>
      </c>
      <c r="AU29" s="1119">
        <f ca="1">AU28-Model!AU11</f>
        <v>0</v>
      </c>
      <c r="AV29" s="1119">
        <f ca="1">AV28-Model!AV11</f>
        <v>0</v>
      </c>
      <c r="AW29" s="1119">
        <f ca="1">AW28-Model!AW11</f>
        <v>0</v>
      </c>
      <c r="AX29" s="1121">
        <f ca="1">AX28-Model!AX11</f>
        <v>0</v>
      </c>
      <c r="AY29" s="1119">
        <f ca="1">AY28-Model!AY11</f>
        <v>0</v>
      </c>
      <c r="AZ29" s="1119">
        <f ca="1">AZ28-Model!AZ11</f>
        <v>0</v>
      </c>
      <c r="BA29" s="1119">
        <f ca="1">BA28-Model!BA11</f>
        <v>0</v>
      </c>
      <c r="BB29" s="1119">
        <f ca="1">BB28-Model!BB11</f>
        <v>0</v>
      </c>
      <c r="BC29" s="1121">
        <f ca="1">BC28-Model!BC11</f>
        <v>0</v>
      </c>
      <c r="BD29" s="1122">
        <f ca="1">BD28-Model!BD11</f>
        <v>0</v>
      </c>
      <c r="BE29" s="1119">
        <f>BE28-Model!BE11</f>
        <v>0</v>
      </c>
      <c r="BF29" s="1119">
        <f>BF28-Model!BF11</f>
        <v>0</v>
      </c>
      <c r="BG29" s="1123">
        <f>BG28-Model!BG11</f>
        <v>0</v>
      </c>
      <c r="BH29" s="1121">
        <f ca="1">BH28-Model!BH11</f>
        <v>0</v>
      </c>
      <c r="BI29" s="1122">
        <f ca="1">BI28-Model!BI11</f>
        <v>0</v>
      </c>
      <c r="BJ29" s="1119">
        <f ca="1">BJ28-Model!BJ11</f>
        <v>0</v>
      </c>
      <c r="BK29" s="1119">
        <f ca="1">BK28-Model!BK11</f>
        <v>0</v>
      </c>
      <c r="BL29" s="1123">
        <f ca="1">BL28-Model!BL11</f>
        <v>0</v>
      </c>
      <c r="BM29" s="1121">
        <f ca="1">BM28-Model!BM11</f>
        <v>0</v>
      </c>
      <c r="BN29" s="1122">
        <f ca="1">BN28-Model!BN11</f>
        <v>0</v>
      </c>
      <c r="BO29" s="1268">
        <f ca="1">BO28-Model!BO11</f>
        <v>0</v>
      </c>
      <c r="BP29" s="1119">
        <f ca="1">BP28-Model!BP11</f>
        <v>0</v>
      </c>
      <c r="BQ29" s="1123">
        <f ca="1">BQ28-Model!BQ11</f>
        <v>-3.9239106408786029E-3</v>
      </c>
      <c r="BR29" s="1121">
        <f ca="1">BR28-Model!BR11</f>
        <v>-3.9239106408786029E-3</v>
      </c>
      <c r="BS29" s="1122">
        <f ca="1">BS28-Model!BS11</f>
        <v>0</v>
      </c>
      <c r="BT29" s="1119">
        <f ca="1">BT28-Model!BT11</f>
        <v>0</v>
      </c>
      <c r="BU29" s="1718">
        <f ca="1">BU28-Model!BU11</f>
        <v>0</v>
      </c>
      <c r="BV29" s="1123">
        <f ca="1">BV28-Model!BV11</f>
        <v>0</v>
      </c>
      <c r="BW29" s="1121">
        <f ca="1">BW28-Model!BW11</f>
        <v>0</v>
      </c>
      <c r="BX29" s="1122">
        <f ca="1">BX28-Model!BX11</f>
        <v>0</v>
      </c>
      <c r="BY29" s="1119">
        <f ca="1">BY28-Model!BY11</f>
        <v>0</v>
      </c>
      <c r="BZ29" s="1119">
        <f ca="1">BZ28-Model!BZ11</f>
        <v>0</v>
      </c>
      <c r="CA29" s="1123">
        <f ca="1">CA28-Model!CA11</f>
        <v>0</v>
      </c>
      <c r="CB29" s="1121">
        <f ca="1">CB28-Model!CB11</f>
        <v>0</v>
      </c>
      <c r="CC29" s="1122">
        <f ca="1">CC28-Model!CC11</f>
        <v>0</v>
      </c>
      <c r="CD29" s="1119">
        <f ca="1">CD28-Model!CD11</f>
        <v>0</v>
      </c>
      <c r="CE29" s="1119">
        <f ca="1">CE28-Model!CE11</f>
        <v>0</v>
      </c>
      <c r="CF29" s="1123">
        <f ca="1">CF28-Model!CF11</f>
        <v>0</v>
      </c>
      <c r="CG29" s="1121">
        <f ca="1">CG28-Model!CG11</f>
        <v>0</v>
      </c>
      <c r="CH29" s="1122">
        <f ca="1">CH28-Model!CH11</f>
        <v>0</v>
      </c>
      <c r="CI29" s="1119">
        <f ca="1">CI28-Model!CI11</f>
        <v>0</v>
      </c>
      <c r="CJ29" s="1119">
        <f ca="1">CJ28-Model!CJ11</f>
        <v>0</v>
      </c>
      <c r="CK29" s="1119">
        <f ca="1">CK28-Model!CK11</f>
        <v>-138.52369682224162</v>
      </c>
      <c r="CL29" s="1121">
        <f ca="1">CL28-Model!CL11</f>
        <v>-138.52369682224526</v>
      </c>
      <c r="CM29" s="1122">
        <f ca="1">CM28-Model!CM11</f>
        <v>0</v>
      </c>
      <c r="CN29" s="1119">
        <f ca="1">CN28-Model!CN11</f>
        <v>0</v>
      </c>
      <c r="CO29" s="1119">
        <f ca="1">CO28-Model!CO11</f>
        <v>0</v>
      </c>
      <c r="CP29" s="1123">
        <f ca="1">CP28-Model!CP11</f>
        <v>0</v>
      </c>
      <c r="CQ29" s="1121">
        <f ca="1">CQ28-Model!CQ11</f>
        <v>0</v>
      </c>
      <c r="CR29" s="1122">
        <f ca="1">CR28-Model!CR11</f>
        <v>0</v>
      </c>
      <c r="CS29" s="1718">
        <f ca="1">CS28-Model!CS11</f>
        <v>0</v>
      </c>
      <c r="CT29" s="1119">
        <f ca="1">CT28-Model!CT11</f>
        <v>0</v>
      </c>
      <c r="CU29" s="1123">
        <f ca="1">CU28-Model!CU11</f>
        <v>0</v>
      </c>
      <c r="CV29" s="1121">
        <f ca="1">CV28-Model!CV11</f>
        <v>0</v>
      </c>
      <c r="CW29" s="1122">
        <f ca="1">CW28-Model!CW11</f>
        <v>0</v>
      </c>
      <c r="CX29" s="1718">
        <f ca="1">CX28-Model!CX11</f>
        <v>0</v>
      </c>
      <c r="CY29" s="1119">
        <f ca="1">CY28-Model!CY11</f>
        <v>0</v>
      </c>
      <c r="CZ29" s="1123">
        <f ca="1">CZ28-Model!CZ11</f>
        <v>0</v>
      </c>
      <c r="DA29" s="1121">
        <f ca="1">DA28-Model!DA11</f>
        <v>0</v>
      </c>
      <c r="DB29" s="1122">
        <f ca="1">DB28-Model!DB11</f>
        <v>0</v>
      </c>
      <c r="DC29" s="1718">
        <f ca="1">DC28-Model!DC11</f>
        <v>0</v>
      </c>
      <c r="DD29" s="1119">
        <f ca="1">DD28-Model!DD11</f>
        <v>0</v>
      </c>
      <c r="DE29" s="1123">
        <f ca="1">DE28-Model!DE11</f>
        <v>0</v>
      </c>
      <c r="DF29" s="1121">
        <f ca="1">DF28-Model!DF11</f>
        <v>0</v>
      </c>
    </row>
    <row r="30" spans="1:112" ht="6" customHeight="1" collapsed="1" thickBot="1" x14ac:dyDescent="0.25">
      <c r="A30" s="77"/>
      <c r="B30" s="192"/>
      <c r="C30" s="192"/>
      <c r="D30" s="192"/>
      <c r="E30" s="78"/>
      <c r="F30" s="78"/>
      <c r="G30" s="78"/>
      <c r="H30" s="78"/>
      <c r="I30" s="78"/>
      <c r="J30" s="78"/>
      <c r="K30" s="78"/>
      <c r="L30" s="78"/>
      <c r="M30" s="78"/>
      <c r="N30" s="78"/>
      <c r="O30" s="78"/>
      <c r="P30" s="78"/>
      <c r="Q30" s="78"/>
      <c r="R30" s="78"/>
      <c r="S30" s="78"/>
      <c r="T30" s="78"/>
      <c r="U30" s="78"/>
      <c r="V30" s="78"/>
      <c r="W30" s="78"/>
      <c r="X30" s="78"/>
      <c r="Y30" s="78"/>
      <c r="Z30" s="78"/>
      <c r="AA30" s="78"/>
      <c r="AB30" s="78"/>
      <c r="AC30" s="78"/>
      <c r="AD30" s="78"/>
      <c r="AE30" s="78"/>
      <c r="AF30" s="78"/>
      <c r="AG30" s="78"/>
      <c r="AH30" s="78"/>
      <c r="AI30" s="78"/>
      <c r="AJ30" s="78"/>
      <c r="AK30" s="78"/>
      <c r="AL30" s="78"/>
      <c r="AM30" s="78"/>
      <c r="AN30" s="78"/>
      <c r="AO30" s="146"/>
      <c r="AP30" s="78"/>
      <c r="AQ30" s="78"/>
      <c r="AR30" s="78"/>
      <c r="AS30" s="180"/>
      <c r="AT30" s="180"/>
      <c r="AU30" s="180"/>
      <c r="AV30" s="180"/>
      <c r="AW30" s="180"/>
      <c r="AX30" s="78"/>
      <c r="AY30" s="180"/>
      <c r="AZ30" s="180"/>
      <c r="BA30" s="180"/>
      <c r="BB30" s="180"/>
      <c r="BC30" s="180"/>
      <c r="BD30" s="180"/>
      <c r="BE30" s="180"/>
      <c r="BF30" s="180"/>
      <c r="BG30" s="180"/>
      <c r="BH30" s="180"/>
      <c r="BI30" s="180"/>
      <c r="BJ30" s="180"/>
      <c r="BK30" s="180"/>
      <c r="BL30" s="180"/>
      <c r="BM30" s="180"/>
      <c r="BN30" s="180"/>
      <c r="BO30" s="180"/>
      <c r="BP30" s="180"/>
      <c r="BQ30" s="180"/>
      <c r="BR30" s="180"/>
      <c r="BS30" s="180"/>
      <c r="BT30" s="180"/>
      <c r="BU30" s="180"/>
      <c r="BV30" s="180"/>
      <c r="BW30" s="180"/>
      <c r="BX30" s="180"/>
      <c r="BY30" s="180"/>
      <c r="BZ30" s="180"/>
      <c r="CA30" s="180"/>
      <c r="CB30" s="180"/>
      <c r="CC30" s="180"/>
      <c r="CD30" s="180"/>
      <c r="CE30" s="180"/>
      <c r="CF30" s="180"/>
      <c r="CG30" s="180"/>
      <c r="CH30" s="180"/>
      <c r="CI30" s="180"/>
      <c r="CJ30" s="180"/>
      <c r="CK30" s="180"/>
      <c r="CL30" s="180"/>
      <c r="CM30" s="180"/>
      <c r="CN30" s="180"/>
      <c r="CO30" s="180"/>
      <c r="CP30" s="180"/>
      <c r="CQ30" s="180"/>
      <c r="CR30" s="180"/>
      <c r="CS30" s="180"/>
      <c r="CT30" s="180"/>
      <c r="CU30" s="180"/>
      <c r="CV30" s="180"/>
      <c r="CW30" s="180"/>
      <c r="CX30" s="180"/>
      <c r="CY30" s="180"/>
      <c r="CZ30" s="180"/>
      <c r="DA30" s="180"/>
      <c r="DB30" s="180"/>
      <c r="DC30" s="180"/>
      <c r="DD30" s="180"/>
      <c r="DE30" s="180"/>
      <c r="DF30" s="180"/>
    </row>
    <row r="31" spans="1:112" ht="12" outlineLevel="1" thickBot="1" x14ac:dyDescent="0.25">
      <c r="A31" s="77"/>
      <c r="B31" s="862" t="s">
        <v>160</v>
      </c>
      <c r="C31" s="863"/>
      <c r="D31" s="863"/>
      <c r="E31" s="864"/>
      <c r="F31" s="864"/>
      <c r="G31" s="864"/>
      <c r="H31" s="864"/>
      <c r="I31" s="864"/>
      <c r="J31" s="864"/>
      <c r="K31" s="864"/>
      <c r="L31" s="864"/>
      <c r="M31" s="864"/>
      <c r="N31" s="864"/>
      <c r="O31" s="864"/>
      <c r="P31" s="864"/>
      <c r="Q31" s="864"/>
      <c r="R31" s="864"/>
      <c r="S31" s="864"/>
      <c r="T31" s="864"/>
      <c r="U31" s="864"/>
      <c r="V31" s="864"/>
      <c r="W31" s="864"/>
      <c r="X31" s="864"/>
      <c r="Y31" s="864"/>
      <c r="Z31" s="864"/>
      <c r="AA31" s="864"/>
      <c r="AB31" s="864"/>
      <c r="AC31" s="864"/>
      <c r="AD31" s="864"/>
      <c r="AE31" s="864"/>
      <c r="AF31" s="864"/>
      <c r="AG31" s="864"/>
      <c r="AH31" s="864"/>
      <c r="AI31" s="864"/>
      <c r="AJ31" s="864"/>
      <c r="AK31" s="864"/>
      <c r="AL31" s="864"/>
      <c r="AM31" s="864"/>
      <c r="AN31" s="864"/>
      <c r="AO31" s="864"/>
      <c r="AP31" s="864"/>
      <c r="AQ31" s="864"/>
      <c r="AR31" s="864"/>
      <c r="AS31" s="865"/>
      <c r="AT31" s="864"/>
      <c r="AU31" s="864"/>
      <c r="AV31" s="864"/>
      <c r="AW31" s="864"/>
      <c r="AX31" s="864"/>
      <c r="AY31" s="864"/>
      <c r="AZ31" s="864"/>
      <c r="BA31" s="864"/>
      <c r="BB31" s="864"/>
      <c r="BC31" s="878"/>
      <c r="BD31" s="866"/>
      <c r="BE31" s="864"/>
      <c r="BF31" s="864"/>
      <c r="BG31" s="864"/>
      <c r="BH31" s="864"/>
      <c r="BI31" s="864"/>
      <c r="BJ31" s="864"/>
      <c r="BK31" s="864"/>
      <c r="BL31" s="864"/>
      <c r="BM31" s="878"/>
      <c r="BN31" s="864"/>
      <c r="BO31" s="878"/>
      <c r="BP31" s="864"/>
      <c r="BQ31" s="864"/>
      <c r="BR31" s="864"/>
      <c r="BS31" s="864"/>
      <c r="BT31" s="864"/>
      <c r="BU31" s="864"/>
      <c r="BV31" s="864"/>
      <c r="BW31" s="864"/>
      <c r="BX31" s="864"/>
      <c r="BY31" s="864"/>
      <c r="BZ31" s="864"/>
      <c r="CA31" s="864"/>
      <c r="CB31" s="867"/>
      <c r="CC31" s="864"/>
      <c r="CD31" s="864"/>
      <c r="CE31" s="864"/>
      <c r="CF31" s="864"/>
      <c r="CG31" s="867"/>
      <c r="CH31" s="864"/>
      <c r="CI31" s="864"/>
      <c r="CJ31" s="864"/>
      <c r="CK31" s="864"/>
      <c r="CL31" s="867"/>
      <c r="CM31" s="864"/>
      <c r="CN31" s="864"/>
      <c r="CO31" s="864"/>
      <c r="CP31" s="864"/>
      <c r="CQ31" s="867"/>
      <c r="CR31" s="864"/>
      <c r="CS31" s="864"/>
      <c r="CT31" s="864"/>
      <c r="CU31" s="864"/>
      <c r="CV31" s="867"/>
      <c r="CW31" s="864"/>
      <c r="CX31" s="864"/>
      <c r="CY31" s="864"/>
      <c r="CZ31" s="864"/>
      <c r="DA31" s="867"/>
      <c r="DB31" s="864"/>
      <c r="DC31" s="864"/>
      <c r="DD31" s="864"/>
      <c r="DE31" s="864"/>
      <c r="DF31" s="867"/>
    </row>
    <row r="32" spans="1:112" outlineLevel="1" x14ac:dyDescent="0.2">
      <c r="A32" s="77"/>
      <c r="B32" s="193" t="s">
        <v>70</v>
      </c>
      <c r="C32" s="194"/>
      <c r="D32" s="194"/>
      <c r="E32" s="167"/>
      <c r="F32" s="167"/>
      <c r="G32" s="167"/>
      <c r="H32" s="167"/>
      <c r="I32" s="167"/>
      <c r="J32" s="167"/>
      <c r="K32" s="167"/>
      <c r="L32" s="167"/>
      <c r="M32" s="167"/>
      <c r="N32" s="167"/>
      <c r="O32" s="167"/>
      <c r="P32" s="167"/>
      <c r="Q32" s="167"/>
      <c r="R32" s="167"/>
      <c r="S32" s="167"/>
      <c r="T32" s="195"/>
      <c r="U32" s="167"/>
      <c r="V32" s="167"/>
      <c r="W32" s="167"/>
      <c r="X32" s="167"/>
      <c r="Y32" s="195"/>
      <c r="Z32" s="167"/>
      <c r="AA32" s="167"/>
      <c r="AB32" s="167"/>
      <c r="AC32" s="167"/>
      <c r="AD32" s="195"/>
      <c r="AE32" s="167"/>
      <c r="AF32" s="167"/>
      <c r="AG32" s="167"/>
      <c r="AH32" s="167"/>
      <c r="AI32" s="195"/>
      <c r="AJ32" s="167"/>
      <c r="AK32" s="167"/>
      <c r="AL32" s="167"/>
      <c r="AM32" s="167"/>
      <c r="AN32" s="195"/>
      <c r="AO32" s="167"/>
      <c r="AP32" s="167"/>
      <c r="AQ32" s="167"/>
      <c r="AR32" s="167"/>
      <c r="AS32" s="195"/>
      <c r="AT32" s="167"/>
      <c r="AU32" s="167"/>
      <c r="AV32" s="167"/>
      <c r="AW32" s="167"/>
      <c r="AX32" s="195"/>
      <c r="AY32" s="167"/>
      <c r="AZ32" s="167"/>
      <c r="BA32" s="167"/>
      <c r="BB32" s="167"/>
      <c r="BC32" s="195"/>
      <c r="BD32" s="167"/>
      <c r="BE32" s="167"/>
      <c r="BF32" s="167"/>
      <c r="BG32" s="167"/>
      <c r="BH32" s="195"/>
      <c r="BI32" s="167"/>
      <c r="BJ32" s="167"/>
      <c r="BK32" s="167"/>
      <c r="BL32" s="167"/>
      <c r="BM32" s="195"/>
      <c r="BN32" s="167"/>
      <c r="BO32" s="167"/>
      <c r="BP32" s="167"/>
      <c r="BQ32" s="167"/>
      <c r="BR32" s="195"/>
      <c r="BS32" s="167"/>
      <c r="BT32" s="167"/>
      <c r="BU32" s="167"/>
      <c r="BV32" s="167"/>
      <c r="BW32" s="195"/>
      <c r="BX32" s="167"/>
      <c r="BY32" s="167"/>
      <c r="BZ32" s="167"/>
      <c r="CA32" s="167"/>
      <c r="CB32" s="195"/>
      <c r="CC32" s="167"/>
      <c r="CD32" s="167"/>
      <c r="CE32" s="167"/>
      <c r="CF32" s="167"/>
      <c r="CG32" s="195"/>
      <c r="CH32" s="167"/>
      <c r="CI32" s="167"/>
      <c r="CJ32" s="167"/>
      <c r="CK32" s="167"/>
      <c r="CL32" s="1928"/>
      <c r="CM32" s="167"/>
      <c r="CN32" s="167"/>
      <c r="CO32" s="167"/>
      <c r="CP32" s="167"/>
      <c r="CQ32" s="195"/>
      <c r="CR32" s="167"/>
      <c r="CS32" s="167"/>
      <c r="CT32" s="167"/>
      <c r="CU32" s="167"/>
      <c r="CV32" s="195"/>
      <c r="CW32" s="167"/>
      <c r="CX32" s="167"/>
      <c r="CY32" s="167"/>
      <c r="CZ32" s="167"/>
      <c r="DA32" s="195"/>
      <c r="DB32" s="167"/>
      <c r="DC32" s="167"/>
      <c r="DD32" s="167"/>
      <c r="DE32" s="167"/>
      <c r="DF32" s="195"/>
    </row>
    <row r="33" spans="1:110" outlineLevel="1" x14ac:dyDescent="0.2">
      <c r="A33" s="77"/>
      <c r="B33" s="169" t="s">
        <v>255</v>
      </c>
      <c r="C33" s="192"/>
      <c r="D33" s="192"/>
      <c r="E33" s="78"/>
      <c r="F33" s="78"/>
      <c r="G33" s="78"/>
      <c r="H33" s="78"/>
      <c r="I33" s="78"/>
      <c r="J33" s="67">
        <v>0.43525229861668824</v>
      </c>
      <c r="K33" s="67">
        <v>0.60729676403758037</v>
      </c>
      <c r="L33" s="67">
        <v>0.85629105930015537</v>
      </c>
      <c r="M33" s="67">
        <v>0.68221035347534142</v>
      </c>
      <c r="N33" s="67">
        <v>-0.12381231650255908</v>
      </c>
      <c r="O33" s="67">
        <v>0.4077485938466332</v>
      </c>
      <c r="P33" s="67">
        <v>0.21216928872147145</v>
      </c>
      <c r="Q33" s="67">
        <v>-1.4327762162828495E-2</v>
      </c>
      <c r="R33" s="67">
        <v>-6.0488820449435488E-2</v>
      </c>
      <c r="S33" s="66">
        <v>0.21443365836625694</v>
      </c>
      <c r="T33" s="136">
        <v>7.3879129004052801E-2</v>
      </c>
      <c r="U33" s="66">
        <v>6.8113268939698601E-2</v>
      </c>
      <c r="V33" s="66">
        <v>2.6989407856776504E-2</v>
      </c>
      <c r="W33" s="66">
        <v>3.7118504011945719E-2</v>
      </c>
      <c r="X33" s="66">
        <v>2.4349665981280966E-2</v>
      </c>
      <c r="Y33" s="136">
        <v>3.8729666924864459E-2</v>
      </c>
      <c r="Z33" s="66">
        <v>-1.5126297783638276E-2</v>
      </c>
      <c r="AA33" s="66">
        <v>-1.7491616909239505E-2</v>
      </c>
      <c r="AB33" s="66">
        <v>-3.3293765686527976E-2</v>
      </c>
      <c r="AC33" s="66">
        <v>-2.6344502469536901E-2</v>
      </c>
      <c r="AD33" s="136">
        <v>-2.3010546500479401E-2</v>
      </c>
      <c r="AE33" s="66">
        <v>-4.5527607628480737E-2</v>
      </c>
      <c r="AF33" s="66">
        <v>-5.3612150940148817E-2</v>
      </c>
      <c r="AG33" s="66">
        <v>-2.161304938830988E-2</v>
      </c>
      <c r="AH33" s="66">
        <v>-1.0650128314799168E-2</v>
      </c>
      <c r="AI33" s="136">
        <v>-3.2929887689455928E-2</v>
      </c>
      <c r="AJ33" s="66">
        <f t="shared" ref="AJ33:CE33" si="36">AJ12/AE12-1</f>
        <v>0.48727868554002995</v>
      </c>
      <c r="AK33" s="66">
        <f t="shared" si="36"/>
        <v>0.48706524210047752</v>
      </c>
      <c r="AL33" s="66">
        <f t="shared" si="36"/>
        <v>0.47473718334645487</v>
      </c>
      <c r="AM33" s="66">
        <f t="shared" si="36"/>
        <v>0.42682979551251576</v>
      </c>
      <c r="AN33" s="136">
        <f t="shared" si="36"/>
        <v>0.46840681023790731</v>
      </c>
      <c r="AO33" s="66">
        <f t="shared" si="36"/>
        <v>3.3050769654496825E-3</v>
      </c>
      <c r="AP33" s="66">
        <f t="shared" si="36"/>
        <v>8.6828910358320854E-3</v>
      </c>
      <c r="AQ33" s="66">
        <f t="shared" si="36"/>
        <v>-9.7349579198591218E-4</v>
      </c>
      <c r="AR33" s="66">
        <f t="shared" si="36"/>
        <v>-5.9083747424554245E-3</v>
      </c>
      <c r="AS33" s="136">
        <f t="shared" si="36"/>
        <v>1.2746385324764464E-3</v>
      </c>
      <c r="AT33" s="66">
        <f t="shared" si="36"/>
        <v>-8.5099893243861802E-3</v>
      </c>
      <c r="AU33" s="66">
        <f t="shared" si="36"/>
        <v>-2.0095780795344242E-2</v>
      </c>
      <c r="AV33" s="66">
        <f t="shared" si="36"/>
        <v>3.3791217426837994E-2</v>
      </c>
      <c r="AW33" s="66">
        <f t="shared" si="36"/>
        <v>0.60159955336550319</v>
      </c>
      <c r="AX33" s="136">
        <f t="shared" si="36"/>
        <v>0.15238521573301012</v>
      </c>
      <c r="AY33" s="66">
        <f t="shared" si="36"/>
        <v>1.3209757964408539</v>
      </c>
      <c r="AZ33" s="66">
        <f t="shared" si="36"/>
        <v>1.3475474370589446</v>
      </c>
      <c r="BA33" s="66">
        <f t="shared" si="36"/>
        <v>1.2847129420793721</v>
      </c>
      <c r="BB33" s="66">
        <f t="shared" si="36"/>
        <v>0.4402118566200135</v>
      </c>
      <c r="BC33" s="136">
        <f t="shared" si="36"/>
        <v>1.0107674227196508</v>
      </c>
      <c r="BD33" s="66">
        <f t="shared" si="36"/>
        <v>-3.4912554609712876E-2</v>
      </c>
      <c r="BE33" s="66">
        <f t="shared" si="36"/>
        <v>-2.3364496522410905E-2</v>
      </c>
      <c r="BF33" s="66">
        <f t="shared" si="36"/>
        <v>1.3308554714042131E-5</v>
      </c>
      <c r="BG33" s="66">
        <f t="shared" si="36"/>
        <v>4.6073478348511498E-2</v>
      </c>
      <c r="BH33" s="136">
        <f t="shared" si="36"/>
        <v>-3.042925820958664E-3</v>
      </c>
      <c r="BI33" s="66">
        <f t="shared" si="36"/>
        <v>5.8465927212824065E-2</v>
      </c>
      <c r="BJ33" s="66">
        <f t="shared" si="36"/>
        <v>1.2743818856619291</v>
      </c>
      <c r="BK33" s="66">
        <f t="shared" si="36"/>
        <v>1.17791119288131</v>
      </c>
      <c r="BL33" s="66">
        <f t="shared" si="36"/>
        <v>1.1383155022692888</v>
      </c>
      <c r="BM33" s="136">
        <f t="shared" si="36"/>
        <v>0.92066377195611193</v>
      </c>
      <c r="BN33" s="66">
        <f t="shared" si="36"/>
        <v>1.0917540627511872</v>
      </c>
      <c r="BO33" s="66">
        <f t="shared" si="36"/>
        <v>-3.3284169485088388E-2</v>
      </c>
      <c r="BP33" s="66">
        <f t="shared" si="36"/>
        <v>-5.8331934273637254E-2</v>
      </c>
      <c r="BQ33" s="66">
        <f t="shared" si="36"/>
        <v>-8.9298794146645322E-2</v>
      </c>
      <c r="BR33" s="136">
        <f t="shared" si="36"/>
        <v>9.3101507993043953E-2</v>
      </c>
      <c r="BS33" s="66">
        <f t="shared" si="36"/>
        <v>-0.13556965745231819</v>
      </c>
      <c r="BT33" s="66">
        <f t="shared" si="36"/>
        <v>-0.10239456175417017</v>
      </c>
      <c r="BU33" s="66">
        <f t="shared" si="36"/>
        <v>-4.3172244554700145E-2</v>
      </c>
      <c r="BV33" s="66">
        <f t="shared" si="36"/>
        <v>-1.0724879536805898E-2</v>
      </c>
      <c r="BW33" s="136">
        <f t="shared" si="36"/>
        <v>-7.4075161138984602E-2</v>
      </c>
      <c r="BX33" s="66">
        <f t="shared" si="36"/>
        <v>2.3386290984965585E-2</v>
      </c>
      <c r="BY33" s="66">
        <f t="shared" si="36"/>
        <v>-2.2682668466582068E-2</v>
      </c>
      <c r="BZ33" s="66">
        <f t="shared" si="36"/>
        <v>-6.636821171776186E-2</v>
      </c>
      <c r="CA33" s="66">
        <f t="shared" si="36"/>
        <v>-6.7240507951176198E-2</v>
      </c>
      <c r="CB33" s="136">
        <f t="shared" si="36"/>
        <v>-3.4324031401156807E-2</v>
      </c>
      <c r="CC33" s="66">
        <f t="shared" si="36"/>
        <v>-8.6451178249867144E-2</v>
      </c>
      <c r="CD33" s="66">
        <f t="shared" si="36"/>
        <v>-8.1652637539225137E-2</v>
      </c>
      <c r="CE33" s="66">
        <f t="shared" si="36"/>
        <v>-5.2375654136654792E-2</v>
      </c>
      <c r="CF33" s="66">
        <f t="shared" ref="CF33:CL33" si="37">CF12/CA12-1</f>
        <v>-0.13099968588204658</v>
      </c>
      <c r="CG33" s="136">
        <f t="shared" si="37"/>
        <v>-8.8149295684739171E-2</v>
      </c>
      <c r="CH33" s="66">
        <f t="shared" si="37"/>
        <v>-4.4297571488387644E-2</v>
      </c>
      <c r="CI33" s="66">
        <f t="shared" si="37"/>
        <v>-5.2647080944492441E-2</v>
      </c>
      <c r="CJ33" s="66">
        <f t="shared" si="37"/>
        <v>-6.2680939609621511E-2</v>
      </c>
      <c r="CK33" s="66">
        <f t="shared" si="37"/>
        <v>1.0378625146596043E-2</v>
      </c>
      <c r="CL33" s="136">
        <f t="shared" si="37"/>
        <v>-3.7966313060571633E-2</v>
      </c>
      <c r="CM33" s="66">
        <f t="shared" ref="CM33:CV33" si="38">CM12/CH12-1</f>
        <v>-9.1946249279520886E-3</v>
      </c>
      <c r="CN33" s="66">
        <f t="shared" si="38"/>
        <v>-9.2663470772349488E-3</v>
      </c>
      <c r="CO33" s="66">
        <f t="shared" si="38"/>
        <v>2.4466482596669614E-2</v>
      </c>
      <c r="CP33" s="66">
        <f t="shared" si="38"/>
        <v>2.4699667308940132E-2</v>
      </c>
      <c r="CQ33" s="136">
        <f t="shared" si="38"/>
        <v>7.618676595268381E-3</v>
      </c>
      <c r="CR33" s="66">
        <f t="shared" si="38"/>
        <v>5.9258169356646739E-2</v>
      </c>
      <c r="CS33" s="66">
        <f t="shared" si="38"/>
        <v>5.9499594692911995E-2</v>
      </c>
      <c r="CT33" s="66">
        <f t="shared" si="38"/>
        <v>6.1653185261791421E-2</v>
      </c>
      <c r="CU33" s="66">
        <f t="shared" si="38"/>
        <v>6.0394054892335181E-2</v>
      </c>
      <c r="CV33" s="136">
        <f t="shared" si="38"/>
        <v>6.0208757217392384E-2</v>
      </c>
      <c r="CW33" s="66">
        <f t="shared" ref="CW33" si="39">CW12/CR12-1</f>
        <v>-5.6277095515613995E-2</v>
      </c>
      <c r="CX33" s="66">
        <f t="shared" ref="CX33" si="40">CX12/CS12-1</f>
        <v>-5.6063413453524613E-2</v>
      </c>
      <c r="CY33" s="66">
        <f t="shared" ref="CY33" si="41">CY12/CT12-1</f>
        <v>-5.4937072716223834E-2</v>
      </c>
      <c r="CZ33" s="66">
        <f t="shared" ref="CZ33" si="42">CZ12/CU12-1</f>
        <v>-5.6014011142142439E-2</v>
      </c>
      <c r="DA33" s="136">
        <f t="shared" ref="DA33" si="43">DA12/CV12-1</f>
        <v>-5.582079237289661E-2</v>
      </c>
      <c r="DB33" s="66">
        <f t="shared" ref="DB33" si="44">DB12/CW12-1</f>
        <v>-5.1635253795393243E-2</v>
      </c>
      <c r="DC33" s="66">
        <f t="shared" ref="DC33" si="45">DC12/CX12-1</f>
        <v>-5.1421180980029235E-2</v>
      </c>
      <c r="DD33" s="66">
        <f t="shared" ref="DD33" si="46">DD12/CY12-1</f>
        <v>-5.0104197624252889E-2</v>
      </c>
      <c r="DE33" s="66">
        <f t="shared" ref="DE33" si="47">DE12/CZ12-1</f>
        <v>-5.1189546005597886E-2</v>
      </c>
      <c r="DF33" s="136">
        <f t="shared" ref="DF33" si="48">DF12/DA12-1</f>
        <v>-5.1083821344642621E-2</v>
      </c>
    </row>
    <row r="34" spans="1:110" outlineLevel="1" x14ac:dyDescent="0.2">
      <c r="A34" s="77"/>
      <c r="B34" s="169"/>
      <c r="C34" s="192"/>
      <c r="D34" s="192"/>
      <c r="E34" s="78"/>
      <c r="F34" s="78"/>
      <c r="G34" s="78"/>
      <c r="H34" s="78"/>
      <c r="I34" s="78"/>
      <c r="J34" s="67"/>
      <c r="K34" s="67"/>
      <c r="L34" s="67"/>
      <c r="M34" s="67"/>
      <c r="N34" s="67"/>
      <c r="O34" s="67"/>
      <c r="P34" s="67"/>
      <c r="Q34" s="67"/>
      <c r="R34" s="67"/>
      <c r="S34" s="66"/>
      <c r="T34" s="136"/>
      <c r="U34" s="66"/>
      <c r="V34" s="66"/>
      <c r="W34" s="66"/>
      <c r="X34" s="66"/>
      <c r="Y34" s="136"/>
      <c r="Z34" s="66"/>
      <c r="AA34" s="66"/>
      <c r="AB34" s="66"/>
      <c r="AC34" s="66"/>
      <c r="AD34" s="136"/>
      <c r="AE34" s="66"/>
      <c r="AF34" s="66"/>
      <c r="AG34" s="66"/>
      <c r="AH34" s="66"/>
      <c r="AI34" s="136"/>
      <c r="AJ34" s="66"/>
      <c r="AK34" s="66"/>
      <c r="AL34" s="66"/>
      <c r="AM34" s="66"/>
      <c r="AN34" s="136"/>
      <c r="AO34" s="66"/>
      <c r="AP34" s="66"/>
      <c r="AQ34" s="66"/>
      <c r="AR34" s="66"/>
      <c r="AS34" s="136"/>
      <c r="AT34" s="66"/>
      <c r="AU34" s="66"/>
      <c r="AV34" s="66"/>
      <c r="AW34" s="66"/>
      <c r="AX34" s="136"/>
      <c r="AY34" s="66"/>
      <c r="AZ34" s="66"/>
      <c r="BA34" s="66"/>
      <c r="BB34" s="66"/>
      <c r="BC34" s="136"/>
      <c r="BD34" s="66"/>
      <c r="BE34" s="66"/>
      <c r="BF34" s="66"/>
      <c r="BG34" s="66"/>
      <c r="BH34" s="136"/>
      <c r="BI34" s="66"/>
      <c r="BJ34" s="66"/>
      <c r="BK34" s="66"/>
      <c r="BL34" s="66"/>
      <c r="BM34" s="136"/>
      <c r="BN34" s="66"/>
      <c r="BO34" s="66"/>
      <c r="BP34" s="66"/>
      <c r="BQ34" s="66"/>
      <c r="BR34" s="136"/>
      <c r="BS34" s="66"/>
      <c r="BT34" s="66"/>
      <c r="BU34" s="66"/>
      <c r="BV34" s="66"/>
      <c r="BW34" s="136"/>
      <c r="BX34" s="66"/>
      <c r="BY34" s="66"/>
      <c r="BZ34" s="66"/>
      <c r="CA34" s="66"/>
      <c r="CB34" s="136"/>
      <c r="CC34" s="66"/>
      <c r="CD34" s="66"/>
      <c r="CE34" s="66"/>
      <c r="CF34" s="66"/>
      <c r="CG34" s="136"/>
      <c r="CH34" s="66"/>
      <c r="CI34" s="66"/>
      <c r="CJ34" s="66"/>
      <c r="CK34" s="66"/>
      <c r="CL34" s="136"/>
      <c r="CM34" s="66"/>
      <c r="CN34" s="66"/>
      <c r="CO34" s="66"/>
      <c r="CP34" s="66"/>
      <c r="CQ34" s="136"/>
      <c r="CR34" s="66"/>
      <c r="CS34" s="66"/>
      <c r="CT34" s="66"/>
      <c r="CU34" s="66"/>
      <c r="CV34" s="136"/>
      <c r="CW34" s="66"/>
      <c r="CX34" s="66"/>
      <c r="CY34" s="66"/>
      <c r="CZ34" s="66"/>
      <c r="DA34" s="136"/>
      <c r="DB34" s="66"/>
      <c r="DC34" s="66"/>
      <c r="DD34" s="66"/>
      <c r="DE34" s="66"/>
      <c r="DF34" s="136"/>
    </row>
    <row r="35" spans="1:110" outlineLevel="1" x14ac:dyDescent="0.2">
      <c r="A35" s="77"/>
      <c r="B35" s="176" t="s">
        <v>301</v>
      </c>
      <c r="C35" s="192"/>
      <c r="D35" s="192"/>
      <c r="E35" s="78"/>
      <c r="F35" s="78"/>
      <c r="G35" s="78"/>
      <c r="H35" s="78"/>
      <c r="I35" s="78"/>
      <c r="J35" s="67"/>
      <c r="K35" s="67"/>
      <c r="L35" s="67"/>
      <c r="M35" s="67"/>
      <c r="N35" s="67"/>
      <c r="O35" s="67"/>
      <c r="P35" s="67"/>
      <c r="Q35" s="67"/>
      <c r="R35" s="67"/>
      <c r="S35" s="66"/>
      <c r="T35" s="136"/>
      <c r="U35" s="66"/>
      <c r="V35" s="66"/>
      <c r="W35" s="66"/>
      <c r="X35" s="66"/>
      <c r="Y35" s="136"/>
      <c r="Z35" s="66"/>
      <c r="AA35" s="66"/>
      <c r="AB35" s="66"/>
      <c r="AC35" s="66"/>
      <c r="AD35" s="136"/>
      <c r="AE35" s="66"/>
      <c r="AF35" s="66"/>
      <c r="AG35" s="66"/>
      <c r="AH35" s="66"/>
      <c r="AI35" s="136"/>
      <c r="AJ35" s="66"/>
      <c r="AK35" s="66"/>
      <c r="AL35" s="66"/>
      <c r="AM35" s="66"/>
      <c r="AN35" s="136"/>
      <c r="AO35" s="66"/>
      <c r="AP35" s="66"/>
      <c r="AQ35" s="66"/>
      <c r="AR35" s="66"/>
      <c r="AS35" s="136"/>
      <c r="AT35" s="66">
        <f t="shared" ref="AT35:BY35" ca="1" si="49">AT14/AO14-1</f>
        <v>-6.7157523069450997E-2</v>
      </c>
      <c r="AU35" s="66">
        <f t="shared" ca="1" si="49"/>
        <v>-5.7323787305930685E-3</v>
      </c>
      <c r="AV35" s="66">
        <f t="shared" ca="1" si="49"/>
        <v>-2.4362475083056445E-2</v>
      </c>
      <c r="AW35" s="66">
        <f t="shared" ca="1" si="49"/>
        <v>0.40308524503529597</v>
      </c>
      <c r="AX35" s="136">
        <f t="shared" ca="1" si="49"/>
        <v>7.6705027599118791E-2</v>
      </c>
      <c r="AY35" s="66">
        <f t="shared" ca="1" si="49"/>
        <v>0.88774327917489804</v>
      </c>
      <c r="AZ35" s="66">
        <f t="shared" ca="1" si="49"/>
        <v>0.77967430718519415</v>
      </c>
      <c r="BA35" s="66">
        <f t="shared" ca="1" si="49"/>
        <v>0.78016222702651628</v>
      </c>
      <c r="BB35" s="66">
        <f t="shared" ca="1" si="49"/>
        <v>0.2597528626966219</v>
      </c>
      <c r="BC35" s="136">
        <f t="shared" ca="1" si="49"/>
        <v>0.6333252524408679</v>
      </c>
      <c r="BD35" s="66">
        <f t="shared" ca="1" si="49"/>
        <v>2.7757594754244996E-2</v>
      </c>
      <c r="BE35" s="66">
        <f t="shared" ca="1" si="49"/>
        <v>3.9670984627300454E-2</v>
      </c>
      <c r="BF35" s="66">
        <f t="shared" ca="1" si="49"/>
        <v>7.9886702537569798E-2</v>
      </c>
      <c r="BG35" s="66">
        <f t="shared" ca="1" si="49"/>
        <v>0.12495837941368015</v>
      </c>
      <c r="BH35" s="136">
        <f t="shared" ca="1" si="49"/>
        <v>6.8237318353889576E-2</v>
      </c>
      <c r="BI35" s="66">
        <f t="shared" ca="1" si="49"/>
        <v>0.15449307418752523</v>
      </c>
      <c r="BJ35" s="66">
        <f t="shared" ca="1" si="49"/>
        <v>1.9304257427713734</v>
      </c>
      <c r="BK35" s="66">
        <f t="shared" ca="1" si="49"/>
        <v>1.6862882724587793</v>
      </c>
      <c r="BL35" s="66">
        <f t="shared" ca="1" si="49"/>
        <v>1.5706275447009101</v>
      </c>
      <c r="BM35" s="136">
        <f t="shared" ca="1" si="49"/>
        <v>1.3500091927265845</v>
      </c>
      <c r="BN35" s="66">
        <f t="shared" ca="1" si="49"/>
        <v>1.3240605308795805</v>
      </c>
      <c r="BO35" s="66">
        <f t="shared" ca="1" si="49"/>
        <v>-0.11134836403234472</v>
      </c>
      <c r="BP35" s="66">
        <f t="shared" ca="1" si="49"/>
        <v>-2.4245040688089969E-2</v>
      </c>
      <c r="BQ35" s="66">
        <f t="shared" ca="1" si="49"/>
        <v>-6.1016237833681708E-2</v>
      </c>
      <c r="BR35" s="136">
        <f t="shared" ca="1" si="49"/>
        <v>9.626952247505538E-2</v>
      </c>
      <c r="BS35" s="66">
        <f t="shared" ca="1" si="49"/>
        <v>-0.1130426389641177</v>
      </c>
      <c r="BT35" s="66">
        <f t="shared" ca="1" si="49"/>
        <v>-3.5485372108332247E-2</v>
      </c>
      <c r="BU35" s="66">
        <f t="shared" ca="1" si="49"/>
        <v>-1.6500912266521062E-2</v>
      </c>
      <c r="BV35" s="66">
        <f t="shared" ca="1" si="49"/>
        <v>1.0072226085124036E-2</v>
      </c>
      <c r="BW35" s="136">
        <f t="shared" ca="1" si="49"/>
        <v>-3.7443707302090012E-2</v>
      </c>
      <c r="BX35" s="66">
        <f t="shared" ca="1" si="49"/>
        <v>-4.1912189891941676E-3</v>
      </c>
      <c r="BY35" s="66">
        <f t="shared" ca="1" si="49"/>
        <v>-4.4603083636152285E-2</v>
      </c>
      <c r="BZ35" s="66">
        <f t="shared" ref="BZ35:DE35" ca="1" si="50">BZ14/BU14-1</f>
        <v>-8.9996404566437982E-2</v>
      </c>
      <c r="CA35" s="66">
        <f t="shared" ca="1" si="50"/>
        <v>8.3671433677139362E-3</v>
      </c>
      <c r="CB35" s="136">
        <f t="shared" ca="1" si="50"/>
        <v>-3.4366864126346486E-2</v>
      </c>
      <c r="CC35" s="66">
        <f t="shared" ca="1" si="50"/>
        <v>7.2221738542479486E-2</v>
      </c>
      <c r="CD35" s="66">
        <f t="shared" ca="1" si="50"/>
        <v>5.094484653693776E-3</v>
      </c>
      <c r="CE35" s="66">
        <f t="shared" ca="1" si="50"/>
        <v>-6.640506722896955E-3</v>
      </c>
      <c r="CF35" s="66">
        <f t="shared" ca="1" si="50"/>
        <v>-4.7459739386767508E-2</v>
      </c>
      <c r="CG35" s="136">
        <f t="shared" ca="1" si="50"/>
        <v>3.7264102272187571E-3</v>
      </c>
      <c r="CH35" s="66">
        <f t="shared" ca="1" si="50"/>
        <v>-9.6280154086356151E-2</v>
      </c>
      <c r="CI35" s="66">
        <f t="shared" ca="1" si="50"/>
        <v>-4.6197540179732766E-2</v>
      </c>
      <c r="CJ35" s="66">
        <f t="shared" ca="1" si="50"/>
        <v>-0.16513617384891499</v>
      </c>
      <c r="CK35" s="66">
        <f t="shared" ca="1" si="50"/>
        <v>-0.14536182769813155</v>
      </c>
      <c r="CL35" s="136">
        <f t="shared" ca="1" si="50"/>
        <v>-0.11357559405997208</v>
      </c>
      <c r="CM35" s="66">
        <f t="shared" ca="1" si="50"/>
        <v>-0.11476969859956188</v>
      </c>
      <c r="CN35" s="66">
        <f t="shared" ca="1" si="50"/>
        <v>-0.12150503782131206</v>
      </c>
      <c r="CO35" s="66">
        <f t="shared" ca="1" si="50"/>
        <v>-9.7595934606010681E-2</v>
      </c>
      <c r="CP35" s="66">
        <f t="shared" ca="1" si="50"/>
        <v>-9.3794259369641031E-2</v>
      </c>
      <c r="CQ35" s="136">
        <f t="shared" ca="1" si="50"/>
        <v>-0.10735685150494045</v>
      </c>
      <c r="CR35" s="66">
        <f t="shared" ca="1" si="50"/>
        <v>-4.9432025711024785E-2</v>
      </c>
      <c r="CS35" s="66">
        <f t="shared" ca="1" si="50"/>
        <v>-2.4235083457234019E-2</v>
      </c>
      <c r="CT35" s="66">
        <f t="shared" ca="1" si="50"/>
        <v>-2.777769885418313E-2</v>
      </c>
      <c r="CU35" s="66">
        <f t="shared" ca="1" si="50"/>
        <v>-1.7552885068109481E-2</v>
      </c>
      <c r="CV35" s="136">
        <f t="shared" ca="1" si="50"/>
        <v>-2.9793399103980267E-2</v>
      </c>
      <c r="CW35" s="66">
        <f t="shared" ca="1" si="50"/>
        <v>-0.13606153226766482</v>
      </c>
      <c r="CX35" s="66">
        <f t="shared" ca="1" si="50"/>
        <v>-0.1365364933066604</v>
      </c>
      <c r="CY35" s="66">
        <f t="shared" ca="1" si="50"/>
        <v>-0.1395733319669884</v>
      </c>
      <c r="CZ35" s="66">
        <f t="shared" ca="1" si="50"/>
        <v>-0.13870450921094324</v>
      </c>
      <c r="DA35" s="136">
        <f t="shared" ca="1" si="50"/>
        <v>-0.13768291522182119</v>
      </c>
      <c r="DB35" s="66">
        <f t="shared" ca="1" si="50"/>
        <v>-0.13998079661825269</v>
      </c>
      <c r="DC35" s="66">
        <f t="shared" ca="1" si="50"/>
        <v>-0.14053984630427929</v>
      </c>
      <c r="DD35" s="66">
        <f t="shared" ca="1" si="50"/>
        <v>-0.14430770708215646</v>
      </c>
      <c r="DE35" s="66">
        <f t="shared" ca="1" si="50"/>
        <v>-0.14321507614108375</v>
      </c>
      <c r="DF35" s="136">
        <f t="shared" ref="DF35" ca="1" si="51">DF14/DA14-1</f>
        <v>-0.14196302433407404</v>
      </c>
    </row>
    <row r="36" spans="1:110" outlineLevel="1" x14ac:dyDescent="0.2">
      <c r="A36" s="77"/>
      <c r="B36" s="176"/>
      <c r="C36" s="192"/>
      <c r="D36" s="192"/>
      <c r="E36" s="78"/>
      <c r="F36" s="78"/>
      <c r="G36" s="78"/>
      <c r="H36" s="78"/>
      <c r="I36" s="78"/>
      <c r="J36" s="67"/>
      <c r="K36" s="67"/>
      <c r="L36" s="67"/>
      <c r="M36" s="67"/>
      <c r="N36" s="67"/>
      <c r="O36" s="67"/>
      <c r="P36" s="67"/>
      <c r="Q36" s="67"/>
      <c r="R36" s="67"/>
      <c r="S36" s="66"/>
      <c r="T36" s="136"/>
      <c r="U36" s="66"/>
      <c r="V36" s="66"/>
      <c r="W36" s="66"/>
      <c r="X36" s="66"/>
      <c r="Y36" s="136"/>
      <c r="Z36" s="66"/>
      <c r="AA36" s="66"/>
      <c r="AB36" s="66"/>
      <c r="AC36" s="66"/>
      <c r="AD36" s="136"/>
      <c r="AE36" s="66"/>
      <c r="AF36" s="66"/>
      <c r="AG36" s="66"/>
      <c r="AH36" s="66"/>
      <c r="AI36" s="136"/>
      <c r="AJ36" s="66"/>
      <c r="AK36" s="66"/>
      <c r="AL36" s="66"/>
      <c r="AM36" s="66"/>
      <c r="AN36" s="136"/>
      <c r="AO36" s="66"/>
      <c r="AP36" s="66"/>
      <c r="AQ36" s="66"/>
      <c r="AR36" s="66"/>
      <c r="AS36" s="136"/>
      <c r="AT36" s="66"/>
      <c r="AU36" s="66"/>
      <c r="AV36" s="66"/>
      <c r="AW36" s="66"/>
      <c r="AX36" s="136"/>
      <c r="AY36" s="66"/>
      <c r="AZ36" s="66"/>
      <c r="BA36" s="66"/>
      <c r="BB36" s="66"/>
      <c r="BC36" s="136"/>
      <c r="BD36" s="66"/>
      <c r="BE36" s="66"/>
      <c r="BF36" s="66"/>
      <c r="BG36" s="66"/>
      <c r="BH36" s="136"/>
      <c r="BI36" s="66"/>
      <c r="BJ36" s="66"/>
      <c r="BK36" s="66"/>
      <c r="BL36" s="66"/>
      <c r="BM36" s="136"/>
      <c r="BN36" s="66"/>
      <c r="BO36" s="66"/>
      <c r="BP36" s="66"/>
      <c r="BQ36" s="66"/>
      <c r="BR36" s="136"/>
      <c r="BS36" s="66"/>
      <c r="BT36" s="66"/>
      <c r="BU36" s="66"/>
      <c r="BV36" s="66"/>
      <c r="BW36" s="136"/>
      <c r="BX36" s="66"/>
      <c r="BY36" s="66"/>
      <c r="BZ36" s="66"/>
      <c r="CA36" s="66"/>
      <c r="CB36" s="136"/>
      <c r="CC36" s="66"/>
      <c r="CD36" s="66"/>
      <c r="CE36" s="66"/>
      <c r="CF36" s="66"/>
      <c r="CG36" s="136"/>
      <c r="CH36" s="66"/>
      <c r="CI36" s="66"/>
      <c r="CJ36" s="66"/>
      <c r="CK36" s="66"/>
      <c r="CL36" s="136"/>
      <c r="CM36" s="66"/>
      <c r="CN36" s="66"/>
      <c r="CO36" s="66"/>
      <c r="CP36" s="66"/>
      <c r="CQ36" s="136"/>
      <c r="CR36" s="66"/>
      <c r="CS36" s="66"/>
      <c r="CT36" s="66"/>
      <c r="CU36" s="66"/>
      <c r="CV36" s="136"/>
      <c r="CW36" s="66"/>
      <c r="CX36" s="66"/>
      <c r="CY36" s="66"/>
      <c r="CZ36" s="66"/>
      <c r="DA36" s="136"/>
      <c r="DB36" s="66"/>
      <c r="DC36" s="66"/>
      <c r="DD36" s="66"/>
      <c r="DE36" s="66"/>
      <c r="DF36" s="136"/>
    </row>
    <row r="37" spans="1:110" outlineLevel="1" x14ac:dyDescent="0.2">
      <c r="A37" s="77"/>
      <c r="B37" s="176" t="s">
        <v>9</v>
      </c>
      <c r="C37" s="192"/>
      <c r="D37" s="192"/>
      <c r="E37" s="78"/>
      <c r="F37" s="78"/>
      <c r="G37" s="78"/>
      <c r="H37" s="78"/>
      <c r="I37" s="78"/>
      <c r="J37" s="67"/>
      <c r="K37" s="67"/>
      <c r="L37" s="67"/>
      <c r="M37" s="67"/>
      <c r="N37" s="67"/>
      <c r="O37" s="67"/>
      <c r="P37" s="67"/>
      <c r="Q37" s="67"/>
      <c r="R37" s="67"/>
      <c r="S37" s="66"/>
      <c r="T37" s="136"/>
      <c r="U37" s="66"/>
      <c r="V37" s="66"/>
      <c r="W37" s="66"/>
      <c r="X37" s="66"/>
      <c r="Y37" s="136"/>
      <c r="Z37" s="66"/>
      <c r="AA37" s="66"/>
      <c r="AB37" s="66"/>
      <c r="AC37" s="66"/>
      <c r="AD37" s="136"/>
      <c r="AE37" s="66"/>
      <c r="AF37" s="66"/>
      <c r="AG37" s="66"/>
      <c r="AH37" s="66"/>
      <c r="AI37" s="136"/>
      <c r="AJ37" s="66"/>
      <c r="AK37" s="66"/>
      <c r="AL37" s="66"/>
      <c r="AM37" s="66"/>
      <c r="AN37" s="136"/>
      <c r="AO37" s="66"/>
      <c r="AP37" s="66"/>
      <c r="AQ37" s="66"/>
      <c r="AR37" s="66"/>
      <c r="AS37" s="136"/>
      <c r="AT37" s="66">
        <f ca="1">AT16/AO16-1</f>
        <v>0.16216999999999993</v>
      </c>
      <c r="AU37" s="66">
        <f ca="1">AU16/AP16-1</f>
        <v>0.15440000000000009</v>
      </c>
      <c r="AV37" s="66">
        <f ca="1">AV16/AQ16-1</f>
        <v>0.16217000000000015</v>
      </c>
      <c r="AW37" s="66">
        <f ca="1">AW16/AR16-1</f>
        <v>0.39459142992729768</v>
      </c>
      <c r="AX37" s="136">
        <f ca="1">AX16/AS16-1</f>
        <v>0.22039714915763531</v>
      </c>
      <c r="AY37" s="66">
        <f t="shared" ref="AY37:BG37" si="52">AY16/AT16-1</f>
        <v>0.68615890101659627</v>
      </c>
      <c r="AZ37" s="66">
        <f t="shared" si="52"/>
        <v>0.73516730144617815</v>
      </c>
      <c r="BA37" s="66">
        <f t="shared" si="52"/>
        <v>0.70769591351381966</v>
      </c>
      <c r="BB37" s="66">
        <f t="shared" si="52"/>
        <v>0.43151794137430488</v>
      </c>
      <c r="BC37" s="136">
        <f t="shared" si="52"/>
        <v>0.62743979808607775</v>
      </c>
      <c r="BD37" s="66">
        <f ca="1">BD16/AY16-1</f>
        <v>0.16153452265379786</v>
      </c>
      <c r="BE37" s="66">
        <f t="shared" si="52"/>
        <v>0.18092193703918924</v>
      </c>
      <c r="BF37" s="66">
        <f t="shared" si="52"/>
        <v>0.16600000000000015</v>
      </c>
      <c r="BG37" s="66">
        <f t="shared" si="52"/>
        <v>0.17700000000000005</v>
      </c>
      <c r="BH37" s="136">
        <f t="shared" ref="BH37:CM37" ca="1" si="53">BH16/BC16-1</f>
        <v>0.17147785280656591</v>
      </c>
      <c r="BI37" s="66">
        <f t="shared" ca="1" si="53"/>
        <v>0.14041571315100132</v>
      </c>
      <c r="BJ37" s="66">
        <f t="shared" ca="1" si="53"/>
        <v>1.3931985050354569</v>
      </c>
      <c r="BK37" s="66">
        <f t="shared" ca="1" si="53"/>
        <v>1.4501406535139751</v>
      </c>
      <c r="BL37" s="66">
        <f t="shared" ca="1" si="53"/>
        <v>1.407543152765212</v>
      </c>
      <c r="BM37" s="136">
        <f t="shared" ca="1" si="53"/>
        <v>1.1143010812081644</v>
      </c>
      <c r="BN37" s="66">
        <f t="shared" ca="1" si="53"/>
        <v>1.3010074666235054</v>
      </c>
      <c r="BO37" s="66">
        <f t="shared" ca="1" si="53"/>
        <v>8.8196345166120738E-2</v>
      </c>
      <c r="BP37" s="66">
        <f t="shared" ca="1" si="53"/>
        <v>8.6965845096941274E-2</v>
      </c>
      <c r="BQ37" s="66">
        <f t="shared" ca="1" si="53"/>
        <v>8.7880877671544955E-2</v>
      </c>
      <c r="BR37" s="136">
        <f t="shared" ca="1" si="53"/>
        <v>0.2428446447191408</v>
      </c>
      <c r="BS37" s="66">
        <f t="shared" ca="1" si="53"/>
        <v>0.11308798123096908</v>
      </c>
      <c r="BT37" s="66">
        <f t="shared" ca="1" si="53"/>
        <v>0.13437183558850641</v>
      </c>
      <c r="BU37" s="66">
        <f t="shared" ca="1" si="53"/>
        <v>0.1341311916614476</v>
      </c>
      <c r="BV37" s="66">
        <f t="shared" ca="1" si="53"/>
        <v>0.1343101927774657</v>
      </c>
      <c r="BW37" s="136">
        <f t="shared" ca="1" si="53"/>
        <v>0.12925477896065818</v>
      </c>
      <c r="BX37" s="66">
        <f t="shared" ca="1" si="53"/>
        <v>0.20400000000000018</v>
      </c>
      <c r="BY37" s="66">
        <f t="shared" ca="1" si="53"/>
        <v>0.20400000000000018</v>
      </c>
      <c r="BZ37" s="66">
        <f t="shared" ca="1" si="53"/>
        <v>0.20400000000000018</v>
      </c>
      <c r="CA37" s="66">
        <f t="shared" ca="1" si="53"/>
        <v>0.16100000000000025</v>
      </c>
      <c r="CB37" s="136">
        <f t="shared" ca="1" si="53"/>
        <v>0.19275203918847095</v>
      </c>
      <c r="CC37" s="66">
        <f t="shared" ca="1" si="53"/>
        <v>0.13949999999999996</v>
      </c>
      <c r="CD37" s="66">
        <f t="shared" ca="1" si="53"/>
        <v>0.1556249999999999</v>
      </c>
      <c r="CE37" s="66">
        <f t="shared" ca="1" si="53"/>
        <v>0.15562500000000012</v>
      </c>
      <c r="CF37" s="66">
        <f t="shared" ca="1" si="53"/>
        <v>0.1556249999999999</v>
      </c>
      <c r="CG37" s="136">
        <f t="shared" ca="1" si="53"/>
        <v>0.15182625370166813</v>
      </c>
      <c r="CH37" s="66">
        <f t="shared" ca="1" si="53"/>
        <v>0.15562499999999968</v>
      </c>
      <c r="CI37" s="66">
        <f t="shared" ca="1" si="53"/>
        <v>0.15024999999999999</v>
      </c>
      <c r="CJ37" s="66">
        <f t="shared" ca="1" si="53"/>
        <v>0.15024999999999999</v>
      </c>
      <c r="CK37" s="66">
        <f t="shared" ca="1" si="53"/>
        <v>0.15024999999999977</v>
      </c>
      <c r="CL37" s="136">
        <f t="shared" ca="1" si="53"/>
        <v>0.15150269802137784</v>
      </c>
      <c r="CM37" s="66">
        <f t="shared" ca="1" si="53"/>
        <v>6.7000000000000171E-2</v>
      </c>
      <c r="CN37" s="66">
        <f t="shared" ref="CN37:DF37" ca="1" si="54">CN16/CI16-1</f>
        <v>6.7000000000000171E-2</v>
      </c>
      <c r="CO37" s="66">
        <f t="shared" ca="1" si="54"/>
        <v>6.7000000000000171E-2</v>
      </c>
      <c r="CP37" s="66">
        <f t="shared" ca="1" si="54"/>
        <v>6.7000000000000171E-2</v>
      </c>
      <c r="CQ37" s="136">
        <f t="shared" ca="1" si="54"/>
        <v>6.6999999999999948E-2</v>
      </c>
      <c r="CR37" s="66">
        <f t="shared" ca="1" si="54"/>
        <v>9.1800000000000104E-2</v>
      </c>
      <c r="CS37" s="66">
        <f t="shared" ca="1" si="54"/>
        <v>9.1799999999999882E-2</v>
      </c>
      <c r="CT37" s="66">
        <f t="shared" ca="1" si="54"/>
        <v>9.1799999999999882E-2</v>
      </c>
      <c r="CU37" s="66">
        <f t="shared" ca="1" si="54"/>
        <v>9.1800000000000104E-2</v>
      </c>
      <c r="CV37" s="136">
        <f t="shared" ca="1" si="54"/>
        <v>9.1799999999999882E-2</v>
      </c>
      <c r="CW37" s="66">
        <f t="shared" ca="1" si="54"/>
        <v>-2.3500000000000076E-2</v>
      </c>
      <c r="CX37" s="66">
        <f t="shared" ca="1" si="54"/>
        <v>-2.3499999999999965E-2</v>
      </c>
      <c r="CY37" s="66">
        <f t="shared" ca="1" si="54"/>
        <v>-2.3499999999999965E-2</v>
      </c>
      <c r="CZ37" s="66">
        <f t="shared" ca="1" si="54"/>
        <v>-2.3500000000000076E-2</v>
      </c>
      <c r="DA37" s="136">
        <f t="shared" ca="1" si="54"/>
        <v>-2.3499999999999965E-2</v>
      </c>
      <c r="DB37" s="66">
        <f t="shared" ca="1" si="54"/>
        <v>-2.3499999999999854E-2</v>
      </c>
      <c r="DC37" s="66">
        <f t="shared" ca="1" si="54"/>
        <v>-2.3500000000000076E-2</v>
      </c>
      <c r="DD37" s="66">
        <f t="shared" ca="1" si="54"/>
        <v>-2.3500000000000076E-2</v>
      </c>
      <c r="DE37" s="66">
        <f t="shared" ca="1" si="54"/>
        <v>-2.3499999999999854E-2</v>
      </c>
      <c r="DF37" s="136">
        <f t="shared" ca="1" si="54"/>
        <v>-2.3499999999999965E-2</v>
      </c>
    </row>
    <row r="38" spans="1:110" outlineLevel="1" x14ac:dyDescent="0.2">
      <c r="A38" s="77"/>
      <c r="B38" s="176"/>
      <c r="C38" s="192"/>
      <c r="D38" s="192"/>
      <c r="E38" s="78"/>
      <c r="F38" s="78"/>
      <c r="G38" s="78"/>
      <c r="H38" s="78"/>
      <c r="I38" s="78"/>
      <c r="J38" s="67"/>
      <c r="K38" s="67"/>
      <c r="L38" s="67"/>
      <c r="M38" s="67"/>
      <c r="N38" s="67"/>
      <c r="O38" s="67"/>
      <c r="P38" s="67"/>
      <c r="Q38" s="67"/>
      <c r="R38" s="67"/>
      <c r="S38" s="66"/>
      <c r="T38" s="136"/>
      <c r="U38" s="66"/>
      <c r="V38" s="66"/>
      <c r="W38" s="66"/>
      <c r="X38" s="66"/>
      <c r="Y38" s="136"/>
      <c r="Z38" s="66"/>
      <c r="AA38" s="66"/>
      <c r="AB38" s="66"/>
      <c r="AC38" s="66"/>
      <c r="AD38" s="136"/>
      <c r="AE38" s="66"/>
      <c r="AF38" s="66"/>
      <c r="AG38" s="66"/>
      <c r="AH38" s="66"/>
      <c r="AI38" s="136"/>
      <c r="AJ38" s="66"/>
      <c r="AK38" s="66"/>
      <c r="AL38" s="66"/>
      <c r="AM38" s="66"/>
      <c r="AN38" s="136"/>
      <c r="AO38" s="66"/>
      <c r="AP38" s="66"/>
      <c r="AQ38" s="66"/>
      <c r="AR38" s="66"/>
      <c r="AS38" s="136"/>
      <c r="AT38" s="66"/>
      <c r="AU38" s="66"/>
      <c r="AV38" s="66"/>
      <c r="AW38" s="66"/>
      <c r="AX38" s="136"/>
      <c r="AY38" s="66"/>
      <c r="AZ38" s="66"/>
      <c r="BA38" s="66"/>
      <c r="BB38" s="66"/>
      <c r="BC38" s="136"/>
      <c r="BD38" s="66"/>
      <c r="BE38" s="66"/>
      <c r="BF38" s="66"/>
      <c r="BG38" s="66"/>
      <c r="BH38" s="136"/>
      <c r="BI38" s="66"/>
      <c r="BJ38" s="66"/>
      <c r="BK38" s="66"/>
      <c r="BL38" s="66"/>
      <c r="BM38" s="136"/>
      <c r="BN38" s="66"/>
      <c r="BO38" s="66"/>
      <c r="BP38" s="66"/>
      <c r="BQ38" s="66"/>
      <c r="BR38" s="136"/>
      <c r="BS38" s="66"/>
      <c r="BT38" s="66"/>
      <c r="BU38" s="66"/>
      <c r="BV38" s="66"/>
      <c r="BW38" s="136"/>
      <c r="BX38" s="66"/>
      <c r="BY38" s="66"/>
      <c r="BZ38" s="66"/>
      <c r="CA38" s="66"/>
      <c r="CB38" s="136"/>
      <c r="CC38" s="66"/>
      <c r="CD38" s="66"/>
      <c r="CE38" s="66"/>
      <c r="CF38" s="66"/>
      <c r="CG38" s="136"/>
      <c r="CH38" s="66"/>
      <c r="CI38" s="66"/>
      <c r="CJ38" s="66"/>
      <c r="CK38" s="66"/>
      <c r="CL38" s="136"/>
      <c r="CM38" s="66"/>
      <c r="CN38" s="66"/>
      <c r="CO38" s="66"/>
      <c r="CP38" s="66"/>
      <c r="CQ38" s="136"/>
      <c r="CR38" s="66"/>
      <c r="CS38" s="66"/>
      <c r="CT38" s="66"/>
      <c r="CU38" s="66"/>
      <c r="CV38" s="136"/>
      <c r="CW38" s="66"/>
      <c r="CX38" s="66"/>
      <c r="CY38" s="66"/>
      <c r="CZ38" s="66"/>
      <c r="DA38" s="136"/>
      <c r="DB38" s="66"/>
      <c r="DC38" s="66"/>
      <c r="DD38" s="66"/>
      <c r="DE38" s="66"/>
      <c r="DF38" s="136"/>
    </row>
    <row r="39" spans="1:110" outlineLevel="1" x14ac:dyDescent="0.2">
      <c r="A39" s="77"/>
      <c r="B39" s="176" t="s">
        <v>265</v>
      </c>
      <c r="C39" s="192"/>
      <c r="D39" s="192"/>
      <c r="E39" s="78"/>
      <c r="F39" s="78"/>
      <c r="G39" s="78"/>
      <c r="H39" s="78"/>
      <c r="I39" s="78"/>
      <c r="J39" s="67">
        <v>-0.43162077194501047</v>
      </c>
      <c r="K39" s="67">
        <v>-1</v>
      </c>
      <c r="L39" s="67">
        <v>0.27756806079848007</v>
      </c>
      <c r="M39" s="67">
        <v>0.32508457671208868</v>
      </c>
      <c r="N39" s="67">
        <v>-0.12327985189756241</v>
      </c>
      <c r="O39" s="67">
        <v>-8.1360054994447761E-2</v>
      </c>
      <c r="P39" s="67"/>
      <c r="Q39" s="67">
        <v>-0.82597252661239828</v>
      </c>
      <c r="R39" s="67">
        <v>-0.84821791846366668</v>
      </c>
      <c r="S39" s="66">
        <v>-1.1889880166816238</v>
      </c>
      <c r="T39" s="136">
        <v>-0.15958647049342634</v>
      </c>
      <c r="U39" s="66">
        <v>0.16756153314550004</v>
      </c>
      <c r="V39" s="66">
        <v>6.9432731770393996E-2</v>
      </c>
      <c r="W39" s="66">
        <v>0.92072108296475008</v>
      </c>
      <c r="X39" s="66">
        <v>0.44706703910614487</v>
      </c>
      <c r="Y39" s="136">
        <v>0.38356164383561642</v>
      </c>
      <c r="Z39" s="66">
        <v>0.53895187360560914</v>
      </c>
      <c r="AA39" s="66">
        <v>1.0134581011460413</v>
      </c>
      <c r="AB39" s="66">
        <v>0.34677785143574891</v>
      </c>
      <c r="AC39" s="66">
        <v>0.32870057587748969</v>
      </c>
      <c r="AD39" s="136">
        <v>0.50495049504950495</v>
      </c>
      <c r="AE39" s="66">
        <v>0.1775147928994083</v>
      </c>
      <c r="AF39" s="66">
        <v>7.8328981723237545E-2</v>
      </c>
      <c r="AG39" s="66">
        <v>4.9222797927461093E-2</v>
      </c>
      <c r="AH39" s="66">
        <v>2.421307506053072E-3</v>
      </c>
      <c r="AI39" s="136">
        <v>7.2368421052631637E-2</v>
      </c>
      <c r="AJ39" s="66">
        <f t="shared" ref="AJ39:AZ39" si="55">AJ17/AE17-1</f>
        <v>2.7638190954773822E-2</v>
      </c>
      <c r="AK39" s="66">
        <f t="shared" si="55"/>
        <v>1.6949152542373058E-2</v>
      </c>
      <c r="AL39" s="66">
        <f t="shared" si="55"/>
        <v>1.7283950617283939E-2</v>
      </c>
      <c r="AM39" s="66">
        <f t="shared" si="55"/>
        <v>7.7294685990337619E-2</v>
      </c>
      <c r="AN39" s="136">
        <f t="shared" si="55"/>
        <v>3.4969325153374253E-2</v>
      </c>
      <c r="AO39" s="66">
        <f t="shared" si="55"/>
        <v>0.79951100244498763</v>
      </c>
      <c r="AP39" s="66">
        <f t="shared" si="55"/>
        <v>0.86904761904761907</v>
      </c>
      <c r="AQ39" s="66">
        <f t="shared" si="55"/>
        <v>0.91019417475728148</v>
      </c>
      <c r="AR39" s="66">
        <f t="shared" si="55"/>
        <v>0.6704035874439469</v>
      </c>
      <c r="AS39" s="136">
        <f t="shared" si="55"/>
        <v>0.80972139893301742</v>
      </c>
      <c r="AT39" s="66">
        <f t="shared" si="55"/>
        <v>9.375E-2</v>
      </c>
      <c r="AU39" s="66">
        <f t="shared" si="55"/>
        <v>0.13757961783439487</v>
      </c>
      <c r="AV39" s="66">
        <f t="shared" si="55"/>
        <v>0.13722998729351965</v>
      </c>
      <c r="AW39" s="66">
        <f t="shared" si="55"/>
        <v>0.19865771812080557</v>
      </c>
      <c r="AX39" s="136">
        <f t="shared" si="55"/>
        <v>0.14182771044873888</v>
      </c>
      <c r="AY39" s="66">
        <f t="shared" si="55"/>
        <v>-0.26335403726708073</v>
      </c>
      <c r="AZ39" s="66">
        <f t="shared" si="55"/>
        <v>-0.26315789473684215</v>
      </c>
      <c r="BA39" s="66">
        <v>-0.3</v>
      </c>
      <c r="BB39" s="66">
        <v>-0.3</v>
      </c>
      <c r="BC39" s="136">
        <f t="shared" ref="BC39:BL39" si="56">BC17/AX17-1</f>
        <v>-0.25157773952954687</v>
      </c>
      <c r="BD39" s="66">
        <f t="shared" si="56"/>
        <v>0.239460370994941</v>
      </c>
      <c r="BE39" s="66">
        <f t="shared" si="56"/>
        <v>1.5197568389058169E-3</v>
      </c>
      <c r="BF39" s="66">
        <f t="shared" si="56"/>
        <v>5.1118210862619806E-2</v>
      </c>
      <c r="BG39" s="66">
        <f t="shared" si="56"/>
        <v>-7.3770491803278548E-2</v>
      </c>
      <c r="BH39" s="136">
        <f t="shared" si="56"/>
        <v>4.6377922575699504E-2</v>
      </c>
      <c r="BI39" s="66">
        <f t="shared" si="56"/>
        <v>0.22585034013605432</v>
      </c>
      <c r="BJ39" s="66">
        <f t="shared" si="56"/>
        <v>2.6388467374810318</v>
      </c>
      <c r="BK39" s="66">
        <f t="shared" si="56"/>
        <v>2.5516717325227964</v>
      </c>
      <c r="BL39" s="66">
        <f t="shared" si="56"/>
        <v>2.5722713864306783</v>
      </c>
      <c r="BM39" s="136">
        <f t="shared" ref="BM39:BR39" si="57">BM17/BH17-1</f>
        <v>1.9516483516483514</v>
      </c>
      <c r="BN39" s="66">
        <f t="shared" si="57"/>
        <v>1.6159822419533851</v>
      </c>
      <c r="BO39" s="66">
        <f t="shared" si="57"/>
        <v>0.15554628857381148</v>
      </c>
      <c r="BP39" s="66">
        <f t="shared" si="57"/>
        <v>1.7115960633290461E-2</v>
      </c>
      <c r="BQ39" s="66">
        <f t="shared" si="57"/>
        <v>0.11312964492155286</v>
      </c>
      <c r="BR39" s="136">
        <f t="shared" si="57"/>
        <v>0.26594688508314746</v>
      </c>
      <c r="BS39" s="66">
        <f t="shared" ref="BS39:CK39" si="58">BS17/BN17-1</f>
        <v>0.19770895205770067</v>
      </c>
      <c r="BT39" s="66">
        <f t="shared" si="58"/>
        <v>0.12486466979429789</v>
      </c>
      <c r="BU39" s="66">
        <f t="shared" si="58"/>
        <v>0.42616743794699197</v>
      </c>
      <c r="BV39" s="66">
        <f t="shared" si="58"/>
        <v>0.27967359050445051</v>
      </c>
      <c r="BW39" s="136">
        <f t="shared" si="58"/>
        <v>0.25281835114204476</v>
      </c>
      <c r="BX39" s="66">
        <f t="shared" si="58"/>
        <v>0.35387885228480331</v>
      </c>
      <c r="BY39" s="66">
        <f t="shared" si="58"/>
        <v>0.28103946102021182</v>
      </c>
      <c r="BZ39" s="66">
        <f t="shared" si="58"/>
        <v>0.27551622418879052</v>
      </c>
      <c r="CA39" s="66">
        <f t="shared" si="58"/>
        <v>0.28608695652173877</v>
      </c>
      <c r="CB39" s="136">
        <f t="shared" si="58"/>
        <v>0.29702660406885761</v>
      </c>
      <c r="CC39" s="66">
        <f t="shared" si="58"/>
        <v>-0.10465724751439043</v>
      </c>
      <c r="CD39" s="66">
        <f t="shared" si="58"/>
        <v>-0.17856248434760835</v>
      </c>
      <c r="CE39" s="66">
        <f t="shared" si="58"/>
        <v>-0.12812210915818678</v>
      </c>
      <c r="CF39" s="66">
        <f t="shared" si="58"/>
        <v>-0.15663736759071389</v>
      </c>
      <c r="CG39" s="136">
        <f>CG17/CB17-1</f>
        <v>-0.14249517374517362</v>
      </c>
      <c r="CH39" s="66">
        <f t="shared" si="58"/>
        <v>-4.5879602571595512E-2</v>
      </c>
      <c r="CI39" s="66">
        <f t="shared" si="58"/>
        <v>0.13719512195121952</v>
      </c>
      <c r="CJ39" s="66">
        <f t="shared" si="58"/>
        <v>-9.3103448275862144E-2</v>
      </c>
      <c r="CK39" s="66">
        <f t="shared" si="58"/>
        <v>-0.13896312132549482</v>
      </c>
      <c r="CL39" s="136">
        <f>CL17/CG17-1</f>
        <v>-4.0664133952441395E-2</v>
      </c>
      <c r="CM39" s="196">
        <v>-0.15</v>
      </c>
      <c r="CN39" s="196">
        <f>CM39</f>
        <v>-0.15</v>
      </c>
      <c r="CO39" s="196">
        <v>-0.1</v>
      </c>
      <c r="CP39" s="196">
        <v>-0.05</v>
      </c>
      <c r="CQ39" s="136">
        <f>CQ17/CL17-1</f>
        <v>-0.11383470225872683</v>
      </c>
      <c r="CR39" s="196">
        <v>0.02</v>
      </c>
      <c r="CS39" s="196">
        <f>CR39</f>
        <v>0.02</v>
      </c>
      <c r="CT39" s="196">
        <f t="shared" ref="CT39" si="59">CS39</f>
        <v>0.02</v>
      </c>
      <c r="CU39" s="196">
        <f t="shared" ref="CU39" si="60">CT39</f>
        <v>0.02</v>
      </c>
      <c r="CV39" s="136">
        <f>CV17/CQ17-1</f>
        <v>2.0000000000000018E-2</v>
      </c>
      <c r="CW39" s="196">
        <v>0.02</v>
      </c>
      <c r="CX39" s="196">
        <f>CW39</f>
        <v>0.02</v>
      </c>
      <c r="CY39" s="196">
        <f t="shared" ref="CY39" si="61">CX39</f>
        <v>0.02</v>
      </c>
      <c r="CZ39" s="196">
        <f t="shared" ref="CZ39" si="62">CY39</f>
        <v>0.02</v>
      </c>
      <c r="DA39" s="136">
        <f>DA17/CV17-1</f>
        <v>2.0000000000000018E-2</v>
      </c>
      <c r="DB39" s="196">
        <v>0.02</v>
      </c>
      <c r="DC39" s="196">
        <f>DB39</f>
        <v>0.02</v>
      </c>
      <c r="DD39" s="196">
        <f t="shared" ref="DD39" si="63">DC39</f>
        <v>0.02</v>
      </c>
      <c r="DE39" s="196">
        <f t="shared" ref="DE39" si="64">DD39</f>
        <v>0.02</v>
      </c>
      <c r="DF39" s="136">
        <f>DF17/DA17-1</f>
        <v>2.0000000000000018E-2</v>
      </c>
    </row>
    <row r="40" spans="1:110" outlineLevel="1" x14ac:dyDescent="0.2">
      <c r="A40" s="77"/>
      <c r="B40" s="169" t="s">
        <v>158</v>
      </c>
      <c r="C40" s="192"/>
      <c r="D40" s="192"/>
      <c r="E40" s="78"/>
      <c r="F40" s="78"/>
      <c r="G40" s="78"/>
      <c r="H40" s="78"/>
      <c r="I40" s="78"/>
      <c r="J40" s="67">
        <v>0.41612389930370997</v>
      </c>
      <c r="K40" s="67">
        <v>0.31529576505902912</v>
      </c>
      <c r="L40" s="67">
        <v>0.50767435433128827</v>
      </c>
      <c r="M40" s="67">
        <v>0.4290538313998189</v>
      </c>
      <c r="N40" s="67">
        <v>0.42285959690357999</v>
      </c>
      <c r="O40" s="67">
        <v>0.42065713309305619</v>
      </c>
      <c r="P40" s="67">
        <v>0.16876479670612476</v>
      </c>
      <c r="Q40" s="67">
        <v>-2.2368283615290308E-2</v>
      </c>
      <c r="R40" s="67">
        <v>-5.3777583449885702E-2</v>
      </c>
      <c r="S40" s="66">
        <v>0.30329409576093802</v>
      </c>
      <c r="T40" s="136">
        <v>8.2735526596086517E-2</v>
      </c>
      <c r="U40" s="66">
        <v>0.10050187558543233</v>
      </c>
      <c r="V40" s="66">
        <v>8.5357527371860087E-2</v>
      </c>
      <c r="W40" s="66">
        <v>9.9858436818799579E-2</v>
      </c>
      <c r="X40" s="66">
        <v>7.0254816888049243E-2</v>
      </c>
      <c r="Y40" s="136">
        <v>8.8639486944571688E-2</v>
      </c>
      <c r="Z40" s="66">
        <v>1.434864612036657E-2</v>
      </c>
      <c r="AA40" s="66">
        <v>1.4910387630814759E-2</v>
      </c>
      <c r="AB40" s="66">
        <v>-8.268312962477542E-3</v>
      </c>
      <c r="AC40" s="66">
        <v>-7.8933257847801919E-5</v>
      </c>
      <c r="AD40" s="136">
        <v>5.6104916193282506E-3</v>
      </c>
      <c r="AE40" s="66">
        <v>-1.1947027331642768E-2</v>
      </c>
      <c r="AF40" s="66">
        <v>-2.4980656571239157E-2</v>
      </c>
      <c r="AG40" s="66">
        <v>-7.475939505041107E-3</v>
      </c>
      <c r="AH40" s="66">
        <v>-1.2902523341590255E-2</v>
      </c>
      <c r="AI40" s="136">
        <v>-8.1595648232094531E-3</v>
      </c>
      <c r="AJ40" s="66">
        <f t="shared" ref="AJ40:AN40" si="65">AJ19/AE19-1</f>
        <v>-5.6464951805167418E-2</v>
      </c>
      <c r="AK40" s="66">
        <f t="shared" si="65"/>
        <v>-6.1104183199183759E-2</v>
      </c>
      <c r="AL40" s="66">
        <f t="shared" si="65"/>
        <v>-6.9117774378805841E-2</v>
      </c>
      <c r="AM40" s="66">
        <f t="shared" si="65"/>
        <v>-7.7572181010947872E-2</v>
      </c>
      <c r="AN40" s="136">
        <f t="shared" si="65"/>
        <v>-7.2423006609478313E-2</v>
      </c>
      <c r="AO40" s="66">
        <f t="shared" ref="AO40:BT40" ca="1" si="66">AO19/AJ19-1</f>
        <v>0.55011182977694495</v>
      </c>
      <c r="AP40" s="66">
        <f t="shared" ca="1" si="66"/>
        <v>0.55988891572084021</v>
      </c>
      <c r="AQ40" s="66">
        <f t="shared" ca="1" si="66"/>
        <v>0.57846602182539697</v>
      </c>
      <c r="AR40" s="66">
        <f t="shared" ca="1" si="66"/>
        <v>0.54950672645739895</v>
      </c>
      <c r="AS40" s="136">
        <f t="shared" ca="1" si="66"/>
        <v>0.55934657368101859</v>
      </c>
      <c r="AT40" s="66">
        <f t="shared" ca="1" si="66"/>
        <v>-3.1586951859144952E-3</v>
      </c>
      <c r="AU40" s="66">
        <f t="shared" ca="1" si="66"/>
        <v>4.2185927703384252E-3</v>
      </c>
      <c r="AV40" s="66">
        <f t="shared" ca="1" si="66"/>
        <v>3.5254836492192965E-2</v>
      </c>
      <c r="AW40" s="66">
        <f t="shared" ca="1" si="66"/>
        <v>0.5248596399837937</v>
      </c>
      <c r="AX40" s="136">
        <f t="shared" ca="1" si="66"/>
        <v>0.14124321249921024</v>
      </c>
      <c r="AY40" s="66">
        <f t="shared" ca="1" si="66"/>
        <v>1.1202738386308067</v>
      </c>
      <c r="AZ40" s="66">
        <f t="shared" ca="1" si="66"/>
        <v>1.1100897984352716</v>
      </c>
      <c r="BA40" s="66">
        <f t="shared" ca="1" si="66"/>
        <v>1.0675583380762665</v>
      </c>
      <c r="BB40" s="66">
        <f t="shared" ca="1" si="66"/>
        <v>0.39226924780160677</v>
      </c>
      <c r="BC40" s="136">
        <f t="shared" ca="1" si="66"/>
        <v>0.86109880560903673</v>
      </c>
      <c r="BD40" s="66">
        <f t="shared" ca="1" si="66"/>
        <v>-1.61440603695584E-3</v>
      </c>
      <c r="BE40" s="66">
        <f t="shared" ca="1" si="66"/>
        <v>9.8811882996501232E-3</v>
      </c>
      <c r="BF40" s="66">
        <f t="shared" ca="1" si="66"/>
        <v>3.3547132068892704E-2</v>
      </c>
      <c r="BG40" s="66">
        <f t="shared" ca="1" si="66"/>
        <v>7.4837783311219708E-2</v>
      </c>
      <c r="BH40" s="136">
        <f t="shared" ca="1" si="66"/>
        <v>2.9291470501397354E-2</v>
      </c>
      <c r="BI40" s="66">
        <f t="shared" ca="1" si="66"/>
        <v>8.8769589000591287E-2</v>
      </c>
      <c r="BJ40" s="66">
        <f t="shared" ca="1" si="66"/>
        <v>1.4320826890209166</v>
      </c>
      <c r="BK40" s="66">
        <f t="shared" ca="1" si="66"/>
        <v>1.3246801672629775</v>
      </c>
      <c r="BL40" s="66">
        <f t="shared" ca="1" si="66"/>
        <v>1.2682860838906604</v>
      </c>
      <c r="BM40" s="136">
        <f t="shared" ca="1" si="66"/>
        <v>1.0388377579677885</v>
      </c>
      <c r="BN40" s="66">
        <f t="shared" ca="1" si="66"/>
        <v>1.1716017007408914</v>
      </c>
      <c r="BO40" s="66">
        <f t="shared" ca="1" si="66"/>
        <v>-3.7070500879355373E-2</v>
      </c>
      <c r="BP40" s="66">
        <f t="shared" ca="1" si="66"/>
        <v>-3.1518646527525784E-2</v>
      </c>
      <c r="BQ40" s="66">
        <f t="shared" ca="1" si="66"/>
        <v>-5.9151694849377434E-2</v>
      </c>
      <c r="BR40" s="136">
        <f t="shared" ca="1" si="66"/>
        <v>0.11338091477903123</v>
      </c>
      <c r="BS40" s="66">
        <f t="shared" ca="1" si="66"/>
        <v>-9.580587927247719E-2</v>
      </c>
      <c r="BT40" s="66">
        <f t="shared" ca="1" si="66"/>
        <v>-5.3780837680566296E-2</v>
      </c>
      <c r="BU40" s="66">
        <f t="shared" ref="BU40:CZ40" ca="1" si="67">BU19/BP19-1</f>
        <v>-7.7920439130571006E-3</v>
      </c>
      <c r="BV40" s="66">
        <f t="shared" ca="1" si="67"/>
        <v>1.7749199453143794E-2</v>
      </c>
      <c r="BW40" s="136">
        <f t="shared" ca="1" si="67"/>
        <v>-3.5204628790353909E-2</v>
      </c>
      <c r="BX40" s="66">
        <f t="shared" ca="1" si="67"/>
        <v>4.9164314703479706E-2</v>
      </c>
      <c r="BY40" s="66">
        <f t="shared" ca="1" si="67"/>
        <v>1.1389558822929358E-2</v>
      </c>
      <c r="BZ40" s="66">
        <f t="shared" ca="1" si="67"/>
        <v>-2.4895078214422051E-2</v>
      </c>
      <c r="CA40" s="66">
        <f t="shared" ca="1" si="67"/>
        <v>-8.8287502724920808E-3</v>
      </c>
      <c r="CB40" s="136">
        <f t="shared" ca="1" si="67"/>
        <v>5.7202615440847815E-3</v>
      </c>
      <c r="CC40" s="66">
        <f t="shared" ca="1" si="67"/>
        <v>-1.1777937068986888E-2</v>
      </c>
      <c r="CD40" s="66">
        <f t="shared" ca="1" si="67"/>
        <v>-1.9960458360232414E-2</v>
      </c>
      <c r="CE40" s="66">
        <f t="shared" ca="1" si="67"/>
        <v>-2.8693468975187209E-3</v>
      </c>
      <c r="CF40" s="66">
        <f t="shared" ca="1" si="67"/>
        <v>-5.8691383237766459E-2</v>
      </c>
      <c r="CG40" s="136">
        <f t="shared" ca="1" si="67"/>
        <v>-2.3677659168505838E-2</v>
      </c>
      <c r="CH40" s="66">
        <f t="shared" ca="1" si="67"/>
        <v>-1.5490885139838984E-2</v>
      </c>
      <c r="CI40" s="66">
        <f t="shared" ca="1" si="67"/>
        <v>-4.207614052278208E-3</v>
      </c>
      <c r="CJ40" s="66">
        <f t="shared" ca="1" si="67"/>
        <v>-3.8271312252705858E-2</v>
      </c>
      <c r="CK40" s="66">
        <f t="shared" ca="1" si="67"/>
        <v>1.8014445825933478E-3</v>
      </c>
      <c r="CL40" s="136">
        <f t="shared" ca="1" si="67"/>
        <v>-1.413425392226475E-2</v>
      </c>
      <c r="CM40" s="66">
        <f t="shared" ca="1" si="67"/>
        <v>-1.568880446308285E-2</v>
      </c>
      <c r="CN40" s="66">
        <f t="shared" ca="1" si="67"/>
        <v>-1.6566916250482455E-2</v>
      </c>
      <c r="CO40" s="66">
        <f t="shared" ca="1" si="67"/>
        <v>1.0198616062474963E-2</v>
      </c>
      <c r="CP40" s="66">
        <f t="shared" ca="1" si="67"/>
        <v>1.011243867660494E-2</v>
      </c>
      <c r="CQ40" s="136">
        <f t="shared" ca="1" si="67"/>
        <v>-3.0254719967141019E-3</v>
      </c>
      <c r="CR40" s="66">
        <f t="shared" ca="1" si="67"/>
        <v>4.6059251246032717E-2</v>
      </c>
      <c r="CS40" s="66">
        <f t="shared" ca="1" si="67"/>
        <v>5.1564011589249947E-2</v>
      </c>
      <c r="CT40" s="66">
        <f t="shared" ca="1" si="67"/>
        <v>5.4039600015707512E-2</v>
      </c>
      <c r="CU40" s="66">
        <f t="shared" ca="1" si="67"/>
        <v>5.3995626029420096E-2</v>
      </c>
      <c r="CV40" s="136">
        <f t="shared" ca="1" si="67"/>
        <v>5.1457247944933338E-2</v>
      </c>
      <c r="CW40" s="66">
        <f t="shared" ca="1" si="67"/>
        <v>-6.0606838049318545E-2</v>
      </c>
      <c r="CX40" s="66">
        <f t="shared" ca="1" si="67"/>
        <v>-6.031432050254526E-2</v>
      </c>
      <c r="CY40" s="66">
        <f t="shared" ca="1" si="67"/>
        <v>-5.839389363862646E-2</v>
      </c>
      <c r="CZ40" s="66">
        <f t="shared" ca="1" si="67"/>
        <v>-6.0189908151443317E-2</v>
      </c>
      <c r="DA40" s="136">
        <f t="shared" ref="DA40:DF40" ca="1" si="68">DA19/CV19-1</f>
        <v>-5.9872286081542492E-2</v>
      </c>
      <c r="DB40" s="66">
        <f t="shared" ca="1" si="68"/>
        <v>-5.7172603717005943E-2</v>
      </c>
      <c r="DC40" s="66">
        <f t="shared" ca="1" si="68"/>
        <v>-5.6919258357891023E-2</v>
      </c>
      <c r="DD40" s="66">
        <f t="shared" ca="1" si="68"/>
        <v>-5.4917155460020961E-2</v>
      </c>
      <c r="DE40" s="66">
        <f t="shared" ca="1" si="68"/>
        <v>-5.6697250671661426E-2</v>
      </c>
      <c r="DF40" s="136">
        <f t="shared" ca="1" si="68"/>
        <v>-5.6421439884611346E-2</v>
      </c>
    </row>
    <row r="41" spans="1:110" outlineLevel="1" x14ac:dyDescent="0.2">
      <c r="A41" s="77"/>
      <c r="B41" s="178" t="s">
        <v>220</v>
      </c>
      <c r="C41" s="192"/>
      <c r="D41" s="192"/>
      <c r="E41" s="78"/>
      <c r="F41" s="78"/>
      <c r="G41" s="78"/>
      <c r="H41" s="78"/>
      <c r="I41" s="78"/>
      <c r="J41" s="67"/>
      <c r="K41" s="67"/>
      <c r="L41" s="67"/>
      <c r="M41" s="67"/>
      <c r="N41" s="67"/>
      <c r="O41" s="67"/>
      <c r="P41" s="67"/>
      <c r="Q41" s="67"/>
      <c r="R41" s="67"/>
      <c r="S41" s="66"/>
      <c r="T41" s="136"/>
      <c r="U41" s="66"/>
      <c r="V41" s="66"/>
      <c r="W41" s="66"/>
      <c r="X41" s="66"/>
      <c r="Y41" s="136"/>
      <c r="Z41" s="66"/>
      <c r="AA41" s="66"/>
      <c r="AB41" s="66"/>
      <c r="AC41" s="66"/>
      <c r="AD41" s="136"/>
      <c r="AE41" s="66"/>
      <c r="AF41" s="66"/>
      <c r="AG41" s="66"/>
      <c r="AH41" s="66"/>
      <c r="AI41" s="136"/>
      <c r="AJ41" s="66"/>
      <c r="AK41" s="66"/>
      <c r="AL41" s="66"/>
      <c r="AM41" s="66"/>
      <c r="AN41" s="136"/>
      <c r="AO41" s="66"/>
      <c r="AP41" s="66"/>
      <c r="AQ41" s="66"/>
      <c r="AR41" s="66"/>
      <c r="AS41" s="136"/>
      <c r="AT41" s="66"/>
      <c r="AU41" s="66"/>
      <c r="AV41" s="66"/>
      <c r="AW41" s="66"/>
      <c r="AX41" s="136"/>
      <c r="AY41" s="66"/>
      <c r="AZ41" s="66"/>
      <c r="BA41" s="66"/>
      <c r="BB41" s="66"/>
      <c r="BC41" s="136"/>
      <c r="BD41" s="66"/>
      <c r="BE41" s="66"/>
      <c r="BF41" s="66"/>
      <c r="BG41" s="66"/>
      <c r="BH41" s="136"/>
      <c r="BI41" s="66"/>
      <c r="BJ41" s="66"/>
      <c r="BK41" s="66"/>
      <c r="BL41" s="66"/>
      <c r="BM41" s="136"/>
      <c r="BN41" s="66"/>
      <c r="BO41" s="66"/>
      <c r="BP41" s="66"/>
      <c r="BQ41" s="66"/>
      <c r="BR41" s="136"/>
      <c r="BS41" s="66"/>
      <c r="BT41" s="66"/>
      <c r="BU41" s="66"/>
      <c r="BV41" s="66"/>
      <c r="BW41" s="136"/>
      <c r="BX41" s="66"/>
      <c r="BY41" s="66"/>
      <c r="BZ41" s="66"/>
      <c r="CA41" s="66"/>
      <c r="CB41" s="136"/>
      <c r="CC41" s="66"/>
      <c r="CD41" s="66"/>
      <c r="CE41" s="66"/>
      <c r="CF41" s="66"/>
      <c r="CG41" s="136"/>
      <c r="CH41" s="66"/>
      <c r="CI41" s="66"/>
      <c r="CJ41" s="66"/>
      <c r="CK41" s="66"/>
      <c r="CL41" s="136"/>
      <c r="CM41" s="66"/>
      <c r="CN41" s="66"/>
      <c r="CO41" s="66"/>
      <c r="CP41" s="66"/>
      <c r="CQ41" s="136"/>
      <c r="CR41" s="66"/>
      <c r="CS41" s="66"/>
      <c r="CT41" s="66"/>
      <c r="CU41" s="66"/>
      <c r="CV41" s="136"/>
      <c r="CW41" s="66"/>
      <c r="CX41" s="66"/>
      <c r="CY41" s="66"/>
      <c r="CZ41" s="66"/>
      <c r="DA41" s="136"/>
      <c r="DB41" s="66"/>
      <c r="DC41" s="66"/>
      <c r="DD41" s="66"/>
      <c r="DE41" s="66"/>
      <c r="DF41" s="136"/>
    </row>
    <row r="42" spans="1:110" outlineLevel="1" x14ac:dyDescent="0.2">
      <c r="A42" s="77"/>
      <c r="B42" s="169" t="s">
        <v>221</v>
      </c>
      <c r="C42" s="192"/>
      <c r="D42" s="192"/>
      <c r="E42" s="78"/>
      <c r="F42" s="78"/>
      <c r="G42" s="78"/>
      <c r="H42" s="78"/>
      <c r="I42" s="78"/>
      <c r="J42" s="67"/>
      <c r="K42" s="67"/>
      <c r="L42" s="67"/>
      <c r="M42" s="67"/>
      <c r="N42" s="67"/>
      <c r="O42" s="67"/>
      <c r="P42" s="67"/>
      <c r="Q42" s="67"/>
      <c r="R42" s="67"/>
      <c r="S42" s="66"/>
      <c r="T42" s="136"/>
      <c r="U42" s="66"/>
      <c r="V42" s="66"/>
      <c r="W42" s="66"/>
      <c r="X42" s="66"/>
      <c r="Y42" s="136"/>
      <c r="Z42" s="66"/>
      <c r="AA42" s="66"/>
      <c r="AB42" s="66"/>
      <c r="AC42" s="66"/>
      <c r="AD42" s="136"/>
      <c r="AE42" s="66"/>
      <c r="AF42" s="66"/>
      <c r="AG42" s="66"/>
      <c r="AH42" s="66"/>
      <c r="AI42" s="136"/>
      <c r="AJ42" s="66"/>
      <c r="AK42" s="66"/>
      <c r="AL42" s="66"/>
      <c r="AM42" s="66"/>
      <c r="AN42" s="136"/>
      <c r="AO42" s="66"/>
      <c r="AP42" s="66"/>
      <c r="AQ42" s="66"/>
      <c r="AR42" s="66"/>
      <c r="AS42" s="136"/>
      <c r="AT42" s="66">
        <f t="shared" ref="AT42:BC43" si="69">AT21/AO21-1</f>
        <v>-0.14456800684345594</v>
      </c>
      <c r="AU42" s="66">
        <f t="shared" si="69"/>
        <v>-0.13571834185122089</v>
      </c>
      <c r="AV42" s="66">
        <f t="shared" si="69"/>
        <v>-2.5545350172215819E-2</v>
      </c>
      <c r="AW42" s="66">
        <f t="shared" si="69"/>
        <v>-3.1300419490158271E-2</v>
      </c>
      <c r="AX42" s="136">
        <f t="shared" si="69"/>
        <v>-8.6027034969144767E-2</v>
      </c>
      <c r="AY42" s="66">
        <f t="shared" si="69"/>
        <v>8.0333333333333368E-2</v>
      </c>
      <c r="AZ42" s="66">
        <f t="shared" si="69"/>
        <v>9.7897503285151233E-2</v>
      </c>
      <c r="BA42" s="66">
        <f t="shared" si="69"/>
        <v>0.11693667157584686</v>
      </c>
      <c r="BB42" s="66">
        <f t="shared" si="69"/>
        <v>5.0632911392405555E-2</v>
      </c>
      <c r="BC42" s="136">
        <f t="shared" si="69"/>
        <v>8.7452777107949631E-2</v>
      </c>
      <c r="BD42" s="66">
        <f t="shared" ref="BD42:BM43" si="70">BD21/AY21-1</f>
        <v>-8.8861462511570566E-2</v>
      </c>
      <c r="BE42" s="66">
        <f t="shared" si="70"/>
        <v>-2.3638539796528968E-2</v>
      </c>
      <c r="BF42" s="66">
        <f t="shared" si="70"/>
        <v>-0.12816455696202522</v>
      </c>
      <c r="BG42" s="66">
        <f t="shared" si="70"/>
        <v>3.7095751426759138E-2</v>
      </c>
      <c r="BH42" s="136">
        <f t="shared" si="70"/>
        <v>-5.4401655702564944E-2</v>
      </c>
      <c r="BI42" s="66">
        <f t="shared" si="70"/>
        <v>0.25838130714527607</v>
      </c>
      <c r="BJ42" s="66">
        <f t="shared" si="70"/>
        <v>0.79528041679436079</v>
      </c>
      <c r="BK42" s="66">
        <f t="shared" si="70"/>
        <v>0.81881427707198995</v>
      </c>
      <c r="BL42" s="66">
        <f t="shared" si="70"/>
        <v>0.71201467441149546</v>
      </c>
      <c r="BM42" s="136">
        <f t="shared" si="70"/>
        <v>0.656140076604393</v>
      </c>
      <c r="BN42" s="66">
        <f t="shared" ref="BN42:BW43" si="71">BN21/BI21-1</f>
        <v>0.21582346609257264</v>
      </c>
      <c r="BO42" s="66">
        <f t="shared" si="71"/>
        <v>-0.14049163537043352</v>
      </c>
      <c r="BP42" s="66">
        <f t="shared" si="71"/>
        <v>-0.11242308331947437</v>
      </c>
      <c r="BQ42" s="66">
        <f t="shared" si="71"/>
        <v>-8.4107142857142714E-2</v>
      </c>
      <c r="BR42" s="136">
        <f t="shared" si="71"/>
        <v>-5.5128144616982011E-2</v>
      </c>
      <c r="BS42" s="66">
        <f t="shared" si="71"/>
        <v>0.12062859672421422</v>
      </c>
      <c r="BT42" s="66">
        <f t="shared" si="71"/>
        <v>0.11142005958291956</v>
      </c>
      <c r="BU42" s="66">
        <f t="shared" si="71"/>
        <v>7.1575791643245124E-2</v>
      </c>
      <c r="BV42" s="66">
        <f t="shared" si="71"/>
        <v>0.10294404367323051</v>
      </c>
      <c r="BW42" s="136">
        <f t="shared" si="71"/>
        <v>0.10070433088565856</v>
      </c>
      <c r="BX42" s="66">
        <f t="shared" ref="BX42:CG43" si="72">BX21/BS21-1</f>
        <v>0.12699980248864318</v>
      </c>
      <c r="BY42" s="66">
        <f t="shared" si="72"/>
        <v>9.8641887062187239E-2</v>
      </c>
      <c r="BZ42" s="66">
        <f t="shared" si="72"/>
        <v>9.1624409861863931E-2</v>
      </c>
      <c r="CA42" s="66">
        <f t="shared" si="72"/>
        <v>0.13841258617641805</v>
      </c>
      <c r="CB42" s="136">
        <f t="shared" si="72"/>
        <v>0.11354663036078949</v>
      </c>
      <c r="CC42" s="66">
        <f t="shared" si="72"/>
        <v>0.31090080616894489</v>
      </c>
      <c r="CD42" s="66">
        <f t="shared" si="72"/>
        <v>0.47706571242680562</v>
      </c>
      <c r="CE42" s="66">
        <f t="shared" si="72"/>
        <v>0.47717443536761195</v>
      </c>
      <c r="CF42" s="66">
        <f t="shared" si="72"/>
        <v>0.49083850931677064</v>
      </c>
      <c r="CG42" s="136">
        <f t="shared" si="72"/>
        <v>0.44206708236540759</v>
      </c>
      <c r="CH42" s="66">
        <f t="shared" ref="CH42:CK43" si="73">CH21/CC21-1</f>
        <v>0.35053475935828882</v>
      </c>
      <c r="CI42" s="66">
        <f t="shared" si="73"/>
        <v>0.24446646845061104</v>
      </c>
      <c r="CJ42" s="66">
        <f t="shared" si="73"/>
        <v>0.22554760355671211</v>
      </c>
      <c r="CK42" s="66">
        <f t="shared" si="73"/>
        <v>0.13665243203832977</v>
      </c>
      <c r="CL42" s="136">
        <f>CL21/CG21-1</f>
        <v>0.23270404702690484</v>
      </c>
      <c r="CM42" s="196">
        <v>0</v>
      </c>
      <c r="CN42" s="196">
        <v>0</v>
      </c>
      <c r="CO42" s="196">
        <v>0</v>
      </c>
      <c r="CP42" s="196">
        <v>0</v>
      </c>
      <c r="CQ42" s="136">
        <f>CQ21/CL21-1</f>
        <v>0</v>
      </c>
      <c r="CR42" s="196">
        <v>0</v>
      </c>
      <c r="CS42" s="196">
        <v>0</v>
      </c>
      <c r="CT42" s="196">
        <v>0</v>
      </c>
      <c r="CU42" s="196">
        <v>0</v>
      </c>
      <c r="CV42" s="136">
        <f>CV21/CQ21-1</f>
        <v>0</v>
      </c>
      <c r="CW42" s="196">
        <v>0</v>
      </c>
      <c r="CX42" s="196">
        <v>0</v>
      </c>
      <c r="CY42" s="196">
        <v>0</v>
      </c>
      <c r="CZ42" s="196">
        <v>0</v>
      </c>
      <c r="DA42" s="136">
        <f>DA21/CV21-1</f>
        <v>0</v>
      </c>
      <c r="DB42" s="196">
        <v>0</v>
      </c>
      <c r="DC42" s="196">
        <v>0</v>
      </c>
      <c r="DD42" s="196">
        <v>0</v>
      </c>
      <c r="DE42" s="196">
        <v>0</v>
      </c>
      <c r="DF42" s="136">
        <f>DF21/DA21-1</f>
        <v>0</v>
      </c>
    </row>
    <row r="43" spans="1:110" outlineLevel="1" x14ac:dyDescent="0.2">
      <c r="A43" s="77"/>
      <c r="B43" s="169" t="s">
        <v>222</v>
      </c>
      <c r="C43" s="192"/>
      <c r="D43" s="192"/>
      <c r="E43" s="78"/>
      <c r="F43" s="78"/>
      <c r="G43" s="78"/>
      <c r="H43" s="78"/>
      <c r="I43" s="78"/>
      <c r="J43" s="67"/>
      <c r="K43" s="67"/>
      <c r="L43" s="67"/>
      <c r="M43" s="67"/>
      <c r="N43" s="67"/>
      <c r="O43" s="67"/>
      <c r="P43" s="67"/>
      <c r="Q43" s="67"/>
      <c r="R43" s="67"/>
      <c r="S43" s="66"/>
      <c r="T43" s="136"/>
      <c r="U43" s="66"/>
      <c r="V43" s="66"/>
      <c r="W43" s="66"/>
      <c r="X43" s="66"/>
      <c r="Y43" s="136"/>
      <c r="Z43" s="66"/>
      <c r="AA43" s="66"/>
      <c r="AB43" s="66"/>
      <c r="AC43" s="66"/>
      <c r="AD43" s="136"/>
      <c r="AE43" s="66"/>
      <c r="AF43" s="66"/>
      <c r="AG43" s="66"/>
      <c r="AH43" s="66"/>
      <c r="AI43" s="136"/>
      <c r="AJ43" s="66"/>
      <c r="AK43" s="66"/>
      <c r="AL43" s="66"/>
      <c r="AM43" s="66"/>
      <c r="AN43" s="136"/>
      <c r="AO43" s="66"/>
      <c r="AP43" s="66"/>
      <c r="AQ43" s="66"/>
      <c r="AR43" s="66"/>
      <c r="AS43" s="136"/>
      <c r="AT43" s="66">
        <f t="shared" si="69"/>
        <v>-9.6491228070175405E-2</v>
      </c>
      <c r="AU43" s="66">
        <f t="shared" si="69"/>
        <v>-0.13636363636363635</v>
      </c>
      <c r="AV43" s="66">
        <f t="shared" si="69"/>
        <v>-0.160377358490566</v>
      </c>
      <c r="AW43" s="66">
        <f t="shared" si="69"/>
        <v>-0.28682170542635699</v>
      </c>
      <c r="AX43" s="136">
        <f t="shared" si="69"/>
        <v>-0.17429193899782136</v>
      </c>
      <c r="AY43" s="66">
        <f t="shared" si="69"/>
        <v>-0.18446601941747576</v>
      </c>
      <c r="AZ43" s="66">
        <f t="shared" si="69"/>
        <v>-0.68421052631578949</v>
      </c>
      <c r="BA43" s="66">
        <f t="shared" si="69"/>
        <v>-0.66292134831460681</v>
      </c>
      <c r="BB43" s="66">
        <f ca="1">BB22/AW22-1</f>
        <v>-0.61956521739115589</v>
      </c>
      <c r="BC43" s="136">
        <f ca="1">BC22/AX22-1</f>
        <v>-0.52770448548809068</v>
      </c>
      <c r="BD43" s="66">
        <f t="shared" si="70"/>
        <v>-0.36904761904761907</v>
      </c>
      <c r="BE43" s="66">
        <f t="shared" si="70"/>
        <v>0.76666666666666661</v>
      </c>
      <c r="BF43" s="66">
        <f t="shared" si="70"/>
        <v>0.73333333333333339</v>
      </c>
      <c r="BG43" s="66">
        <f ca="1">BG22/BB22-1</f>
        <v>0.571428571427959</v>
      </c>
      <c r="BH43" s="136">
        <f ca="1">BH22/BC22-1</f>
        <v>0.18994413407812183</v>
      </c>
      <c r="BI43" s="66">
        <f t="shared" si="70"/>
        <v>0.20754716981132093</v>
      </c>
      <c r="BJ43" s="66">
        <f t="shared" si="70"/>
        <v>8.9245283018867934</v>
      </c>
      <c r="BK43" s="66">
        <f t="shared" si="70"/>
        <v>9.1730769230769216</v>
      </c>
      <c r="BL43" s="66">
        <f t="shared" si="70"/>
        <v>8.3636363636363633</v>
      </c>
      <c r="BM43" s="136">
        <f t="shared" si="70"/>
        <v>6.671361502347418</v>
      </c>
      <c r="BN43" s="66">
        <f t="shared" si="71"/>
        <v>7.046875</v>
      </c>
      <c r="BO43" s="66">
        <f t="shared" si="71"/>
        <v>-5.7034220532320434E-3</v>
      </c>
      <c r="BP43" s="66">
        <f t="shared" si="71"/>
        <v>-3.2136105860113395E-2</v>
      </c>
      <c r="BQ43" s="66">
        <f t="shared" si="71"/>
        <v>9.1262135922330234E-2</v>
      </c>
      <c r="BR43" s="136">
        <f t="shared" si="71"/>
        <v>0.29253365973072198</v>
      </c>
      <c r="BS43" s="66">
        <f t="shared" si="71"/>
        <v>0.36893203883495151</v>
      </c>
      <c r="BT43" s="66">
        <f t="shared" si="71"/>
        <v>0.43403441682600397</v>
      </c>
      <c r="BU43" s="66">
        <f t="shared" si="71"/>
        <v>0.435546875</v>
      </c>
      <c r="BV43" s="66">
        <f t="shared" si="71"/>
        <v>0.51245551601423478</v>
      </c>
      <c r="BW43" s="136">
        <f t="shared" si="71"/>
        <v>0.43939393939393945</v>
      </c>
      <c r="BX43" s="66">
        <f t="shared" si="72"/>
        <v>0.11489361702127643</v>
      </c>
      <c r="BY43" s="66">
        <f t="shared" si="72"/>
        <v>5.600000000000005E-2</v>
      </c>
      <c r="BZ43" s="66">
        <f t="shared" si="72"/>
        <v>0.18231292517006814</v>
      </c>
      <c r="CA43" s="66">
        <f t="shared" si="72"/>
        <v>9.5294117647058751E-2</v>
      </c>
      <c r="CB43" s="136">
        <f t="shared" si="72"/>
        <v>0.11118421052631589</v>
      </c>
      <c r="CC43" s="66">
        <f t="shared" si="72"/>
        <v>0.14249363867684472</v>
      </c>
      <c r="CD43" s="66">
        <f t="shared" si="72"/>
        <v>1.388888888888884E-2</v>
      </c>
      <c r="CE43" s="66">
        <f t="shared" si="72"/>
        <v>-9.6662830840046121E-2</v>
      </c>
      <c r="CF43" s="66">
        <f t="shared" si="72"/>
        <v>-1.0966702470461869</v>
      </c>
      <c r="CG43" s="136">
        <f t="shared" si="72"/>
        <v>-0.29070455891059799</v>
      </c>
      <c r="CH43" s="66">
        <f t="shared" si="73"/>
        <v>-7.1269487750556748E-2</v>
      </c>
      <c r="CI43" s="66">
        <f t="shared" si="73"/>
        <v>6.7247820672478253E-2</v>
      </c>
      <c r="CJ43" s="66">
        <f t="shared" si="73"/>
        <v>2.0382165605095537E-2</v>
      </c>
      <c r="CK43" s="66">
        <f t="shared" si="73"/>
        <v>-22.511111111111116</v>
      </c>
      <c r="CL43" s="136">
        <f>CL22/CG22-1</f>
        <v>0.84808013355592693</v>
      </c>
      <c r="CM43" s="196">
        <v>0</v>
      </c>
      <c r="CN43" s="196">
        <v>0</v>
      </c>
      <c r="CO43" s="196">
        <v>0</v>
      </c>
      <c r="CP43" s="196">
        <v>0</v>
      </c>
      <c r="CQ43" s="136">
        <f>CQ22/CL22-1</f>
        <v>0</v>
      </c>
      <c r="CR43" s="196">
        <v>0</v>
      </c>
      <c r="CS43" s="196">
        <v>0</v>
      </c>
      <c r="CT43" s="196">
        <v>0</v>
      </c>
      <c r="CU43" s="196">
        <v>0</v>
      </c>
      <c r="CV43" s="136">
        <f>CV22/CQ22-1</f>
        <v>0</v>
      </c>
      <c r="CW43" s="196">
        <v>0</v>
      </c>
      <c r="CX43" s="196">
        <v>0</v>
      </c>
      <c r="CY43" s="196">
        <v>0</v>
      </c>
      <c r="CZ43" s="196">
        <v>0</v>
      </c>
      <c r="DA43" s="136">
        <f>DA22/CV22-1</f>
        <v>0</v>
      </c>
      <c r="DB43" s="196">
        <v>0</v>
      </c>
      <c r="DC43" s="196">
        <v>0</v>
      </c>
      <c r="DD43" s="196">
        <v>0</v>
      </c>
      <c r="DE43" s="196">
        <v>0</v>
      </c>
      <c r="DF43" s="136">
        <f>DF22/DA22-1</f>
        <v>0</v>
      </c>
    </row>
    <row r="44" spans="1:110" outlineLevel="1" x14ac:dyDescent="0.2">
      <c r="A44" s="77"/>
      <c r="B44" s="169" t="s">
        <v>759</v>
      </c>
      <c r="C44" s="192"/>
      <c r="D44" s="192"/>
      <c r="E44" s="78"/>
      <c r="F44" s="78"/>
      <c r="G44" s="78"/>
      <c r="H44" s="78"/>
      <c r="I44" s="78"/>
      <c r="J44" s="67"/>
      <c r="K44" s="67"/>
      <c r="L44" s="67"/>
      <c r="M44" s="67"/>
      <c r="N44" s="67"/>
      <c r="O44" s="67"/>
      <c r="P44" s="67"/>
      <c r="Q44" s="67"/>
      <c r="R44" s="67"/>
      <c r="S44" s="66"/>
      <c r="T44" s="136"/>
      <c r="U44" s="66"/>
      <c r="V44" s="66"/>
      <c r="W44" s="66"/>
      <c r="X44" s="66"/>
      <c r="Y44" s="136"/>
      <c r="Z44" s="66"/>
      <c r="AA44" s="66"/>
      <c r="AB44" s="66"/>
      <c r="AC44" s="66"/>
      <c r="AD44" s="136"/>
      <c r="AE44" s="66"/>
      <c r="AF44" s="66"/>
      <c r="AG44" s="66"/>
      <c r="AH44" s="66"/>
      <c r="AI44" s="136"/>
      <c r="AJ44" s="66"/>
      <c r="AK44" s="66"/>
      <c r="AL44" s="66"/>
      <c r="AM44" s="66"/>
      <c r="AN44" s="136"/>
      <c r="AO44" s="66"/>
      <c r="AP44" s="66"/>
      <c r="AQ44" s="66"/>
      <c r="AR44" s="66"/>
      <c r="AS44" s="136"/>
      <c r="AT44" s="66"/>
      <c r="AU44" s="66"/>
      <c r="AV44" s="66"/>
      <c r="AW44" s="66"/>
      <c r="AX44" s="136"/>
      <c r="AY44" s="66"/>
      <c r="AZ44" s="66"/>
      <c r="BA44" s="66"/>
      <c r="BB44" s="66"/>
      <c r="BC44" s="136"/>
      <c r="BD44" s="66"/>
      <c r="BE44" s="66"/>
      <c r="BF44" s="66"/>
      <c r="BG44" s="66"/>
      <c r="BH44" s="136"/>
      <c r="BI44" s="66"/>
      <c r="BJ44" s="66"/>
      <c r="BK44" s="66"/>
      <c r="BL44" s="66"/>
      <c r="BM44" s="136"/>
      <c r="BN44" s="66"/>
      <c r="BO44" s="66"/>
      <c r="BP44" s="66"/>
      <c r="BQ44" s="66"/>
      <c r="BR44" s="136"/>
      <c r="BS44" s="66"/>
      <c r="BT44" s="66"/>
      <c r="BU44" s="66"/>
      <c r="BV44" s="66"/>
      <c r="BW44" s="136"/>
      <c r="BX44" s="66"/>
      <c r="BY44" s="66"/>
      <c r="BZ44" s="66"/>
      <c r="CA44" s="66"/>
      <c r="CB44" s="136"/>
      <c r="CC44" s="66"/>
      <c r="CD44" s="66"/>
      <c r="CE44" s="66"/>
      <c r="CF44" s="66"/>
      <c r="CG44" s="136"/>
      <c r="CH44" s="66"/>
      <c r="CI44" s="66"/>
      <c r="CJ44" s="66"/>
      <c r="CK44" s="66"/>
      <c r="CL44" s="136"/>
      <c r="CM44" s="196"/>
      <c r="CN44" s="196"/>
      <c r="CO44" s="196"/>
      <c r="CP44" s="196"/>
      <c r="CQ44" s="136"/>
      <c r="CR44" s="196"/>
      <c r="CS44" s="196"/>
      <c r="CT44" s="196"/>
      <c r="CU44" s="196"/>
      <c r="CV44" s="136"/>
      <c r="CW44" s="196"/>
      <c r="CX44" s="196"/>
      <c r="CY44" s="196"/>
      <c r="CZ44" s="196"/>
      <c r="DA44" s="136"/>
      <c r="DB44" s="196"/>
      <c r="DC44" s="196"/>
      <c r="DD44" s="196"/>
      <c r="DE44" s="196"/>
      <c r="DF44" s="136"/>
    </row>
    <row r="45" spans="1:110" outlineLevel="1" x14ac:dyDescent="0.2">
      <c r="A45" s="77"/>
      <c r="B45" s="169" t="s">
        <v>157</v>
      </c>
      <c r="C45" s="192"/>
      <c r="D45" s="192"/>
      <c r="E45" s="78"/>
      <c r="F45" s="78"/>
      <c r="G45" s="78"/>
      <c r="H45" s="78"/>
      <c r="I45" s="78"/>
      <c r="J45" s="67"/>
      <c r="K45" s="67"/>
      <c r="L45" s="67"/>
      <c r="M45" s="67"/>
      <c r="N45" s="67"/>
      <c r="O45" s="67"/>
      <c r="P45" s="67"/>
      <c r="Q45" s="67"/>
      <c r="R45" s="67"/>
      <c r="S45" s="66"/>
      <c r="T45" s="136"/>
      <c r="U45" s="66"/>
      <c r="V45" s="66"/>
      <c r="W45" s="66"/>
      <c r="X45" s="66"/>
      <c r="Y45" s="136"/>
      <c r="Z45" s="66"/>
      <c r="AA45" s="66"/>
      <c r="AB45" s="66"/>
      <c r="AC45" s="66"/>
      <c r="AD45" s="136"/>
      <c r="AE45" s="66"/>
      <c r="AF45" s="66"/>
      <c r="AG45" s="66"/>
      <c r="AH45" s="66"/>
      <c r="AI45" s="136"/>
      <c r="AJ45" s="66"/>
      <c r="AK45" s="66"/>
      <c r="AL45" s="66"/>
      <c r="AM45" s="66"/>
      <c r="AN45" s="136"/>
      <c r="AO45" s="66"/>
      <c r="AP45" s="66"/>
      <c r="AQ45" s="66"/>
      <c r="AR45" s="66"/>
      <c r="AS45" s="136"/>
      <c r="AT45" s="66">
        <f t="shared" ref="AT45:BI45" si="74">AT24/AO24-1</f>
        <v>-0.14305440486053567</v>
      </c>
      <c r="AU45" s="66">
        <f t="shared" si="74"/>
        <v>-0.13573788546255505</v>
      </c>
      <c r="AV45" s="66">
        <f t="shared" si="74"/>
        <v>-2.952646239554324E-2</v>
      </c>
      <c r="AW45" s="66">
        <f t="shared" si="74"/>
        <v>-4.1511771995043523E-2</v>
      </c>
      <c r="AX45" s="136">
        <f t="shared" si="74"/>
        <v>-8.8906261104399031E-2</v>
      </c>
      <c r="AY45" s="66">
        <f t="shared" si="74"/>
        <v>7.1543667418627166E-2</v>
      </c>
      <c r="AZ45" s="66">
        <f t="shared" si="74"/>
        <v>7.4227460974832793E-2</v>
      </c>
      <c r="BA45" s="66">
        <f t="shared" si="74"/>
        <v>9.7014925373134275E-2</v>
      </c>
      <c r="BB45" s="66">
        <f ca="1">BB24/AW24-1</f>
        <v>3.0704589528123938E-2</v>
      </c>
      <c r="BC45" s="136">
        <f ca="1">BC24/AX24-1</f>
        <v>6.9266770670828093E-2</v>
      </c>
      <c r="BD45" s="66">
        <f t="shared" si="74"/>
        <v>-9.5939849624060103E-2</v>
      </c>
      <c r="BE45" s="66">
        <f t="shared" si="74"/>
        <v>-1.6607354685646447E-2</v>
      </c>
      <c r="BF45" s="66">
        <f t="shared" si="74"/>
        <v>-0.12140240711669281</v>
      </c>
      <c r="BG45" s="66">
        <f ca="1">BG24/BB24-1</f>
        <v>4.2960175603632411E-2</v>
      </c>
      <c r="BH45" s="136">
        <f ca="1">BH24/BC24-1</f>
        <v>-5.1210971695361485E-2</v>
      </c>
      <c r="BI45" s="66">
        <f t="shared" si="74"/>
        <v>0.25748502994011968</v>
      </c>
      <c r="BJ45" s="66">
        <f>BJ24/BE24-1</f>
        <v>0.92521109770808185</v>
      </c>
      <c r="BK45" s="66">
        <f>BK24/BF24-1</f>
        <v>0.94818344252531239</v>
      </c>
      <c r="BL45" s="66">
        <f>BL24/BG24-1</f>
        <v>0.83854479855682551</v>
      </c>
      <c r="BM45" s="136">
        <f t="shared" ref="BM45:BR45" si="75">BM24/BH24-1</f>
        <v>0.7546516992157466</v>
      </c>
      <c r="BN45" s="66">
        <f t="shared" si="75"/>
        <v>0.33148148148148149</v>
      </c>
      <c r="BO45" s="66">
        <f t="shared" si="75"/>
        <v>-0.12938596491228072</v>
      </c>
      <c r="BP45" s="66">
        <f t="shared" si="75"/>
        <v>-0.10593090797921101</v>
      </c>
      <c r="BQ45" s="66">
        <f t="shared" si="75"/>
        <v>-6.9337694194603228E-2</v>
      </c>
      <c r="BR45" s="136">
        <f t="shared" si="75"/>
        <v>-3.023530958327858E-2</v>
      </c>
      <c r="BS45" s="66">
        <f t="shared" ref="BS45:BU45" si="76">BS24/BN24-1</f>
        <v>0.14603616133518771</v>
      </c>
      <c r="BT45" s="66">
        <f t="shared" si="76"/>
        <v>0.14177761784814691</v>
      </c>
      <c r="BU45" s="66">
        <f t="shared" si="76"/>
        <v>0.1034364848692082</v>
      </c>
      <c r="BV45" s="66">
        <f t="shared" ref="BV45:DF45" si="77">BV24/BQ24-1</f>
        <v>0.14338429098576677</v>
      </c>
      <c r="BW45" s="136">
        <f t="shared" si="77"/>
        <v>0.1330260720256653</v>
      </c>
      <c r="BX45" s="66">
        <f t="shared" si="77"/>
        <v>0.12552011095700433</v>
      </c>
      <c r="BY45" s="66">
        <f t="shared" si="77"/>
        <v>9.3602269145918626E-2</v>
      </c>
      <c r="BZ45" s="66">
        <f t="shared" si="77"/>
        <v>0.10195227765726678</v>
      </c>
      <c r="CA45" s="66">
        <f t="shared" si="77"/>
        <v>0.1327800829875514</v>
      </c>
      <c r="CB45" s="136">
        <f t="shared" si="77"/>
        <v>0.11326021934197406</v>
      </c>
      <c r="CC45" s="66">
        <f t="shared" si="77"/>
        <v>0.29051139864448539</v>
      </c>
      <c r="CD45" s="66">
        <f t="shared" si="77"/>
        <v>0.42420749279538894</v>
      </c>
      <c r="CE45" s="66">
        <f t="shared" si="77"/>
        <v>0.40705849268841421</v>
      </c>
      <c r="CF45" s="66">
        <f t="shared" si="77"/>
        <v>0.29032695699362399</v>
      </c>
      <c r="CG45" s="136">
        <f t="shared" si="77"/>
        <v>0.35339423249149204</v>
      </c>
      <c r="CH45" s="66">
        <f t="shared" si="77"/>
        <v>0.30532346622105533</v>
      </c>
      <c r="CI45" s="66">
        <f t="shared" si="77"/>
        <v>0.23006879805746649</v>
      </c>
      <c r="CJ45" s="66">
        <f t="shared" si="77"/>
        <v>0.2094533826321574</v>
      </c>
      <c r="CK45" s="66">
        <f t="shared" si="77"/>
        <v>0.35096204394911235</v>
      </c>
      <c r="CL45" s="136">
        <f t="shared" si="77"/>
        <v>0.27173107464266821</v>
      </c>
      <c r="CM45" s="66">
        <f t="shared" si="77"/>
        <v>0.50292611558156541</v>
      </c>
      <c r="CN45" s="66">
        <f t="shared" si="77"/>
        <v>0.45237703569666055</v>
      </c>
      <c r="CO45" s="66">
        <f t="shared" si="77"/>
        <v>0.45443278525985287</v>
      </c>
      <c r="CP45" s="66">
        <f t="shared" si="77"/>
        <v>0.4280488753988636</v>
      </c>
      <c r="CQ45" s="136">
        <f t="shared" si="77"/>
        <v>0.45789451775381917</v>
      </c>
      <c r="CR45" s="66">
        <f t="shared" si="77"/>
        <v>3.3463129715259221E-2</v>
      </c>
      <c r="CS45" s="66">
        <f t="shared" si="77"/>
        <v>3.11473553063768E-2</v>
      </c>
      <c r="CT45" s="66">
        <f t="shared" si="77"/>
        <v>3.1244674203260825E-2</v>
      </c>
      <c r="CU45" s="66">
        <f t="shared" si="77"/>
        <v>2.9974385525096681E-2</v>
      </c>
      <c r="CV45" s="136">
        <f t="shared" si="77"/>
        <v>3.1407931930445665E-2</v>
      </c>
      <c r="CW45" s="66">
        <f t="shared" si="77"/>
        <v>3.5617567408454009E-2</v>
      </c>
      <c r="CX45" s="66">
        <f t="shared" si="77"/>
        <v>3.3227152899824253E-2</v>
      </c>
      <c r="CY45" s="66">
        <f t="shared" si="77"/>
        <v>3.3327824601994127E-2</v>
      </c>
      <c r="CZ45" s="66">
        <f t="shared" si="77"/>
        <v>3.2012275781787336E-2</v>
      </c>
      <c r="DA45" s="136">
        <f t="shared" si="77"/>
        <v>3.3496664175179269E-2</v>
      </c>
      <c r="DB45" s="66">
        <f t="shared" si="77"/>
        <v>3.7831845830254007E-2</v>
      </c>
      <c r="DC45" s="66">
        <f t="shared" si="77"/>
        <v>3.5374475097007307E-2</v>
      </c>
      <c r="DD45" s="66">
        <f t="shared" si="77"/>
        <v>3.5478195969719462E-2</v>
      </c>
      <c r="DE45" s="66">
        <f t="shared" si="77"/>
        <v>3.4121205906480823E-2</v>
      </c>
      <c r="DF45" s="136">
        <f t="shared" si="77"/>
        <v>3.5652104036643317E-2</v>
      </c>
    </row>
    <row r="46" spans="1:110" outlineLevel="1" x14ac:dyDescent="0.2">
      <c r="A46" s="77"/>
      <c r="B46" s="169"/>
      <c r="C46" s="192"/>
      <c r="D46" s="192"/>
      <c r="E46" s="78"/>
      <c r="F46" s="78"/>
      <c r="G46" s="78"/>
      <c r="H46" s="78"/>
      <c r="I46" s="78"/>
      <c r="J46" s="67"/>
      <c r="K46" s="67"/>
      <c r="L46" s="67"/>
      <c r="M46" s="67"/>
      <c r="N46" s="67"/>
      <c r="O46" s="67"/>
      <c r="P46" s="67"/>
      <c r="Q46" s="67"/>
      <c r="R46" s="67"/>
      <c r="S46" s="66"/>
      <c r="T46" s="136"/>
      <c r="U46" s="66"/>
      <c r="V46" s="66"/>
      <c r="W46" s="66"/>
      <c r="X46" s="66"/>
      <c r="Y46" s="136"/>
      <c r="Z46" s="66"/>
      <c r="AA46" s="66"/>
      <c r="AB46" s="66"/>
      <c r="AC46" s="66"/>
      <c r="AD46" s="136"/>
      <c r="AE46" s="66"/>
      <c r="AF46" s="66"/>
      <c r="AG46" s="66"/>
      <c r="AH46" s="66"/>
      <c r="AI46" s="136"/>
      <c r="AJ46" s="66"/>
      <c r="AK46" s="66"/>
      <c r="AL46" s="66"/>
      <c r="AM46" s="66"/>
      <c r="AN46" s="136"/>
      <c r="AO46" s="66"/>
      <c r="AP46" s="66"/>
      <c r="AQ46" s="66"/>
      <c r="AR46" s="66"/>
      <c r="AS46" s="136"/>
      <c r="AT46" s="66"/>
      <c r="AU46" s="66"/>
      <c r="AV46" s="66"/>
      <c r="AW46" s="66"/>
      <c r="AX46" s="136"/>
      <c r="AY46" s="66"/>
      <c r="AZ46" s="66"/>
      <c r="BA46" s="66"/>
      <c r="BB46" s="66"/>
      <c r="BC46" s="136"/>
      <c r="BD46" s="66"/>
      <c r="BE46" s="66"/>
      <c r="BF46" s="66"/>
      <c r="BG46" s="66"/>
      <c r="BH46" s="136"/>
      <c r="BI46" s="66"/>
      <c r="BJ46" s="66"/>
      <c r="BK46" s="66"/>
      <c r="BL46" s="66"/>
      <c r="BM46" s="136"/>
      <c r="BN46" s="66"/>
      <c r="BO46" s="66"/>
      <c r="BP46" s="66"/>
      <c r="BQ46" s="66"/>
      <c r="BR46" s="136"/>
      <c r="BS46" s="66"/>
      <c r="BT46" s="66"/>
      <c r="BU46" s="66"/>
      <c r="BV46" s="66"/>
      <c r="BW46" s="136"/>
      <c r="BX46" s="66"/>
      <c r="BY46" s="66"/>
      <c r="BZ46" s="66"/>
      <c r="CA46" s="66"/>
      <c r="CB46" s="136"/>
      <c r="CC46" s="66"/>
      <c r="CD46" s="66"/>
      <c r="CE46" s="66"/>
      <c r="CF46" s="66"/>
      <c r="CG46" s="136"/>
      <c r="CH46" s="66"/>
      <c r="CI46" s="66"/>
      <c r="CJ46" s="66"/>
      <c r="CK46" s="66"/>
      <c r="CL46" s="136"/>
      <c r="CM46" s="66"/>
      <c r="CN46" s="66"/>
      <c r="CO46" s="66"/>
      <c r="CP46" s="66"/>
      <c r="CQ46" s="136"/>
      <c r="CR46" s="66"/>
      <c r="CS46" s="66"/>
      <c r="CT46" s="66"/>
      <c r="CU46" s="66"/>
      <c r="CV46" s="136"/>
      <c r="CW46" s="66"/>
      <c r="CX46" s="66"/>
      <c r="CY46" s="66"/>
      <c r="CZ46" s="66"/>
      <c r="DA46" s="136"/>
      <c r="DB46" s="66"/>
      <c r="DC46" s="66"/>
      <c r="DD46" s="66"/>
      <c r="DE46" s="66"/>
      <c r="DF46" s="136"/>
    </row>
    <row r="47" spans="1:110" ht="12" outlineLevel="1" thickBot="1" x14ac:dyDescent="0.25">
      <c r="A47" s="77"/>
      <c r="B47" s="186" t="s">
        <v>162</v>
      </c>
      <c r="C47" s="187"/>
      <c r="D47" s="187"/>
      <c r="E47" s="189"/>
      <c r="F47" s="189"/>
      <c r="G47" s="189"/>
      <c r="H47" s="189"/>
      <c r="I47" s="197"/>
      <c r="J47" s="140">
        <v>0.41612389930370997</v>
      </c>
      <c r="K47" s="140">
        <v>0.31529576505902912</v>
      </c>
      <c r="L47" s="140">
        <v>0.50767435433128827</v>
      </c>
      <c r="M47" s="140">
        <v>0.4290538313998189</v>
      </c>
      <c r="N47" s="140">
        <v>0.42285959690357999</v>
      </c>
      <c r="O47" s="140">
        <v>0.42065713309305619</v>
      </c>
      <c r="P47" s="140">
        <v>0.16876479670612476</v>
      </c>
      <c r="Q47" s="140">
        <v>-2.2368283615290308E-2</v>
      </c>
      <c r="R47" s="140">
        <v>-5.3777583449885702E-2</v>
      </c>
      <c r="S47" s="140">
        <v>0.30329409576093802</v>
      </c>
      <c r="T47" s="141">
        <v>8.2735526596086517E-2</v>
      </c>
      <c r="U47" s="140">
        <v>0.12362036112647079</v>
      </c>
      <c r="V47" s="140">
        <v>0.13287341445024792</v>
      </c>
      <c r="W47" s="140">
        <v>0.15818959093520757</v>
      </c>
      <c r="X47" s="140">
        <v>0.12959382058705105</v>
      </c>
      <c r="Y47" s="141">
        <v>0.13597495800885628</v>
      </c>
      <c r="Z47" s="140">
        <v>7.4686679187088822E-2</v>
      </c>
      <c r="AA47" s="140">
        <v>5.9801409826331087E-2</v>
      </c>
      <c r="AB47" s="140">
        <v>3.7926283926628557E-2</v>
      </c>
      <c r="AC47" s="140">
        <v>0.18165712060530859</v>
      </c>
      <c r="AD47" s="141">
        <v>9.0086699374958057E-2</v>
      </c>
      <c r="AE47" s="140">
        <v>0.14086634888385285</v>
      </c>
      <c r="AF47" s="140">
        <v>0.12088329995182923</v>
      </c>
      <c r="AG47" s="140">
        <v>0.1254288387566278</v>
      </c>
      <c r="AH47" s="140">
        <v>-1.1654045088496434E-2</v>
      </c>
      <c r="AI47" s="141">
        <v>9.4713737869464909E-2</v>
      </c>
      <c r="AJ47" s="140">
        <f t="shared" ref="AJ47:AN47" si="78">AJ26/AE26-1</f>
        <v>0.2500513710358685</v>
      </c>
      <c r="AK47" s="140">
        <f t="shared" si="78"/>
        <v>0.24276763701341286</v>
      </c>
      <c r="AL47" s="140">
        <f t="shared" si="78"/>
        <v>0.2432220220775021</v>
      </c>
      <c r="AM47" s="140">
        <f t="shared" si="78"/>
        <v>0.22651091924834943</v>
      </c>
      <c r="AN47" s="141">
        <f t="shared" si="78"/>
        <v>0.23383045349072984</v>
      </c>
      <c r="AO47" s="140">
        <f t="shared" ref="AO47:BT47" ca="1" si="79">AO26/AJ26-1</f>
        <v>2.8675275337437522E-3</v>
      </c>
      <c r="AP47" s="140">
        <f t="shared" ca="1" si="79"/>
        <v>6.6249271986020819E-3</v>
      </c>
      <c r="AQ47" s="140">
        <f t="shared" ca="1" si="79"/>
        <v>1.2464241928892505E-2</v>
      </c>
      <c r="AR47" s="140">
        <f t="shared" ca="1" si="79"/>
        <v>-8.7496624358628372E-3</v>
      </c>
      <c r="AS47" s="141">
        <f t="shared" ca="1" si="79"/>
        <v>3.2226553584633333E-3</v>
      </c>
      <c r="AT47" s="140">
        <f t="shared" ca="1" si="79"/>
        <v>-1.2384352006993504E-2</v>
      </c>
      <c r="AU47" s="140">
        <f t="shared" ca="1" si="79"/>
        <v>-4.9721559268096627E-3</v>
      </c>
      <c r="AV47" s="140">
        <f t="shared" ca="1" si="79"/>
        <v>3.0987982753875709E-2</v>
      </c>
      <c r="AW47" s="140">
        <f t="shared" ca="1" si="79"/>
        <v>0.49165440709057551</v>
      </c>
      <c r="AX47" s="141">
        <f t="shared" ca="1" si="79"/>
        <v>0.12650832650832666</v>
      </c>
      <c r="AY47" s="140">
        <f t="shared" ca="1" si="79"/>
        <v>1.0602640702220252</v>
      </c>
      <c r="AZ47" s="140">
        <f t="shared" ca="1" si="79"/>
        <v>1.0510057601802556</v>
      </c>
      <c r="BA47" s="140">
        <f t="shared" ca="1" si="79"/>
        <v>1.0073851300850629</v>
      </c>
      <c r="BB47" s="140">
        <f t="shared" ca="1" si="79"/>
        <v>0.37864822413520205</v>
      </c>
      <c r="BC47" s="141">
        <f t="shared" ca="1" si="79"/>
        <v>0.82009742148119402</v>
      </c>
      <c r="BD47" s="140">
        <f t="shared" ca="1" si="79"/>
        <v>-4.4216103970496912E-3</v>
      </c>
      <c r="BE47" s="140">
        <f t="shared" ca="1" si="79"/>
        <v>9.0898620573562905E-3</v>
      </c>
      <c r="BF47" s="140">
        <f t="shared" ca="1" si="79"/>
        <v>2.8297119757453082E-2</v>
      </c>
      <c r="BG47" s="140">
        <f t="shared" ca="1" si="79"/>
        <v>7.3939961316646929E-2</v>
      </c>
      <c r="BH47" s="141">
        <f t="shared" ca="1" si="79"/>
        <v>2.6842599311625692E-2</v>
      </c>
      <c r="BI47" s="140">
        <f t="shared" ca="1" si="79"/>
        <v>9.3329137822529828E-2</v>
      </c>
      <c r="BJ47" s="140">
        <f t="shared" ca="1" si="79"/>
        <v>1.417325876434385</v>
      </c>
      <c r="BK47" s="140">
        <f t="shared" ca="1" si="79"/>
        <v>1.313780766412346</v>
      </c>
      <c r="BL47" s="140">
        <f t="shared" ca="1" si="79"/>
        <v>1.2565317148989714</v>
      </c>
      <c r="BM47" s="141">
        <f t="shared" ca="1" si="79"/>
        <v>1.0308499901669035</v>
      </c>
      <c r="BN47" s="140">
        <f t="shared" ca="1" si="79"/>
        <v>1.1454884837720272</v>
      </c>
      <c r="BO47" s="140">
        <f t="shared" ca="1" si="79"/>
        <v>-3.921098604951867E-2</v>
      </c>
      <c r="BP47" s="140">
        <f t="shared" ca="1" si="79"/>
        <v>-3.3332463941994184E-2</v>
      </c>
      <c r="BQ47" s="140">
        <f t="shared" ca="1" si="79"/>
        <v>-5.9378696314420387E-2</v>
      </c>
      <c r="BR47" s="141">
        <f t="shared" ca="1" si="79"/>
        <v>0.10989321379525796</v>
      </c>
      <c r="BS47" s="140">
        <f t="shared" ca="1" si="79"/>
        <v>-9.1140792978556262E-2</v>
      </c>
      <c r="BT47" s="140">
        <f t="shared" ca="1" si="79"/>
        <v>-4.967206607821284E-2</v>
      </c>
      <c r="BU47" s="140">
        <f t="shared" ref="BU47:CZ47" ca="1" si="80">BU26/BP26-1</f>
        <v>-5.2844384657783072E-3</v>
      </c>
      <c r="BV47" s="140">
        <f t="shared" ca="1" si="80"/>
        <v>2.0519413264947994E-2</v>
      </c>
      <c r="BW47" s="141">
        <f t="shared" ca="1" si="80"/>
        <v>-3.1634974450590936E-2</v>
      </c>
      <c r="BX47" s="140">
        <f t="shared" ca="1" si="80"/>
        <v>5.1021569991776872E-2</v>
      </c>
      <c r="BY47" s="140">
        <f t="shared" ca="1" si="80"/>
        <v>1.3464866047455448E-2</v>
      </c>
      <c r="BZ47" s="140">
        <f t="shared" ca="1" si="80"/>
        <v>-2.1722788390746817E-2</v>
      </c>
      <c r="CA47" s="140">
        <f t="shared" ca="1" si="80"/>
        <v>-5.330397312021784E-3</v>
      </c>
      <c r="CB47" s="141">
        <f t="shared" ca="1" si="80"/>
        <v>8.3901405452502242E-3</v>
      </c>
      <c r="CC47" s="140">
        <f t="shared" ca="1" si="80"/>
        <v>-3.903961738767725E-3</v>
      </c>
      <c r="CD47" s="140">
        <f t="shared" ca="1" si="80"/>
        <v>-7.8616845906271937E-3</v>
      </c>
      <c r="CE47" s="140">
        <f t="shared" ca="1" si="80"/>
        <v>8.6784650484821313E-3</v>
      </c>
      <c r="CF47" s="140">
        <f t="shared" ca="1" si="80"/>
        <v>-4.8871907813627491E-2</v>
      </c>
      <c r="CG47" s="141">
        <f t="shared" ca="1" si="80"/>
        <v>-1.3342575964511494E-2</v>
      </c>
      <c r="CH47" s="140">
        <f t="shared" ca="1" si="80"/>
        <v>-4.6644458855800153E-3</v>
      </c>
      <c r="CI47" s="140">
        <f t="shared" ca="1" si="80"/>
        <v>4.9529822729124096E-3</v>
      </c>
      <c r="CJ47" s="140">
        <f t="shared" ca="1" si="80"/>
        <v>-2.85366476212916E-2</v>
      </c>
      <c r="CK47" s="140">
        <f t="shared" ca="1" si="80"/>
        <v>1.5128249193487875E-2</v>
      </c>
      <c r="CL47" s="141">
        <f t="shared" ca="1" si="80"/>
        <v>-3.3867098242796878E-3</v>
      </c>
      <c r="CM47" s="140">
        <f t="shared" ca="1" si="80"/>
        <v>7.263457409934837E-3</v>
      </c>
      <c r="CN47" s="140">
        <f t="shared" ca="1" si="80"/>
        <v>5.8770589168148923E-3</v>
      </c>
      <c r="CO47" s="140">
        <f t="shared" ca="1" si="80"/>
        <v>3.1931950540282417E-2</v>
      </c>
      <c r="CP47" s="140">
        <f t="shared" ca="1" si="80"/>
        <v>3.134162113087946E-2</v>
      </c>
      <c r="CQ47" s="141">
        <f t="shared" ca="1" si="80"/>
        <v>1.908723460320072E-2</v>
      </c>
      <c r="CR47" s="140">
        <f t="shared" ca="1" si="80"/>
        <v>4.5227464725285271E-2</v>
      </c>
      <c r="CS47" s="140">
        <f t="shared" ca="1" si="80"/>
        <v>5.0153106084045662E-2</v>
      </c>
      <c r="CT47" s="140">
        <f t="shared" ca="1" si="80"/>
        <v>5.2467807620217632E-2</v>
      </c>
      <c r="CU47" s="140">
        <f t="shared" ca="1" si="80"/>
        <v>5.2306122931848664E-2</v>
      </c>
      <c r="CV47" s="141">
        <f t="shared" ca="1" si="80"/>
        <v>5.0081209199732246E-2</v>
      </c>
      <c r="CW47" s="140">
        <f t="shared" ca="1" si="80"/>
        <v>-5.4324165185324791E-2</v>
      </c>
      <c r="CX47" s="140">
        <f t="shared" ca="1" si="80"/>
        <v>-5.3967070156643371E-2</v>
      </c>
      <c r="CY47" s="140">
        <f t="shared" ca="1" si="80"/>
        <v>-5.219688530773603E-2</v>
      </c>
      <c r="CZ47" s="140">
        <f t="shared" ca="1" si="80"/>
        <v>-5.3842607121025843E-2</v>
      </c>
      <c r="DA47" s="141">
        <f t="shared" ref="DA47:DF47" ca="1" si="81">DA26/CV26-1</f>
        <v>-5.3578077113976108E-2</v>
      </c>
      <c r="DB47" s="140">
        <f t="shared" ca="1" si="81"/>
        <v>-5.0379624689610658E-2</v>
      </c>
      <c r="DC47" s="140">
        <f t="shared" ca="1" si="81"/>
        <v>-5.0079461663029901E-2</v>
      </c>
      <c r="DD47" s="140">
        <f t="shared" ca="1" si="81"/>
        <v>-4.8258661839919226E-2</v>
      </c>
      <c r="DE47" s="140">
        <f t="shared" ca="1" si="81"/>
        <v>-4.987789282082189E-2</v>
      </c>
      <c r="DF47" s="141">
        <f t="shared" ca="1" si="81"/>
        <v>-4.9643498195110491E-2</v>
      </c>
    </row>
    <row r="48" spans="1:110" outlineLevel="1" x14ac:dyDescent="0.2">
      <c r="A48" s="77"/>
      <c r="B48" s="25"/>
      <c r="C48" s="192"/>
      <c r="D48" s="192"/>
      <c r="E48" s="78"/>
      <c r="F48" s="78"/>
      <c r="G48" s="78"/>
      <c r="H48" s="78"/>
      <c r="I48" s="67"/>
      <c r="J48" s="67"/>
      <c r="K48" s="67"/>
      <c r="L48" s="67"/>
      <c r="M48" s="67"/>
      <c r="N48" s="67"/>
      <c r="O48" s="67"/>
      <c r="P48" s="67"/>
      <c r="Q48" s="67"/>
      <c r="R48" s="67"/>
      <c r="S48" s="67"/>
      <c r="T48" s="67"/>
      <c r="U48" s="67"/>
      <c r="V48" s="67"/>
      <c r="W48" s="67"/>
      <c r="X48" s="67"/>
      <c r="Y48" s="67"/>
      <c r="Z48" s="67"/>
      <c r="AA48" s="67"/>
      <c r="AB48" s="67"/>
      <c r="AC48" s="67"/>
      <c r="AD48" s="67"/>
      <c r="AE48" s="67"/>
      <c r="AF48" s="67"/>
      <c r="AG48" s="67"/>
      <c r="AH48" s="67"/>
      <c r="AI48" s="67"/>
      <c r="AJ48" s="67"/>
      <c r="AK48" s="67"/>
      <c r="AL48" s="67"/>
      <c r="AM48" s="67"/>
      <c r="AN48" s="67"/>
      <c r="AO48" s="67"/>
      <c r="AP48" s="67"/>
      <c r="AQ48" s="67"/>
      <c r="AR48" s="67"/>
      <c r="AS48" s="67"/>
      <c r="AT48" s="67"/>
      <c r="AU48" s="67"/>
      <c r="AV48" s="67"/>
      <c r="AW48" s="67"/>
      <c r="AX48" s="67"/>
      <c r="AY48" s="67"/>
      <c r="AZ48" s="67"/>
      <c r="BA48" s="67"/>
      <c r="BB48" s="67"/>
      <c r="BC48" s="67"/>
      <c r="BD48" s="67"/>
      <c r="BE48" s="67"/>
      <c r="BF48" s="67"/>
      <c r="BG48" s="67"/>
      <c r="BH48" s="67"/>
      <c r="BI48" s="67"/>
      <c r="BJ48" s="67"/>
      <c r="BK48" s="67"/>
      <c r="BL48" s="67"/>
      <c r="BM48" s="66"/>
      <c r="BN48" s="67"/>
      <c r="BO48" s="67"/>
      <c r="BP48" s="67"/>
      <c r="BQ48" s="67"/>
      <c r="BR48" s="67"/>
      <c r="BS48" s="67"/>
      <c r="BT48" s="67"/>
      <c r="BU48" s="67"/>
      <c r="BV48" s="67"/>
      <c r="BW48" s="67"/>
      <c r="BX48" s="67"/>
      <c r="BY48" s="67"/>
      <c r="BZ48" s="67"/>
      <c r="CA48" s="67"/>
      <c r="CB48" s="67"/>
      <c r="CC48" s="67"/>
      <c r="CD48" s="67"/>
      <c r="CE48" s="67"/>
      <c r="CF48" s="67"/>
      <c r="CG48" s="67"/>
      <c r="CH48" s="67"/>
      <c r="CI48" s="67"/>
      <c r="CJ48" s="67"/>
      <c r="CK48" s="67"/>
      <c r="CL48" s="67"/>
      <c r="CM48" s="67"/>
      <c r="CN48" s="67"/>
      <c r="CO48" s="67"/>
      <c r="CP48" s="67"/>
      <c r="CQ48" s="67"/>
      <c r="CR48" s="67"/>
      <c r="CS48" s="67"/>
      <c r="CT48" s="67"/>
      <c r="CU48" s="67"/>
      <c r="CV48" s="67"/>
      <c r="CW48" s="67"/>
      <c r="CX48" s="67"/>
      <c r="CY48" s="67"/>
      <c r="CZ48" s="67"/>
      <c r="DA48" s="67"/>
      <c r="DB48" s="67"/>
      <c r="DC48" s="67"/>
      <c r="DD48" s="67"/>
      <c r="DE48" s="67"/>
      <c r="DF48" s="67"/>
    </row>
    <row r="49" spans="1:110" ht="12" outlineLevel="2" thickBot="1" x14ac:dyDescent="0.25">
      <c r="A49" s="77"/>
      <c r="B49" s="25"/>
      <c r="C49" s="192"/>
      <c r="D49" s="192"/>
      <c r="E49" s="78"/>
      <c r="F49" s="78"/>
      <c r="G49" s="78"/>
      <c r="H49" s="78"/>
      <c r="I49" s="67"/>
      <c r="J49" s="67"/>
      <c r="K49" s="67"/>
      <c r="L49" s="67"/>
      <c r="M49" s="67"/>
      <c r="N49" s="67"/>
      <c r="O49" s="67"/>
      <c r="P49" s="67"/>
      <c r="Q49" s="67"/>
      <c r="R49" s="67"/>
      <c r="S49" s="67"/>
      <c r="T49" s="67"/>
      <c r="U49" s="67"/>
      <c r="V49" s="67"/>
      <c r="W49" s="67"/>
      <c r="X49" s="67"/>
      <c r="Y49" s="67"/>
      <c r="Z49" s="67"/>
      <c r="AA49" s="67"/>
      <c r="AB49" s="67"/>
      <c r="AC49" s="67"/>
      <c r="AD49" s="67"/>
      <c r="AE49" s="67"/>
      <c r="AF49" s="67"/>
      <c r="AG49" s="67"/>
      <c r="AH49" s="67"/>
      <c r="AI49" s="67"/>
      <c r="AJ49" s="67"/>
      <c r="AK49" s="67"/>
      <c r="AL49" s="67"/>
      <c r="AM49" s="67"/>
      <c r="AN49" s="67"/>
      <c r="AO49" s="67"/>
      <c r="AP49" s="67"/>
      <c r="AQ49" s="67"/>
      <c r="AR49" s="67"/>
      <c r="AS49" s="67"/>
      <c r="AT49" s="67"/>
      <c r="AU49" s="67"/>
      <c r="AV49" s="67"/>
      <c r="AW49" s="67"/>
      <c r="AX49" s="67"/>
      <c r="AY49" s="67"/>
      <c r="AZ49" s="67"/>
      <c r="BA49" s="67"/>
      <c r="BB49" s="67"/>
      <c r="BC49" s="67"/>
      <c r="BD49" s="67"/>
      <c r="BE49" s="67"/>
      <c r="BF49" s="67"/>
      <c r="BG49" s="67"/>
      <c r="BH49" s="67"/>
      <c r="BI49" s="67"/>
      <c r="BJ49" s="67"/>
      <c r="BK49" s="67"/>
      <c r="BL49" s="67"/>
      <c r="BM49" s="67"/>
      <c r="BN49" s="67"/>
      <c r="BO49" s="67"/>
      <c r="BP49" s="67"/>
      <c r="BQ49" s="67"/>
      <c r="BR49" s="67"/>
      <c r="BS49" s="67"/>
      <c r="BT49" s="67"/>
      <c r="BU49" s="67"/>
      <c r="BV49" s="67"/>
      <c r="BW49" s="67"/>
      <c r="BX49" s="67"/>
      <c r="BY49" s="67"/>
      <c r="BZ49" s="67"/>
      <c r="CA49" s="67"/>
      <c r="CB49" s="67"/>
      <c r="CC49" s="67"/>
      <c r="CD49" s="67"/>
      <c r="CE49" s="67"/>
      <c r="CF49" s="67"/>
      <c r="CG49" s="67"/>
      <c r="CH49" s="67"/>
      <c r="CI49" s="67"/>
      <c r="CJ49" s="67"/>
      <c r="CK49" s="67"/>
      <c r="CL49" s="67"/>
      <c r="CM49" s="67"/>
      <c r="CN49" s="67"/>
      <c r="CO49" s="67"/>
      <c r="CP49" s="67"/>
      <c r="CQ49" s="67"/>
      <c r="CR49" s="67"/>
      <c r="CS49" s="67"/>
      <c r="CT49" s="67"/>
      <c r="CU49" s="67"/>
      <c r="CV49" s="67"/>
      <c r="CW49" s="67"/>
      <c r="CX49" s="67"/>
      <c r="CY49" s="67"/>
      <c r="CZ49" s="67"/>
      <c r="DA49" s="67"/>
      <c r="DB49" s="67"/>
      <c r="DC49" s="67"/>
      <c r="DD49" s="67"/>
      <c r="DE49" s="67"/>
      <c r="DF49" s="67"/>
    </row>
    <row r="50" spans="1:110" ht="12" outlineLevel="2" thickBot="1" x14ac:dyDescent="0.25">
      <c r="A50" s="77"/>
      <c r="B50" s="862" t="s">
        <v>257</v>
      </c>
      <c r="C50" s="863"/>
      <c r="D50" s="863"/>
      <c r="E50" s="864"/>
      <c r="F50" s="864"/>
      <c r="G50" s="864"/>
      <c r="H50" s="864"/>
      <c r="I50" s="864"/>
      <c r="J50" s="864"/>
      <c r="K50" s="864"/>
      <c r="L50" s="864"/>
      <c r="M50" s="864"/>
      <c r="N50" s="864"/>
      <c r="O50" s="864"/>
      <c r="P50" s="864"/>
      <c r="Q50" s="864"/>
      <c r="R50" s="864"/>
      <c r="S50" s="864"/>
      <c r="T50" s="864"/>
      <c r="U50" s="864"/>
      <c r="V50" s="864"/>
      <c r="W50" s="864"/>
      <c r="X50" s="864"/>
      <c r="Y50" s="864"/>
      <c r="Z50" s="864"/>
      <c r="AA50" s="864"/>
      <c r="AB50" s="864"/>
      <c r="AC50" s="864"/>
      <c r="AD50" s="864"/>
      <c r="AE50" s="864"/>
      <c r="AF50" s="864"/>
      <c r="AG50" s="864"/>
      <c r="AH50" s="864"/>
      <c r="AI50" s="864"/>
      <c r="AJ50" s="864"/>
      <c r="AK50" s="864"/>
      <c r="AL50" s="864"/>
      <c r="AM50" s="864"/>
      <c r="AN50" s="864"/>
      <c r="AO50" s="864"/>
      <c r="AP50" s="864"/>
      <c r="AQ50" s="864"/>
      <c r="AR50" s="864"/>
      <c r="AS50" s="864"/>
      <c r="AT50" s="864"/>
      <c r="AU50" s="864"/>
      <c r="AV50" s="864"/>
      <c r="AW50" s="864"/>
      <c r="AX50" s="864"/>
      <c r="AY50" s="864"/>
      <c r="AZ50" s="864"/>
      <c r="BA50" s="864"/>
      <c r="BB50" s="864"/>
      <c r="BC50" s="864"/>
      <c r="BD50" s="864"/>
      <c r="BE50" s="864"/>
      <c r="BF50" s="864"/>
      <c r="BG50" s="864"/>
      <c r="BH50" s="864"/>
      <c r="BI50" s="864"/>
      <c r="BJ50" s="864"/>
      <c r="BK50" s="864"/>
      <c r="BL50" s="864"/>
      <c r="BM50" s="864"/>
      <c r="BN50" s="864"/>
      <c r="BO50" s="864"/>
      <c r="BP50" s="864"/>
      <c r="BQ50" s="864"/>
      <c r="BR50" s="864"/>
      <c r="BS50" s="864"/>
      <c r="BT50" s="864"/>
      <c r="BU50" s="864"/>
      <c r="BV50" s="864"/>
      <c r="BW50" s="864"/>
      <c r="BX50" s="864"/>
      <c r="BY50" s="864"/>
      <c r="BZ50" s="864"/>
      <c r="CA50" s="864"/>
      <c r="CB50" s="867"/>
      <c r="CC50" s="864"/>
      <c r="CD50" s="864"/>
      <c r="CE50" s="864"/>
      <c r="CF50" s="864"/>
      <c r="CG50" s="867"/>
      <c r="CH50" s="864"/>
      <c r="CI50" s="864"/>
      <c r="CJ50" s="864"/>
      <c r="CK50" s="864"/>
      <c r="CL50" s="867"/>
      <c r="CM50" s="864"/>
      <c r="CN50" s="864"/>
      <c r="CO50" s="864"/>
      <c r="CP50" s="864"/>
      <c r="CQ50" s="867"/>
      <c r="CR50" s="864"/>
      <c r="CS50" s="864"/>
      <c r="CT50" s="864"/>
      <c r="CU50" s="864"/>
      <c r="CV50" s="867"/>
      <c r="CW50" s="864"/>
      <c r="CX50" s="864"/>
      <c r="CY50" s="864"/>
      <c r="CZ50" s="864"/>
      <c r="DA50" s="867"/>
      <c r="DB50" s="864"/>
      <c r="DC50" s="864"/>
      <c r="DD50" s="864"/>
      <c r="DE50" s="864"/>
      <c r="DF50" s="867"/>
    </row>
    <row r="51" spans="1:110" outlineLevel="2" x14ac:dyDescent="0.2">
      <c r="A51" s="77"/>
      <c r="B51" s="193" t="s">
        <v>155</v>
      </c>
      <c r="C51" s="194"/>
      <c r="D51" s="194"/>
      <c r="E51" s="167"/>
      <c r="F51" s="167"/>
      <c r="G51" s="167"/>
      <c r="H51" s="167"/>
      <c r="I51" s="167"/>
      <c r="J51" s="167"/>
      <c r="K51" s="167"/>
      <c r="L51" s="167"/>
      <c r="M51" s="167"/>
      <c r="N51" s="167"/>
      <c r="O51" s="167"/>
      <c r="P51" s="167"/>
      <c r="Q51" s="167"/>
      <c r="R51" s="167"/>
      <c r="S51" s="167"/>
      <c r="T51" s="195"/>
      <c r="U51" s="167"/>
      <c r="V51" s="167"/>
      <c r="W51" s="167"/>
      <c r="X51" s="167"/>
      <c r="Y51" s="195"/>
      <c r="Z51" s="167"/>
      <c r="AA51" s="167"/>
      <c r="AB51" s="167"/>
      <c r="AC51" s="167"/>
      <c r="AD51" s="195"/>
      <c r="AE51" s="167"/>
      <c r="AF51" s="167"/>
      <c r="AG51" s="167"/>
      <c r="AH51" s="167"/>
      <c r="AI51" s="195"/>
      <c r="AJ51" s="167"/>
      <c r="AK51" s="167"/>
      <c r="AL51" s="167"/>
      <c r="AM51" s="167"/>
      <c r="AN51" s="195"/>
      <c r="AO51" s="167"/>
      <c r="AP51" s="167"/>
      <c r="AQ51" s="167"/>
      <c r="AR51" s="167"/>
      <c r="AS51" s="195"/>
      <c r="AT51" s="167"/>
      <c r="AU51" s="167"/>
      <c r="AV51" s="167"/>
      <c r="AW51" s="167"/>
      <c r="AX51" s="195"/>
      <c r="AY51" s="167"/>
      <c r="AZ51" s="167"/>
      <c r="BA51" s="167"/>
      <c r="BB51" s="167"/>
      <c r="BC51" s="195"/>
      <c r="BD51" s="167"/>
      <c r="BE51" s="167"/>
      <c r="BF51" s="167"/>
      <c r="BG51" s="167"/>
      <c r="BH51" s="195"/>
      <c r="BI51" s="167"/>
      <c r="BJ51" s="167"/>
      <c r="BK51" s="167"/>
      <c r="BL51" s="167"/>
      <c r="BM51" s="195"/>
      <c r="BN51" s="167"/>
      <c r="BO51" s="167"/>
      <c r="BP51" s="167"/>
      <c r="BQ51" s="167"/>
      <c r="BR51" s="195"/>
      <c r="BS51" s="167"/>
      <c r="BT51" s="167"/>
      <c r="BU51" s="167"/>
      <c r="BV51" s="167"/>
      <c r="BW51" s="195"/>
      <c r="BX51" s="167"/>
      <c r="BY51" s="167"/>
      <c r="BZ51" s="167"/>
      <c r="CA51" s="167"/>
      <c r="CB51" s="195"/>
      <c r="CC51" s="167"/>
      <c r="CD51" s="167"/>
      <c r="CE51" s="167"/>
      <c r="CF51" s="167"/>
      <c r="CG51" s="195"/>
      <c r="CH51" s="167"/>
      <c r="CI51" s="167"/>
      <c r="CJ51" s="167"/>
      <c r="CK51" s="167"/>
      <c r="CL51" s="195"/>
      <c r="CM51" s="167"/>
      <c r="CN51" s="167"/>
      <c r="CO51" s="167"/>
      <c r="CP51" s="167"/>
      <c r="CQ51" s="195"/>
      <c r="CR51" s="167"/>
      <c r="CS51" s="167"/>
      <c r="CT51" s="167"/>
      <c r="CU51" s="167"/>
      <c r="CV51" s="195"/>
      <c r="CW51" s="167"/>
      <c r="CX51" s="167"/>
      <c r="CY51" s="167"/>
      <c r="CZ51" s="167"/>
      <c r="DA51" s="195"/>
      <c r="DB51" s="167"/>
      <c r="DC51" s="167"/>
      <c r="DD51" s="167"/>
      <c r="DE51" s="167"/>
      <c r="DF51" s="195"/>
    </row>
    <row r="52" spans="1:110" outlineLevel="2" x14ac:dyDescent="0.2">
      <c r="A52" s="77"/>
      <c r="B52" s="169" t="s">
        <v>255</v>
      </c>
      <c r="C52" s="192"/>
      <c r="D52" s="192"/>
      <c r="E52" s="66">
        <f t="shared" ref="E52:AJ52" si="82">E12/E$19</f>
        <v>0.69266533976649303</v>
      </c>
      <c r="F52" s="66">
        <f t="shared" si="82"/>
        <v>0.5430650327252472</v>
      </c>
      <c r="G52" s="66">
        <f t="shared" si="82"/>
        <v>0.56479748318865497</v>
      </c>
      <c r="H52" s="66">
        <f t="shared" si="82"/>
        <v>0.58843060050189699</v>
      </c>
      <c r="I52" s="66">
        <f t="shared" si="82"/>
        <v>1.1900733049908971</v>
      </c>
      <c r="J52" s="66">
        <f t="shared" si="82"/>
        <v>0.7020215685652782</v>
      </c>
      <c r="K52" s="66">
        <f t="shared" si="82"/>
        <v>0.66362767443570336</v>
      </c>
      <c r="L52" s="66">
        <f t="shared" si="82"/>
        <v>0.69539454282443403</v>
      </c>
      <c r="M52" s="66">
        <f t="shared" si="82"/>
        <v>0.69267093143467495</v>
      </c>
      <c r="N52" s="66">
        <f t="shared" si="82"/>
        <v>0.73283939930636632</v>
      </c>
      <c r="O52" s="66">
        <f t="shared" si="82"/>
        <v>0.69564277894844051</v>
      </c>
      <c r="P52" s="66">
        <f t="shared" si="82"/>
        <v>0.68827285726238119</v>
      </c>
      <c r="Q52" s="66">
        <f t="shared" si="82"/>
        <v>0.70111380770280929</v>
      </c>
      <c r="R52" s="66">
        <f t="shared" si="82"/>
        <v>0.68775804974613297</v>
      </c>
      <c r="S52" s="66">
        <f t="shared" si="82"/>
        <v>0.68287337109045665</v>
      </c>
      <c r="T52" s="136">
        <f t="shared" si="82"/>
        <v>0.68995266452893567</v>
      </c>
      <c r="U52" s="66">
        <f t="shared" si="82"/>
        <v>0.66801646394460723</v>
      </c>
      <c r="V52" s="66">
        <f t="shared" si="82"/>
        <v>0.66340946283060376</v>
      </c>
      <c r="W52" s="66">
        <f t="shared" si="82"/>
        <v>0.64852582459427544</v>
      </c>
      <c r="X52" s="66">
        <f t="shared" si="82"/>
        <v>0.65358370599811111</v>
      </c>
      <c r="Y52" s="136">
        <f t="shared" si="82"/>
        <v>0.65832106038291605</v>
      </c>
      <c r="Z52" s="66">
        <f t="shared" si="82"/>
        <v>0.64860524091293326</v>
      </c>
      <c r="AA52" s="66">
        <f t="shared" si="82"/>
        <v>0.64222946833204375</v>
      </c>
      <c r="AB52" s="66">
        <f t="shared" si="82"/>
        <v>0.63216086159486717</v>
      </c>
      <c r="AC52" s="66">
        <f t="shared" si="82"/>
        <v>0.63641560279826881</v>
      </c>
      <c r="AD52" s="136">
        <f t="shared" si="82"/>
        <v>0.63958435037310835</v>
      </c>
      <c r="AE52" s="66">
        <f t="shared" si="82"/>
        <v>0.62656134147037013</v>
      </c>
      <c r="AF52" s="66">
        <f t="shared" si="82"/>
        <v>0.62337036617163588</v>
      </c>
      <c r="AG52" s="66">
        <f t="shared" si="82"/>
        <v>0.62315661885659868</v>
      </c>
      <c r="AH52" s="66">
        <f t="shared" si="82"/>
        <v>0.63786779913410363</v>
      </c>
      <c r="AI52" s="136">
        <f t="shared" si="82"/>
        <v>0.62361130642666296</v>
      </c>
      <c r="AJ52" s="66">
        <f t="shared" si="82"/>
        <v>0.98763827600797915</v>
      </c>
      <c r="AK52" s="66">
        <f t="shared" ref="AK52:BG52" si="83">AK12/AK$19</f>
        <v>0.98732190292199951</v>
      </c>
      <c r="AL52" s="66">
        <f t="shared" si="83"/>
        <v>0.98722718253968256</v>
      </c>
      <c r="AM52" s="66">
        <f t="shared" si="83"/>
        <v>0.98666666666666669</v>
      </c>
      <c r="AN52" s="136">
        <f t="shared" si="83"/>
        <v>0.98721194663432377</v>
      </c>
      <c r="AO52" s="66">
        <f t="shared" ref="AO52:BD52" ca="1" si="84">AO12/AO$19</f>
        <v>0.63924581277906689</v>
      </c>
      <c r="AP52" s="66">
        <f t="shared" ca="1" si="84"/>
        <v>0.63843950770183455</v>
      </c>
      <c r="AQ52" s="66">
        <f t="shared" ca="1" si="84"/>
        <v>0.62482568987528242</v>
      </c>
      <c r="AR52" s="66">
        <f t="shared" ca="1" si="84"/>
        <v>0.63299955625012072</v>
      </c>
      <c r="AS52" s="136">
        <f t="shared" ca="1" si="84"/>
        <v>0.63390031549421766</v>
      </c>
      <c r="AT52" s="66">
        <f t="shared" ca="1" si="84"/>
        <v>0.63581418092909536</v>
      </c>
      <c r="AU52" s="66">
        <f t="shared" ca="1" si="84"/>
        <v>0.62298146221143091</v>
      </c>
      <c r="AV52" s="66">
        <f t="shared" ca="1" si="84"/>
        <v>0.62394232593435783</v>
      </c>
      <c r="AW52" s="66">
        <f t="shared" ca="1" si="84"/>
        <v>0.66485582016029343</v>
      </c>
      <c r="AX52" s="136">
        <f t="shared" ca="1" si="84"/>
        <v>0.64008910968619026</v>
      </c>
      <c r="AY52" s="66">
        <f t="shared" ca="1" si="84"/>
        <v>0.69599940256927095</v>
      </c>
      <c r="AZ52" s="66">
        <f t="shared" ca="1" si="84"/>
        <v>0.69308829227750079</v>
      </c>
      <c r="BA52" s="66">
        <f t="shared" ca="1" si="84"/>
        <v>0.68947467209060653</v>
      </c>
      <c r="BB52" s="66">
        <f t="shared" ca="1" si="84"/>
        <v>0.68775004306790744</v>
      </c>
      <c r="BC52" s="136">
        <f t="shared" ca="1" si="84"/>
        <v>0.69156474955311587</v>
      </c>
      <c r="BD52" s="66">
        <f t="shared" ca="1" si="84"/>
        <v>0.67278643590244669</v>
      </c>
      <c r="BE52" s="66">
        <f t="shared" si="83"/>
        <v>0.67027155384739423</v>
      </c>
      <c r="BF52" s="66">
        <f t="shared" si="83"/>
        <v>0.66710440831260065</v>
      </c>
      <c r="BG52" s="66">
        <f t="shared" si="83"/>
        <v>0.66934479877515729</v>
      </c>
      <c r="BH52" s="136">
        <f t="shared" ref="BH52:CM52" ca="1" si="85">BH12/BH$19</f>
        <v>0.66983977724402988</v>
      </c>
      <c r="BI52" s="66">
        <f t="shared" ca="1" si="85"/>
        <v>0.65406080945681866</v>
      </c>
      <c r="BJ52" s="66">
        <f t="shared" ca="1" si="85"/>
        <v>0.62680988908263102</v>
      </c>
      <c r="BK52" s="66">
        <f t="shared" ca="1" si="85"/>
        <v>0.62498668769350718</v>
      </c>
      <c r="BL52" s="66">
        <f t="shared" ca="1" si="85"/>
        <v>0.63099199424142349</v>
      </c>
      <c r="BM52" s="136">
        <f t="shared" ca="1" si="85"/>
        <v>0.63101489470653893</v>
      </c>
      <c r="BN52" s="66">
        <f t="shared" ca="1" si="85"/>
        <v>0.63001164301946355</v>
      </c>
      <c r="BO52" s="66">
        <f t="shared" ca="1" si="85"/>
        <v>0.62927456584602648</v>
      </c>
      <c r="BP52" s="66">
        <f t="shared" ca="1" si="85"/>
        <v>0.6076833624053849</v>
      </c>
      <c r="BQ52" s="66">
        <f t="shared" ca="1" si="85"/>
        <v>0.61077345507624747</v>
      </c>
      <c r="BR52" s="136">
        <f t="shared" ca="1" si="85"/>
        <v>0.61952142686645972</v>
      </c>
      <c r="BS52" s="66">
        <f t="shared" ca="1" si="85"/>
        <v>0.60230559776937231</v>
      </c>
      <c r="BT52" s="66">
        <f t="shared" ca="1" si="85"/>
        <v>0.5969444447400577</v>
      </c>
      <c r="BU52" s="66">
        <f t="shared" ca="1" si="85"/>
        <v>0.58601455884803177</v>
      </c>
      <c r="BV52" s="66">
        <f t="shared" ca="1" si="85"/>
        <v>0.59368554027940934</v>
      </c>
      <c r="BW52" s="136">
        <f t="shared" ca="1" si="85"/>
        <v>0.5945615976816554</v>
      </c>
      <c r="BX52" s="66">
        <f t="shared" ca="1" si="85"/>
        <v>0.58750691679299849</v>
      </c>
      <c r="BY52" s="66">
        <f t="shared" ca="1" si="85"/>
        <v>0.57683426402584748</v>
      </c>
      <c r="BZ52" s="66">
        <f t="shared" ca="1" si="85"/>
        <v>0.56109020507746432</v>
      </c>
      <c r="CA52" s="66">
        <f t="shared" ca="1" si="85"/>
        <v>0.55869843192081525</v>
      </c>
      <c r="CB52" s="136">
        <f t="shared" ca="1" si="85"/>
        <v>0.57088821682026036</v>
      </c>
      <c r="CC52" s="66">
        <f t="shared" ca="1" si="85"/>
        <v>0.54311300236955418</v>
      </c>
      <c r="CD52" s="66">
        <f t="shared" ca="1" si="85"/>
        <v>0.54052331812939569</v>
      </c>
      <c r="CE52" s="66">
        <f t="shared" ca="1" si="85"/>
        <v>0.53323276834637245</v>
      </c>
      <c r="CF52" s="66">
        <f t="shared" ca="1" si="85"/>
        <v>0.51578101399557441</v>
      </c>
      <c r="CG52" s="136">
        <f t="shared" ca="1" si="85"/>
        <v>0.53318950189083425</v>
      </c>
      <c r="CH52" s="66">
        <f t="shared" ca="1" si="85"/>
        <v>0.52722154369748231</v>
      </c>
      <c r="CI52" s="66">
        <f t="shared" ca="1" si="85"/>
        <v>0.51423002472559054</v>
      </c>
      <c r="CJ52" s="66">
        <f t="shared" ca="1" si="85"/>
        <v>0.51969879214740977</v>
      </c>
      <c r="CK52" s="66">
        <f t="shared" ca="1" si="85"/>
        <v>0.5201970057197306</v>
      </c>
      <c r="CL52" s="136">
        <f t="shared" ca="1" si="85"/>
        <v>0.52030031916839814</v>
      </c>
      <c r="CM52" s="66">
        <f t="shared" ca="1" si="85"/>
        <v>0.53069998768459214</v>
      </c>
      <c r="CN52" s="66">
        <f t="shared" ref="CN52:DF52" ca="1" si="86">CN12/CN$19</f>
        <v>0.51804743938094922</v>
      </c>
      <c r="CO52" s="66">
        <f t="shared" ca="1" si="86"/>
        <v>0.52703892594529933</v>
      </c>
      <c r="CP52" s="66">
        <f t="shared" ca="1" si="86"/>
        <v>0.5277092710535104</v>
      </c>
      <c r="CQ52" s="136">
        <f t="shared" ca="1" si="86"/>
        <v>0.52585527945487198</v>
      </c>
      <c r="CR52" s="66">
        <f t="shared" ca="1" si="86"/>
        <v>0.53739622948008225</v>
      </c>
      <c r="CS52" s="66">
        <f t="shared" ca="1" si="86"/>
        <v>0.52195686235619332</v>
      </c>
      <c r="CT52" s="66">
        <f t="shared" ca="1" si="86"/>
        <v>0.53084585671965479</v>
      </c>
      <c r="CU52" s="66">
        <f t="shared" ca="1" si="86"/>
        <v>0.53091280449117417</v>
      </c>
      <c r="CV52" s="136">
        <f t="shared" ca="1" si="86"/>
        <v>0.53023208827245871</v>
      </c>
      <c r="CW52" s="66">
        <f t="shared" ca="1" si="86"/>
        <v>0.53987313415266969</v>
      </c>
      <c r="CX52" s="66">
        <f t="shared" ca="1" si="86"/>
        <v>0.52431806690989169</v>
      </c>
      <c r="CY52" s="66">
        <f t="shared" ca="1" si="86"/>
        <v>0.53279469610342889</v>
      </c>
      <c r="CZ52" s="66">
        <f t="shared" ca="1" si="86"/>
        <v>0.53327183128999633</v>
      </c>
      <c r="DA52" s="136">
        <f t="shared" ca="1" si="86"/>
        <v>0.53251713097245978</v>
      </c>
      <c r="DB52" s="66">
        <f t="shared" ca="1" si="86"/>
        <v>0.54304388043016105</v>
      </c>
      <c r="DC52" s="66">
        <f t="shared" ca="1" si="86"/>
        <v>0.52737479490272721</v>
      </c>
      <c r="DD52" s="66">
        <f t="shared" ca="1" si="86"/>
        <v>0.53550802268879805</v>
      </c>
      <c r="DE52" s="66">
        <f t="shared" ca="1" si="86"/>
        <v>0.53638546978576818</v>
      </c>
      <c r="DF52" s="136">
        <f t="shared" ca="1" si="86"/>
        <v>0.53552946447734773</v>
      </c>
    </row>
    <row r="53" spans="1:110" outlineLevel="2" x14ac:dyDescent="0.2">
      <c r="A53" s="77"/>
      <c r="B53" s="169"/>
      <c r="C53" s="192"/>
      <c r="D53" s="192"/>
      <c r="E53" s="66"/>
      <c r="F53" s="66"/>
      <c r="G53" s="66"/>
      <c r="H53" s="66"/>
      <c r="I53" s="66"/>
      <c r="J53" s="66"/>
      <c r="K53" s="66"/>
      <c r="L53" s="66"/>
      <c r="M53" s="66"/>
      <c r="N53" s="66"/>
      <c r="O53" s="66"/>
      <c r="P53" s="66"/>
      <c r="Q53" s="66"/>
      <c r="R53" s="66"/>
      <c r="S53" s="66"/>
      <c r="T53" s="136"/>
      <c r="U53" s="66"/>
      <c r="V53" s="66"/>
      <c r="W53" s="66"/>
      <c r="X53" s="66"/>
      <c r="Y53" s="136"/>
      <c r="Z53" s="66"/>
      <c r="AA53" s="66"/>
      <c r="AB53" s="66"/>
      <c r="AC53" s="66"/>
      <c r="AD53" s="136"/>
      <c r="AE53" s="66"/>
      <c r="AF53" s="66"/>
      <c r="AG53" s="66"/>
      <c r="AH53" s="66"/>
      <c r="AI53" s="136"/>
      <c r="AJ53" s="66"/>
      <c r="AK53" s="66"/>
      <c r="AL53" s="66"/>
      <c r="AM53" s="66"/>
      <c r="AN53" s="136"/>
      <c r="AO53" s="66"/>
      <c r="AP53" s="66"/>
      <c r="AQ53" s="66"/>
      <c r="AR53" s="66"/>
      <c r="AS53" s="136"/>
      <c r="AT53" s="66"/>
      <c r="AU53" s="66"/>
      <c r="AV53" s="66"/>
      <c r="AW53" s="66"/>
      <c r="AX53" s="136"/>
      <c r="AY53" s="66"/>
      <c r="AZ53" s="66"/>
      <c r="BA53" s="66"/>
      <c r="BB53" s="66"/>
      <c r="BC53" s="136"/>
      <c r="BD53" s="66"/>
      <c r="BE53" s="66"/>
      <c r="BF53" s="66"/>
      <c r="BG53" s="66"/>
      <c r="BH53" s="136"/>
      <c r="BI53" s="66"/>
      <c r="BJ53" s="66"/>
      <c r="BK53" s="66"/>
      <c r="BL53" s="66"/>
      <c r="BM53" s="136"/>
      <c r="BN53" s="66"/>
      <c r="BO53" s="66"/>
      <c r="BP53" s="66"/>
      <c r="BQ53" s="66"/>
      <c r="BR53" s="136"/>
      <c r="BS53" s="66"/>
      <c r="BT53" s="66"/>
      <c r="BU53" s="66"/>
      <c r="BV53" s="66"/>
      <c r="BW53" s="136"/>
      <c r="BX53" s="66"/>
      <c r="BY53" s="66"/>
      <c r="BZ53" s="66"/>
      <c r="CA53" s="66"/>
      <c r="CB53" s="136"/>
      <c r="CC53" s="66"/>
      <c r="CD53" s="66"/>
      <c r="CE53" s="66"/>
      <c r="CF53" s="66"/>
      <c r="CG53" s="136"/>
      <c r="CH53" s="66"/>
      <c r="CI53" s="66"/>
      <c r="CJ53" s="66"/>
      <c r="CK53" s="66"/>
      <c r="CL53" s="136"/>
      <c r="CM53" s="66"/>
      <c r="CN53" s="66"/>
      <c r="CO53" s="66"/>
      <c r="CP53" s="66"/>
      <c r="CQ53" s="136"/>
      <c r="CR53" s="66"/>
      <c r="CS53" s="66"/>
      <c r="CT53" s="66"/>
      <c r="CU53" s="66"/>
      <c r="CV53" s="136"/>
      <c r="CW53" s="66"/>
      <c r="CX53" s="66"/>
      <c r="CY53" s="66"/>
      <c r="CZ53" s="66"/>
      <c r="DA53" s="136"/>
      <c r="DB53" s="66"/>
      <c r="DC53" s="66"/>
      <c r="DD53" s="66"/>
      <c r="DE53" s="66"/>
      <c r="DF53" s="136"/>
    </row>
    <row r="54" spans="1:110" outlineLevel="2" x14ac:dyDescent="0.2">
      <c r="A54" s="77"/>
      <c r="B54" s="176" t="s">
        <v>301</v>
      </c>
      <c r="C54" s="192"/>
      <c r="D54" s="192"/>
      <c r="E54" s="66"/>
      <c r="F54" s="66"/>
      <c r="G54" s="66"/>
      <c r="H54" s="66"/>
      <c r="I54" s="66"/>
      <c r="J54" s="66"/>
      <c r="K54" s="66"/>
      <c r="L54" s="66"/>
      <c r="M54" s="66"/>
      <c r="N54" s="66"/>
      <c r="O54" s="66"/>
      <c r="P54" s="66"/>
      <c r="Q54" s="66"/>
      <c r="R54" s="66"/>
      <c r="S54" s="66"/>
      <c r="T54" s="136"/>
      <c r="U54" s="66"/>
      <c r="V54" s="66"/>
      <c r="W54" s="66"/>
      <c r="X54" s="66"/>
      <c r="Y54" s="136"/>
      <c r="Z54" s="66"/>
      <c r="AA54" s="66"/>
      <c r="AB54" s="66"/>
      <c r="AC54" s="66"/>
      <c r="AD54" s="136"/>
      <c r="AE54" s="66"/>
      <c r="AF54" s="66"/>
      <c r="AG54" s="66"/>
      <c r="AH54" s="66"/>
      <c r="AI54" s="136"/>
      <c r="AJ54" s="66"/>
      <c r="AK54" s="66"/>
      <c r="AL54" s="66"/>
      <c r="AM54" s="66"/>
      <c r="AN54" s="136"/>
      <c r="AO54" s="66">
        <f t="shared" ref="AO54:BD54" ca="1" si="87">AO14/AO$19</f>
        <v>0.24087975510363252</v>
      </c>
      <c r="AP54" s="66">
        <f t="shared" ca="1" si="87"/>
        <v>0.24055654462419693</v>
      </c>
      <c r="AQ54" s="66">
        <f t="shared" ca="1" si="87"/>
        <v>0.24829617990768929</v>
      </c>
      <c r="AR54" s="66">
        <f t="shared" ca="1" si="87"/>
        <v>0.24116841272597483</v>
      </c>
      <c r="AS54" s="136">
        <f t="shared" ca="1" si="87"/>
        <v>0.24270693066419069</v>
      </c>
      <c r="AT54" s="66">
        <f t="shared" ca="1" si="87"/>
        <v>0.22541488430317855</v>
      </c>
      <c r="AU54" s="66">
        <f t="shared" ca="1" si="87"/>
        <v>0.2381728292288125</v>
      </c>
      <c r="AV54" s="66">
        <f t="shared" ca="1" si="87"/>
        <v>0.23399752589641434</v>
      </c>
      <c r="AW54" s="66">
        <f t="shared" ca="1" si="87"/>
        <v>0.22190884497932814</v>
      </c>
      <c r="AX54" s="136">
        <f t="shared" ca="1" si="87"/>
        <v>0.22898166632422856</v>
      </c>
      <c r="AY54" s="66">
        <f t="shared" ca="1" si="87"/>
        <v>0.20069362037881902</v>
      </c>
      <c r="AZ54" s="66">
        <f t="shared" ca="1" si="87"/>
        <v>0.20087773760265726</v>
      </c>
      <c r="BA54" s="66">
        <f t="shared" ca="1" si="87"/>
        <v>0.20147124709720785</v>
      </c>
      <c r="BB54" s="66">
        <f t="shared" ca="1" si="87"/>
        <v>0.20078752953986412</v>
      </c>
      <c r="BC54" s="136">
        <f t="shared" ca="1" si="87"/>
        <v>0.20095737895600915</v>
      </c>
      <c r="BD54" s="66">
        <f t="shared" ca="1" si="87"/>
        <v>0.20659792550120826</v>
      </c>
      <c r="BE54" s="66">
        <f t="shared" ref="BE54:BG54" si="88">BE14/BE$19</f>
        <v>0.20680329296429129</v>
      </c>
      <c r="BF54" s="66">
        <f t="shared" si="88"/>
        <v>0.21050430496423023</v>
      </c>
      <c r="BG54" s="66">
        <f t="shared" si="88"/>
        <v>0.21015042208675225</v>
      </c>
      <c r="BH54" s="136">
        <f t="shared" ref="BH54:CM54" ca="1" si="89">BH14/BH$19</f>
        <v>0.20856110999814423</v>
      </c>
      <c r="BI54" s="66">
        <f t="shared" ca="1" si="89"/>
        <v>0.21906919199643968</v>
      </c>
      <c r="BJ54" s="66">
        <f t="shared" ca="1" si="89"/>
        <v>0.24917807940009445</v>
      </c>
      <c r="BK54" s="66">
        <f t="shared" ca="1" si="89"/>
        <v>0.24324862133326278</v>
      </c>
      <c r="BL54" s="66">
        <f t="shared" ca="1" si="89"/>
        <v>0.23816152088722525</v>
      </c>
      <c r="BM54" s="136">
        <f t="shared" ca="1" si="89"/>
        <v>0.24039211743332972</v>
      </c>
      <c r="BN54" s="66">
        <f t="shared" ca="1" si="89"/>
        <v>0.23444909924177393</v>
      </c>
      <c r="BO54" s="66">
        <f t="shared" ca="1" si="89"/>
        <v>0.22995713404604004</v>
      </c>
      <c r="BP54" s="66">
        <f t="shared" ca="1" si="89"/>
        <v>0.24507549656035987</v>
      </c>
      <c r="BQ54" s="66">
        <f t="shared" ca="1" si="89"/>
        <v>0.2376895400264738</v>
      </c>
      <c r="BR54" s="136">
        <f t="shared" ca="1" si="89"/>
        <v>0.23669756530513777</v>
      </c>
      <c r="BS54" s="66">
        <f t="shared" ca="1" si="89"/>
        <v>0.22997976827521058</v>
      </c>
      <c r="BT54" s="66">
        <f t="shared" ca="1" si="89"/>
        <v>0.23440343253223433</v>
      </c>
      <c r="BU54" s="66">
        <f t="shared" ca="1" si="89"/>
        <v>0.24292440492366174</v>
      </c>
      <c r="BV54" s="66">
        <f t="shared" ca="1" si="89"/>
        <v>0.23589662653696131</v>
      </c>
      <c r="BW54" s="136">
        <f t="shared" ca="1" si="89"/>
        <v>0.23614824215530705</v>
      </c>
      <c r="BX54" s="66">
        <f t="shared" ca="1" si="89"/>
        <v>0.21828408524170084</v>
      </c>
      <c r="BY54" s="66">
        <f t="shared" ca="1" si="89"/>
        <v>0.22142636798330442</v>
      </c>
      <c r="BZ54" s="66">
        <f t="shared" ca="1" si="89"/>
        <v>0.22670594410936779</v>
      </c>
      <c r="CA54" s="66">
        <f t="shared" ca="1" si="89"/>
        <v>0.23998921225424091</v>
      </c>
      <c r="CB54" s="136">
        <f t="shared" ca="1" si="89"/>
        <v>0.22673558078006809</v>
      </c>
      <c r="CC54" s="66">
        <f t="shared" ca="1" si="89"/>
        <v>0.23683840925372054</v>
      </c>
      <c r="CD54" s="66">
        <f t="shared" ca="1" si="89"/>
        <v>0.22708718552778834</v>
      </c>
      <c r="CE54" s="66">
        <f t="shared" ca="1" si="89"/>
        <v>0.22584853956971232</v>
      </c>
      <c r="CF54" s="66">
        <f t="shared" ca="1" si="89"/>
        <v>0.24285275064337505</v>
      </c>
      <c r="CG54" s="136">
        <f t="shared" ca="1" si="89"/>
        <v>0.23309974692716776</v>
      </c>
      <c r="CH54" s="66">
        <f t="shared" ca="1" si="89"/>
        <v>0.21740334090010563</v>
      </c>
      <c r="CI54" s="66">
        <f t="shared" ca="1" si="89"/>
        <v>0.21751152068101573</v>
      </c>
      <c r="CJ54" s="66">
        <f t="shared" ca="1" si="89"/>
        <v>0.19605610010185046</v>
      </c>
      <c r="CK54" s="66">
        <f t="shared" ca="1" si="89"/>
        <v>0.2071780112423505</v>
      </c>
      <c r="CL54" s="136">
        <f t="shared" ca="1" si="89"/>
        <v>0.20958767004203549</v>
      </c>
      <c r="CM54" s="66">
        <f t="shared" ca="1" si="89"/>
        <v>0.19551949207027453</v>
      </c>
      <c r="CN54" s="66">
        <f t="shared" ref="CN54:DF54" ca="1" si="90">CN14/CN$19</f>
        <v>0.19430175605396555</v>
      </c>
      <c r="CO54" s="66">
        <f t="shared" ca="1" si="90"/>
        <v>0.17513568021583906</v>
      </c>
      <c r="CP54" s="66">
        <f t="shared" ca="1" si="90"/>
        <v>0.18586634114334208</v>
      </c>
      <c r="CQ54" s="136">
        <f t="shared" ca="1" si="90"/>
        <v>0.18765474183854938</v>
      </c>
      <c r="CR54" s="66">
        <f t="shared" ca="1" si="90"/>
        <v>0.17767116660922039</v>
      </c>
      <c r="CS54" s="66">
        <f t="shared" ca="1" si="90"/>
        <v>0.18029604920919179</v>
      </c>
      <c r="CT54" s="66">
        <f t="shared" ca="1" si="90"/>
        <v>0.16154119259811828</v>
      </c>
      <c r="CU54" s="66">
        <f t="shared" ca="1" si="90"/>
        <v>0.17324915408531874</v>
      </c>
      <c r="CV54" s="136">
        <f t="shared" ca="1" si="90"/>
        <v>0.1731538486962183</v>
      </c>
      <c r="CW54" s="66">
        <f t="shared" ca="1" si="90"/>
        <v>0.16340012005393428</v>
      </c>
      <c r="CX54" s="66">
        <f t="shared" ca="1" si="90"/>
        <v>0.16567141788984271</v>
      </c>
      <c r="CY54" s="66">
        <f t="shared" ca="1" si="90"/>
        <v>0.14761411290586307</v>
      </c>
      <c r="CZ54" s="66">
        <f t="shared" ca="1" si="90"/>
        <v>0.15877539142317382</v>
      </c>
      <c r="DA54" s="136">
        <f t="shared" ca="1" si="90"/>
        <v>0.15882259379792693</v>
      </c>
      <c r="DB54" s="66">
        <f t="shared" ca="1" si="90"/>
        <v>0.14904874596907294</v>
      </c>
      <c r="DC54" s="66">
        <f t="shared" ca="1" si="90"/>
        <v>0.15098175160979718</v>
      </c>
      <c r="DD54" s="66">
        <f t="shared" ca="1" si="90"/>
        <v>0.13365204909727693</v>
      </c>
      <c r="DE54" s="66">
        <f t="shared" ca="1" si="90"/>
        <v>0.14421283278145408</v>
      </c>
      <c r="DF54" s="136">
        <f t="shared" ca="1" si="90"/>
        <v>0.1444242841137956</v>
      </c>
    </row>
    <row r="55" spans="1:110" outlineLevel="2" x14ac:dyDescent="0.2">
      <c r="A55" s="77"/>
      <c r="B55" s="176"/>
      <c r="C55" s="192"/>
      <c r="D55" s="192"/>
      <c r="E55" s="66"/>
      <c r="F55" s="66"/>
      <c r="G55" s="66"/>
      <c r="H55" s="66"/>
      <c r="I55" s="66"/>
      <c r="J55" s="66"/>
      <c r="K55" s="66"/>
      <c r="L55" s="66"/>
      <c r="M55" s="66"/>
      <c r="N55" s="66"/>
      <c r="O55" s="66"/>
      <c r="P55" s="66"/>
      <c r="Q55" s="66"/>
      <c r="R55" s="66"/>
      <c r="S55" s="66"/>
      <c r="T55" s="136"/>
      <c r="U55" s="66"/>
      <c r="V55" s="66"/>
      <c r="W55" s="66"/>
      <c r="X55" s="66"/>
      <c r="Y55" s="136"/>
      <c r="Z55" s="66"/>
      <c r="AA55" s="66"/>
      <c r="AB55" s="66"/>
      <c r="AC55" s="66"/>
      <c r="AD55" s="136"/>
      <c r="AE55" s="66"/>
      <c r="AF55" s="66"/>
      <c r="AG55" s="66"/>
      <c r="AH55" s="66"/>
      <c r="AI55" s="136"/>
      <c r="AJ55" s="66"/>
      <c r="AK55" s="66"/>
      <c r="AL55" s="66"/>
      <c r="AM55" s="66"/>
      <c r="AN55" s="136"/>
      <c r="AO55" s="66"/>
      <c r="AP55" s="66"/>
      <c r="AQ55" s="66"/>
      <c r="AR55" s="66"/>
      <c r="AS55" s="136"/>
      <c r="AT55" s="66"/>
      <c r="AU55" s="66"/>
      <c r="AV55" s="66"/>
      <c r="AW55" s="66"/>
      <c r="AX55" s="136"/>
      <c r="AY55" s="66"/>
      <c r="AZ55" s="66"/>
      <c r="BA55" s="66"/>
      <c r="BB55" s="66"/>
      <c r="BC55" s="136"/>
      <c r="BD55" s="66"/>
      <c r="BE55" s="66"/>
      <c r="BF55" s="66"/>
      <c r="BG55" s="66"/>
      <c r="BH55" s="136"/>
      <c r="BI55" s="66"/>
      <c r="BJ55" s="66"/>
      <c r="BK55" s="66"/>
      <c r="BL55" s="66"/>
      <c r="BM55" s="136"/>
      <c r="BN55" s="66"/>
      <c r="BO55" s="66"/>
      <c r="BP55" s="66"/>
      <c r="BQ55" s="66"/>
      <c r="BR55" s="136"/>
      <c r="BS55" s="66"/>
      <c r="BT55" s="66"/>
      <c r="BU55" s="66"/>
      <c r="BV55" s="66"/>
      <c r="BW55" s="136"/>
      <c r="BX55" s="66"/>
      <c r="BY55" s="66"/>
      <c r="BZ55" s="66"/>
      <c r="CA55" s="66"/>
      <c r="CB55" s="136"/>
      <c r="CC55" s="66"/>
      <c r="CD55" s="66"/>
      <c r="CE55" s="66"/>
      <c r="CF55" s="66"/>
      <c r="CG55" s="136"/>
      <c r="CH55" s="66"/>
      <c r="CI55" s="66"/>
      <c r="CJ55" s="66"/>
      <c r="CK55" s="66"/>
      <c r="CL55" s="136"/>
      <c r="CM55" s="66"/>
      <c r="CN55" s="66"/>
      <c r="CO55" s="66"/>
      <c r="CP55" s="66"/>
      <c r="CQ55" s="136"/>
      <c r="CR55" s="66"/>
      <c r="CS55" s="66"/>
      <c r="CT55" s="66"/>
      <c r="CU55" s="66"/>
      <c r="CV55" s="136"/>
      <c r="CW55" s="66"/>
      <c r="CX55" s="66"/>
      <c r="CY55" s="66"/>
      <c r="CZ55" s="66"/>
      <c r="DA55" s="136"/>
      <c r="DB55" s="66"/>
      <c r="DC55" s="66"/>
      <c r="DD55" s="66"/>
      <c r="DE55" s="66"/>
      <c r="DF55" s="136"/>
    </row>
    <row r="56" spans="1:110" outlineLevel="2" x14ac:dyDescent="0.2">
      <c r="A56" s="77"/>
      <c r="B56" s="176" t="s">
        <v>9</v>
      </c>
      <c r="C56" s="192"/>
      <c r="D56" s="192"/>
      <c r="E56" s="66"/>
      <c r="F56" s="66"/>
      <c r="G56" s="66"/>
      <c r="H56" s="66"/>
      <c r="I56" s="66"/>
      <c r="J56" s="66"/>
      <c r="K56" s="66"/>
      <c r="L56" s="66"/>
      <c r="M56" s="66"/>
      <c r="N56" s="66"/>
      <c r="O56" s="66"/>
      <c r="P56" s="66"/>
      <c r="Q56" s="66"/>
      <c r="R56" s="66"/>
      <c r="S56" s="66"/>
      <c r="T56" s="136"/>
      <c r="U56" s="66"/>
      <c r="V56" s="66"/>
      <c r="W56" s="66"/>
      <c r="X56" s="66"/>
      <c r="Y56" s="136"/>
      <c r="Z56" s="66"/>
      <c r="AA56" s="66"/>
      <c r="AB56" s="66"/>
      <c r="AC56" s="66"/>
      <c r="AD56" s="136"/>
      <c r="AE56" s="66"/>
      <c r="AF56" s="66"/>
      <c r="AG56" s="66"/>
      <c r="AH56" s="66"/>
      <c r="AI56" s="136"/>
      <c r="AJ56" s="66"/>
      <c r="AK56" s="66"/>
      <c r="AL56" s="66"/>
      <c r="AM56" s="66"/>
      <c r="AN56" s="136"/>
      <c r="AO56" s="66">
        <f t="shared" ref="AO56:BD56" ca="1" si="91">AO16/AO$19</f>
        <v>0.10552381695166413</v>
      </c>
      <c r="AP56" s="66">
        <f t="shared" ca="1" si="91"/>
        <v>0.10581314343215424</v>
      </c>
      <c r="AQ56" s="66">
        <f t="shared" ca="1" si="91"/>
        <v>0.11142099577727585</v>
      </c>
      <c r="AR56" s="66">
        <f t="shared" ca="1" si="91"/>
        <v>0.11145839362543654</v>
      </c>
      <c r="AS56" s="136">
        <f t="shared" ca="1" si="91"/>
        <v>0.10855140027903495</v>
      </c>
      <c r="AT56" s="66">
        <f t="shared" ca="1" si="91"/>
        <v>0.12302521349633247</v>
      </c>
      <c r="AU56" s="66">
        <f t="shared" ca="1" si="91"/>
        <v>0.12163755347439015</v>
      </c>
      <c r="AV56" s="66">
        <f t="shared" ca="1" si="91"/>
        <v>0.12508044792259532</v>
      </c>
      <c r="AW56" s="66">
        <f t="shared" ca="1" si="91"/>
        <v>0.10193654318580375</v>
      </c>
      <c r="AX56" s="136">
        <f t="shared" ca="1" si="91"/>
        <v>0.11608026929465334</v>
      </c>
      <c r="AY56" s="66">
        <f t="shared" ca="1" si="91"/>
        <v>9.7836446880967556E-2</v>
      </c>
      <c r="AZ56" s="66">
        <f t="shared" ca="1" si="91"/>
        <v>0.10002489257717113</v>
      </c>
      <c r="BA56" s="66">
        <f t="shared" ca="1" si="91"/>
        <v>0.10330996027741352</v>
      </c>
      <c r="BB56" s="66">
        <f t="shared" ca="1" si="91"/>
        <v>0.10481017998678682</v>
      </c>
      <c r="BC56" s="136">
        <f t="shared" ca="1" si="91"/>
        <v>0.10150651295531135</v>
      </c>
      <c r="BD56" s="66">
        <f t="shared" ca="1" si="91"/>
        <v>0.11382416905169684</v>
      </c>
      <c r="BE56" s="66">
        <f t="shared" ref="BE56:BG56" si="92">BE16/BE$19</f>
        <v>0.11696582851815725</v>
      </c>
      <c r="BF56" s="66">
        <f t="shared" si="92"/>
        <v>0.11654951181794269</v>
      </c>
      <c r="BG56" s="66">
        <f t="shared" si="92"/>
        <v>0.1147722789055776</v>
      </c>
      <c r="BH56" s="136">
        <f t="shared" ref="BH56:CM56" ca="1" si="93">BH16/BH$19</f>
        <v>0.11552862843101599</v>
      </c>
      <c r="BI56" s="66">
        <f t="shared" ca="1" si="93"/>
        <v>0.11922345391926674</v>
      </c>
      <c r="BJ56" s="66">
        <f t="shared" ca="1" si="93"/>
        <v>0.11509577664177854</v>
      </c>
      <c r="BK56" s="66">
        <f t="shared" ca="1" si="93"/>
        <v>0.12283956351232758</v>
      </c>
      <c r="BL56" s="66">
        <f t="shared" ca="1" si="93"/>
        <v>0.12181850259929652</v>
      </c>
      <c r="BM56" s="136">
        <f t="shared" ca="1" si="93"/>
        <v>0.11980467942955002</v>
      </c>
      <c r="BN56" s="66">
        <f t="shared" ca="1" si="93"/>
        <v>0.12632798066573667</v>
      </c>
      <c r="BO56" s="66">
        <f t="shared" ca="1" si="93"/>
        <v>0.13006850823452393</v>
      </c>
      <c r="BP56" s="66">
        <f t="shared" ca="1" si="93"/>
        <v>0.13786781695463118</v>
      </c>
      <c r="BQ56" s="66">
        <f t="shared" ca="1" si="93"/>
        <v>0.14085588377941541</v>
      </c>
      <c r="BR56" s="136">
        <f t="shared" ca="1" si="93"/>
        <v>0.13373554572817611</v>
      </c>
      <c r="BS56" s="66">
        <f t="shared" ca="1" si="93"/>
        <v>0.15551323963384131</v>
      </c>
      <c r="BT56" s="66">
        <f t="shared" ca="1" si="93"/>
        <v>0.15593221772911597</v>
      </c>
      <c r="BU56" s="66">
        <f t="shared" ca="1" si="93"/>
        <v>0.1575881251256738</v>
      </c>
      <c r="BV56" s="66">
        <f t="shared" ca="1" si="93"/>
        <v>0.15698785591727196</v>
      </c>
      <c r="BW56" s="136">
        <f t="shared" ca="1" si="93"/>
        <v>0.15653216074316978</v>
      </c>
      <c r="BX56" s="66">
        <f t="shared" ca="1" si="93"/>
        <v>0.17846388587097831</v>
      </c>
      <c r="BY56" s="66">
        <f t="shared" ca="1" si="93"/>
        <v>0.18562816721615472</v>
      </c>
      <c r="BZ56" s="66">
        <f t="shared" ca="1" si="93"/>
        <v>0.19458019174374916</v>
      </c>
      <c r="CA56" s="66">
        <f t="shared" ca="1" si="93"/>
        <v>0.1838863877156045</v>
      </c>
      <c r="CB56" s="136">
        <f t="shared" ca="1" si="93"/>
        <v>0.18564213237421118</v>
      </c>
      <c r="CC56" s="66">
        <f t="shared" ca="1" si="93"/>
        <v>0.2057833007156572</v>
      </c>
      <c r="CD56" s="66">
        <f t="shared" ca="1" si="93"/>
        <v>0.21888560779930089</v>
      </c>
      <c r="CE56" s="66">
        <f t="shared" ca="1" si="93"/>
        <v>0.22550879705105173</v>
      </c>
      <c r="CF56" s="66">
        <f t="shared" ca="1" si="93"/>
        <v>0.22575349149015816</v>
      </c>
      <c r="CG56" s="136">
        <f t="shared" ca="1" si="93"/>
        <v>0.21901320180757985</v>
      </c>
      <c r="CH56" s="66">
        <f t="shared" ca="1" si="93"/>
        <v>0.24155015255832285</v>
      </c>
      <c r="CI56" s="66">
        <f t="shared" ca="1" si="93"/>
        <v>0.25283701093127631</v>
      </c>
      <c r="CJ56" s="66">
        <f t="shared" ca="1" si="93"/>
        <v>0.26971379466235756</v>
      </c>
      <c r="CK56" s="66">
        <f t="shared" ca="1" si="93"/>
        <v>0.25920600832707796</v>
      </c>
      <c r="CL56" s="136">
        <f t="shared" ca="1" si="93"/>
        <v>0.25580997593950611</v>
      </c>
      <c r="CM56" s="66">
        <f t="shared" ca="1" si="93"/>
        <v>0.26184200072939645</v>
      </c>
      <c r="CN56" s="66">
        <f t="shared" ref="CN56:DF56" ca="1" si="94">CN16/CN$19</f>
        <v>0.27432175622473226</v>
      </c>
      <c r="CO56" s="66">
        <f t="shared" ca="1" si="94"/>
        <v>0.28487924486221805</v>
      </c>
      <c r="CP56" s="66">
        <f t="shared" ca="1" si="94"/>
        <v>0.27380398487849833</v>
      </c>
      <c r="CQ56" s="136">
        <f t="shared" ca="1" si="94"/>
        <v>0.27377755064024406</v>
      </c>
      <c r="CR56" s="66">
        <f t="shared" ca="1" si="94"/>
        <v>0.27329149477510462</v>
      </c>
      <c r="CS56" s="66">
        <f t="shared" ca="1" si="94"/>
        <v>0.28481812818367136</v>
      </c>
      <c r="CT56" s="66">
        <f t="shared" ca="1" si="94"/>
        <v>0.29508489010843097</v>
      </c>
      <c r="CU56" s="66">
        <f t="shared" ca="1" si="94"/>
        <v>0.28362469758674336</v>
      </c>
      <c r="CV56" s="136">
        <f t="shared" ca="1" si="94"/>
        <v>0.28428196236531428</v>
      </c>
      <c r="CW56" s="66">
        <f t="shared" ca="1" si="94"/>
        <v>0.28408674392916261</v>
      </c>
      <c r="CX56" s="66">
        <f t="shared" ca="1" si="94"/>
        <v>0.29597652517179646</v>
      </c>
      <c r="CY56" s="66">
        <f t="shared" ca="1" si="94"/>
        <v>0.30602010038398719</v>
      </c>
      <c r="CZ56" s="66">
        <f t="shared" ca="1" si="94"/>
        <v>0.29469732193308346</v>
      </c>
      <c r="DA56" s="136">
        <f t="shared" ca="1" si="94"/>
        <v>0.29528045194273178</v>
      </c>
      <c r="DB56" s="66">
        <f t="shared" ca="1" si="94"/>
        <v>0.29423275833995938</v>
      </c>
      <c r="DC56" s="66">
        <f t="shared" ca="1" si="94"/>
        <v>0.30646482752580717</v>
      </c>
      <c r="DD56" s="66">
        <f t="shared" ca="1" si="94"/>
        <v>0.31619305095990702</v>
      </c>
      <c r="DE56" s="66">
        <f t="shared" ca="1" si="94"/>
        <v>0.30506847888714284</v>
      </c>
      <c r="DF56" s="136">
        <f t="shared" ca="1" si="94"/>
        <v>0.30558278187967391</v>
      </c>
    </row>
    <row r="57" spans="1:110" outlineLevel="2" x14ac:dyDescent="0.2">
      <c r="A57" s="77"/>
      <c r="B57" s="176"/>
      <c r="C57" s="192"/>
      <c r="D57" s="192"/>
      <c r="E57" s="66"/>
      <c r="F57" s="66"/>
      <c r="G57" s="66"/>
      <c r="H57" s="66"/>
      <c r="I57" s="66"/>
      <c r="J57" s="66"/>
      <c r="K57" s="66"/>
      <c r="L57" s="66"/>
      <c r="M57" s="66"/>
      <c r="N57" s="66"/>
      <c r="O57" s="66"/>
      <c r="P57" s="66"/>
      <c r="Q57" s="66"/>
      <c r="R57" s="66"/>
      <c r="S57" s="66"/>
      <c r="T57" s="136"/>
      <c r="U57" s="66"/>
      <c r="V57" s="66"/>
      <c r="W57" s="66"/>
      <c r="X57" s="66"/>
      <c r="Y57" s="136"/>
      <c r="Z57" s="66"/>
      <c r="AA57" s="66"/>
      <c r="AB57" s="66"/>
      <c r="AC57" s="66"/>
      <c r="AD57" s="136"/>
      <c r="AE57" s="66"/>
      <c r="AF57" s="66"/>
      <c r="AG57" s="66"/>
      <c r="AH57" s="66"/>
      <c r="AI57" s="136"/>
      <c r="AJ57" s="66"/>
      <c r="AK57" s="66"/>
      <c r="AL57" s="66"/>
      <c r="AM57" s="66"/>
      <c r="AN57" s="136"/>
      <c r="AO57" s="66"/>
      <c r="AP57" s="66"/>
      <c r="AQ57" s="66"/>
      <c r="AR57" s="66"/>
      <c r="AS57" s="136"/>
      <c r="AT57" s="66"/>
      <c r="AU57" s="66"/>
      <c r="AV57" s="66"/>
      <c r="AW57" s="66"/>
      <c r="AX57" s="136"/>
      <c r="AY57" s="66"/>
      <c r="AZ57" s="66"/>
      <c r="BA57" s="66"/>
      <c r="BB57" s="66"/>
      <c r="BC57" s="136"/>
      <c r="BD57" s="66"/>
      <c r="BE57" s="66"/>
      <c r="BF57" s="66"/>
      <c r="BG57" s="66"/>
      <c r="BH57" s="136"/>
      <c r="BI57" s="66"/>
      <c r="BJ57" s="66"/>
      <c r="BK57" s="66"/>
      <c r="BL57" s="66"/>
      <c r="BM57" s="136"/>
      <c r="BN57" s="66"/>
      <c r="BO57" s="66"/>
      <c r="BP57" s="66"/>
      <c r="BQ57" s="66"/>
      <c r="BR57" s="136"/>
      <c r="BS57" s="66"/>
      <c r="BT57" s="66"/>
      <c r="BU57" s="66"/>
      <c r="BV57" s="66"/>
      <c r="BW57" s="136"/>
      <c r="BX57" s="66"/>
      <c r="BY57" s="66"/>
      <c r="BZ57" s="66"/>
      <c r="CA57" s="66"/>
      <c r="CB57" s="136"/>
      <c r="CC57" s="66"/>
      <c r="CD57" s="66"/>
      <c r="CE57" s="66"/>
      <c r="CF57" s="66"/>
      <c r="CG57" s="136"/>
      <c r="CH57" s="66"/>
      <c r="CI57" s="66"/>
      <c r="CJ57" s="66"/>
      <c r="CK57" s="66"/>
      <c r="CL57" s="136"/>
      <c r="CM57" s="66"/>
      <c r="CN57" s="66"/>
      <c r="CO57" s="66"/>
      <c r="CP57" s="66"/>
      <c r="CQ57" s="136"/>
      <c r="CR57" s="66"/>
      <c r="CS57" s="66"/>
      <c r="CT57" s="66"/>
      <c r="CU57" s="66"/>
      <c r="CV57" s="136"/>
      <c r="CW57" s="66"/>
      <c r="CX57" s="66"/>
      <c r="CY57" s="66"/>
      <c r="CZ57" s="66"/>
      <c r="DA57" s="136"/>
      <c r="DB57" s="66"/>
      <c r="DC57" s="66"/>
      <c r="DD57" s="66"/>
      <c r="DE57" s="66"/>
      <c r="DF57" s="136"/>
    </row>
    <row r="58" spans="1:110" outlineLevel="2" x14ac:dyDescent="0.2">
      <c r="A58" s="77"/>
      <c r="B58" s="176" t="s">
        <v>265</v>
      </c>
      <c r="C58" s="192"/>
      <c r="D58" s="192"/>
      <c r="E58" s="66">
        <f t="shared" ref="E58:AJ58" si="95">E17/E$19</f>
        <v>2.7666500582403625E-2</v>
      </c>
      <c r="F58" s="66">
        <f t="shared" si="95"/>
        <v>3.3847034612944651E-2</v>
      </c>
      <c r="G58" s="66">
        <f t="shared" si="95"/>
        <v>3.5893814394136532E-2</v>
      </c>
      <c r="H58" s="66">
        <f t="shared" si="95"/>
        <v>3.1344475331851862E-2</v>
      </c>
      <c r="I58" s="66">
        <f t="shared" si="95"/>
        <v>-7.0031385556161771E-2</v>
      </c>
      <c r="J58" s="66">
        <f t="shared" si="95"/>
        <v>1.110429973799701E-2</v>
      </c>
      <c r="K58" s="66">
        <f t="shared" si="95"/>
        <v>0</v>
      </c>
      <c r="L58" s="66">
        <f t="shared" si="95"/>
        <v>3.0415580604948898E-2</v>
      </c>
      <c r="M58" s="66">
        <f t="shared" si="95"/>
        <v>2.9064042175853538E-2</v>
      </c>
      <c r="N58" s="66">
        <f t="shared" si="95"/>
        <v>-4.3151078890869443E-2</v>
      </c>
      <c r="O58" s="66">
        <f t="shared" si="95"/>
        <v>7.1803766461436295E-3</v>
      </c>
      <c r="P58" s="66">
        <f t="shared" si="95"/>
        <v>5.9167596124146578E-3</v>
      </c>
      <c r="Q58" s="66">
        <f t="shared" si="95"/>
        <v>5.414254218214504E-3</v>
      </c>
      <c r="R58" s="66">
        <f t="shared" si="95"/>
        <v>4.6621182738352442E-3</v>
      </c>
      <c r="S58" s="66">
        <f t="shared" si="95"/>
        <v>6.2572498745928264E-3</v>
      </c>
      <c r="T58" s="136">
        <f t="shared" si="95"/>
        <v>5.573369980149641E-3</v>
      </c>
      <c r="U58" s="66">
        <f t="shared" si="95"/>
        <v>6.2773004549849564E-3</v>
      </c>
      <c r="V58" s="66">
        <f t="shared" si="95"/>
        <v>5.3348141354905921E-3</v>
      </c>
      <c r="W58" s="66">
        <f t="shared" si="95"/>
        <v>8.1416194667112834E-3</v>
      </c>
      <c r="X58" s="66">
        <f t="shared" si="95"/>
        <v>8.46028432303844E-3</v>
      </c>
      <c r="Y58" s="136">
        <f t="shared" si="95"/>
        <v>7.0832456694017816E-3</v>
      </c>
      <c r="Z58" s="66">
        <f t="shared" si="95"/>
        <v>9.5238095238095229E-3</v>
      </c>
      <c r="AA58" s="66">
        <f t="shared" si="95"/>
        <v>1.058361887918647E-2</v>
      </c>
      <c r="AB58" s="66">
        <f t="shared" si="95"/>
        <v>1.1056370302474795E-2</v>
      </c>
      <c r="AC58" s="66">
        <f t="shared" si="95"/>
        <v>1.1242072025478401E-2</v>
      </c>
      <c r="AD58" s="136">
        <f t="shared" si="95"/>
        <v>1.0600460283143874E-2</v>
      </c>
      <c r="AE58" s="66">
        <f t="shared" si="95"/>
        <v>1.1350025665887184E-2</v>
      </c>
      <c r="AF58" s="66">
        <f t="shared" si="95"/>
        <v>1.1705022106337148E-2</v>
      </c>
      <c r="AG58" s="66">
        <f t="shared" si="95"/>
        <v>1.1687974373033967E-2</v>
      </c>
      <c r="AH58" s="66">
        <f t="shared" si="95"/>
        <v>1.1416595427846564E-2</v>
      </c>
      <c r="AI58" s="136">
        <f t="shared" si="95"/>
        <v>1.1461116579946562E-2</v>
      </c>
      <c r="AJ58" s="66">
        <f t="shared" si="95"/>
        <v>1.2361723992020793E-2</v>
      </c>
      <c r="AK58" s="66">
        <f t="shared" ref="AK58:BG58" si="96">AK17/AK$19</f>
        <v>1.2678097078000482E-2</v>
      </c>
      <c r="AL58" s="66">
        <f t="shared" si="96"/>
        <v>1.2772817460317462E-2</v>
      </c>
      <c r="AM58" s="66">
        <f t="shared" si="96"/>
        <v>1.3333333333333327E-2</v>
      </c>
      <c r="AN58" s="136">
        <f t="shared" si="96"/>
        <v>1.2788053365676167E-2</v>
      </c>
      <c r="AO58" s="66">
        <f t="shared" ref="AO58:BD58" ca="1" si="97">AO17/AO$19</f>
        <v>1.4350615165636516E-2</v>
      </c>
      <c r="AP58" s="66">
        <f t="shared" ca="1" si="97"/>
        <v>1.5190804241814383E-2</v>
      </c>
      <c r="AQ58" s="66">
        <f t="shared" ca="1" si="97"/>
        <v>1.5457134439752529E-2</v>
      </c>
      <c r="AR58" s="66">
        <f t="shared" ca="1" si="97"/>
        <v>1.43736373984681E-2</v>
      </c>
      <c r="AS58" s="136">
        <f t="shared" ca="1" si="97"/>
        <v>1.4841353562556819E-2</v>
      </c>
      <c r="AT58" s="66">
        <f t="shared" ca="1" si="97"/>
        <v>1.5745721271393644E-2</v>
      </c>
      <c r="AU58" s="66">
        <f t="shared" ca="1" si="97"/>
        <v>1.7208155085366321E-2</v>
      </c>
      <c r="AV58" s="66">
        <f t="shared" ca="1" si="97"/>
        <v>1.6979700246632517E-2</v>
      </c>
      <c r="AW58" s="66">
        <f t="shared" ca="1" si="97"/>
        <v>1.1298791674574557E-2</v>
      </c>
      <c r="AX58" s="136">
        <f t="shared" ca="1" si="97"/>
        <v>1.4848954694927672E-2</v>
      </c>
      <c r="AY58" s="66">
        <f t="shared" ca="1" si="97"/>
        <v>5.4705301709425365E-3</v>
      </c>
      <c r="AZ58" s="66">
        <f t="shared" ca="1" si="97"/>
        <v>6.009077542670843E-3</v>
      </c>
      <c r="BA58" s="66">
        <f t="shared" ca="1" si="97"/>
        <v>5.7441205347721165E-3</v>
      </c>
      <c r="BB58" s="66">
        <f t="shared" ca="1" si="97"/>
        <v>6.6522474054417557E-3</v>
      </c>
      <c r="BC58" s="136">
        <f t="shared" ca="1" si="97"/>
        <v>5.9713585355638003E-3</v>
      </c>
      <c r="BD58" s="66">
        <f t="shared" ca="1" si="97"/>
        <v>6.7914695446481361E-3</v>
      </c>
      <c r="BE58" s="66">
        <f t="shared" si="96"/>
        <v>5.959324670157258E-3</v>
      </c>
      <c r="BF58" s="66">
        <f t="shared" si="96"/>
        <v>5.841774905226524E-3</v>
      </c>
      <c r="BG58" s="66">
        <f t="shared" si="96"/>
        <v>5.7325002325129149E-3</v>
      </c>
      <c r="BH58" s="136">
        <f t="shared" ref="BH58:CM58" ca="1" si="98">BH17/BH$19</f>
        <v>6.0704843268099716E-3</v>
      </c>
      <c r="BI58" s="66">
        <f t="shared" ca="1" si="98"/>
        <v>7.6465446274749426E-3</v>
      </c>
      <c r="BJ58" s="66">
        <f t="shared" ca="1" si="98"/>
        <v>8.9162548754959155E-3</v>
      </c>
      <c r="BK58" s="66">
        <f t="shared" ca="1" si="98"/>
        <v>8.9251274609024427E-3</v>
      </c>
      <c r="BL58" s="66">
        <f t="shared" ca="1" si="98"/>
        <v>9.0279822720546275E-3</v>
      </c>
      <c r="BM58" s="136">
        <f t="shared" ca="1" si="98"/>
        <v>8.7883084305813066E-3</v>
      </c>
      <c r="BN58" s="66">
        <f t="shared" ca="1" si="98"/>
        <v>9.2112770730258479E-3</v>
      </c>
      <c r="BO58" s="66">
        <f t="shared" ca="1" si="98"/>
        <v>1.0699791873409609E-2</v>
      </c>
      <c r="BP58" s="66">
        <f t="shared" ca="1" si="98"/>
        <v>9.3733240796239625E-3</v>
      </c>
      <c r="BQ58" s="66">
        <f t="shared" ca="1" si="98"/>
        <v>1.0681121117863335E-2</v>
      </c>
      <c r="BR58" s="136">
        <f t="shared" ca="1" si="98"/>
        <v>9.9925654689818483E-3</v>
      </c>
      <c r="BS58" s="66">
        <f t="shared" ca="1" si="98"/>
        <v>1.2201394321575678E-2</v>
      </c>
      <c r="BT58" s="66">
        <f t="shared" ca="1" si="98"/>
        <v>1.2719904998592119E-2</v>
      </c>
      <c r="BU58" s="66">
        <f t="shared" ca="1" si="98"/>
        <v>1.3472911102632582E-2</v>
      </c>
      <c r="BV58" s="66">
        <f t="shared" ca="1" si="98"/>
        <v>1.3429977266357321E-2</v>
      </c>
      <c r="BW58" s="136">
        <f t="shared" ca="1" si="98"/>
        <v>1.2975673151118873E-2</v>
      </c>
      <c r="BX58" s="66">
        <f t="shared" ca="1" si="98"/>
        <v>1.5745112094322364E-2</v>
      </c>
      <c r="BY58" s="66">
        <f t="shared" ca="1" si="98"/>
        <v>1.611120077469335E-2</v>
      </c>
      <c r="BZ58" s="66">
        <f t="shared" ca="1" si="98"/>
        <v>1.762365906941863E-2</v>
      </c>
      <c r="CA58" s="66">
        <f t="shared" ca="1" si="98"/>
        <v>1.7425968109339399E-2</v>
      </c>
      <c r="CB58" s="136">
        <f t="shared" ca="1" si="98"/>
        <v>1.6734070025460498E-2</v>
      </c>
      <c r="CC58" s="66">
        <f t="shared" ca="1" si="98"/>
        <v>1.4265287661068105E-2</v>
      </c>
      <c r="CD58" s="66">
        <f t="shared" ca="1" si="98"/>
        <v>1.3503888543515046E-2</v>
      </c>
      <c r="CE58" s="66">
        <f t="shared" ca="1" si="98"/>
        <v>1.5409895032863543E-2</v>
      </c>
      <c r="CF58" s="66">
        <f t="shared" ca="1" si="98"/>
        <v>1.5612743870892379E-2</v>
      </c>
      <c r="CG58" s="136">
        <f t="shared" ca="1" si="98"/>
        <v>1.4697549374418367E-2</v>
      </c>
      <c r="CH58" s="66">
        <f t="shared" ca="1" si="98"/>
        <v>1.382496284408914E-2</v>
      </c>
      <c r="CI58" s="66">
        <f t="shared" ca="1" si="98"/>
        <v>1.5421443662117411E-2</v>
      </c>
      <c r="CJ58" s="66">
        <f t="shared" ca="1" si="98"/>
        <v>1.4531313088382174E-2</v>
      </c>
      <c r="CK58" s="66">
        <f t="shared" ca="1" si="98"/>
        <v>1.3418974710840885E-2</v>
      </c>
      <c r="CL58" s="136">
        <f t="shared" ca="1" si="98"/>
        <v>1.4302034850060229E-2</v>
      </c>
      <c r="CM58" s="66">
        <f t="shared" ca="1" si="98"/>
        <v>1.1938519515736863E-2</v>
      </c>
      <c r="CN58" s="66">
        <f t="shared" ref="CN58:DF58" ca="1" si="99">CN17/CN$19</f>
        <v>1.3329048340353061E-2</v>
      </c>
      <c r="CO58" s="66">
        <f t="shared" ca="1" si="99"/>
        <v>1.2946148976643566E-2</v>
      </c>
      <c r="CP58" s="66">
        <f t="shared" ca="1" si="99"/>
        <v>1.2620402924649278E-2</v>
      </c>
      <c r="CQ58" s="136">
        <f t="shared" ca="1" si="99"/>
        <v>1.2712428066334627E-2</v>
      </c>
      <c r="CR58" s="66">
        <f t="shared" ca="1" si="99"/>
        <v>1.1641109135592841E-2</v>
      </c>
      <c r="CS58" s="66">
        <f t="shared" ca="1" si="99"/>
        <v>1.2928960250943517E-2</v>
      </c>
      <c r="CT58" s="66">
        <f t="shared" ca="1" si="99"/>
        <v>1.2528060573795951E-2</v>
      </c>
      <c r="CU58" s="66">
        <f t="shared" ca="1" si="99"/>
        <v>1.2213343836763653E-2</v>
      </c>
      <c r="CV58" s="136">
        <f t="shared" ca="1" si="99"/>
        <v>1.2332100666008634E-2</v>
      </c>
      <c r="CW58" s="66">
        <f t="shared" ca="1" si="99"/>
        <v>1.2640001864233376E-2</v>
      </c>
      <c r="CX58" s="66">
        <f t="shared" ca="1" si="99"/>
        <v>1.4033990028468991E-2</v>
      </c>
      <c r="CY58" s="66">
        <f t="shared" ca="1" si="99"/>
        <v>1.3571090606720891E-2</v>
      </c>
      <c r="CZ58" s="66">
        <f t="shared" ca="1" si="99"/>
        <v>1.3255455353746485E-2</v>
      </c>
      <c r="DA58" s="136">
        <f t="shared" ca="1" si="99"/>
        <v>1.3379823286881457E-2</v>
      </c>
      <c r="DB58" s="66">
        <f t="shared" ca="1" si="99"/>
        <v>1.3674615260806664E-2</v>
      </c>
      <c r="DC58" s="66">
        <f t="shared" ca="1" si="99"/>
        <v>1.5178625961668366E-2</v>
      </c>
      <c r="DD58" s="66">
        <f t="shared" ca="1" si="99"/>
        <v>1.4646877254018066E-2</v>
      </c>
      <c r="DE58" s="66">
        <f t="shared" ca="1" si="99"/>
        <v>1.4333218545634987E-2</v>
      </c>
      <c r="DF58" s="136">
        <f t="shared" ca="1" si="99"/>
        <v>1.4463469529182781E-2</v>
      </c>
    </row>
    <row r="59" spans="1:110" outlineLevel="2" x14ac:dyDescent="0.2">
      <c r="A59" s="77"/>
      <c r="B59" s="169" t="s">
        <v>157</v>
      </c>
      <c r="C59" s="192"/>
      <c r="D59" s="192"/>
      <c r="E59" s="66">
        <f t="shared" ref="E59:AJ59" si="100">E19/E$19</f>
        <v>1</v>
      </c>
      <c r="F59" s="66">
        <f t="shared" si="100"/>
        <v>1</v>
      </c>
      <c r="G59" s="66">
        <f t="shared" si="100"/>
        <v>1</v>
      </c>
      <c r="H59" s="66">
        <f t="shared" si="100"/>
        <v>1</v>
      </c>
      <c r="I59" s="66">
        <f t="shared" si="100"/>
        <v>1</v>
      </c>
      <c r="J59" s="66">
        <f t="shared" si="100"/>
        <v>1</v>
      </c>
      <c r="K59" s="66">
        <f t="shared" si="100"/>
        <v>1</v>
      </c>
      <c r="L59" s="66">
        <f t="shared" si="100"/>
        <v>1</v>
      </c>
      <c r="M59" s="66">
        <f t="shared" si="100"/>
        <v>1</v>
      </c>
      <c r="N59" s="66">
        <f t="shared" si="100"/>
        <v>1</v>
      </c>
      <c r="O59" s="66">
        <f t="shared" si="100"/>
        <v>1</v>
      </c>
      <c r="P59" s="66">
        <f t="shared" si="100"/>
        <v>1</v>
      </c>
      <c r="Q59" s="66">
        <f t="shared" si="100"/>
        <v>1</v>
      </c>
      <c r="R59" s="66">
        <f t="shared" si="100"/>
        <v>1</v>
      </c>
      <c r="S59" s="66">
        <f t="shared" si="100"/>
        <v>1</v>
      </c>
      <c r="T59" s="136">
        <f t="shared" si="100"/>
        <v>1</v>
      </c>
      <c r="U59" s="66">
        <f t="shared" si="100"/>
        <v>1</v>
      </c>
      <c r="V59" s="66">
        <f t="shared" si="100"/>
        <v>1</v>
      </c>
      <c r="W59" s="66">
        <f t="shared" si="100"/>
        <v>1</v>
      </c>
      <c r="X59" s="66">
        <f t="shared" si="100"/>
        <v>1</v>
      </c>
      <c r="Y59" s="136">
        <f t="shared" si="100"/>
        <v>1</v>
      </c>
      <c r="Z59" s="66">
        <f t="shared" si="100"/>
        <v>1</v>
      </c>
      <c r="AA59" s="66">
        <f t="shared" si="100"/>
        <v>1</v>
      </c>
      <c r="AB59" s="66">
        <f t="shared" si="100"/>
        <v>1</v>
      </c>
      <c r="AC59" s="66">
        <f t="shared" si="100"/>
        <v>1</v>
      </c>
      <c r="AD59" s="136">
        <f t="shared" si="100"/>
        <v>1</v>
      </c>
      <c r="AE59" s="66">
        <f t="shared" si="100"/>
        <v>1</v>
      </c>
      <c r="AF59" s="66">
        <f t="shared" si="100"/>
        <v>1</v>
      </c>
      <c r="AG59" s="66">
        <f t="shared" si="100"/>
        <v>1</v>
      </c>
      <c r="AH59" s="66">
        <f t="shared" si="100"/>
        <v>1</v>
      </c>
      <c r="AI59" s="136">
        <f t="shared" si="100"/>
        <v>1</v>
      </c>
      <c r="AJ59" s="66">
        <f t="shared" si="100"/>
        <v>1</v>
      </c>
      <c r="AK59" s="66">
        <f t="shared" ref="AK59:BG59" si="101">AK19/AK$19</f>
        <v>1</v>
      </c>
      <c r="AL59" s="66">
        <f t="shared" si="101"/>
        <v>1</v>
      </c>
      <c r="AM59" s="66">
        <f t="shared" si="101"/>
        <v>1</v>
      </c>
      <c r="AN59" s="136">
        <f t="shared" si="101"/>
        <v>1</v>
      </c>
      <c r="AO59" s="66">
        <f t="shared" ref="AO59:BD59" ca="1" si="102">AO19/AO$19</f>
        <v>1</v>
      </c>
      <c r="AP59" s="66">
        <f t="shared" ca="1" si="102"/>
        <v>1</v>
      </c>
      <c r="AQ59" s="66">
        <f t="shared" ca="1" si="102"/>
        <v>1</v>
      </c>
      <c r="AR59" s="66">
        <f t="shared" ca="1" si="102"/>
        <v>1</v>
      </c>
      <c r="AS59" s="136">
        <f t="shared" ca="1" si="102"/>
        <v>1</v>
      </c>
      <c r="AT59" s="66">
        <f t="shared" ca="1" si="102"/>
        <v>1</v>
      </c>
      <c r="AU59" s="66">
        <f t="shared" ca="1" si="102"/>
        <v>1</v>
      </c>
      <c r="AV59" s="66">
        <f t="shared" ca="1" si="102"/>
        <v>1</v>
      </c>
      <c r="AW59" s="66">
        <f t="shared" ca="1" si="102"/>
        <v>1</v>
      </c>
      <c r="AX59" s="136">
        <f t="shared" ca="1" si="102"/>
        <v>1</v>
      </c>
      <c r="AY59" s="66">
        <f t="shared" ca="1" si="102"/>
        <v>1</v>
      </c>
      <c r="AZ59" s="66">
        <f t="shared" ca="1" si="102"/>
        <v>1</v>
      </c>
      <c r="BA59" s="66">
        <f t="shared" ca="1" si="102"/>
        <v>1</v>
      </c>
      <c r="BB59" s="66">
        <f t="shared" ca="1" si="102"/>
        <v>1</v>
      </c>
      <c r="BC59" s="136">
        <f t="shared" ca="1" si="102"/>
        <v>1</v>
      </c>
      <c r="BD59" s="66">
        <f t="shared" ca="1" si="102"/>
        <v>1</v>
      </c>
      <c r="BE59" s="66">
        <f t="shared" si="101"/>
        <v>1</v>
      </c>
      <c r="BF59" s="66">
        <f t="shared" si="101"/>
        <v>1</v>
      </c>
      <c r="BG59" s="66">
        <f t="shared" si="101"/>
        <v>1</v>
      </c>
      <c r="BH59" s="136">
        <f t="shared" ref="BH59:CM59" ca="1" si="103">BH19/BH$19</f>
        <v>1</v>
      </c>
      <c r="BI59" s="66">
        <f t="shared" ca="1" si="103"/>
        <v>1</v>
      </c>
      <c r="BJ59" s="66">
        <f t="shared" ca="1" si="103"/>
        <v>1</v>
      </c>
      <c r="BK59" s="66">
        <f t="shared" ca="1" si="103"/>
        <v>1</v>
      </c>
      <c r="BL59" s="66">
        <f t="shared" ca="1" si="103"/>
        <v>1</v>
      </c>
      <c r="BM59" s="136">
        <f t="shared" ca="1" si="103"/>
        <v>1</v>
      </c>
      <c r="BN59" s="66">
        <f t="shared" ca="1" si="103"/>
        <v>1</v>
      </c>
      <c r="BO59" s="66">
        <f t="shared" ca="1" si="103"/>
        <v>1</v>
      </c>
      <c r="BP59" s="66">
        <f t="shared" ca="1" si="103"/>
        <v>1</v>
      </c>
      <c r="BQ59" s="66">
        <f t="shared" ca="1" si="103"/>
        <v>1</v>
      </c>
      <c r="BR59" s="136">
        <f t="shared" ca="1" si="103"/>
        <v>1</v>
      </c>
      <c r="BS59" s="66">
        <f t="shared" ca="1" si="103"/>
        <v>1</v>
      </c>
      <c r="BT59" s="66">
        <f t="shared" ca="1" si="103"/>
        <v>1</v>
      </c>
      <c r="BU59" s="66">
        <f t="shared" ca="1" si="103"/>
        <v>1</v>
      </c>
      <c r="BV59" s="66">
        <f t="shared" ca="1" si="103"/>
        <v>1</v>
      </c>
      <c r="BW59" s="136">
        <f t="shared" ca="1" si="103"/>
        <v>1</v>
      </c>
      <c r="BX59" s="66">
        <f t="shared" ca="1" si="103"/>
        <v>1</v>
      </c>
      <c r="BY59" s="66">
        <f t="shared" ca="1" si="103"/>
        <v>1</v>
      </c>
      <c r="BZ59" s="66">
        <f t="shared" ca="1" si="103"/>
        <v>1</v>
      </c>
      <c r="CA59" s="66">
        <f t="shared" ca="1" si="103"/>
        <v>1</v>
      </c>
      <c r="CB59" s="136">
        <f t="shared" ca="1" si="103"/>
        <v>1</v>
      </c>
      <c r="CC59" s="66">
        <f t="shared" ca="1" si="103"/>
        <v>1</v>
      </c>
      <c r="CD59" s="66">
        <f t="shared" ca="1" si="103"/>
        <v>1</v>
      </c>
      <c r="CE59" s="66">
        <f t="shared" ca="1" si="103"/>
        <v>1</v>
      </c>
      <c r="CF59" s="66">
        <f t="shared" ca="1" si="103"/>
        <v>1</v>
      </c>
      <c r="CG59" s="136">
        <f t="shared" ca="1" si="103"/>
        <v>1</v>
      </c>
      <c r="CH59" s="66">
        <f t="shared" ca="1" si="103"/>
        <v>1</v>
      </c>
      <c r="CI59" s="66">
        <f t="shared" ca="1" si="103"/>
        <v>1</v>
      </c>
      <c r="CJ59" s="66">
        <f t="shared" ca="1" si="103"/>
        <v>1</v>
      </c>
      <c r="CK59" s="66">
        <f t="shared" ca="1" si="103"/>
        <v>1</v>
      </c>
      <c r="CL59" s="136">
        <f t="shared" ca="1" si="103"/>
        <v>1</v>
      </c>
      <c r="CM59" s="66">
        <f t="shared" ca="1" si="103"/>
        <v>1</v>
      </c>
      <c r="CN59" s="66">
        <f t="shared" ref="CN59:DF59" ca="1" si="104">CN19/CN$19</f>
        <v>1</v>
      </c>
      <c r="CO59" s="66">
        <f t="shared" ca="1" si="104"/>
        <v>1</v>
      </c>
      <c r="CP59" s="66">
        <f t="shared" ca="1" si="104"/>
        <v>1</v>
      </c>
      <c r="CQ59" s="136">
        <f t="shared" ca="1" si="104"/>
        <v>1</v>
      </c>
      <c r="CR59" s="66">
        <f t="shared" ca="1" si="104"/>
        <v>1</v>
      </c>
      <c r="CS59" s="66">
        <f t="shared" ca="1" si="104"/>
        <v>1</v>
      </c>
      <c r="CT59" s="66">
        <f t="shared" ca="1" si="104"/>
        <v>1</v>
      </c>
      <c r="CU59" s="66">
        <f t="shared" ca="1" si="104"/>
        <v>1</v>
      </c>
      <c r="CV59" s="136">
        <f t="shared" ca="1" si="104"/>
        <v>1</v>
      </c>
      <c r="CW59" s="66">
        <f t="shared" ca="1" si="104"/>
        <v>1</v>
      </c>
      <c r="CX59" s="66">
        <f t="shared" ca="1" si="104"/>
        <v>1</v>
      </c>
      <c r="CY59" s="66">
        <f t="shared" ca="1" si="104"/>
        <v>1</v>
      </c>
      <c r="CZ59" s="66">
        <f t="shared" ca="1" si="104"/>
        <v>1</v>
      </c>
      <c r="DA59" s="136">
        <f t="shared" ca="1" si="104"/>
        <v>1</v>
      </c>
      <c r="DB59" s="66">
        <f t="shared" ca="1" si="104"/>
        <v>1</v>
      </c>
      <c r="DC59" s="66">
        <f t="shared" ca="1" si="104"/>
        <v>1</v>
      </c>
      <c r="DD59" s="66">
        <f t="shared" ca="1" si="104"/>
        <v>1</v>
      </c>
      <c r="DE59" s="66">
        <f t="shared" ca="1" si="104"/>
        <v>1</v>
      </c>
      <c r="DF59" s="136">
        <f t="shared" ca="1" si="104"/>
        <v>1</v>
      </c>
    </row>
    <row r="60" spans="1:110" outlineLevel="2" x14ac:dyDescent="0.2">
      <c r="A60" s="77"/>
      <c r="B60" s="178" t="s">
        <v>220</v>
      </c>
      <c r="C60" s="192"/>
      <c r="D60" s="192"/>
      <c r="E60" s="78"/>
      <c r="F60" s="78"/>
      <c r="G60" s="78"/>
      <c r="H60" s="78"/>
      <c r="I60" s="78"/>
      <c r="J60" s="78"/>
      <c r="K60" s="66"/>
      <c r="L60" s="66"/>
      <c r="M60" s="66"/>
      <c r="N60" s="66"/>
      <c r="O60" s="66"/>
      <c r="P60" s="66"/>
      <c r="Q60" s="66"/>
      <c r="R60" s="66"/>
      <c r="S60" s="66"/>
      <c r="T60" s="136"/>
      <c r="U60" s="66"/>
      <c r="V60" s="66"/>
      <c r="W60" s="66"/>
      <c r="X60" s="66"/>
      <c r="Y60" s="136"/>
      <c r="Z60" s="66"/>
      <c r="AA60" s="66"/>
      <c r="AB60" s="66"/>
      <c r="AC60" s="66"/>
      <c r="AD60" s="136"/>
      <c r="AE60" s="66"/>
      <c r="AF60" s="66"/>
      <c r="AG60" s="66"/>
      <c r="AH60" s="66"/>
      <c r="AI60" s="136"/>
      <c r="AJ60" s="66"/>
      <c r="AK60" s="66"/>
      <c r="AL60" s="66"/>
      <c r="AM60" s="66"/>
      <c r="AN60" s="136"/>
      <c r="AO60" s="66"/>
      <c r="AP60" s="66"/>
      <c r="AQ60" s="66"/>
      <c r="AR60" s="66"/>
      <c r="AS60" s="136"/>
      <c r="AT60" s="66"/>
      <c r="AU60" s="66"/>
      <c r="AV60" s="66"/>
      <c r="AW60" s="66"/>
      <c r="AX60" s="136"/>
      <c r="AY60" s="66"/>
      <c r="AZ60" s="66"/>
      <c r="BA60" s="66"/>
      <c r="BB60" s="66"/>
      <c r="BC60" s="136"/>
      <c r="BD60" s="66"/>
      <c r="BE60" s="66"/>
      <c r="BF60" s="66"/>
      <c r="BG60" s="66"/>
      <c r="BH60" s="136"/>
      <c r="BI60" s="66"/>
      <c r="BJ60" s="66"/>
      <c r="BK60" s="66"/>
      <c r="BL60" s="66"/>
      <c r="BM60" s="136"/>
      <c r="BN60" s="66"/>
      <c r="BO60" s="66"/>
      <c r="BP60" s="66"/>
      <c r="BQ60" s="66"/>
      <c r="BR60" s="136"/>
      <c r="BS60" s="66"/>
      <c r="BT60" s="66"/>
      <c r="BU60" s="66"/>
      <c r="BV60" s="66"/>
      <c r="BW60" s="136"/>
      <c r="BX60" s="66"/>
      <c r="BY60" s="66"/>
      <c r="BZ60" s="66"/>
      <c r="CA60" s="66"/>
      <c r="CB60" s="136"/>
      <c r="CC60" s="66"/>
      <c r="CD60" s="66"/>
      <c r="CE60" s="66"/>
      <c r="CF60" s="66"/>
      <c r="CG60" s="136"/>
      <c r="CH60" s="66"/>
      <c r="CI60" s="66"/>
      <c r="CJ60" s="66"/>
      <c r="CK60" s="66"/>
      <c r="CL60" s="136"/>
      <c r="CM60" s="66"/>
      <c r="CN60" s="66"/>
      <c r="CO60" s="66"/>
      <c r="CP60" s="66"/>
      <c r="CQ60" s="136"/>
      <c r="CR60" s="66"/>
      <c r="CS60" s="66"/>
      <c r="CT60" s="66"/>
      <c r="CU60" s="66"/>
      <c r="CV60" s="136"/>
      <c r="CW60" s="66"/>
      <c r="CX60" s="66"/>
      <c r="CY60" s="66"/>
      <c r="CZ60" s="66"/>
      <c r="DA60" s="136"/>
      <c r="DB60" s="66"/>
      <c r="DC60" s="66"/>
      <c r="DD60" s="66"/>
      <c r="DE60" s="66"/>
      <c r="DF60" s="136"/>
    </row>
    <row r="61" spans="1:110" outlineLevel="2" x14ac:dyDescent="0.2">
      <c r="A61" s="77"/>
      <c r="B61" s="169" t="s">
        <v>221</v>
      </c>
      <c r="C61" s="192"/>
      <c r="D61" s="192"/>
      <c r="E61" s="78"/>
      <c r="F61" s="78"/>
      <c r="G61" s="78"/>
      <c r="H61" s="78"/>
      <c r="I61" s="78"/>
      <c r="J61" s="78"/>
      <c r="K61" s="66"/>
      <c r="L61" s="66"/>
      <c r="M61" s="66"/>
      <c r="N61" s="66"/>
      <c r="O61" s="66"/>
      <c r="P61" s="66"/>
      <c r="Q61" s="66"/>
      <c r="R61" s="66"/>
      <c r="S61" s="66"/>
      <c r="T61" s="136"/>
      <c r="U61" s="66"/>
      <c r="V61" s="66"/>
      <c r="W61" s="66"/>
      <c r="X61" s="66"/>
      <c r="Y61" s="136"/>
      <c r="Z61" s="66"/>
      <c r="AA61" s="66"/>
      <c r="AB61" s="66"/>
      <c r="AC61" s="66"/>
      <c r="AD61" s="136"/>
      <c r="AE61" s="66"/>
      <c r="AF61" s="66"/>
      <c r="AG61" s="66"/>
      <c r="AH61" s="66"/>
      <c r="AI61" s="136"/>
      <c r="AJ61" s="66"/>
      <c r="AK61" s="66"/>
      <c r="AL61" s="66"/>
      <c r="AM61" s="66"/>
      <c r="AN61" s="136"/>
      <c r="AO61" s="66">
        <f t="shared" ref="AO61:CB61" si="105">AO21/AO$24</f>
        <v>0.9685169842584922</v>
      </c>
      <c r="AP61" s="66">
        <f t="shared" si="105"/>
        <v>0.96971365638766516</v>
      </c>
      <c r="AQ61" s="66">
        <f t="shared" si="105"/>
        <v>0.97047353760445676</v>
      </c>
      <c r="AR61" s="66">
        <f t="shared" si="105"/>
        <v>0.96003717472118966</v>
      </c>
      <c r="AS61" s="136">
        <f t="shared" si="105"/>
        <v>0.9673797171487456</v>
      </c>
      <c r="AT61" s="66">
        <f t="shared" si="105"/>
        <v>0.96680631646793425</v>
      </c>
      <c r="AU61" s="66">
        <f t="shared" si="105"/>
        <v>0.96973558458107678</v>
      </c>
      <c r="AV61" s="66">
        <f t="shared" si="105"/>
        <v>0.97445464982778418</v>
      </c>
      <c r="AW61" s="66">
        <f t="shared" si="105"/>
        <v>0.97026502908855849</v>
      </c>
      <c r="AX61" s="136">
        <f t="shared" si="105"/>
        <v>0.97043681747269883</v>
      </c>
      <c r="AY61" s="66">
        <f t="shared" si="105"/>
        <v>0.97473684210526323</v>
      </c>
      <c r="AZ61" s="66">
        <f t="shared" si="105"/>
        <v>0.99110320284697506</v>
      </c>
      <c r="BA61" s="66">
        <f t="shared" si="105"/>
        <v>0.99215070643642067</v>
      </c>
      <c r="BB61" s="66">
        <f ca="1">BB21/BB$24</f>
        <v>0.98902477265600075</v>
      </c>
      <c r="BC61" s="136">
        <f ca="1">BC21/BC$24</f>
        <v>0.98694193171870337</v>
      </c>
      <c r="BD61" s="66">
        <f t="shared" si="105"/>
        <v>0.98236859614105121</v>
      </c>
      <c r="BE61" s="66">
        <f t="shared" si="105"/>
        <v>0.98401688781664653</v>
      </c>
      <c r="BF61" s="66">
        <f t="shared" si="105"/>
        <v>0.984514592019059</v>
      </c>
      <c r="BG61" s="66">
        <f t="shared" si="105"/>
        <v>0.98346361996392062</v>
      </c>
      <c r="BH61" s="136">
        <f t="shared" si="105"/>
        <v>0.98362294325695832</v>
      </c>
      <c r="BI61" s="66">
        <f t="shared" si="105"/>
        <v>0.98306878306878309</v>
      </c>
      <c r="BJ61" s="66">
        <f t="shared" si="105"/>
        <v>0.91760651629072676</v>
      </c>
      <c r="BK61" s="66">
        <f t="shared" si="105"/>
        <v>0.91913787832467142</v>
      </c>
      <c r="BL61" s="66">
        <f t="shared" si="105"/>
        <v>0.91578086672117742</v>
      </c>
      <c r="BM61" s="136">
        <f t="shared" si="105"/>
        <v>0.92839928136365624</v>
      </c>
      <c r="BN61" s="66">
        <f t="shared" si="105"/>
        <v>0.8976753427379297</v>
      </c>
      <c r="BO61" s="66">
        <f t="shared" si="105"/>
        <v>0.90590140338251179</v>
      </c>
      <c r="BP61" s="66">
        <f t="shared" si="105"/>
        <v>0.91246366900324838</v>
      </c>
      <c r="BQ61" s="66">
        <f t="shared" si="105"/>
        <v>0.9012475839044104</v>
      </c>
      <c r="BR61" s="136">
        <f t="shared" si="105"/>
        <v>0.90456825267724017</v>
      </c>
      <c r="BS61" s="66">
        <f t="shared" si="105"/>
        <v>0.8777739251040223</v>
      </c>
      <c r="BT61" s="66">
        <f t="shared" si="105"/>
        <v>0.88181531673495117</v>
      </c>
      <c r="BU61" s="66">
        <f t="shared" si="105"/>
        <v>0.88611713665943603</v>
      </c>
      <c r="BV61" s="66">
        <f t="shared" si="105"/>
        <v>0.86937144613493167</v>
      </c>
      <c r="BW61" s="136">
        <f t="shared" si="105"/>
        <v>0.87876370887337985</v>
      </c>
      <c r="BX61" s="66">
        <f t="shared" si="105"/>
        <v>0.87892791127541592</v>
      </c>
      <c r="BY61" s="66">
        <f>BY21/BY$24</f>
        <v>0.88587896253602294</v>
      </c>
      <c r="BZ61" s="66">
        <f>BZ21/BZ$24</f>
        <v>0.87781214848143985</v>
      </c>
      <c r="CA61" s="66">
        <f t="shared" si="105"/>
        <v>0.8736942070275403</v>
      </c>
      <c r="CB61" s="136">
        <f t="shared" si="105"/>
        <v>0.87898979043524983</v>
      </c>
      <c r="CC61" s="66">
        <f t="shared" ref="CC61:CD61" si="106">CC21/CC$24</f>
        <v>0.89281451420386737</v>
      </c>
      <c r="CD61" s="66">
        <f t="shared" si="106"/>
        <v>0.91875758802104412</v>
      </c>
      <c r="CE61" s="66">
        <f t="shared" ref="CE61" si="107">CE21/CE$24</f>
        <v>0.92155491156190672</v>
      </c>
      <c r="CF61" s="66">
        <f>CF21/CF$24</f>
        <v>1.0094627273683103</v>
      </c>
      <c r="CG61" s="136">
        <f>CG21/CG$24</f>
        <v>0.93658020116463736</v>
      </c>
      <c r="CH61" s="66">
        <f t="shared" ref="CH61:CI61" si="108">CH21/CH$24</f>
        <v>0.92373811265544981</v>
      </c>
      <c r="CI61" s="66">
        <f t="shared" si="108"/>
        <v>0.92951143280144755</v>
      </c>
      <c r="CJ61" s="66">
        <f t="shared" ref="CJ61:CK61" si="109">CJ21/CJ$24</f>
        <v>0.93381806163761061</v>
      </c>
      <c r="CK61" s="66">
        <f t="shared" si="109"/>
        <v>0.84932679585959991</v>
      </c>
      <c r="CL61" s="136">
        <f t="shared" ref="CL61:CQ62" si="110">CL21/CL$24</f>
        <v>0.90783832160845856</v>
      </c>
      <c r="CM61" s="66">
        <f t="shared" si="110"/>
        <v>0.61462642978826965</v>
      </c>
      <c r="CN61" s="66">
        <f t="shared" si="110"/>
        <v>0.63999320421338768</v>
      </c>
      <c r="CO61" s="66">
        <f t="shared" si="110"/>
        <v>0.642049650627734</v>
      </c>
      <c r="CP61" s="66">
        <f t="shared" si="110"/>
        <v>0.59474630770069215</v>
      </c>
      <c r="CQ61" s="136">
        <f t="shared" si="110"/>
        <v>0.62270507951917309</v>
      </c>
      <c r="CR61" s="66">
        <f t="shared" ref="CR61:CV61" si="111">CR21/CR$24</f>
        <v>0.59472506770281408</v>
      </c>
      <c r="CS61" s="66">
        <f t="shared" si="111"/>
        <v>0.62066124780316345</v>
      </c>
      <c r="CT61" s="66">
        <f t="shared" si="111"/>
        <v>0.62259681595328598</v>
      </c>
      <c r="CU61" s="66">
        <f t="shared" si="111"/>
        <v>0.57743795968040645</v>
      </c>
      <c r="CV61" s="136">
        <f t="shared" si="111"/>
        <v>0.60374276776568947</v>
      </c>
      <c r="CW61" s="66">
        <f t="shared" ref="CW61:DF61" si="112">CW21/CW$24</f>
        <v>0.57427093400034102</v>
      </c>
      <c r="CX61" s="66">
        <f t="shared" si="112"/>
        <v>0.6007016424812629</v>
      </c>
      <c r="CY61" s="66">
        <f t="shared" si="112"/>
        <v>0.60251625972918221</v>
      </c>
      <c r="CZ61" s="66">
        <f t="shared" si="112"/>
        <v>0.55952625102543074</v>
      </c>
      <c r="DA61" s="136">
        <f t="shared" si="112"/>
        <v>0.58417485870409558</v>
      </c>
      <c r="DB61" s="66">
        <f t="shared" si="112"/>
        <v>0.55333716758414808</v>
      </c>
      <c r="DC61" s="66">
        <f t="shared" si="112"/>
        <v>0.58017814513437893</v>
      </c>
      <c r="DD61" s="66">
        <f t="shared" si="112"/>
        <v>0.58187247406492137</v>
      </c>
      <c r="DE61" s="66">
        <f t="shared" si="112"/>
        <v>0.5410644785443367</v>
      </c>
      <c r="DF61" s="136">
        <f t="shared" si="112"/>
        <v>0.5640647630871094</v>
      </c>
    </row>
    <row r="62" spans="1:110" outlineLevel="2" x14ac:dyDescent="0.2">
      <c r="A62" s="77"/>
      <c r="B62" s="169" t="s">
        <v>222</v>
      </c>
      <c r="C62" s="192"/>
      <c r="D62" s="192"/>
      <c r="E62" s="78"/>
      <c r="F62" s="78"/>
      <c r="G62" s="78"/>
      <c r="H62" s="78"/>
      <c r="I62" s="78"/>
      <c r="J62" s="78"/>
      <c r="K62" s="66"/>
      <c r="L62" s="66"/>
      <c r="M62" s="66"/>
      <c r="N62" s="66"/>
      <c r="O62" s="66"/>
      <c r="P62" s="66"/>
      <c r="Q62" s="66"/>
      <c r="R62" s="66"/>
      <c r="S62" s="66"/>
      <c r="T62" s="136"/>
      <c r="U62" s="66"/>
      <c r="V62" s="66"/>
      <c r="W62" s="66"/>
      <c r="X62" s="66"/>
      <c r="Y62" s="136"/>
      <c r="Z62" s="66"/>
      <c r="AA62" s="66"/>
      <c r="AB62" s="66"/>
      <c r="AC62" s="66"/>
      <c r="AD62" s="136"/>
      <c r="AE62" s="66"/>
      <c r="AF62" s="66"/>
      <c r="AG62" s="66"/>
      <c r="AH62" s="66"/>
      <c r="AI62" s="136"/>
      <c r="AJ62" s="66"/>
      <c r="AK62" s="66"/>
      <c r="AL62" s="66"/>
      <c r="AM62" s="66"/>
      <c r="AN62" s="136"/>
      <c r="AO62" s="66">
        <f t="shared" ref="AO62:CB62" si="113">AO22/AO$24</f>
        <v>3.1483015741507872E-2</v>
      </c>
      <c r="AP62" s="66">
        <f t="shared" si="113"/>
        <v>3.0286343612334801E-2</v>
      </c>
      <c r="AQ62" s="66">
        <f t="shared" si="113"/>
        <v>2.9526462395543174E-2</v>
      </c>
      <c r="AR62" s="66">
        <f t="shared" si="113"/>
        <v>3.9962825278810413E-2</v>
      </c>
      <c r="AS62" s="136">
        <f t="shared" si="113"/>
        <v>3.2620282851254352E-2</v>
      </c>
      <c r="AT62" s="66">
        <f t="shared" si="113"/>
        <v>3.3193683532065747E-2</v>
      </c>
      <c r="AU62" s="66">
        <f t="shared" si="113"/>
        <v>3.0264415418923225E-2</v>
      </c>
      <c r="AV62" s="66">
        <f t="shared" si="113"/>
        <v>2.5545350172215847E-2</v>
      </c>
      <c r="AW62" s="66">
        <f t="shared" si="113"/>
        <v>2.9734970911441495E-2</v>
      </c>
      <c r="AX62" s="136">
        <f t="shared" si="113"/>
        <v>2.9563182527301092E-2</v>
      </c>
      <c r="AY62" s="66">
        <f t="shared" si="113"/>
        <v>2.5263157894736842E-2</v>
      </c>
      <c r="AZ62" s="66">
        <f t="shared" si="113"/>
        <v>8.8967971530249119E-3</v>
      </c>
      <c r="BA62" s="66">
        <f t="shared" si="113"/>
        <v>7.8492935635792772E-3</v>
      </c>
      <c r="BB62" s="66">
        <f ca="1">BB22/BB$24</f>
        <v>1.097522734399921E-2</v>
      </c>
      <c r="BC62" s="136">
        <f ca="1">BC22/BC$24</f>
        <v>1.3058068281296574E-2</v>
      </c>
      <c r="BD62" s="66">
        <f t="shared" si="113"/>
        <v>1.7631403858948767E-2</v>
      </c>
      <c r="BE62" s="66">
        <f t="shared" si="113"/>
        <v>1.5983112183353437E-2</v>
      </c>
      <c r="BF62" s="66">
        <f t="shared" si="113"/>
        <v>1.5485407980941036E-2</v>
      </c>
      <c r="BG62" s="66">
        <f t="shared" si="113"/>
        <v>1.6536380036079379E-2</v>
      </c>
      <c r="BH62" s="136">
        <f t="shared" si="113"/>
        <v>1.6377056743041674E-2</v>
      </c>
      <c r="BI62" s="66">
        <f t="shared" si="113"/>
        <v>1.6931216931216932E-2</v>
      </c>
      <c r="BJ62" s="66">
        <f t="shared" si="113"/>
        <v>8.2393483709273185E-2</v>
      </c>
      <c r="BK62" s="66">
        <f t="shared" si="113"/>
        <v>8.0862121675328649E-2</v>
      </c>
      <c r="BL62" s="66">
        <f t="shared" si="113"/>
        <v>8.4219133278822564E-2</v>
      </c>
      <c r="BM62" s="136">
        <f t="shared" si="113"/>
        <v>7.1600718636343721E-2</v>
      </c>
      <c r="BN62" s="66">
        <f t="shared" si="113"/>
        <v>0.10232465726207034</v>
      </c>
      <c r="BO62" s="66">
        <f t="shared" si="113"/>
        <v>9.4098596617488303E-2</v>
      </c>
      <c r="BP62" s="66">
        <f t="shared" si="113"/>
        <v>8.753633099675158E-2</v>
      </c>
      <c r="BQ62" s="66">
        <f t="shared" si="113"/>
        <v>9.8752416095589504E-2</v>
      </c>
      <c r="BR62" s="136">
        <f t="shared" si="113"/>
        <v>9.5431747322759927E-2</v>
      </c>
      <c r="BS62" s="66">
        <f t="shared" si="113"/>
        <v>0.12222607489597782</v>
      </c>
      <c r="BT62" s="66">
        <f t="shared" si="113"/>
        <v>0.11818468326504884</v>
      </c>
      <c r="BU62" s="66">
        <f t="shared" si="113"/>
        <v>0.11388286334056399</v>
      </c>
      <c r="BV62" s="66">
        <f t="shared" si="113"/>
        <v>0.13062855386506839</v>
      </c>
      <c r="BW62" s="136">
        <f t="shared" si="113"/>
        <v>0.12123629112662014</v>
      </c>
      <c r="BX62" s="66">
        <f t="shared" si="113"/>
        <v>0.12107208872458408</v>
      </c>
      <c r="BY62" s="66">
        <f>BY22/BY$24</f>
        <v>0.11412103746397695</v>
      </c>
      <c r="BZ62" s="66">
        <f>BZ22/BZ$24</f>
        <v>0.12218785151856019</v>
      </c>
      <c r="CA62" s="66">
        <f t="shared" si="113"/>
        <v>0.12630579297245967</v>
      </c>
      <c r="CB62" s="136">
        <f t="shared" si="113"/>
        <v>0.12101020956475014</v>
      </c>
      <c r="CC62" s="66">
        <f t="shared" ref="CC62:CD62" si="114">CC22/CC$24</f>
        <v>0.10718548579613273</v>
      </c>
      <c r="CD62" s="66">
        <f t="shared" si="114"/>
        <v>8.1242411978955889E-2</v>
      </c>
      <c r="CE62" s="66">
        <f t="shared" ref="CE62" si="115">CE22/CE$24</f>
        <v>7.8445088438093336E-2</v>
      </c>
      <c r="CF62" s="66">
        <f>CF22/CF$24</f>
        <v>-9.4627273683103776E-3</v>
      </c>
      <c r="CG62" s="136">
        <f>CG22/CG$24</f>
        <v>6.3419798835362626E-2</v>
      </c>
      <c r="CH62" s="66">
        <f t="shared" ref="CH62:CI62" si="116">CH22/CH$24</f>
        <v>7.6261887344550111E-2</v>
      </c>
      <c r="CI62" s="66">
        <f t="shared" si="116"/>
        <v>7.0488567198552399E-2</v>
      </c>
      <c r="CJ62" s="66">
        <f t="shared" ref="CJ62:CK62" si="117">CJ22/CJ$24</f>
        <v>6.6181938362389489E-2</v>
      </c>
      <c r="CK62" s="66">
        <f t="shared" si="117"/>
        <v>0.1506732041404</v>
      </c>
      <c r="CL62" s="136">
        <f t="shared" si="110"/>
        <v>9.2161678391541449E-2</v>
      </c>
      <c r="CM62" s="66">
        <f t="shared" si="110"/>
        <v>5.0742273059138476E-2</v>
      </c>
      <c r="CN62" s="66">
        <f t="shared" si="110"/>
        <v>4.853324272284517E-2</v>
      </c>
      <c r="CO62" s="66">
        <f t="shared" si="110"/>
        <v>4.5503607339658012E-2</v>
      </c>
      <c r="CP62" s="66">
        <f t="shared" si="110"/>
        <v>0.10550983704834051</v>
      </c>
      <c r="CQ62" s="136">
        <f t="shared" si="110"/>
        <v>6.3215601176369818E-2</v>
      </c>
      <c r="CR62" s="66">
        <f t="shared" ref="CR62:CV62" si="118">CR22/CR$24</f>
        <v>4.9099258212645706E-2</v>
      </c>
      <c r="CS62" s="66">
        <f t="shared" si="118"/>
        <v>4.7067223198594028E-2</v>
      </c>
      <c r="CT62" s="66">
        <f t="shared" si="118"/>
        <v>4.4124938026772434E-2</v>
      </c>
      <c r="CU62" s="66">
        <f t="shared" si="118"/>
        <v>0.10243928250171966</v>
      </c>
      <c r="CV62" s="136">
        <f t="shared" si="118"/>
        <v>6.1290590482518073E-2</v>
      </c>
      <c r="CW62" s="66">
        <f t="shared" ref="CW62:DF62" si="119">CW22/CW$24</f>
        <v>4.7410607697117843E-2</v>
      </c>
      <c r="CX62" s="66">
        <f t="shared" si="119"/>
        <v>4.555360654866316E-2</v>
      </c>
      <c r="CY62" s="66">
        <f t="shared" si="119"/>
        <v>4.2701780573621922E-2</v>
      </c>
      <c r="CZ62" s="66">
        <f t="shared" si="119"/>
        <v>9.9261689909762099E-2</v>
      </c>
      <c r="DA62" s="136">
        <f t="shared" si="119"/>
        <v>5.9304100929472588E-2</v>
      </c>
      <c r="DB62" s="66">
        <f t="shared" si="119"/>
        <v>4.5682359707501438E-2</v>
      </c>
      <c r="DC62" s="66">
        <f t="shared" si="119"/>
        <v>4.399722771260621E-2</v>
      </c>
      <c r="DD62" s="66">
        <f t="shared" si="119"/>
        <v>4.1238705691559192E-2</v>
      </c>
      <c r="DE62" s="66">
        <f t="shared" si="119"/>
        <v>9.598651429138054E-2</v>
      </c>
      <c r="DF62" s="136">
        <f t="shared" si="119"/>
        <v>5.7262569832402237E-2</v>
      </c>
    </row>
    <row r="63" spans="1:110" ht="12" outlineLevel="2" thickBot="1" x14ac:dyDescent="0.25">
      <c r="A63" s="77"/>
      <c r="B63" s="443" t="s">
        <v>157</v>
      </c>
      <c r="C63" s="187"/>
      <c r="D63" s="187"/>
      <c r="E63" s="189"/>
      <c r="F63" s="189"/>
      <c r="G63" s="189"/>
      <c r="H63" s="189"/>
      <c r="I63" s="189"/>
      <c r="J63" s="189"/>
      <c r="K63" s="140"/>
      <c r="L63" s="140"/>
      <c r="M63" s="140"/>
      <c r="N63" s="140"/>
      <c r="O63" s="140"/>
      <c r="P63" s="140"/>
      <c r="Q63" s="140"/>
      <c r="R63" s="140"/>
      <c r="S63" s="140"/>
      <c r="T63" s="141"/>
      <c r="U63" s="140"/>
      <c r="V63" s="140"/>
      <c r="W63" s="140"/>
      <c r="X63" s="140"/>
      <c r="Y63" s="141"/>
      <c r="Z63" s="140"/>
      <c r="AA63" s="140"/>
      <c r="AB63" s="140"/>
      <c r="AC63" s="140"/>
      <c r="AD63" s="141"/>
      <c r="AE63" s="140"/>
      <c r="AF63" s="140"/>
      <c r="AG63" s="140"/>
      <c r="AH63" s="140"/>
      <c r="AI63" s="141"/>
      <c r="AJ63" s="140"/>
      <c r="AK63" s="140"/>
      <c r="AL63" s="140"/>
      <c r="AM63" s="140"/>
      <c r="AN63" s="141"/>
      <c r="AO63" s="140">
        <f t="shared" ref="AO63:CB63" si="120">AO24/AO$24</f>
        <v>1</v>
      </c>
      <c r="AP63" s="140">
        <f t="shared" si="120"/>
        <v>1</v>
      </c>
      <c r="AQ63" s="140">
        <f t="shared" si="120"/>
        <v>1</v>
      </c>
      <c r="AR63" s="140">
        <f t="shared" si="120"/>
        <v>1</v>
      </c>
      <c r="AS63" s="141">
        <f t="shared" si="120"/>
        <v>1</v>
      </c>
      <c r="AT63" s="140">
        <f t="shared" si="120"/>
        <v>1</v>
      </c>
      <c r="AU63" s="140">
        <f t="shared" si="120"/>
        <v>1</v>
      </c>
      <c r="AV63" s="140">
        <f t="shared" si="120"/>
        <v>1</v>
      </c>
      <c r="AW63" s="140">
        <f t="shared" si="120"/>
        <v>1</v>
      </c>
      <c r="AX63" s="141">
        <f t="shared" si="120"/>
        <v>1</v>
      </c>
      <c r="AY63" s="140">
        <f t="shared" si="120"/>
        <v>1</v>
      </c>
      <c r="AZ63" s="140">
        <f t="shared" si="120"/>
        <v>1</v>
      </c>
      <c r="BA63" s="140">
        <f t="shared" si="120"/>
        <v>1</v>
      </c>
      <c r="BB63" s="140">
        <f ca="1">BB24/BB$24</f>
        <v>1</v>
      </c>
      <c r="BC63" s="141">
        <f ca="1">BC24/BC$24</f>
        <v>1</v>
      </c>
      <c r="BD63" s="140">
        <f t="shared" si="120"/>
        <v>1</v>
      </c>
      <c r="BE63" s="140">
        <f t="shared" si="120"/>
        <v>1</v>
      </c>
      <c r="BF63" s="140">
        <f t="shared" si="120"/>
        <v>1</v>
      </c>
      <c r="BG63" s="140">
        <f t="shared" si="120"/>
        <v>1</v>
      </c>
      <c r="BH63" s="141">
        <f t="shared" si="120"/>
        <v>1</v>
      </c>
      <c r="BI63" s="140">
        <f t="shared" si="120"/>
        <v>1</v>
      </c>
      <c r="BJ63" s="140">
        <f t="shared" si="120"/>
        <v>1</v>
      </c>
      <c r="BK63" s="140">
        <f t="shared" si="120"/>
        <v>1</v>
      </c>
      <c r="BL63" s="140">
        <f t="shared" si="120"/>
        <v>1</v>
      </c>
      <c r="BM63" s="141">
        <f t="shared" si="120"/>
        <v>1</v>
      </c>
      <c r="BN63" s="140">
        <f t="shared" si="120"/>
        <v>1</v>
      </c>
      <c r="BO63" s="140">
        <f t="shared" si="120"/>
        <v>1</v>
      </c>
      <c r="BP63" s="140">
        <f t="shared" si="120"/>
        <v>1</v>
      </c>
      <c r="BQ63" s="140">
        <f t="shared" si="120"/>
        <v>1</v>
      </c>
      <c r="BR63" s="141">
        <f t="shared" si="120"/>
        <v>1</v>
      </c>
      <c r="BS63" s="140">
        <f t="shared" si="120"/>
        <v>1</v>
      </c>
      <c r="BT63" s="140">
        <f t="shared" si="120"/>
        <v>1</v>
      </c>
      <c r="BU63" s="140">
        <f t="shared" si="120"/>
        <v>1</v>
      </c>
      <c r="BV63" s="140">
        <f t="shared" si="120"/>
        <v>1</v>
      </c>
      <c r="BW63" s="141">
        <f t="shared" si="120"/>
        <v>1</v>
      </c>
      <c r="BX63" s="140">
        <f t="shared" si="120"/>
        <v>1</v>
      </c>
      <c r="BY63" s="140">
        <f>BY24/BY$24</f>
        <v>1</v>
      </c>
      <c r="BZ63" s="140">
        <f>BZ24/BZ$24</f>
        <v>1</v>
      </c>
      <c r="CA63" s="140">
        <f t="shared" si="120"/>
        <v>1</v>
      </c>
      <c r="CB63" s="141">
        <f t="shared" si="120"/>
        <v>1</v>
      </c>
      <c r="CC63" s="140">
        <f t="shared" ref="CC63:CD63" si="121">CC24/CC$24</f>
        <v>1</v>
      </c>
      <c r="CD63" s="140">
        <f t="shared" si="121"/>
        <v>1</v>
      </c>
      <c r="CE63" s="140">
        <f t="shared" ref="CE63" si="122">CE24/CE$24</f>
        <v>1</v>
      </c>
      <c r="CF63" s="140">
        <f>CF24/CF$24</f>
        <v>1</v>
      </c>
      <c r="CG63" s="141">
        <f>CG24/CG$24</f>
        <v>1</v>
      </c>
      <c r="CH63" s="140">
        <f t="shared" ref="CH63:CI63" si="123">CH24/CH$24</f>
        <v>1</v>
      </c>
      <c r="CI63" s="140">
        <f t="shared" si="123"/>
        <v>1</v>
      </c>
      <c r="CJ63" s="140">
        <f t="shared" ref="CJ63:CK63" si="124">CJ24/CJ$24</f>
        <v>1</v>
      </c>
      <c r="CK63" s="140">
        <f t="shared" si="124"/>
        <v>1</v>
      </c>
      <c r="CL63" s="141">
        <f t="shared" ref="CL63:CQ63" si="125">CL24/CL$24</f>
        <v>1</v>
      </c>
      <c r="CM63" s="140">
        <f t="shared" si="125"/>
        <v>1</v>
      </c>
      <c r="CN63" s="140">
        <f t="shared" si="125"/>
        <v>1</v>
      </c>
      <c r="CO63" s="140">
        <f t="shared" si="125"/>
        <v>1</v>
      </c>
      <c r="CP63" s="140">
        <f t="shared" si="125"/>
        <v>1</v>
      </c>
      <c r="CQ63" s="141">
        <f t="shared" si="125"/>
        <v>1</v>
      </c>
      <c r="CR63" s="140">
        <f t="shared" ref="CR63:CV63" si="126">CR24/CR$24</f>
        <v>1</v>
      </c>
      <c r="CS63" s="140">
        <f t="shared" si="126"/>
        <v>1</v>
      </c>
      <c r="CT63" s="140">
        <f t="shared" si="126"/>
        <v>1</v>
      </c>
      <c r="CU63" s="140">
        <f t="shared" si="126"/>
        <v>1</v>
      </c>
      <c r="CV63" s="141">
        <f t="shared" si="126"/>
        <v>1</v>
      </c>
      <c r="CW63" s="140">
        <f t="shared" ref="CW63:DF63" si="127">CW24/CW$24</f>
        <v>1</v>
      </c>
      <c r="CX63" s="140">
        <f t="shared" si="127"/>
        <v>1</v>
      </c>
      <c r="CY63" s="140">
        <f t="shared" si="127"/>
        <v>1</v>
      </c>
      <c r="CZ63" s="140">
        <f t="shared" si="127"/>
        <v>1</v>
      </c>
      <c r="DA63" s="141">
        <f t="shared" si="127"/>
        <v>1</v>
      </c>
      <c r="DB63" s="140">
        <f t="shared" si="127"/>
        <v>1</v>
      </c>
      <c r="DC63" s="140">
        <f t="shared" si="127"/>
        <v>1</v>
      </c>
      <c r="DD63" s="140">
        <f t="shared" si="127"/>
        <v>1</v>
      </c>
      <c r="DE63" s="140">
        <f t="shared" si="127"/>
        <v>1</v>
      </c>
      <c r="DF63" s="141">
        <f t="shared" si="127"/>
        <v>1</v>
      </c>
    </row>
    <row r="64" spans="1:110" ht="12" outlineLevel="2" thickBot="1" x14ac:dyDescent="0.25">
      <c r="A64" s="77"/>
      <c r="B64" s="192"/>
      <c r="C64" s="192"/>
      <c r="D64" s="192"/>
      <c r="E64" s="78"/>
      <c r="F64" s="78"/>
      <c r="G64" s="78"/>
      <c r="H64" s="78"/>
      <c r="I64" s="78"/>
      <c r="J64" s="67"/>
      <c r="K64" s="67"/>
      <c r="L64" s="67"/>
      <c r="M64" s="67"/>
      <c r="N64" s="67"/>
      <c r="O64" s="67"/>
      <c r="P64" s="67"/>
      <c r="Q64" s="67"/>
      <c r="R64" s="67"/>
      <c r="S64" s="67"/>
      <c r="T64" s="67"/>
      <c r="U64" s="67"/>
      <c r="V64" s="67"/>
      <c r="W64" s="67"/>
      <c r="X64" s="79"/>
      <c r="Y64" s="67"/>
      <c r="Z64" s="67"/>
      <c r="AA64" s="67"/>
      <c r="AB64" s="67"/>
      <c r="AC64" s="67"/>
      <c r="AD64" s="67"/>
      <c r="AE64" s="198"/>
      <c r="AF64" s="67"/>
      <c r="AG64" s="199"/>
      <c r="AH64" s="199"/>
      <c r="AI64" s="77"/>
      <c r="AJ64" s="199"/>
      <c r="AK64" s="67"/>
      <c r="AL64" s="67"/>
      <c r="AM64" s="67"/>
      <c r="AN64" s="67"/>
      <c r="AO64" s="146"/>
      <c r="AP64" s="67"/>
      <c r="AQ64" s="67"/>
      <c r="AR64" s="67"/>
      <c r="AS64" s="67"/>
      <c r="AT64" s="146"/>
      <c r="AU64" s="67"/>
      <c r="AV64" s="67"/>
      <c r="AW64" s="67"/>
      <c r="AX64" s="67"/>
      <c r="AY64" s="200"/>
      <c r="AZ64" s="200"/>
      <c r="BA64" s="200"/>
      <c r="BB64" s="200"/>
      <c r="BC64" s="67"/>
      <c r="BD64" s="146"/>
      <c r="BE64" s="67"/>
      <c r="BF64" s="67"/>
      <c r="BG64" s="67"/>
      <c r="BH64" s="67"/>
      <c r="BI64" s="146"/>
      <c r="BJ64" s="67"/>
      <c r="BK64" s="67"/>
      <c r="BL64" s="67"/>
      <c r="BM64" s="232"/>
      <c r="BN64" s="111"/>
      <c r="BO64" s="232"/>
      <c r="BP64" s="201"/>
      <c r="BQ64" s="201"/>
      <c r="BR64" s="201"/>
      <c r="BS64" s="146"/>
      <c r="BT64" s="67"/>
      <c r="BU64" s="67"/>
      <c r="BV64" s="67"/>
      <c r="BW64" s="1911"/>
      <c r="BX64" s="146"/>
      <c r="BY64" s="146"/>
      <c r="BZ64" s="146"/>
      <c r="CA64" s="67"/>
      <c r="CB64" s="67"/>
      <c r="CC64" s="146"/>
      <c r="CD64" s="146"/>
      <c r="CE64" s="146"/>
      <c r="CF64" s="67"/>
      <c r="CG64" s="67"/>
      <c r="CH64" s="67"/>
      <c r="CI64" s="67"/>
      <c r="CJ64" s="67"/>
      <c r="CK64" s="67"/>
      <c r="CL64" s="67"/>
      <c r="CM64" s="146"/>
      <c r="CN64" s="67"/>
      <c r="CO64" s="67"/>
      <c r="CP64" s="67"/>
      <c r="CQ64" s="67"/>
      <c r="CR64" s="146"/>
      <c r="CS64" s="67"/>
      <c r="CT64" s="67"/>
      <c r="CU64" s="67"/>
      <c r="CV64" s="67"/>
      <c r="CW64" s="146"/>
      <c r="CX64" s="67"/>
      <c r="CY64" s="67"/>
      <c r="CZ64" s="67"/>
      <c r="DA64" s="67"/>
      <c r="DB64" s="146"/>
      <c r="DC64" s="67"/>
      <c r="DD64" s="67"/>
      <c r="DE64" s="67"/>
      <c r="DF64" s="67"/>
    </row>
    <row r="65" spans="1:111" ht="11.25" customHeight="1" thickBot="1" x14ac:dyDescent="0.25">
      <c r="B65" s="862" t="s">
        <v>163</v>
      </c>
      <c r="C65" s="819"/>
      <c r="D65" s="856"/>
      <c r="E65" s="868"/>
      <c r="F65" s="868"/>
      <c r="G65" s="868"/>
      <c r="H65" s="868"/>
      <c r="I65" s="868"/>
      <c r="J65" s="868"/>
      <c r="K65" s="868"/>
      <c r="L65" s="868"/>
      <c r="M65" s="868"/>
      <c r="N65" s="868"/>
      <c r="O65" s="868"/>
      <c r="P65" s="868"/>
      <c r="Q65" s="868"/>
      <c r="R65" s="868"/>
      <c r="S65" s="868"/>
      <c r="T65" s="868"/>
      <c r="U65" s="868"/>
      <c r="V65" s="868"/>
      <c r="W65" s="868"/>
      <c r="X65" s="868"/>
      <c r="Y65" s="868"/>
      <c r="Z65" s="868"/>
      <c r="AA65" s="868"/>
      <c r="AB65" s="868"/>
      <c r="AC65" s="868"/>
      <c r="AD65" s="868"/>
      <c r="AE65" s="869"/>
      <c r="AF65" s="868"/>
      <c r="AG65" s="868"/>
      <c r="AH65" s="870"/>
      <c r="AI65" s="868"/>
      <c r="AJ65" s="868"/>
      <c r="AK65" s="868"/>
      <c r="AL65" s="868"/>
      <c r="AM65" s="868"/>
      <c r="AN65" s="868"/>
      <c r="AO65" s="868"/>
      <c r="AP65" s="868"/>
      <c r="AQ65" s="868"/>
      <c r="AR65" s="868"/>
      <c r="AS65" s="868"/>
      <c r="AT65" s="868"/>
      <c r="AU65" s="868"/>
      <c r="AV65" s="868"/>
      <c r="AW65" s="868"/>
      <c r="AX65" s="868"/>
      <c r="AY65" s="868"/>
      <c r="AZ65" s="868"/>
      <c r="BA65" s="868"/>
      <c r="BB65" s="868"/>
      <c r="BC65" s="868"/>
      <c r="BD65" s="868"/>
      <c r="BE65" s="868"/>
      <c r="BF65" s="868"/>
      <c r="BG65" s="868"/>
      <c r="BH65" s="868"/>
      <c r="BI65" s="868"/>
      <c r="BJ65" s="868"/>
      <c r="BK65" s="868"/>
      <c r="BL65" s="868"/>
      <c r="BM65" s="1524"/>
      <c r="BN65" s="1525"/>
      <c r="BO65" s="1525"/>
      <c r="BP65" s="1526"/>
      <c r="BQ65" s="868"/>
      <c r="BR65" s="1526"/>
      <c r="BS65" s="1527"/>
      <c r="BT65" s="1527"/>
      <c r="BU65" s="1527"/>
      <c r="BV65" s="868"/>
      <c r="BW65" s="1527"/>
      <c r="BX65" s="868"/>
      <c r="BY65" s="868"/>
      <c r="BZ65" s="868"/>
      <c r="CA65" s="868"/>
      <c r="CB65" s="871"/>
      <c r="CC65" s="868"/>
      <c r="CD65" s="868"/>
      <c r="CE65" s="868"/>
      <c r="CF65" s="868"/>
      <c r="CG65" s="871"/>
      <c r="CH65" s="868"/>
      <c r="CI65" s="868"/>
      <c r="CJ65" s="868"/>
      <c r="CK65" s="868"/>
      <c r="CL65" s="871"/>
      <c r="CM65" s="868"/>
      <c r="CN65" s="868"/>
      <c r="CO65" s="868"/>
      <c r="CP65" s="868"/>
      <c r="CQ65" s="871"/>
      <c r="CR65" s="868"/>
      <c r="CS65" s="868"/>
      <c r="CT65" s="868"/>
      <c r="CU65" s="868"/>
      <c r="CV65" s="871"/>
      <c r="CW65" s="868"/>
      <c r="CX65" s="868"/>
      <c r="CY65" s="868"/>
      <c r="CZ65" s="868"/>
      <c r="DA65" s="871"/>
      <c r="DB65" s="868"/>
      <c r="DC65" s="868"/>
      <c r="DD65" s="868"/>
      <c r="DE65" s="868"/>
      <c r="DF65" s="871"/>
    </row>
    <row r="66" spans="1:111" ht="10.5" customHeight="1" x14ac:dyDescent="0.2">
      <c r="A66" s="77"/>
      <c r="B66" s="774" t="s">
        <v>337</v>
      </c>
      <c r="C66" s="775"/>
      <c r="D66" s="775"/>
      <c r="E66" s="91"/>
      <c r="F66" s="91"/>
      <c r="G66" s="91"/>
      <c r="H66" s="91"/>
      <c r="I66" s="91"/>
      <c r="J66" s="91"/>
      <c r="K66" s="91"/>
      <c r="L66" s="91"/>
      <c r="M66" s="91"/>
      <c r="N66" s="91"/>
      <c r="O66" s="91"/>
      <c r="P66" s="91"/>
      <c r="Q66" s="91"/>
      <c r="R66" s="91"/>
      <c r="S66" s="91"/>
      <c r="T66" s="90"/>
      <c r="U66" s="91"/>
      <c r="V66" s="91"/>
      <c r="W66" s="91"/>
      <c r="X66" s="91"/>
      <c r="Y66" s="90"/>
      <c r="Z66" s="91"/>
      <c r="AA66" s="91"/>
      <c r="AB66" s="91"/>
      <c r="AC66" s="91"/>
      <c r="AD66" s="90"/>
      <c r="AE66" s="91"/>
      <c r="AF66" s="91"/>
      <c r="AG66" s="91"/>
      <c r="AH66" s="91"/>
      <c r="AI66" s="90"/>
      <c r="AJ66" s="91"/>
      <c r="AK66" s="91"/>
      <c r="AL66" s="91"/>
      <c r="AM66" s="91"/>
      <c r="AN66" s="90"/>
      <c r="AO66" s="91"/>
      <c r="AP66" s="91"/>
      <c r="AQ66" s="91"/>
      <c r="AR66" s="91"/>
      <c r="AS66" s="90"/>
      <c r="AT66" s="91"/>
      <c r="AU66" s="91"/>
      <c r="AV66" s="91"/>
      <c r="AW66" s="91"/>
      <c r="AX66" s="90"/>
      <c r="AY66" s="91"/>
      <c r="AZ66" s="91"/>
      <c r="BA66" s="91"/>
      <c r="BB66" s="91"/>
      <c r="BC66" s="90"/>
      <c r="BD66" s="91"/>
      <c r="BE66" s="91"/>
      <c r="BF66" s="91"/>
      <c r="BG66" s="91"/>
      <c r="BH66" s="90"/>
      <c r="BI66" s="91"/>
      <c r="BJ66" s="91"/>
      <c r="BK66" s="91"/>
      <c r="BL66" s="91"/>
      <c r="BM66" s="90"/>
      <c r="BN66" s="91"/>
      <c r="BO66" s="91"/>
      <c r="BP66" s="91"/>
      <c r="BQ66" s="91"/>
      <c r="BR66" s="90"/>
      <c r="BS66" s="1519"/>
      <c r="BT66" s="91"/>
      <c r="BU66" s="91"/>
      <c r="BV66" s="91"/>
      <c r="BW66" s="90"/>
      <c r="BX66" s="91"/>
      <c r="BY66" s="91"/>
      <c r="BZ66" s="91"/>
      <c r="CA66" s="91"/>
      <c r="CB66" s="90"/>
      <c r="CC66" s="91"/>
      <c r="CD66" s="91"/>
      <c r="CE66" s="91"/>
      <c r="CF66" s="91"/>
      <c r="CG66" s="90"/>
      <c r="CH66" s="91"/>
      <c r="CI66" s="91"/>
      <c r="CJ66" s="91"/>
      <c r="CK66" s="91"/>
      <c r="CL66" s="90"/>
      <c r="CM66" s="91"/>
      <c r="CN66" s="91"/>
      <c r="CO66" s="91"/>
      <c r="CP66" s="91"/>
      <c r="CQ66" s="90"/>
      <c r="CR66" s="91"/>
      <c r="CS66" s="91"/>
      <c r="CT66" s="91"/>
      <c r="CU66" s="91"/>
      <c r="CV66" s="90"/>
      <c r="CW66" s="91"/>
      <c r="CX66" s="91"/>
      <c r="CY66" s="91"/>
      <c r="CZ66" s="91"/>
      <c r="DA66" s="90"/>
      <c r="DB66" s="91"/>
      <c r="DC66" s="91"/>
      <c r="DD66" s="91"/>
      <c r="DE66" s="91"/>
      <c r="DF66" s="90"/>
    </row>
    <row r="67" spans="1:111" s="19" customFormat="1" ht="10.5" customHeight="1" x14ac:dyDescent="0.2">
      <c r="A67" s="26"/>
      <c r="B67" s="477" t="s">
        <v>281</v>
      </c>
      <c r="C67" s="26"/>
      <c r="D67" s="26"/>
      <c r="E67" s="145">
        <v>299.584</v>
      </c>
      <c r="F67" s="145">
        <v>72.344999999999999</v>
      </c>
      <c r="G67" s="145">
        <v>71.311000000000007</v>
      </c>
      <c r="H67" s="145">
        <v>70.373000000000005</v>
      </c>
      <c r="I67" s="145">
        <v>79.966999999999999</v>
      </c>
      <c r="J67" s="145">
        <v>293.99599999999998</v>
      </c>
      <c r="K67" s="145">
        <v>80.111999999999995</v>
      </c>
      <c r="L67" s="145">
        <v>91.61</v>
      </c>
      <c r="M67" s="145">
        <v>88.869</v>
      </c>
      <c r="N67" s="145">
        <v>94.289000000000001</v>
      </c>
      <c r="O67" s="19">
        <v>354.88</v>
      </c>
      <c r="P67" s="145">
        <v>96.667000000000002</v>
      </c>
      <c r="Q67" s="145">
        <v>96.025000000000006</v>
      </c>
      <c r="R67" s="145">
        <v>90.427000000000007</v>
      </c>
      <c r="S67" s="145">
        <v>95.808000000000007</v>
      </c>
      <c r="T67" s="27">
        <v>378.92700000000002</v>
      </c>
      <c r="U67" s="145">
        <v>93.516999999999996</v>
      </c>
      <c r="V67" s="145">
        <v>95.728999999999999</v>
      </c>
      <c r="W67" s="145">
        <v>101.78400000000001</v>
      </c>
      <c r="X67" s="145">
        <v>108</v>
      </c>
      <c r="Y67" s="27">
        <v>399.03</v>
      </c>
      <c r="Z67" s="145">
        <v>111.5</v>
      </c>
      <c r="AA67" s="145">
        <v>109.5</v>
      </c>
      <c r="AB67" s="145">
        <v>105.6</v>
      </c>
      <c r="AC67" s="145">
        <v>111.1</v>
      </c>
      <c r="AD67" s="27">
        <v>437.7</v>
      </c>
      <c r="AE67" s="478">
        <v>102.4</v>
      </c>
      <c r="AF67" s="478">
        <v>96.9</v>
      </c>
      <c r="AG67" s="478">
        <v>93.1</v>
      </c>
      <c r="AH67" s="478">
        <v>97.8</v>
      </c>
      <c r="AI67" s="27">
        <v>390.2</v>
      </c>
      <c r="AJ67" s="478">
        <v>96.8</v>
      </c>
      <c r="AK67" s="478">
        <v>94.2</v>
      </c>
      <c r="AL67" s="478">
        <v>92.1</v>
      </c>
      <c r="AM67" s="478">
        <v>96.9</v>
      </c>
      <c r="AN67" s="27">
        <f>SUM(AJ67:AM67)</f>
        <v>380</v>
      </c>
      <c r="AO67" s="478">
        <v>98.2</v>
      </c>
      <c r="AP67" s="478">
        <f>96.1</f>
        <v>96.1</v>
      </c>
      <c r="AQ67" s="478">
        <v>91.5</v>
      </c>
      <c r="AR67" s="478">
        <v>93.8</v>
      </c>
      <c r="AS67" s="27">
        <f>SUM(AO67:AR67)</f>
        <v>379.6</v>
      </c>
      <c r="AT67" s="478">
        <f>94.2</f>
        <v>94.2</v>
      </c>
      <c r="AU67" s="478">
        <f>94.7</f>
        <v>94.7</v>
      </c>
      <c r="AV67" s="478">
        <v>95.2</v>
      </c>
      <c r="AW67" s="478">
        <v>120.2</v>
      </c>
      <c r="AX67" s="27">
        <f>SUM(AT67:AW67)</f>
        <v>404.3</v>
      </c>
      <c r="AY67" s="478">
        <v>149</v>
      </c>
      <c r="AZ67" s="478">
        <v>151</v>
      </c>
      <c r="BA67" s="478">
        <v>148.9</v>
      </c>
      <c r="BB67" s="478">
        <v>153.1</v>
      </c>
      <c r="BC67" s="27">
        <f>SUM(AY67:BB67)</f>
        <v>602</v>
      </c>
      <c r="BD67" s="26">
        <f>+AVERAGE(BI67/BI81,BN67/BN81)*BD81</f>
        <v>170.70654159626176</v>
      </c>
      <c r="BE67" s="26">
        <f t="shared" ref="BE67" si="128">+AVERAGE(BJ67/BJ81,BO67/BO81)*BE81</f>
        <v>170.40786575991359</v>
      </c>
      <c r="BF67" s="26">
        <f t="shared" ref="BF67" si="129">+AVERAGE(BK67/BK81,BP67/BP81)*BF81</f>
        <v>169.85880953614156</v>
      </c>
      <c r="BG67" s="26">
        <f t="shared" ref="BG67" si="130">+AVERAGE(BL67/BL81,BQ67/BQ81)*BG81</f>
        <v>179.96752500000002</v>
      </c>
      <c r="BH67" s="27">
        <f>SUM(BD67:BG67)</f>
        <v>690.94074189231696</v>
      </c>
      <c r="BI67" s="26">
        <f>+AVERAGE(BN67/BN81,BS67/BS81)*BI81</f>
        <v>175.42099127487688</v>
      </c>
      <c r="BJ67" s="26">
        <f t="shared" ref="BJ67" si="131">+AVERAGE(BO67/BO81,BT67/BT81)*BJ81</f>
        <v>328.75825479352682</v>
      </c>
      <c r="BK67" s="26">
        <f t="shared" ref="BK67" si="132">+AVERAGE(BP67/BP81,BU67/BU81)*BK81</f>
        <v>326.48660540634779</v>
      </c>
      <c r="BL67" s="26">
        <f t="shared" ref="BL67" si="133">+AVERAGE(BQ67/BQ81,BV67/BV81)*BL81</f>
        <v>344.26700000000005</v>
      </c>
      <c r="BM67" s="27">
        <f>SUM(BI67:BL67)</f>
        <v>1174.9328514747515</v>
      </c>
      <c r="BN67" s="26">
        <f>+AVERAGE(BS67/BS81,BX67/BX81)*BN81</f>
        <v>324.62621523500195</v>
      </c>
      <c r="BO67" s="26">
        <f t="shared" ref="BO67" si="134">+AVERAGE(BT67/BT81,BY67/BY81)*BO81</f>
        <v>306.58111829055059</v>
      </c>
      <c r="BP67" s="26">
        <f t="shared" ref="BP67" si="135">+AVERAGE(BU67/BU81,BZ67/BZ81)*BP81</f>
        <v>296.40956159035579</v>
      </c>
      <c r="BQ67" s="26">
        <f t="shared" ref="BQ67" si="136">+AVERAGE(BV67/BV81,CA67/CA81)*BQ81</f>
        <v>298.50454999999999</v>
      </c>
      <c r="BR67" s="27">
        <f>SUM(BN67:BQ67)</f>
        <v>1226.1214451159083</v>
      </c>
      <c r="BS67" s="26">
        <f>+AVERAGE(BX67/BX81,CC67/CC81)*BS81</f>
        <v>264.19406795861056</v>
      </c>
      <c r="BT67" s="26">
        <f t="shared" ref="BT67:BV67" si="137">+AVERAGE(BY67/BY81,CD67/CD81)*BT81</f>
        <v>265.77335764551657</v>
      </c>
      <c r="BU67" s="26">
        <f t="shared" si="137"/>
        <v>267.00066612590547</v>
      </c>
      <c r="BV67" s="26">
        <f t="shared" si="137"/>
        <v>276.81030000000004</v>
      </c>
      <c r="BW67" s="27">
        <f>SUM(BS67:BV67)</f>
        <v>1073.7783917300326</v>
      </c>
      <c r="BX67" s="478">
        <v>252.1</v>
      </c>
      <c r="BY67" s="478">
        <v>268.5</v>
      </c>
      <c r="BZ67" s="478">
        <v>277.7</v>
      </c>
      <c r="CA67" s="478">
        <v>287.5</v>
      </c>
      <c r="CB67" s="27">
        <f>SUM(BX67:CA67)</f>
        <v>1085.8</v>
      </c>
      <c r="CC67" s="478">
        <v>267.5</v>
      </c>
      <c r="CD67" s="478">
        <v>263.39999999999998</v>
      </c>
      <c r="CE67" s="478">
        <v>259.39999999999998</v>
      </c>
      <c r="CF67" s="478">
        <v>266.2</v>
      </c>
      <c r="CG67" s="27">
        <f>SUM(CC67:CF67)</f>
        <v>1056.5</v>
      </c>
      <c r="CH67" s="478">
        <v>267.10000000000002</v>
      </c>
      <c r="CI67" s="478">
        <v>264.10000000000002</v>
      </c>
      <c r="CJ67" s="478">
        <v>259.5</v>
      </c>
      <c r="CK67" s="478">
        <v>270.3</v>
      </c>
      <c r="CL67" s="27">
        <f>SUM(CH67:CK67)</f>
        <v>1061</v>
      </c>
      <c r="CM67" s="26">
        <f>CH67*(1+CM95)</f>
        <v>256.416</v>
      </c>
      <c r="CN67" s="26">
        <f>CI67*(1+CN95)</f>
        <v>253.536</v>
      </c>
      <c r="CO67" s="26">
        <f>CJ67*(1+CO95)</f>
        <v>256.90499999999997</v>
      </c>
      <c r="CP67" s="26">
        <f>CK67*(1+CP95)</f>
        <v>267.59700000000004</v>
      </c>
      <c r="CQ67" s="27">
        <f>SUM(CM67:CP67)</f>
        <v>1034.454</v>
      </c>
      <c r="CR67" s="26">
        <f>CM67*(1+CR95)</f>
        <v>253.33900800000001</v>
      </c>
      <c r="CS67" s="26">
        <f>CN67*(1+CS95)</f>
        <v>250.49356800000001</v>
      </c>
      <c r="CT67" s="26">
        <f>CO67*(1+CT95)</f>
        <v>253.82213999999996</v>
      </c>
      <c r="CU67" s="26">
        <f>CP67*(1+CU95)</f>
        <v>264.38583600000004</v>
      </c>
      <c r="CV67" s="27">
        <f>SUM(CR67:CU67)</f>
        <v>1022.040552</v>
      </c>
      <c r="CW67" s="26">
        <f>CR67*(1+CW95)</f>
        <v>226.73841216000002</v>
      </c>
      <c r="CX67" s="26">
        <f>CS67*(1+CX95)</f>
        <v>224.19174336</v>
      </c>
      <c r="CY67" s="26">
        <f>CT67*(1+CY95)</f>
        <v>227.17081529999996</v>
      </c>
      <c r="CZ67" s="26">
        <f>CU67*(1+CZ95)</f>
        <v>236.62532322000004</v>
      </c>
      <c r="DA67" s="27">
        <f>SUM(CW67:CZ67)</f>
        <v>914.72629403999997</v>
      </c>
      <c r="DB67" s="26">
        <f>CW67*(1+DB95)</f>
        <v>200.66349476160002</v>
      </c>
      <c r="DC67" s="26">
        <f>CX67*(1+DC95)</f>
        <v>198.40969287359999</v>
      </c>
      <c r="DD67" s="26">
        <f>CY67*(1+DD95)</f>
        <v>201.04617154049996</v>
      </c>
      <c r="DE67" s="26">
        <f>CZ67*(1+DE95)</f>
        <v>209.41341104970004</v>
      </c>
      <c r="DF67" s="27">
        <f>SUM(DB67:DE67)</f>
        <v>809.53277022539999</v>
      </c>
    </row>
    <row r="68" spans="1:111" s="40" customFormat="1" ht="6" customHeight="1" x14ac:dyDescent="0.2">
      <c r="A68" s="175"/>
      <c r="B68" s="477"/>
      <c r="C68" s="26"/>
      <c r="D68" s="26"/>
      <c r="E68" s="145"/>
      <c r="F68" s="145"/>
      <c r="G68" s="145"/>
      <c r="H68" s="145"/>
      <c r="I68" s="145"/>
      <c r="J68" s="145"/>
      <c r="K68" s="145"/>
      <c r="L68" s="145"/>
      <c r="M68" s="145"/>
      <c r="N68" s="145"/>
      <c r="O68" s="19"/>
      <c r="P68" s="145"/>
      <c r="Q68" s="145"/>
      <c r="R68" s="145"/>
      <c r="S68" s="145"/>
      <c r="T68" s="27"/>
      <c r="U68" s="145"/>
      <c r="V68" s="145"/>
      <c r="W68" s="145"/>
      <c r="X68" s="145"/>
      <c r="Y68" s="27"/>
      <c r="Z68" s="145"/>
      <c r="AA68" s="145"/>
      <c r="AB68" s="145"/>
      <c r="AC68" s="145"/>
      <c r="AD68" s="27"/>
      <c r="AE68" s="478"/>
      <c r="AF68" s="478"/>
      <c r="AG68" s="478"/>
      <c r="AH68" s="478"/>
      <c r="AI68" s="27"/>
      <c r="AJ68" s="478"/>
      <c r="AK68" s="478"/>
      <c r="AL68" s="478"/>
      <c r="AM68" s="478"/>
      <c r="AN68" s="27"/>
      <c r="AO68" s="478"/>
      <c r="AP68" s="478"/>
      <c r="AQ68" s="478"/>
      <c r="AR68" s="478"/>
      <c r="AS68" s="27"/>
      <c r="AT68" s="478"/>
      <c r="AU68" s="478"/>
      <c r="AV68" s="26"/>
      <c r="AW68" s="26"/>
      <c r="AX68" s="27"/>
      <c r="AY68" s="26"/>
      <c r="AZ68" s="26"/>
      <c r="BA68" s="26"/>
      <c r="BB68" s="26"/>
      <c r="BC68" s="27"/>
      <c r="BD68" s="26"/>
      <c r="BE68" s="26"/>
      <c r="BF68" s="26"/>
      <c r="BG68" s="26"/>
      <c r="BH68" s="27"/>
      <c r="BI68" s="26"/>
      <c r="BJ68" s="26"/>
      <c r="BK68" s="478"/>
      <c r="BL68" s="478"/>
      <c r="BM68" s="27"/>
      <c r="BN68" s="26"/>
      <c r="BO68" s="26"/>
      <c r="BP68" s="26"/>
      <c r="BQ68" s="26"/>
      <c r="BR68" s="27"/>
      <c r="BS68" s="26"/>
      <c r="BT68" s="26"/>
      <c r="BU68" s="26"/>
      <c r="BV68" s="26"/>
      <c r="BW68" s="27"/>
      <c r="BX68" s="26"/>
      <c r="BY68" s="26"/>
      <c r="BZ68" s="26"/>
      <c r="CA68" s="26"/>
      <c r="CB68" s="27"/>
      <c r="CC68" s="26"/>
      <c r="CD68" s="26"/>
      <c r="CE68" s="26"/>
      <c r="CF68" s="26"/>
      <c r="CG68" s="27"/>
      <c r="CH68" s="26"/>
      <c r="CI68" s="26"/>
      <c r="CJ68" s="26"/>
      <c r="CK68" s="26"/>
      <c r="CL68" s="27"/>
      <c r="CM68" s="26"/>
      <c r="CN68" s="26"/>
      <c r="CO68" s="26"/>
      <c r="CP68" s="26"/>
      <c r="CQ68" s="27"/>
      <c r="CR68" s="26"/>
      <c r="CS68" s="26"/>
      <c r="CT68" s="26"/>
      <c r="CU68" s="26"/>
      <c r="CV68" s="27"/>
      <c r="CW68" s="26"/>
      <c r="CX68" s="26"/>
      <c r="CY68" s="26"/>
      <c r="CZ68" s="26"/>
      <c r="DA68" s="27"/>
      <c r="DB68" s="26"/>
      <c r="DC68" s="26"/>
      <c r="DD68" s="26"/>
      <c r="DE68" s="26"/>
      <c r="DF68" s="27"/>
    </row>
    <row r="69" spans="1:111" s="19" customFormat="1" ht="10.5" customHeight="1" x14ac:dyDescent="0.2">
      <c r="A69" s="26"/>
      <c r="B69" s="477" t="s">
        <v>266</v>
      </c>
      <c r="C69" s="26"/>
      <c r="D69" s="26"/>
      <c r="E69" s="1354">
        <v>0</v>
      </c>
      <c r="F69" s="478">
        <v>4.4960000000000004</v>
      </c>
      <c r="G69" s="478">
        <v>4.8789999999999996</v>
      </c>
      <c r="H69" s="478">
        <v>5.4039999999999999</v>
      </c>
      <c r="I69" s="478">
        <v>5.7140000000000004</v>
      </c>
      <c r="J69" s="1354">
        <v>20.493000000000002</v>
      </c>
      <c r="K69" s="478">
        <v>6.0389999999999997</v>
      </c>
      <c r="L69" s="478">
        <v>6.9669999999999996</v>
      </c>
      <c r="M69" s="478">
        <v>7.0359999999999996</v>
      </c>
      <c r="N69" s="478">
        <v>7.1280000000000001</v>
      </c>
      <c r="O69" s="27">
        <f>SUM(K69:N69)</f>
        <v>27.17</v>
      </c>
      <c r="P69" s="478">
        <v>7.431</v>
      </c>
      <c r="Q69" s="478">
        <v>8.1259999999999994</v>
      </c>
      <c r="R69" s="478">
        <v>8.1560000000000006</v>
      </c>
      <c r="S69" s="478">
        <v>8.6240000000000006</v>
      </c>
      <c r="T69" s="27">
        <f>SUM(P69:S69)</f>
        <v>32.337000000000003</v>
      </c>
      <c r="U69" s="478">
        <v>9.1259999999999994</v>
      </c>
      <c r="V69" s="478">
        <v>9.5020000000000007</v>
      </c>
      <c r="W69" s="478">
        <v>9.7219999999999995</v>
      </c>
      <c r="X69" s="478">
        <v>10</v>
      </c>
      <c r="Y69" s="27">
        <f>SUM(U69:X69)</f>
        <v>38.35</v>
      </c>
      <c r="Z69" s="478">
        <v>9.6999999999999993</v>
      </c>
      <c r="AA69" s="478">
        <v>10.1</v>
      </c>
      <c r="AB69" s="478">
        <v>10</v>
      </c>
      <c r="AC69" s="478">
        <v>10.3</v>
      </c>
      <c r="AD69" s="27">
        <f>SUM(Z69:AC69)</f>
        <v>40.099999999999994</v>
      </c>
      <c r="AE69" s="478">
        <v>10.3</v>
      </c>
      <c r="AF69" s="478">
        <v>10.4</v>
      </c>
      <c r="AG69" s="478">
        <v>10.199999999999999</v>
      </c>
      <c r="AH69" s="478">
        <v>10.3</v>
      </c>
      <c r="AI69" s="27">
        <f>SUM(AE69:AH69)</f>
        <v>41.2</v>
      </c>
      <c r="AJ69" s="478">
        <v>10</v>
      </c>
      <c r="AK69" s="478">
        <v>10.199999999999999</v>
      </c>
      <c r="AL69" s="478">
        <v>10.199999999999999</v>
      </c>
      <c r="AM69" s="478">
        <v>10.3</v>
      </c>
      <c r="AN69" s="27">
        <f>SUM(AJ69:AM69)</f>
        <v>40.700000000000003</v>
      </c>
      <c r="AO69" s="478">
        <v>10.091289556876735</v>
      </c>
      <c r="AP69" s="478">
        <v>10.288095213784548</v>
      </c>
      <c r="AQ69" s="478">
        <v>10.276401636393516</v>
      </c>
      <c r="AR69" s="478">
        <v>9.9704692849366019</v>
      </c>
      <c r="AS69" s="27">
        <f>SUM(AO69:AR69)</f>
        <v>40.626255691991403</v>
      </c>
      <c r="AT69" s="478">
        <v>9.5767801660499394</v>
      </c>
      <c r="AU69" s="478">
        <v>9.875619022335929</v>
      </c>
      <c r="AV69" s="478">
        <v>9.9611925133040113</v>
      </c>
      <c r="AW69" s="478">
        <v>10.985981341328623</v>
      </c>
      <c r="AX69" s="27">
        <f>SUM(AT69:AW69)</f>
        <v>40.399573043018506</v>
      </c>
      <c r="AY69" s="478">
        <v>12.1</v>
      </c>
      <c r="AZ69" s="478">
        <v>12.183619022335929</v>
      </c>
      <c r="BA69" s="478">
        <v>12.269192513304009</v>
      </c>
      <c r="BB69" s="478">
        <v>12.256261341328621</v>
      </c>
      <c r="BC69" s="27">
        <f>SUM(AY69:BB69)</f>
        <v>48.809072876968557</v>
      </c>
      <c r="BD69" s="26">
        <v>12.072029762430091</v>
      </c>
      <c r="BE69" s="26">
        <v>12.245631250551597</v>
      </c>
      <c r="BF69" s="26">
        <v>12.137344064102253</v>
      </c>
      <c r="BG69" s="26">
        <v>12.418199635221626</v>
      </c>
      <c r="BH69" s="27">
        <f>SUM(BD69:BG69)</f>
        <v>48.873204712305565</v>
      </c>
      <c r="BI69" s="478">
        <f>14-BI73-BI74</f>
        <v>13.442494856480749</v>
      </c>
      <c r="BJ69" s="478">
        <f>40.7-BJ73-BJ74-2</f>
        <v>37.17156068294603</v>
      </c>
      <c r="BK69" s="478">
        <f>39.8-BK73-BK74-1.7</f>
        <v>36.523531312514791</v>
      </c>
      <c r="BL69" s="478">
        <f>38.3-BL73-BL74-1.2</f>
        <v>35.603046773612512</v>
      </c>
      <c r="BM69" s="27">
        <f>SUM(BI69:BL69)</f>
        <v>122.74063362555407</v>
      </c>
      <c r="BN69" s="478">
        <f>36.8-BN73-BN74</f>
        <v>35.541359540870637</v>
      </c>
      <c r="BO69" s="478">
        <f>35.4-BO73-BO74</f>
        <v>33.891922578303685</v>
      </c>
      <c r="BP69" s="478">
        <f>34.6-BP73-BP74</f>
        <v>33.240922772751574</v>
      </c>
      <c r="BQ69" s="478">
        <f>34.6-BQ73-BQ74</f>
        <v>33.219004316126146</v>
      </c>
      <c r="BR69" s="27">
        <f>SUM(BN69:BQ69)</f>
        <v>135.89320920805204</v>
      </c>
      <c r="BS69" s="478">
        <f>30.5-BS73-BS74</f>
        <v>29.1663380554143</v>
      </c>
      <c r="BT69" s="478">
        <f>31.8-BT73-BT74</f>
        <v>30.413824771594001</v>
      </c>
      <c r="BU69" s="478">
        <f>33.1-BU73-BU74</f>
        <v>31.660085215768966</v>
      </c>
      <c r="BV69" s="478">
        <f>32.9-BV73-BV74</f>
        <v>31.436632467179756</v>
      </c>
      <c r="BW69" s="27">
        <f>SUM(BS69:BV69)</f>
        <v>122.67688050995702</v>
      </c>
      <c r="BX69" s="478">
        <v>30.2</v>
      </c>
      <c r="BY69" s="478">
        <v>30.2</v>
      </c>
      <c r="BZ69" s="478">
        <v>30</v>
      </c>
      <c r="CA69" s="478">
        <v>31.2</v>
      </c>
      <c r="CB69" s="27">
        <f>SUM(BX69:CA69)</f>
        <v>121.60000000000001</v>
      </c>
      <c r="CC69" s="478">
        <v>30.3</v>
      </c>
      <c r="CD69" s="478">
        <v>29.5</v>
      </c>
      <c r="CE69" s="478">
        <v>30</v>
      </c>
      <c r="CF69" s="478">
        <v>30.4</v>
      </c>
      <c r="CG69" s="27">
        <f>SUM(CC69:CF69)</f>
        <v>120.19999999999999</v>
      </c>
      <c r="CH69" s="478">
        <v>29</v>
      </c>
      <c r="CI69" s="478">
        <v>29.3</v>
      </c>
      <c r="CJ69" s="478">
        <v>28.8</v>
      </c>
      <c r="CK69" s="478">
        <v>29.4</v>
      </c>
      <c r="CL69" s="27">
        <f>SUM(CH69:CK69)</f>
        <v>116.5</v>
      </c>
      <c r="CM69" s="26">
        <f>CH69*(1+CM97)</f>
        <v>27.984999999999999</v>
      </c>
      <c r="CN69" s="26">
        <f>CI69*(1+CN97)</f>
        <v>28.2745</v>
      </c>
      <c r="CO69" s="26">
        <f>CJ69*(1+CO97)</f>
        <v>28.655999999999999</v>
      </c>
      <c r="CP69" s="26">
        <f>CK69*(1+CP97)</f>
        <v>29.253</v>
      </c>
      <c r="CQ69" s="27">
        <f>SUM(CM69:CP69)</f>
        <v>114.16850000000001</v>
      </c>
      <c r="CR69" s="26">
        <f>CM69*(1+CR97)</f>
        <v>27.845074999999998</v>
      </c>
      <c r="CS69" s="26">
        <f>CN69*(1+CS97)</f>
        <v>28.133127500000001</v>
      </c>
      <c r="CT69" s="26">
        <f>CO69*(1+CT97)</f>
        <v>28.512719999999998</v>
      </c>
      <c r="CU69" s="26">
        <f>CP69*(1+CU97)</f>
        <v>29.106735</v>
      </c>
      <c r="CV69" s="27">
        <f>SUM(CR69:CU69)</f>
        <v>113.5976575</v>
      </c>
      <c r="CW69" s="26">
        <f>CR69*(1+CW97)</f>
        <v>24.921342124999999</v>
      </c>
      <c r="CX69" s="26">
        <f>CS69*(1+CX97)</f>
        <v>25.179149112499999</v>
      </c>
      <c r="CY69" s="26">
        <f>CT69*(1+CY97)</f>
        <v>25.518884399999997</v>
      </c>
      <c r="CZ69" s="26">
        <f>CU69*(1+CZ97)</f>
        <v>26.050527825</v>
      </c>
      <c r="DA69" s="27">
        <f>SUM(CW69:CZ69)</f>
        <v>101.66990346249999</v>
      </c>
      <c r="DB69" s="26">
        <f>CW69*(1+DB97)</f>
        <v>22.055387780625001</v>
      </c>
      <c r="DC69" s="26">
        <f>CX69*(1+DC97)</f>
        <v>22.2835469645625</v>
      </c>
      <c r="DD69" s="26">
        <f>CY69*(1+DD97)</f>
        <v>22.584212693999998</v>
      </c>
      <c r="DE69" s="26">
        <f>CZ69*(1+DE97)</f>
        <v>23.054717125124998</v>
      </c>
      <c r="DF69" s="27">
        <f>SUM(DB69:DE69)</f>
        <v>89.977864564312497</v>
      </c>
    </row>
    <row r="70" spans="1:111" s="19" customFormat="1" ht="6" customHeight="1" x14ac:dyDescent="0.2">
      <c r="A70" s="26"/>
      <c r="B70" s="13"/>
      <c r="E70" s="145"/>
      <c r="F70" s="145"/>
      <c r="G70" s="145"/>
      <c r="H70" s="145"/>
      <c r="I70" s="145"/>
      <c r="J70" s="145"/>
      <c r="K70" s="145"/>
      <c r="L70" s="145"/>
      <c r="M70" s="145"/>
      <c r="N70" s="145"/>
      <c r="P70" s="145"/>
      <c r="Q70" s="145"/>
      <c r="R70" s="145"/>
      <c r="S70" s="145"/>
      <c r="T70" s="27"/>
      <c r="U70" s="145"/>
      <c r="V70" s="145"/>
      <c r="W70" s="145"/>
      <c r="X70" s="145"/>
      <c r="Y70" s="27"/>
      <c r="Z70" s="145"/>
      <c r="AA70" s="145"/>
      <c r="AB70" s="145"/>
      <c r="AC70" s="145"/>
      <c r="AD70" s="27"/>
      <c r="AE70" s="478"/>
      <c r="AF70" s="478"/>
      <c r="AG70" s="478"/>
      <c r="AH70" s="478"/>
      <c r="AI70" s="27"/>
      <c r="AJ70" s="478"/>
      <c r="AK70" s="478"/>
      <c r="AL70" s="478"/>
      <c r="AM70" s="478"/>
      <c r="AN70" s="27"/>
      <c r="AO70" s="478"/>
      <c r="AP70" s="478"/>
      <c r="AQ70" s="478"/>
      <c r="AR70" s="478"/>
      <c r="AS70" s="27"/>
      <c r="AT70" s="478"/>
      <c r="AU70" s="478"/>
      <c r="AV70" s="26"/>
      <c r="AW70" s="26"/>
      <c r="AX70" s="27"/>
      <c r="AY70" s="26"/>
      <c r="AZ70" s="26"/>
      <c r="BA70" s="26"/>
      <c r="BB70" s="26"/>
      <c r="BC70" s="27"/>
      <c r="BD70" s="26"/>
      <c r="BE70" s="26"/>
      <c r="BF70" s="26"/>
      <c r="BG70" s="26"/>
      <c r="BH70" s="27"/>
      <c r="BI70" s="26"/>
      <c r="BJ70" s="26"/>
      <c r="BK70" s="26"/>
      <c r="BL70" s="26"/>
      <c r="BM70" s="27"/>
      <c r="BN70" s="26"/>
      <c r="BO70" s="26"/>
      <c r="BP70" s="26"/>
      <c r="BQ70" s="26"/>
      <c r="BR70" s="27"/>
      <c r="BS70" s="26"/>
      <c r="BT70" s="26"/>
      <c r="BU70" s="26"/>
      <c r="BV70" s="26"/>
      <c r="BW70" s="27"/>
      <c r="BX70" s="26"/>
      <c r="BY70" s="26"/>
      <c r="BZ70" s="26"/>
      <c r="CA70" s="26"/>
      <c r="CB70" s="27"/>
      <c r="CC70" s="26"/>
      <c r="CD70" s="26"/>
      <c r="CE70" s="26"/>
      <c r="CF70" s="26"/>
      <c r="CG70" s="27"/>
      <c r="CH70" s="26"/>
      <c r="CI70" s="26"/>
      <c r="CJ70" s="26"/>
      <c r="CK70" s="26"/>
      <c r="CL70" s="27"/>
      <c r="CM70" s="26"/>
      <c r="CN70" s="26"/>
      <c r="CO70" s="26"/>
      <c r="CP70" s="26"/>
      <c r="CQ70" s="27"/>
      <c r="CR70" s="26"/>
      <c r="CS70" s="26"/>
      <c r="CT70" s="26"/>
      <c r="CU70" s="26"/>
      <c r="CV70" s="27"/>
      <c r="CW70" s="26"/>
      <c r="CX70" s="26"/>
      <c r="CY70" s="26"/>
      <c r="CZ70" s="26"/>
      <c r="DA70" s="27"/>
      <c r="DB70" s="26"/>
      <c r="DC70" s="26"/>
      <c r="DD70" s="26"/>
      <c r="DE70" s="26"/>
      <c r="DF70" s="27"/>
    </row>
    <row r="71" spans="1:111" s="183" customFormat="1" x14ac:dyDescent="0.2">
      <c r="A71" s="87"/>
      <c r="B71" s="477" t="s">
        <v>259</v>
      </c>
      <c r="C71" s="26"/>
      <c r="D71" s="26"/>
      <c r="E71" s="19">
        <v>45.548999999999999</v>
      </c>
      <c r="F71" s="19">
        <v>13.488000000000001</v>
      </c>
      <c r="G71" s="19">
        <v>14.636999999999999</v>
      </c>
      <c r="H71" s="19">
        <v>16.212</v>
      </c>
      <c r="I71" s="19">
        <v>17.142000000000003</v>
      </c>
      <c r="J71" s="19">
        <v>61.479000000000006</v>
      </c>
      <c r="K71" s="19">
        <v>18.116999999999997</v>
      </c>
      <c r="L71" s="19">
        <v>20.901</v>
      </c>
      <c r="M71" s="19">
        <v>21.107999999999997</v>
      </c>
      <c r="N71" s="19">
        <v>21.384</v>
      </c>
      <c r="O71" s="26">
        <v>81.510000000000005</v>
      </c>
      <c r="P71" s="19">
        <v>22.292999999999999</v>
      </c>
      <c r="Q71" s="19">
        <v>24.378</v>
      </c>
      <c r="R71" s="19">
        <v>24.468000000000004</v>
      </c>
      <c r="S71" s="19">
        <v>25.872</v>
      </c>
      <c r="T71" s="27">
        <v>97.01100000000001</v>
      </c>
      <c r="U71" s="19">
        <v>27.378</v>
      </c>
      <c r="V71" s="19">
        <v>28.506</v>
      </c>
      <c r="W71" s="19">
        <v>29.165999999999997</v>
      </c>
      <c r="X71" s="19">
        <v>30</v>
      </c>
      <c r="Y71" s="27">
        <v>115.05</v>
      </c>
      <c r="Z71" s="19">
        <v>29.1</v>
      </c>
      <c r="AA71" s="19">
        <v>30.3</v>
      </c>
      <c r="AB71" s="19">
        <v>30</v>
      </c>
      <c r="AC71" s="19">
        <v>30.9</v>
      </c>
      <c r="AD71" s="27">
        <v>120.3</v>
      </c>
      <c r="AE71" s="26">
        <v>30.9</v>
      </c>
      <c r="AF71" s="26">
        <v>31.2</v>
      </c>
      <c r="AG71" s="26">
        <v>30.6</v>
      </c>
      <c r="AH71" s="26">
        <v>30.9</v>
      </c>
      <c r="AI71" s="96">
        <v>123.6</v>
      </c>
      <c r="AJ71" s="26">
        <v>30</v>
      </c>
      <c r="AK71" s="26">
        <v>30.6</v>
      </c>
      <c r="AL71" s="26">
        <v>30.6</v>
      </c>
      <c r="AM71" s="26">
        <v>30.9</v>
      </c>
      <c r="AN71" s="27">
        <f>SUM(AJ71:AM71)</f>
        <v>122.1</v>
      </c>
      <c r="AO71" s="26">
        <f>AO69*3</f>
        <v>30.273868670630204</v>
      </c>
      <c r="AP71" s="26">
        <f>AP69*3</f>
        <v>30.864285641353643</v>
      </c>
      <c r="AQ71" s="26">
        <f>AQ69*3</f>
        <v>30.829204909180547</v>
      </c>
      <c r="AR71" s="26">
        <f>AR69*3</f>
        <v>29.911407854809806</v>
      </c>
      <c r="AS71" s="96">
        <f>SUM(AO71:AR71)</f>
        <v>121.87876707597421</v>
      </c>
      <c r="AT71" s="26">
        <f t="shared" ref="AT71:AV71" si="138">+AT85</f>
        <v>29.899999999999991</v>
      </c>
      <c r="AU71" s="26">
        <f t="shared" si="138"/>
        <v>30.899999999999991</v>
      </c>
      <c r="AV71" s="26">
        <f t="shared" si="138"/>
        <v>31.099999999999994</v>
      </c>
      <c r="AW71" s="26">
        <f>+AW85</f>
        <v>34.399999999999991</v>
      </c>
      <c r="AX71" s="96">
        <f>SUM(AT71:AW71)</f>
        <v>126.29999999999997</v>
      </c>
      <c r="AY71" s="26">
        <f t="shared" ref="AY71:BA71" si="139">+AY85</f>
        <v>37.599999999999994</v>
      </c>
      <c r="AZ71" s="26">
        <f t="shared" si="139"/>
        <v>38.099999999999994</v>
      </c>
      <c r="BA71" s="26">
        <f t="shared" si="139"/>
        <v>38</v>
      </c>
      <c r="BB71" s="26">
        <f>+BB85</f>
        <v>38.200000000000017</v>
      </c>
      <c r="BC71" s="96">
        <f>SUM(AY71:BB71)</f>
        <v>151.9</v>
      </c>
      <c r="BD71" s="26">
        <f t="shared" ref="BD71:BF71" si="140">+BD85</f>
        <v>37.299999999999983</v>
      </c>
      <c r="BE71" s="26">
        <f t="shared" si="140"/>
        <v>37.699999999999989</v>
      </c>
      <c r="BF71" s="26">
        <f t="shared" si="140"/>
        <v>37.600000000000023</v>
      </c>
      <c r="BG71" s="26">
        <f>+BG85</f>
        <v>38.5</v>
      </c>
      <c r="BH71" s="96">
        <f>SUM(BD71:BG71)</f>
        <v>151.1</v>
      </c>
      <c r="BI71" s="26">
        <f t="shared" ref="BI71:BP71" si="141">+BI85</f>
        <v>39.800000000000011</v>
      </c>
      <c r="BJ71" s="26">
        <f t="shared" si="141"/>
        <v>112.69999999999999</v>
      </c>
      <c r="BK71" s="26">
        <f t="shared" si="141"/>
        <v>110.89999999999998</v>
      </c>
      <c r="BL71" s="26">
        <f>+BL85</f>
        <v>111.60000000000002</v>
      </c>
      <c r="BM71" s="96">
        <f>SUM(BI71:BL71)</f>
        <v>375</v>
      </c>
      <c r="BN71" s="26">
        <f t="shared" si="141"/>
        <v>107.19999999999999</v>
      </c>
      <c r="BO71" s="26">
        <f t="shared" si="141"/>
        <v>103.19999999999999</v>
      </c>
      <c r="BP71" s="26">
        <f t="shared" si="141"/>
        <v>101.20000000000005</v>
      </c>
      <c r="BQ71" s="26">
        <f>+BQ85</f>
        <v>101.30000000000001</v>
      </c>
      <c r="BR71" s="96">
        <f>SUM(BN71:BQ71)</f>
        <v>412.90000000000003</v>
      </c>
      <c r="BS71" s="26">
        <f>BS69*3.065</f>
        <v>89.394826139844824</v>
      </c>
      <c r="BT71" s="26">
        <f t="shared" ref="BT71:BV71" si="142">BT69*3.065</f>
        <v>93.218372924935608</v>
      </c>
      <c r="BU71" s="26">
        <f t="shared" si="142"/>
        <v>97.038161186331877</v>
      </c>
      <c r="BV71" s="26">
        <f t="shared" si="142"/>
        <v>96.353278511905955</v>
      </c>
      <c r="BW71" s="96">
        <f>SUM(BS71:BV71)</f>
        <v>376.00463876301825</v>
      </c>
      <c r="BX71" s="478">
        <v>88.5</v>
      </c>
      <c r="BY71" s="478">
        <v>88.3</v>
      </c>
      <c r="BZ71" s="478">
        <v>87.5</v>
      </c>
      <c r="CA71" s="478">
        <v>91.5</v>
      </c>
      <c r="CB71" s="96">
        <f>SUM(BX71:CA71)</f>
        <v>355.8</v>
      </c>
      <c r="CC71" s="478">
        <v>88.8</v>
      </c>
      <c r="CD71" s="478">
        <v>85.9</v>
      </c>
      <c r="CE71" s="478">
        <v>87.7</v>
      </c>
      <c r="CF71" s="478">
        <v>88.7</v>
      </c>
      <c r="CG71" s="96">
        <f>SUM(CC71:CF71)</f>
        <v>351.09999999999997</v>
      </c>
      <c r="CH71" s="478">
        <v>84.6</v>
      </c>
      <c r="CI71" s="478">
        <v>85.7</v>
      </c>
      <c r="CJ71" s="478">
        <v>84.1</v>
      </c>
      <c r="CK71" s="478">
        <v>85.5</v>
      </c>
      <c r="CL71" s="96">
        <f>SUM(CH71:CK71)</f>
        <v>339.9</v>
      </c>
      <c r="CM71" s="26">
        <f t="shared" ref="CM71:CP71" si="143">CM69*2.9-CM73</f>
        <v>79.549400055916706</v>
      </c>
      <c r="CN71" s="26">
        <f t="shared" si="143"/>
        <v>80.333439289111737</v>
      </c>
      <c r="CO71" s="26">
        <f t="shared" si="143"/>
        <v>81.375332819769227</v>
      </c>
      <c r="CP71" s="26">
        <f t="shared" si="143"/>
        <v>83.078503049300721</v>
      </c>
      <c r="CQ71" s="96">
        <f>SUM(CM71:CP71)</f>
        <v>324.33667521409842</v>
      </c>
      <c r="CR71" s="26">
        <f t="shared" ref="CR71:CU71" si="144">CR69*2.9-CR73</f>
        <v>79.095404557594208</v>
      </c>
      <c r="CS71" s="26">
        <f t="shared" si="144"/>
        <v>79.873580717785075</v>
      </c>
      <c r="CT71" s="26">
        <f t="shared" si="144"/>
        <v>80.908008804362311</v>
      </c>
      <c r="CU71" s="26">
        <f t="shared" si="144"/>
        <v>82.601678640779753</v>
      </c>
      <c r="CV71" s="96">
        <f>SUM(CR71:CU71)</f>
        <v>322.47867272052133</v>
      </c>
      <c r="CW71" s="26">
        <f t="shared" ref="CW71:CZ71" si="145">CW69*2.9-CW73</f>
        <v>70.732451126062614</v>
      </c>
      <c r="CX71" s="26">
        <f t="shared" si="145"/>
        <v>71.426917626290134</v>
      </c>
      <c r="CY71" s="26">
        <f t="shared" si="145"/>
        <v>72.350407108056942</v>
      </c>
      <c r="CZ71" s="26">
        <f t="shared" si="145"/>
        <v>73.86522753342517</v>
      </c>
      <c r="DA71" s="96">
        <f>SUM(CW71:CZ71)</f>
        <v>288.37500339383485</v>
      </c>
      <c r="DB71" s="26">
        <f t="shared" ref="DB71:DE71" si="146">DB69*2.9-DB73</f>
        <v>62.528944399925741</v>
      </c>
      <c r="DC71" s="26">
        <f t="shared" si="146"/>
        <v>63.141154433268568</v>
      </c>
      <c r="DD71" s="26">
        <f t="shared" si="146"/>
        <v>63.95566419629295</v>
      </c>
      <c r="DE71" s="26">
        <f t="shared" si="146"/>
        <v>65.295067724922902</v>
      </c>
      <c r="DF71" s="96">
        <f>SUM(DB71:DE71)</f>
        <v>254.92083075441019</v>
      </c>
    </row>
    <row r="72" spans="1:111" s="19" customFormat="1" ht="6" customHeight="1" x14ac:dyDescent="0.2">
      <c r="A72" s="26"/>
      <c r="B72" s="13"/>
      <c r="T72" s="27"/>
      <c r="Y72" s="27"/>
      <c r="AD72" s="27"/>
      <c r="AE72" s="26"/>
      <c r="AF72" s="26"/>
      <c r="AG72" s="26"/>
      <c r="AH72" s="26"/>
      <c r="AI72" s="96"/>
      <c r="AJ72" s="26"/>
      <c r="AK72" s="26"/>
      <c r="AL72" s="26"/>
      <c r="AM72" s="26"/>
      <c r="AN72" s="96"/>
      <c r="AO72" s="26"/>
      <c r="AP72" s="26"/>
      <c r="AQ72" s="26"/>
      <c r="AR72" s="26"/>
      <c r="AS72" s="96"/>
      <c r="AT72" s="26"/>
      <c r="AU72" s="26"/>
      <c r="AV72" s="26"/>
      <c r="AW72" s="26"/>
      <c r="AX72" s="96"/>
      <c r="AY72" s="26"/>
      <c r="AZ72" s="26"/>
      <c r="BA72" s="26"/>
      <c r="BB72" s="26"/>
      <c r="BC72" s="96"/>
      <c r="BD72" s="26"/>
      <c r="BE72" s="26"/>
      <c r="BF72" s="26"/>
      <c r="BG72" s="26"/>
      <c r="BH72" s="96"/>
      <c r="BI72" s="26"/>
      <c r="BJ72" s="26"/>
      <c r="BK72" s="26"/>
      <c r="BL72" s="26"/>
      <c r="BM72" s="96"/>
      <c r="BN72" s="26"/>
      <c r="BO72" s="26"/>
      <c r="BP72" s="26"/>
      <c r="BQ72" s="26"/>
      <c r="BR72" s="96"/>
      <c r="BS72" s="26"/>
      <c r="BT72" s="26"/>
      <c r="BU72" s="26"/>
      <c r="BV72" s="26"/>
      <c r="BW72" s="96"/>
      <c r="BX72" s="26"/>
      <c r="BY72" s="26"/>
      <c r="BZ72" s="26"/>
      <c r="CA72" s="26"/>
      <c r="CB72" s="96"/>
      <c r="CC72" s="26"/>
      <c r="CD72" s="26"/>
      <c r="CE72" s="26"/>
      <c r="CF72" s="26"/>
      <c r="CG72" s="96"/>
      <c r="CH72" s="26"/>
      <c r="CI72" s="26"/>
      <c r="CJ72" s="26"/>
      <c r="CK72" s="26"/>
      <c r="CL72" s="96"/>
      <c r="CM72" s="26"/>
      <c r="CN72" s="26"/>
      <c r="CO72" s="26"/>
      <c r="CP72" s="26"/>
      <c r="CQ72" s="96"/>
      <c r="CR72" s="26"/>
      <c r="CS72" s="26"/>
      <c r="CT72" s="26"/>
      <c r="CU72" s="26"/>
      <c r="CV72" s="96"/>
      <c r="CW72" s="26"/>
      <c r="CX72" s="26"/>
      <c r="CY72" s="26"/>
      <c r="CZ72" s="26"/>
      <c r="DA72" s="96"/>
      <c r="DB72" s="26"/>
      <c r="DC72" s="26"/>
      <c r="DD72" s="26"/>
      <c r="DE72" s="26"/>
      <c r="DF72" s="96"/>
    </row>
    <row r="73" spans="1:111" s="19" customFormat="1" ht="10.5" customHeight="1" x14ac:dyDescent="0.2">
      <c r="A73" s="26"/>
      <c r="B73" s="477" t="s">
        <v>5</v>
      </c>
      <c r="C73" s="26"/>
      <c r="D73" s="26"/>
      <c r="E73" s="145"/>
      <c r="F73" s="145"/>
      <c r="G73" s="145"/>
      <c r="H73" s="145"/>
      <c r="I73" s="145"/>
      <c r="J73" s="145"/>
      <c r="K73" s="145"/>
      <c r="L73" s="145"/>
      <c r="M73" s="145"/>
      <c r="N73" s="145"/>
      <c r="P73" s="145"/>
      <c r="Q73" s="145"/>
      <c r="R73" s="145"/>
      <c r="S73" s="145"/>
      <c r="T73" s="27"/>
      <c r="U73" s="145"/>
      <c r="V73" s="145"/>
      <c r="W73" s="145"/>
      <c r="X73" s="145"/>
      <c r="Y73" s="27"/>
      <c r="Z73" s="145"/>
      <c r="AA73" s="145"/>
      <c r="AB73" s="145"/>
      <c r="AC73" s="145"/>
      <c r="AD73" s="27"/>
      <c r="AE73" s="478"/>
      <c r="AF73" s="478"/>
      <c r="AG73" s="478"/>
      <c r="AH73" s="478"/>
      <c r="AI73" s="27"/>
      <c r="AJ73" s="478"/>
      <c r="AK73" s="478"/>
      <c r="AL73" s="478"/>
      <c r="AM73" s="478"/>
      <c r="AN73" s="27"/>
      <c r="AO73" s="26">
        <f ca="1">AO16/AO161</f>
        <v>0.30871044312326656</v>
      </c>
      <c r="AP73" s="26">
        <f ca="1">AP16/AP161</f>
        <v>0.31190478621545137</v>
      </c>
      <c r="AQ73" s="26">
        <f ca="1">AQ16/AQ161</f>
        <v>0.32359836360648409</v>
      </c>
      <c r="AR73" s="26">
        <f ca="1">AR16/AR161</f>
        <v>0.32953071506339832</v>
      </c>
      <c r="AS73" s="27">
        <f ca="1">SUM(AO73:AR73)</f>
        <v>1.2737443080086004</v>
      </c>
      <c r="AT73" s="478">
        <v>0.3232198339500601</v>
      </c>
      <c r="AU73" s="478">
        <v>0.32438097766406943</v>
      </c>
      <c r="AV73" s="478">
        <v>0.33880748669598881</v>
      </c>
      <c r="AW73" s="478">
        <v>0.41401865867137799</v>
      </c>
      <c r="AX73" s="27">
        <f>SUM(AT73:AW73)</f>
        <v>1.4004269569814962</v>
      </c>
      <c r="AY73" s="478">
        <f>1.3-AY74</f>
        <v>0.5</v>
      </c>
      <c r="AZ73" s="478">
        <f>1.31638097766407-AZ74</f>
        <v>0.51638097766406998</v>
      </c>
      <c r="BA73" s="478">
        <v>0.53080748669598887</v>
      </c>
      <c r="BB73" s="478">
        <v>0.54373865867137794</v>
      </c>
      <c r="BC73" s="27">
        <f>SUM(AY73:BB73)</f>
        <v>2.0909271230314368</v>
      </c>
      <c r="BD73" s="478">
        <f>BB73*(1-2.9%)</f>
        <v>0.52797023756990802</v>
      </c>
      <c r="BE73" s="478">
        <f>BD73*(1.05)</f>
        <v>0.55436874944840342</v>
      </c>
      <c r="BF73" s="478">
        <v>0.56265593589774821</v>
      </c>
      <c r="BG73" s="478">
        <v>0.58180036477837438</v>
      </c>
      <c r="BH73" s="27">
        <f>SUM(BD73:BG73)</f>
        <v>2.2267952876944341</v>
      </c>
      <c r="BI73" s="26">
        <v>0.55750514351925018</v>
      </c>
      <c r="BJ73" s="1233">
        <f>Specialty!AX28</f>
        <v>1.2284393170539767</v>
      </c>
      <c r="BK73" s="1233">
        <f>Specialty!AY28</f>
        <v>1.2764686874852091</v>
      </c>
      <c r="BL73" s="1233">
        <f>Specialty!AZ28</f>
        <v>1.2969532263874792</v>
      </c>
      <c r="BM73" s="27">
        <f>SUM(BI73:BL73)</f>
        <v>4.3593663744459157</v>
      </c>
      <c r="BN73" s="1233">
        <f>Specialty!BB28</f>
        <v>1.258640459129357</v>
      </c>
      <c r="BO73" s="1233">
        <f>Specialty!BC28</f>
        <v>1.3080774216963134</v>
      </c>
      <c r="BP73" s="1233">
        <f>Specialty!BD28</f>
        <v>1.3590772272484277</v>
      </c>
      <c r="BQ73" s="1233">
        <f>Specialty!BE28</f>
        <v>1.3809956838738566</v>
      </c>
      <c r="BR73" s="27">
        <f>SUM(BN73:BQ73)</f>
        <v>5.3067907919479547</v>
      </c>
      <c r="BS73" s="1233">
        <f>Specialty!BG28</f>
        <v>1.3336619445857008</v>
      </c>
      <c r="BT73" s="1233">
        <f>Specialty!BH28</f>
        <v>1.3861752284059987</v>
      </c>
      <c r="BU73" s="1233">
        <f>Specialty!BI28</f>
        <v>1.4399147842310358</v>
      </c>
      <c r="BV73" s="1233">
        <f>Specialty!BJ28</f>
        <v>1.4633675328202447</v>
      </c>
      <c r="BW73" s="27">
        <f>SUM(BS73:BV73)</f>
        <v>5.6231194900429795</v>
      </c>
      <c r="BX73" s="1233">
        <f>Specialty!BL28</f>
        <v>1.4336865904296283</v>
      </c>
      <c r="BY73" s="1233">
        <f>Specialty!BM28</f>
        <v>1.4901383705364486</v>
      </c>
      <c r="BZ73" s="1233">
        <f>Specialty!BN28</f>
        <v>1.5479083930483635</v>
      </c>
      <c r="CA73" s="1233">
        <f>Specialty!BO28</f>
        <v>1.573120097781763</v>
      </c>
      <c r="CB73" s="27">
        <f>SUM(BX73:CA73)</f>
        <v>6.0448534517962038</v>
      </c>
      <c r="CC73" s="1233">
        <f>Specialty!BQ28</f>
        <v>1.5412130847118504</v>
      </c>
      <c r="CD73" s="1233">
        <f>Specialty!BR28</f>
        <v>1.6018987483266822</v>
      </c>
      <c r="CE73" s="1233">
        <f>Specialty!BS28</f>
        <v>1.6640015225269909</v>
      </c>
      <c r="CF73" s="1233">
        <f>Specialty!BT28</f>
        <v>1.6911041051153952</v>
      </c>
      <c r="CG73" s="27">
        <f>SUM(CC73:CF73)</f>
        <v>6.4982174606809178</v>
      </c>
      <c r="CH73" s="1233">
        <f>Specialty!BV28</f>
        <v>1.656804066065239</v>
      </c>
      <c r="CI73" s="1233">
        <f>Specialty!BW28</f>
        <v>1.71403166070955</v>
      </c>
      <c r="CJ73" s="1233">
        <f>Specialty!BX28</f>
        <v>1.7804816291038801</v>
      </c>
      <c r="CK73" s="1233">
        <f>Specialty!BY28</f>
        <v>1.8094813924734732</v>
      </c>
      <c r="CL73" s="27">
        <f>SUM(CH73:CK73)</f>
        <v>6.9607987483521425</v>
      </c>
      <c r="CM73" s="1233">
        <f>Specialty!CA28</f>
        <v>1.6070999440832818</v>
      </c>
      <c r="CN73" s="1233">
        <f>Specialty!CB28</f>
        <v>1.6626107108882633</v>
      </c>
      <c r="CO73" s="1233">
        <f>Specialty!CC28</f>
        <v>1.7270671802307638</v>
      </c>
      <c r="CP73" s="1233">
        <f>Specialty!CD28</f>
        <v>1.7551969506992688</v>
      </c>
      <c r="CQ73" s="27">
        <f>SUM(CM73:CP73)</f>
        <v>6.7519747859015773</v>
      </c>
      <c r="CR73" s="1233">
        <f>Specialty!CF28</f>
        <v>1.6553129424057804</v>
      </c>
      <c r="CS73" s="1233">
        <f>Specialty!CG28</f>
        <v>1.7124890322149113</v>
      </c>
      <c r="CT73" s="1233">
        <f>Specialty!CH28</f>
        <v>1.7788791956376868</v>
      </c>
      <c r="CU73" s="1233">
        <f>Specialty!CI28</f>
        <v>1.807852859220247</v>
      </c>
      <c r="CV73" s="27">
        <f>SUM(CR73:CU73)</f>
        <v>6.9545340294786264</v>
      </c>
      <c r="CW73" s="1233">
        <f>Specialty!CK28</f>
        <v>1.5394410364373756</v>
      </c>
      <c r="CX73" s="1233">
        <f>Specialty!CL28</f>
        <v>1.5926147999598674</v>
      </c>
      <c r="CY73" s="1233">
        <f>Specialty!CM28</f>
        <v>1.6543576519430485</v>
      </c>
      <c r="CZ73" s="1233">
        <f>Specialty!CN28</f>
        <v>1.6813031590748295</v>
      </c>
      <c r="DA73" s="27">
        <f>SUM(CW73:CZ73)</f>
        <v>6.4677166474151218</v>
      </c>
      <c r="DB73" s="1233">
        <f>Specialty!CP28</f>
        <v>1.4316801638867593</v>
      </c>
      <c r="DC73" s="1233">
        <f>Specialty!CQ28</f>
        <v>1.4811317639626767</v>
      </c>
      <c r="DD73" s="1233">
        <f>Specialty!CR28</f>
        <v>1.5385526163070349</v>
      </c>
      <c r="DE73" s="1233">
        <f>Specialty!CS28</f>
        <v>1.5636119379395912</v>
      </c>
      <c r="DF73" s="27">
        <f>SUM(DB73:DE73)</f>
        <v>6.0149764820960616</v>
      </c>
    </row>
    <row r="74" spans="1:111" s="19" customFormat="1" outlineLevel="1" x14ac:dyDescent="0.2">
      <c r="A74" s="26"/>
      <c r="B74" s="13" t="s">
        <v>6</v>
      </c>
      <c r="E74" s="145"/>
      <c r="F74" s="145"/>
      <c r="G74" s="145"/>
      <c r="K74" s="145"/>
      <c r="L74" s="145"/>
      <c r="M74" s="145"/>
      <c r="N74" s="145"/>
      <c r="P74" s="145"/>
      <c r="Q74" s="145"/>
      <c r="R74" s="145"/>
      <c r="S74" s="145"/>
      <c r="T74" s="27"/>
      <c r="U74" s="145"/>
      <c r="V74" s="145"/>
      <c r="W74" s="145"/>
      <c r="X74" s="145"/>
      <c r="Y74" s="27"/>
      <c r="Z74" s="145"/>
      <c r="AA74" s="145"/>
      <c r="AB74" s="145"/>
      <c r="AC74" s="145"/>
      <c r="AD74" s="27"/>
      <c r="AE74" s="145"/>
      <c r="AF74" s="478"/>
      <c r="AG74" s="478"/>
      <c r="AH74" s="478"/>
      <c r="AI74" s="27"/>
      <c r="AJ74" s="478"/>
      <c r="AK74" s="478"/>
      <c r="AL74" s="478"/>
      <c r="AM74" s="478"/>
      <c r="AN74" s="27"/>
      <c r="AO74" s="145">
        <v>0.8</v>
      </c>
      <c r="AP74" s="145">
        <v>0.8</v>
      </c>
      <c r="AQ74" s="145">
        <v>0.8</v>
      </c>
      <c r="AR74" s="145">
        <v>0.8</v>
      </c>
      <c r="AS74" s="27">
        <f>SUM(AO74:AR74)</f>
        <v>3.2</v>
      </c>
      <c r="AT74" s="145">
        <v>0.8</v>
      </c>
      <c r="AU74" s="145">
        <v>0.7</v>
      </c>
      <c r="AV74" s="145">
        <v>0.9</v>
      </c>
      <c r="AW74" s="145">
        <v>0.8</v>
      </c>
      <c r="AX74" s="27">
        <f>SUM(AT74:AW74)</f>
        <v>3.2</v>
      </c>
      <c r="AY74" s="19">
        <f>$AX$74/4</f>
        <v>0.8</v>
      </c>
      <c r="AZ74" s="19">
        <f>$AX$74/4</f>
        <v>0.8</v>
      </c>
      <c r="BA74" s="19">
        <f>$AX$74/4</f>
        <v>0.8</v>
      </c>
      <c r="BB74" s="19">
        <f>$AX$74/4</f>
        <v>0.8</v>
      </c>
      <c r="BC74" s="27">
        <f>SUM(AY74:BB74)</f>
        <v>3.2</v>
      </c>
      <c r="BD74" s="19">
        <v>0.6</v>
      </c>
      <c r="BE74" s="19">
        <v>0.6</v>
      </c>
      <c r="BF74" s="19">
        <v>0.6</v>
      </c>
      <c r="BG74" s="19">
        <v>0.6</v>
      </c>
      <c r="BH74" s="27">
        <f>SUM(BD74:BG74)</f>
        <v>2.4</v>
      </c>
      <c r="BI74" s="145">
        <v>0</v>
      </c>
      <c r="BJ74" s="145">
        <v>0.3</v>
      </c>
      <c r="BK74" s="145">
        <v>0.3</v>
      </c>
      <c r="BL74" s="145">
        <v>0.2</v>
      </c>
      <c r="BM74" s="27">
        <f>SUM(BI74:BL74)</f>
        <v>0.8</v>
      </c>
      <c r="BN74" s="145">
        <v>0</v>
      </c>
      <c r="BO74" s="145">
        <v>0.2</v>
      </c>
      <c r="BR74" s="27"/>
      <c r="BW74" s="27"/>
      <c r="CB74" s="27"/>
      <c r="CG74" s="27"/>
      <c r="CL74" s="27"/>
      <c r="CQ74" s="27"/>
      <c r="CV74" s="27"/>
      <c r="DA74" s="27"/>
      <c r="DF74" s="27"/>
    </row>
    <row r="75" spans="1:111" s="19" customFormat="1" ht="10.5" customHeight="1" x14ac:dyDescent="0.2">
      <c r="A75" s="26"/>
      <c r="B75" s="479" t="s">
        <v>164</v>
      </c>
      <c r="T75" s="27"/>
      <c r="Y75" s="27"/>
      <c r="AD75" s="27"/>
      <c r="AI75" s="27"/>
      <c r="AN75" s="27"/>
      <c r="AS75" s="27"/>
      <c r="AX75" s="27"/>
      <c r="BC75" s="27"/>
      <c r="BH75" s="27"/>
      <c r="BM75" s="27"/>
      <c r="BR75" s="27"/>
      <c r="BW75" s="27"/>
      <c r="CB75" s="27"/>
      <c r="CE75" s="198"/>
      <c r="CG75" s="27"/>
      <c r="CL75" s="27"/>
      <c r="CQ75" s="27"/>
      <c r="CV75" s="27"/>
      <c r="DA75" s="27"/>
      <c r="DF75" s="27"/>
    </row>
    <row r="76" spans="1:111" s="19" customFormat="1" x14ac:dyDescent="0.2">
      <c r="A76" s="26"/>
      <c r="B76" s="13" t="s">
        <v>258</v>
      </c>
      <c r="E76" s="19">
        <v>314.767</v>
      </c>
      <c r="F76" s="19">
        <v>76.840999999999994</v>
      </c>
      <c r="G76" s="19">
        <v>76.19</v>
      </c>
      <c r="H76" s="19">
        <v>75.777000000000001</v>
      </c>
      <c r="I76" s="19">
        <v>85.680999999999997</v>
      </c>
      <c r="J76" s="19">
        <v>314.48899999999998</v>
      </c>
      <c r="K76" s="19">
        <v>86.150999999999996</v>
      </c>
      <c r="L76" s="19">
        <v>98.576999999999998</v>
      </c>
      <c r="M76" s="19">
        <v>95.905000000000001</v>
      </c>
      <c r="N76" s="19">
        <v>101.417</v>
      </c>
      <c r="O76" s="19">
        <v>382.05</v>
      </c>
      <c r="P76" s="19">
        <v>104.098</v>
      </c>
      <c r="Q76" s="19">
        <v>104.15100000000001</v>
      </c>
      <c r="R76" s="19">
        <v>98.583000000000013</v>
      </c>
      <c r="S76" s="19">
        <v>104.432</v>
      </c>
      <c r="T76" s="27">
        <v>411.26400000000001</v>
      </c>
      <c r="U76" s="19">
        <v>102.643</v>
      </c>
      <c r="V76" s="19">
        <v>105.23099999999999</v>
      </c>
      <c r="W76" s="19">
        <v>111.506</v>
      </c>
      <c r="X76" s="19">
        <v>118</v>
      </c>
      <c r="Y76" s="27">
        <v>437.38</v>
      </c>
      <c r="Z76" s="19">
        <v>121.2</v>
      </c>
      <c r="AA76" s="19">
        <v>119.6</v>
      </c>
      <c r="AB76" s="19">
        <v>115.6</v>
      </c>
      <c r="AC76" s="19">
        <v>121.4</v>
      </c>
      <c r="AD76" s="27">
        <v>477.8</v>
      </c>
      <c r="AE76" s="19">
        <v>112.7</v>
      </c>
      <c r="AF76" s="19">
        <v>107.3</v>
      </c>
      <c r="AG76" s="19">
        <v>103.3</v>
      </c>
      <c r="AH76" s="19">
        <v>108.1</v>
      </c>
      <c r="AI76" s="27">
        <v>431.4</v>
      </c>
      <c r="AJ76" s="19">
        <v>106.8</v>
      </c>
      <c r="AK76" s="19">
        <v>104.4</v>
      </c>
      <c r="AL76" s="19">
        <v>102.3</v>
      </c>
      <c r="AM76" s="19">
        <v>107.2</v>
      </c>
      <c r="AN76" s="96">
        <f>SUM(AJ76:AM76)</f>
        <v>420.7</v>
      </c>
      <c r="AO76" s="19">
        <f ca="1">AO67+AO69+AO73+AO74</f>
        <v>109.39999999999999</v>
      </c>
      <c r="AP76" s="19">
        <f ca="1">AP67+AP69+AP73+AP74</f>
        <v>107.49999999999999</v>
      </c>
      <c r="AQ76" s="19">
        <f ca="1">AQ67+AQ69+AQ73+AQ74</f>
        <v>102.89999999999999</v>
      </c>
      <c r="AR76" s="19">
        <f ca="1">AR67+AR69+AR73+AR74</f>
        <v>104.89999999999999</v>
      </c>
      <c r="AS76" s="96">
        <f ca="1">SUM(AO76:AR76)</f>
        <v>424.69999999999993</v>
      </c>
      <c r="AT76" s="19">
        <f>AT67+AT69+AT73+AT74</f>
        <v>104.9</v>
      </c>
      <c r="AU76" s="19">
        <f>AU67+AU69+AU73+AU74</f>
        <v>105.6</v>
      </c>
      <c r="AV76" s="19">
        <f>AV67+AV69+AV73+AV74</f>
        <v>106.4</v>
      </c>
      <c r="AW76" s="19">
        <f>AW67+AW69+AW73+AW74</f>
        <v>132.4</v>
      </c>
      <c r="AX76" s="96">
        <f>SUM(AT76:AW76)</f>
        <v>449.29999999999995</v>
      </c>
      <c r="AY76" s="19">
        <f>AY67+AY69+AY73+AY74</f>
        <v>162.4</v>
      </c>
      <c r="AZ76" s="19">
        <f>AZ67+AZ69+AZ73+AZ74</f>
        <v>164.5</v>
      </c>
      <c r="BA76" s="19">
        <f>BA67+BA69+BA73+BA74</f>
        <v>162.5</v>
      </c>
      <c r="BB76" s="19">
        <f>BB67+BB69+BB73+BB74</f>
        <v>166.7</v>
      </c>
      <c r="BC76" s="96">
        <f>SUM(AY76:BB76)</f>
        <v>656.09999999999991</v>
      </c>
      <c r="BD76" s="19">
        <f>BD67+BD69+BD73+BD74</f>
        <v>183.90654159626177</v>
      </c>
      <c r="BE76" s="19">
        <f>BE67+BE69+BE73+BE74</f>
        <v>183.80786575991357</v>
      </c>
      <c r="BF76" s="19">
        <f>BF67+BF69+BF73+BF74</f>
        <v>183.15880953614155</v>
      </c>
      <c r="BG76" s="19">
        <f>BG67+BG69+BG73+BG74</f>
        <v>193.56752500000005</v>
      </c>
      <c r="BH76" s="96">
        <f>SUM(BD76:BG76)</f>
        <v>744.44074189231696</v>
      </c>
      <c r="BI76" s="19">
        <f>BI67+BI69+BI73+BI74</f>
        <v>189.42099127487688</v>
      </c>
      <c r="BJ76" s="19">
        <f>BJ67+BJ69+BJ73+BJ74</f>
        <v>367.45825479352686</v>
      </c>
      <c r="BK76" s="19">
        <f>BK67+BK69+BK73+BK74</f>
        <v>364.58660540634776</v>
      </c>
      <c r="BL76" s="19">
        <f>BL67+BL69+BL73+BL74</f>
        <v>381.36700000000002</v>
      </c>
      <c r="BM76" s="96">
        <f>SUM(BI76:BL76)</f>
        <v>1302.8328514747516</v>
      </c>
      <c r="BN76" s="19">
        <f>BN67+BN69+BN73+BN74</f>
        <v>361.42621523500196</v>
      </c>
      <c r="BO76" s="19">
        <f>BO67+BO69+BO73+BO74</f>
        <v>341.98111829055063</v>
      </c>
      <c r="BP76" s="19">
        <f>BP67+BP69+BP73+BP74</f>
        <v>331.00956159035576</v>
      </c>
      <c r="BQ76" s="19">
        <f>BQ67+BQ69+BQ73+BQ74</f>
        <v>333.10454999999996</v>
      </c>
      <c r="BR76" s="96">
        <f>SUM(BN76:BQ76)</f>
        <v>1367.5214451159084</v>
      </c>
      <c r="BS76" s="19">
        <f>BS67+BS69+BS73+BS74</f>
        <v>294.69406795861056</v>
      </c>
      <c r="BT76" s="19">
        <f>BT67+BT69+BT73+BT74</f>
        <v>297.57335764551658</v>
      </c>
      <c r="BU76" s="19">
        <f>BU67+BU69+BU73+BU74</f>
        <v>300.10066612590549</v>
      </c>
      <c r="BV76" s="19">
        <f>BV67+BV69+BV73+BV74</f>
        <v>309.71030000000007</v>
      </c>
      <c r="BW76" s="96">
        <f>SUM(BS76:BV76)</f>
        <v>1202.0783917300328</v>
      </c>
      <c r="BX76" s="19">
        <f>BX67+BX69+BX73+BX74</f>
        <v>283.73368659042961</v>
      </c>
      <c r="BY76" s="19">
        <f>BY67+BY69+BY73+BY74</f>
        <v>300.19013837053643</v>
      </c>
      <c r="BZ76" s="19">
        <f>BZ67+BZ69+BZ73+BZ74</f>
        <v>309.24790839304836</v>
      </c>
      <c r="CA76" s="19">
        <f>CA67+CA69+CA73+CA74</f>
        <v>320.27312009778177</v>
      </c>
      <c r="CB76" s="96">
        <f>SUM(BX76:CA76)</f>
        <v>1213.444853451796</v>
      </c>
      <c r="CC76" s="19">
        <f>CC67+CC69+CC73+CC74</f>
        <v>299.34121308471185</v>
      </c>
      <c r="CD76" s="19">
        <f>CD67+CD69+CD73+CD74</f>
        <v>294.50189874832665</v>
      </c>
      <c r="CE76" s="19">
        <f>CE67+CE69+CE73+CE74</f>
        <v>291.06400152252695</v>
      </c>
      <c r="CF76" s="19">
        <f>CF67+CF69+CF73</f>
        <v>298.29110410511538</v>
      </c>
      <c r="CG76" s="96">
        <f>SUM(CC76:CF76)</f>
        <v>1183.1982174606808</v>
      </c>
      <c r="CH76" s="19">
        <f>CH67+CH69+CH73</f>
        <v>297.75680406606529</v>
      </c>
      <c r="CI76" s="19">
        <f>CI67+CI69+CI73</f>
        <v>295.1140316607096</v>
      </c>
      <c r="CJ76" s="19">
        <f>CJ67+CJ69+CJ73</f>
        <v>290.08048162910387</v>
      </c>
      <c r="CK76" s="19">
        <f>CK67+CK69+CK73</f>
        <v>301.50948139247345</v>
      </c>
      <c r="CL76" s="96">
        <f>SUM(CH76:CK76)</f>
        <v>1184.4607987483521</v>
      </c>
      <c r="CM76" s="19">
        <f t="shared" ref="CM76:CP76" si="147">CM67+CM69+CM73</f>
        <v>286.00809994408331</v>
      </c>
      <c r="CN76" s="19">
        <f t="shared" si="147"/>
        <v>283.47311071088825</v>
      </c>
      <c r="CO76" s="19">
        <f t="shared" si="147"/>
        <v>287.28806718023077</v>
      </c>
      <c r="CP76" s="19">
        <f t="shared" si="147"/>
        <v>298.60519695069928</v>
      </c>
      <c r="CQ76" s="96">
        <f>SUM(CM76:CP76)</f>
        <v>1155.3744747859016</v>
      </c>
      <c r="CR76" s="19">
        <f t="shared" ref="CR76:CU76" si="148">CR67+CR69+CR73</f>
        <v>282.83939594240576</v>
      </c>
      <c r="CS76" s="19">
        <f t="shared" si="148"/>
        <v>280.33918453221492</v>
      </c>
      <c r="CT76" s="19">
        <f t="shared" si="148"/>
        <v>284.11373919563761</v>
      </c>
      <c r="CU76" s="19">
        <f t="shared" si="148"/>
        <v>295.3004238592203</v>
      </c>
      <c r="CV76" s="96">
        <f>SUM(CR76:CU76)</f>
        <v>1142.5927435294786</v>
      </c>
      <c r="CW76" s="19">
        <f t="shared" ref="CW76:CZ76" si="149">CW67+CW69+CW73</f>
        <v>253.1991953214374</v>
      </c>
      <c r="CX76" s="19">
        <f t="shared" si="149"/>
        <v>250.96350727245988</v>
      </c>
      <c r="CY76" s="19">
        <f t="shared" si="149"/>
        <v>254.34405735194301</v>
      </c>
      <c r="CZ76" s="19">
        <f t="shared" si="149"/>
        <v>264.3571542040749</v>
      </c>
      <c r="DA76" s="96">
        <f>SUM(CW76:CZ76)</f>
        <v>1022.8639141499152</v>
      </c>
      <c r="DB76" s="19">
        <f t="shared" ref="DB76:DE76" si="150">DB67+DB69+DB73</f>
        <v>224.1505627061118</v>
      </c>
      <c r="DC76" s="19">
        <f t="shared" si="150"/>
        <v>222.17437160212518</v>
      </c>
      <c r="DD76" s="19">
        <f t="shared" si="150"/>
        <v>225.168936850807</v>
      </c>
      <c r="DE76" s="19">
        <f t="shared" si="150"/>
        <v>234.03174011276462</v>
      </c>
      <c r="DF76" s="96">
        <f>SUM(DB76:DE76)</f>
        <v>905.52561127180854</v>
      </c>
    </row>
    <row r="77" spans="1:111" s="19" customFormat="1" x14ac:dyDescent="0.2">
      <c r="A77" s="26"/>
      <c r="B77" s="477" t="s">
        <v>261</v>
      </c>
      <c r="C77" s="26"/>
      <c r="D77" s="26"/>
      <c r="E77" s="19">
        <v>346.01599999999996</v>
      </c>
      <c r="F77" s="19">
        <v>86.203999999999994</v>
      </c>
      <c r="G77" s="19">
        <v>86.384000000000015</v>
      </c>
      <c r="H77" s="19">
        <v>87.084999999999994</v>
      </c>
      <c r="I77" s="19">
        <v>97.69</v>
      </c>
      <c r="J77" s="19">
        <v>357.36299999999994</v>
      </c>
      <c r="K77" s="19">
        <v>98.894999999999996</v>
      </c>
      <c r="L77" s="19">
        <v>113.27</v>
      </c>
      <c r="M77" s="19">
        <v>110.771</v>
      </c>
      <c r="N77" s="19">
        <v>116.536</v>
      </c>
      <c r="O77" s="19">
        <v>439.47199999999998</v>
      </c>
      <c r="P77" s="19">
        <v>119.849</v>
      </c>
      <c r="Q77" s="19">
        <v>121.369</v>
      </c>
      <c r="R77" s="19">
        <v>115.79100000000001</v>
      </c>
      <c r="S77" s="19">
        <v>122.539</v>
      </c>
      <c r="T77" s="27">
        <v>479.54800000000006</v>
      </c>
      <c r="U77" s="19">
        <v>121.688</v>
      </c>
      <c r="V77" s="19">
        <v>125.06399999999999</v>
      </c>
      <c r="W77" s="19">
        <v>131.87899999999999</v>
      </c>
      <c r="X77" s="19">
        <v>139</v>
      </c>
      <c r="Y77" s="27">
        <v>517.63099999999997</v>
      </c>
      <c r="Z77" s="19">
        <v>141.80000000000001</v>
      </c>
      <c r="AA77" s="19">
        <v>140.9</v>
      </c>
      <c r="AB77" s="19">
        <v>137</v>
      </c>
      <c r="AC77" s="19">
        <v>143.80000000000001</v>
      </c>
      <c r="AD77" s="27">
        <v>563.5</v>
      </c>
      <c r="AE77" s="19">
        <v>134.9</v>
      </c>
      <c r="AF77" s="19">
        <v>129.6</v>
      </c>
      <c r="AG77" s="19">
        <v>125</v>
      </c>
      <c r="AH77" s="19">
        <v>130</v>
      </c>
      <c r="AI77" s="27">
        <v>519.5</v>
      </c>
      <c r="AJ77" s="19">
        <v>128</v>
      </c>
      <c r="AK77" s="19">
        <v>126</v>
      </c>
      <c r="AL77" s="19">
        <v>123.9</v>
      </c>
      <c r="AM77" s="19">
        <v>129</v>
      </c>
      <c r="AN77" s="27">
        <f>SUM(AJ77:AM77)</f>
        <v>506.9</v>
      </c>
      <c r="AO77" s="19">
        <f ca="1">AO67+AO73+AO69*3+AO74</f>
        <v>129.58257911375347</v>
      </c>
      <c r="AP77" s="19">
        <f ca="1">AP67+AP73+AP69*3+AP74</f>
        <v>128.07619042756909</v>
      </c>
      <c r="AQ77" s="19">
        <f ca="1">AQ67+AQ73+AQ69*3+AQ74</f>
        <v>123.45280327278702</v>
      </c>
      <c r="AR77" s="19">
        <f ca="1">AR67+AR73+AR69*3+AR74</f>
        <v>124.8409385698732</v>
      </c>
      <c r="AS77" s="27">
        <f ca="1">SUM(AO77:AR77)</f>
        <v>505.95251138398282</v>
      </c>
      <c r="AT77" s="19">
        <f t="shared" ref="AT77:AW77" si="151">AT67+AT71</f>
        <v>124.1</v>
      </c>
      <c r="AU77" s="19">
        <f t="shared" si="151"/>
        <v>125.6</v>
      </c>
      <c r="AV77" s="19">
        <f t="shared" si="151"/>
        <v>126.3</v>
      </c>
      <c r="AW77" s="19">
        <f t="shared" si="151"/>
        <v>154.6</v>
      </c>
      <c r="AX77" s="27">
        <f>SUM(AT77:AW77)</f>
        <v>530.6</v>
      </c>
      <c r="AY77" s="19">
        <f t="shared" ref="AY77:BB77" si="152">AY67+AY71</f>
        <v>186.6</v>
      </c>
      <c r="AZ77" s="19">
        <f t="shared" si="152"/>
        <v>189.1</v>
      </c>
      <c r="BA77" s="19">
        <f t="shared" si="152"/>
        <v>186.9</v>
      </c>
      <c r="BB77" s="19">
        <f t="shared" si="152"/>
        <v>191.3</v>
      </c>
      <c r="BC77" s="27">
        <f>SUM(AY77:BB77)</f>
        <v>753.90000000000009</v>
      </c>
      <c r="BD77" s="19">
        <f t="shared" ref="BD77:BG77" si="153">BD67+BD71</f>
        <v>208.00654159626174</v>
      </c>
      <c r="BE77" s="19">
        <f t="shared" si="153"/>
        <v>208.10786575991358</v>
      </c>
      <c r="BF77" s="19">
        <f t="shared" si="153"/>
        <v>207.45880953614159</v>
      </c>
      <c r="BG77" s="19">
        <f t="shared" si="153"/>
        <v>218.46752500000002</v>
      </c>
      <c r="BH77" s="27">
        <f>SUM(BD77:BG77)</f>
        <v>842.04074189231687</v>
      </c>
      <c r="BI77" s="19">
        <f t="shared" ref="BI77:BL77" si="154">BI67+BI71</f>
        <v>215.22099127487689</v>
      </c>
      <c r="BJ77" s="19">
        <f t="shared" si="154"/>
        <v>441.45825479352681</v>
      </c>
      <c r="BK77" s="19">
        <f t="shared" si="154"/>
        <v>437.38660540634777</v>
      </c>
      <c r="BL77" s="19">
        <f t="shared" si="154"/>
        <v>455.86700000000008</v>
      </c>
      <c r="BM77" s="27">
        <f>SUM(BI77:BL77)</f>
        <v>1549.9328514747517</v>
      </c>
      <c r="BN77" s="19">
        <f t="shared" ref="BN77:BQ77" si="155">BN67+BN71</f>
        <v>431.82621523500194</v>
      </c>
      <c r="BO77" s="19">
        <f t="shared" si="155"/>
        <v>409.78111829055058</v>
      </c>
      <c r="BP77" s="19">
        <f t="shared" si="155"/>
        <v>397.60956159035584</v>
      </c>
      <c r="BQ77" s="19">
        <f t="shared" si="155"/>
        <v>399.80455000000001</v>
      </c>
      <c r="BR77" s="27">
        <f>SUM(BN77:BQ77)</f>
        <v>1639.0214451159084</v>
      </c>
      <c r="BS77" s="19">
        <f t="shared" ref="BS77:BV77" si="156">BS67+BS71</f>
        <v>353.5888940984554</v>
      </c>
      <c r="BT77" s="19">
        <f t="shared" si="156"/>
        <v>358.99173057045221</v>
      </c>
      <c r="BU77" s="19">
        <f t="shared" si="156"/>
        <v>364.03882731223734</v>
      </c>
      <c r="BV77" s="19">
        <f t="shared" si="156"/>
        <v>373.163578511906</v>
      </c>
      <c r="BW77" s="27">
        <f>SUM(BS77:BV77)</f>
        <v>1449.783030493051</v>
      </c>
      <c r="BX77" s="19">
        <f t="shared" ref="BX77:CA77" si="157">BX67+BX71</f>
        <v>340.6</v>
      </c>
      <c r="BY77" s="19">
        <f t="shared" si="157"/>
        <v>356.8</v>
      </c>
      <c r="BZ77" s="19">
        <f t="shared" si="157"/>
        <v>365.2</v>
      </c>
      <c r="CA77" s="19">
        <f t="shared" si="157"/>
        <v>379</v>
      </c>
      <c r="CB77" s="27">
        <f>SUM(BX77:BY77)+SUM(BZ77:CA77)</f>
        <v>1441.6000000000001</v>
      </c>
      <c r="CC77" s="19">
        <f>CC67+CC71</f>
        <v>356.3</v>
      </c>
      <c r="CD77" s="19">
        <f>CD67+CD71</f>
        <v>349.29999999999995</v>
      </c>
      <c r="CE77" s="19">
        <f>CE67+CE71</f>
        <v>347.09999999999997</v>
      </c>
      <c r="CF77" s="19">
        <f>CF67+CF71</f>
        <v>354.9</v>
      </c>
      <c r="CG77" s="27">
        <f>SUM(CC77:CF77)</f>
        <v>1407.6</v>
      </c>
      <c r="CH77" s="19">
        <f>CH67+CH71</f>
        <v>351.70000000000005</v>
      </c>
      <c r="CI77" s="19">
        <f>CI67+CI71</f>
        <v>349.8</v>
      </c>
      <c r="CJ77" s="19">
        <f>CJ67+CJ71</f>
        <v>343.6</v>
      </c>
      <c r="CK77" s="19">
        <f>CK67+CK71</f>
        <v>355.8</v>
      </c>
      <c r="CL77" s="27">
        <f>SUM(CH77:CK77)</f>
        <v>1400.8999999999999</v>
      </c>
      <c r="CM77" s="19">
        <f t="shared" ref="CM77:CP77" si="158">CM67+CM71+CM73</f>
        <v>337.57249999999999</v>
      </c>
      <c r="CN77" s="19">
        <f t="shared" si="158"/>
        <v>335.53204999999997</v>
      </c>
      <c r="CO77" s="19">
        <f t="shared" si="158"/>
        <v>340.00740000000002</v>
      </c>
      <c r="CP77" s="19">
        <f t="shared" si="158"/>
        <v>352.4307</v>
      </c>
      <c r="CQ77" s="27">
        <f>SUM(CM77:CP77)</f>
        <v>1365.5426499999999</v>
      </c>
      <c r="CR77" s="19">
        <f t="shared" ref="CR77:CU77" si="159">CR67+CR71+CR73</f>
        <v>334.08972549999999</v>
      </c>
      <c r="CS77" s="19">
        <f t="shared" si="159"/>
        <v>332.07963775000002</v>
      </c>
      <c r="CT77" s="19">
        <f t="shared" si="159"/>
        <v>336.50902799999994</v>
      </c>
      <c r="CU77" s="19">
        <f t="shared" si="159"/>
        <v>348.79536750000005</v>
      </c>
      <c r="CV77" s="27">
        <f>SUM(CR77:CU77)</f>
        <v>1351.4737587500001</v>
      </c>
      <c r="CW77" s="19">
        <f t="shared" ref="CW77:CZ77" si="160">CW67+CW71+CW73</f>
        <v>299.01030432250002</v>
      </c>
      <c r="CX77" s="19">
        <f t="shared" si="160"/>
        <v>297.21127578624998</v>
      </c>
      <c r="CY77" s="19">
        <f t="shared" si="160"/>
        <v>301.17558005999996</v>
      </c>
      <c r="CZ77" s="19">
        <f t="shared" si="160"/>
        <v>312.17185391250007</v>
      </c>
      <c r="DA77" s="27">
        <f>SUM(CW77:CZ77)</f>
        <v>1209.5690140812499</v>
      </c>
      <c r="DB77" s="19">
        <f t="shared" ref="DB77:DE77" si="161">DB67+DB71+DB73</f>
        <v>264.62411932541255</v>
      </c>
      <c r="DC77" s="19">
        <f t="shared" si="161"/>
        <v>263.0319790708312</v>
      </c>
      <c r="DD77" s="19">
        <f t="shared" si="161"/>
        <v>266.5403883530999</v>
      </c>
      <c r="DE77" s="19">
        <f t="shared" si="161"/>
        <v>276.27209071256254</v>
      </c>
      <c r="DF77" s="27">
        <f>SUM(DB77:DE77)</f>
        <v>1070.4685774619061</v>
      </c>
      <c r="DG77" s="219"/>
    </row>
    <row r="78" spans="1:111" s="19" customFormat="1" ht="12" thickBot="1" x14ac:dyDescent="0.25">
      <c r="B78" s="523" t="s">
        <v>165</v>
      </c>
      <c r="C78" s="107"/>
      <c r="D78" s="107"/>
      <c r="E78" s="107"/>
      <c r="F78" s="205">
        <v>86.203999999999994</v>
      </c>
      <c r="G78" s="205">
        <v>86.384</v>
      </c>
      <c r="H78" s="205">
        <v>87.084999999999994</v>
      </c>
      <c r="I78" s="205">
        <v>97.69</v>
      </c>
      <c r="J78" s="107">
        <v>357.363</v>
      </c>
      <c r="K78" s="205">
        <v>98.894999999999996</v>
      </c>
      <c r="L78" s="205">
        <v>113.27</v>
      </c>
      <c r="M78" s="205">
        <v>110.771</v>
      </c>
      <c r="N78" s="205">
        <v>116.536</v>
      </c>
      <c r="O78" s="107">
        <v>439.47199999999998</v>
      </c>
      <c r="P78" s="205">
        <v>119.849</v>
      </c>
      <c r="Q78" s="205">
        <v>121.369</v>
      </c>
      <c r="R78" s="205">
        <v>115.791</v>
      </c>
      <c r="S78" s="205">
        <v>122.539</v>
      </c>
      <c r="T78" s="480">
        <v>479.548</v>
      </c>
      <c r="U78" s="205">
        <v>122.108</v>
      </c>
      <c r="V78" s="205">
        <v>125.81399999999999</v>
      </c>
      <c r="W78" s="205">
        <v>132.62899999999999</v>
      </c>
      <c r="X78" s="205">
        <v>138.95099999999999</v>
      </c>
      <c r="Y78" s="106">
        <f>SUM(U78:X78)</f>
        <v>519.50199999999995</v>
      </c>
      <c r="Z78" s="205">
        <v>141.6</v>
      </c>
      <c r="AA78" s="205">
        <v>140.9</v>
      </c>
      <c r="AB78" s="205">
        <v>137</v>
      </c>
      <c r="AC78" s="205">
        <v>143.9</v>
      </c>
      <c r="AD78" s="106">
        <v>563.4</v>
      </c>
      <c r="AE78" s="205">
        <v>134.9</v>
      </c>
      <c r="AF78" s="205">
        <v>129.5</v>
      </c>
      <c r="AG78" s="205">
        <v>125.1</v>
      </c>
      <c r="AH78" s="205">
        <v>130</v>
      </c>
      <c r="AI78" s="106">
        <v>519.5</v>
      </c>
      <c r="AJ78" s="205">
        <v>128</v>
      </c>
      <c r="AK78" s="205">
        <v>126</v>
      </c>
      <c r="AL78" s="205">
        <v>123.9</v>
      </c>
      <c r="AM78" s="205">
        <v>129</v>
      </c>
      <c r="AN78" s="106">
        <f>SUM(AJ78:AM78)</f>
        <v>506.9</v>
      </c>
      <c r="AO78" s="205">
        <v>129.6</v>
      </c>
      <c r="AP78" s="205">
        <v>128</v>
      </c>
      <c r="AQ78" s="205">
        <v>123.5</v>
      </c>
      <c r="AR78" s="205">
        <v>125.2</v>
      </c>
      <c r="AS78" s="106">
        <f>SUM(AO78:AR78)</f>
        <v>506.3</v>
      </c>
      <c r="AT78" s="205">
        <v>124.1</v>
      </c>
      <c r="AU78" s="205">
        <v>125.6</v>
      </c>
      <c r="AV78" s="205">
        <v>126.3</v>
      </c>
      <c r="AW78" s="205">
        <v>154.6</v>
      </c>
      <c r="AX78" s="106">
        <f>SUM(AT78:AW78)</f>
        <v>530.6</v>
      </c>
      <c r="AY78" s="205">
        <v>186.6</v>
      </c>
      <c r="AZ78" s="205">
        <v>189.1</v>
      </c>
      <c r="BA78" s="205">
        <v>186.9</v>
      </c>
      <c r="BB78" s="205">
        <v>191.3</v>
      </c>
      <c r="BC78" s="106">
        <f>SUM(AY78:BB78)</f>
        <v>753.90000000000009</v>
      </c>
      <c r="BD78" s="205">
        <v>186.1</v>
      </c>
      <c r="BE78" s="205">
        <v>185.7</v>
      </c>
      <c r="BF78" s="205">
        <v>184.8</v>
      </c>
      <c r="BG78" s="205">
        <v>194.9</v>
      </c>
      <c r="BH78" s="106">
        <f>SUM(BD78:BG78)</f>
        <v>751.49999999999989</v>
      </c>
      <c r="BI78" s="205">
        <v>192.8</v>
      </c>
      <c r="BJ78" s="205">
        <f>404.3-6</f>
        <v>398.3</v>
      </c>
      <c r="BK78" s="205">
        <f>398.9-5.1</f>
        <v>393.79999999999995</v>
      </c>
      <c r="BL78" s="205">
        <v>410.8</v>
      </c>
      <c r="BM78" s="106">
        <f>SUM(BI78:BL78)</f>
        <v>1395.7</v>
      </c>
      <c r="BN78" s="205">
        <v>390</v>
      </c>
      <c r="BO78" s="205">
        <v>369.4</v>
      </c>
      <c r="BP78" s="205">
        <v>358.1</v>
      </c>
      <c r="BQ78" s="205">
        <v>360.7</v>
      </c>
      <c r="BR78" s="106">
        <f>SUM(BN78:BQ78)</f>
        <v>1478.2</v>
      </c>
      <c r="BS78" s="205">
        <v>320</v>
      </c>
      <c r="BT78" s="205">
        <v>324.3</v>
      </c>
      <c r="BU78" s="205">
        <v>328.3</v>
      </c>
      <c r="BV78" s="205">
        <v>337</v>
      </c>
      <c r="BW78" s="106">
        <f>SUM(BS78:BV78)</f>
        <v>1309.5999999999999</v>
      </c>
      <c r="BX78" s="205">
        <v>340.6</v>
      </c>
      <c r="BY78" s="205">
        <v>356.8</v>
      </c>
      <c r="BZ78" s="205">
        <v>365.2</v>
      </c>
      <c r="CA78" s="1904">
        <v>379</v>
      </c>
      <c r="CB78" s="1908">
        <v>1441.6</v>
      </c>
      <c r="CC78" s="205">
        <v>356.3</v>
      </c>
      <c r="CD78" s="205">
        <v>349.3</v>
      </c>
      <c r="CE78" s="205">
        <v>347.1</v>
      </c>
      <c r="CF78" s="1904">
        <v>354.9</v>
      </c>
      <c r="CG78" s="1908">
        <v>1407.6</v>
      </c>
      <c r="CH78" s="1904">
        <v>351.7</v>
      </c>
      <c r="CI78" s="1904">
        <v>349.8</v>
      </c>
      <c r="CJ78" s="1904">
        <v>343.6</v>
      </c>
      <c r="CK78" s="1904">
        <v>355.8</v>
      </c>
      <c r="CL78" s="106"/>
      <c r="CM78" s="107"/>
      <c r="CN78" s="107"/>
      <c r="CO78" s="107"/>
      <c r="CP78" s="107"/>
      <c r="CQ78" s="106"/>
      <c r="CR78" s="107"/>
      <c r="CS78" s="107"/>
      <c r="CT78" s="107"/>
      <c r="CU78" s="107"/>
      <c r="CV78" s="106"/>
      <c r="CW78" s="107"/>
      <c r="CX78" s="107"/>
      <c r="CY78" s="107"/>
      <c r="CZ78" s="107"/>
      <c r="DA78" s="106"/>
      <c r="DB78" s="107"/>
      <c r="DC78" s="107"/>
      <c r="DD78" s="107"/>
      <c r="DE78" s="107"/>
      <c r="DF78" s="106"/>
    </row>
    <row r="79" spans="1:111" s="19" customFormat="1" ht="12" thickBot="1" x14ac:dyDescent="0.25">
      <c r="B79" s="1905"/>
      <c r="C79" s="107"/>
      <c r="D79" s="107"/>
      <c r="E79" s="107"/>
      <c r="F79" s="205"/>
      <c r="G79" s="205"/>
      <c r="H79" s="205"/>
      <c r="I79" s="205"/>
      <c r="J79" s="107"/>
      <c r="K79" s="205"/>
      <c r="L79" s="205"/>
      <c r="M79" s="205"/>
      <c r="N79" s="205"/>
      <c r="O79" s="107"/>
      <c r="P79" s="205"/>
      <c r="Q79" s="205"/>
      <c r="R79" s="205"/>
      <c r="S79" s="205"/>
      <c r="T79" s="205"/>
      <c r="U79" s="205"/>
      <c r="V79" s="205"/>
      <c r="W79" s="205"/>
      <c r="X79" s="205"/>
      <c r="Y79" s="107"/>
      <c r="Z79" s="205"/>
      <c r="AA79" s="205"/>
      <c r="AB79" s="205"/>
      <c r="AC79" s="205"/>
      <c r="AD79" s="107"/>
      <c r="AE79" s="205"/>
      <c r="AF79" s="205"/>
      <c r="AG79" s="205"/>
      <c r="AH79" s="205"/>
      <c r="AI79" s="107"/>
      <c r="AJ79" s="205"/>
      <c r="AK79" s="205"/>
      <c r="AL79" s="205"/>
      <c r="AM79" s="205"/>
      <c r="AN79" s="107"/>
      <c r="AO79" s="205"/>
      <c r="AP79" s="205"/>
      <c r="AQ79" s="205"/>
      <c r="AR79" s="205"/>
      <c r="AS79" s="107"/>
      <c r="AT79" s="205"/>
      <c r="AU79" s="205"/>
      <c r="AV79" s="205"/>
      <c r="AW79" s="205"/>
      <c r="AX79" s="107"/>
      <c r="AY79" s="205"/>
      <c r="AZ79" s="205"/>
      <c r="BA79" s="205"/>
      <c r="BB79" s="205"/>
      <c r="BC79" s="107"/>
      <c r="BD79" s="205"/>
      <c r="BE79" s="205"/>
      <c r="BF79" s="205"/>
      <c r="BG79" s="205"/>
      <c r="BH79" s="107"/>
      <c r="BI79" s="205"/>
      <c r="BJ79" s="205"/>
      <c r="BK79" s="205"/>
      <c r="BL79" s="205"/>
      <c r="BM79" s="107"/>
      <c r="BN79" s="205"/>
      <c r="BO79" s="205"/>
      <c r="BP79" s="205"/>
      <c r="BQ79" s="205"/>
      <c r="BR79" s="107"/>
      <c r="BS79" s="205"/>
      <c r="BT79" s="205"/>
      <c r="BU79" s="205"/>
      <c r="BV79" s="205"/>
      <c r="BW79" s="107"/>
      <c r="BX79" s="769"/>
      <c r="BY79" s="769"/>
      <c r="BZ79" s="769"/>
      <c r="CA79" s="1913"/>
      <c r="CB79" s="1909"/>
      <c r="CC79" s="769"/>
      <c r="CD79" s="769"/>
      <c r="CE79" s="769"/>
      <c r="CF79" s="1913"/>
      <c r="CG79" s="1904"/>
      <c r="CH79" s="1913"/>
      <c r="CI79" s="1913"/>
      <c r="CJ79" s="1913"/>
      <c r="CK79" s="1913"/>
      <c r="CL79" s="1842"/>
      <c r="CM79" s="1984">
        <f>CM77/CH77-1</f>
        <v>-4.0169178276940776E-2</v>
      </c>
      <c r="CN79" s="107"/>
      <c r="CO79" s="107"/>
      <c r="CP79" s="107"/>
      <c r="CQ79" s="1968"/>
      <c r="CR79" s="107"/>
      <c r="CS79" s="107"/>
      <c r="CT79" s="107"/>
      <c r="CU79" s="107"/>
      <c r="CV79" s="1968"/>
      <c r="CW79" s="107"/>
      <c r="CX79" s="107"/>
      <c r="CY79" s="107"/>
      <c r="CZ79" s="107"/>
      <c r="DA79" s="1960"/>
      <c r="DB79" s="107"/>
      <c r="DC79" s="107"/>
      <c r="DD79" s="107"/>
      <c r="DE79" s="107"/>
      <c r="DF79" s="1960"/>
    </row>
    <row r="80" spans="1:111" s="19" customFormat="1" ht="12" outlineLevel="1" thickBot="1" x14ac:dyDescent="0.25">
      <c r="B80" s="862" t="s">
        <v>722</v>
      </c>
      <c r="C80" s="819"/>
      <c r="D80" s="856"/>
      <c r="E80" s="868"/>
      <c r="F80" s="868"/>
      <c r="G80" s="868"/>
      <c r="H80" s="868"/>
      <c r="I80" s="868"/>
      <c r="J80" s="868"/>
      <c r="K80" s="868"/>
      <c r="L80" s="868"/>
      <c r="M80" s="868"/>
      <c r="N80" s="868"/>
      <c r="O80" s="868"/>
      <c r="P80" s="868"/>
      <c r="Q80" s="868"/>
      <c r="R80" s="868"/>
      <c r="S80" s="868"/>
      <c r="T80" s="868"/>
      <c r="U80" s="868"/>
      <c r="V80" s="868"/>
      <c r="W80" s="868"/>
      <c r="X80" s="868"/>
      <c r="Y80" s="868"/>
      <c r="Z80" s="868"/>
      <c r="AA80" s="868"/>
      <c r="AB80" s="868"/>
      <c r="AC80" s="868"/>
      <c r="AD80" s="868"/>
      <c r="AE80" s="869"/>
      <c r="AF80" s="868"/>
      <c r="AG80" s="868"/>
      <c r="AH80" s="870"/>
      <c r="AI80" s="868"/>
      <c r="AJ80" s="868"/>
      <c r="AK80" s="868"/>
      <c r="AL80" s="868"/>
      <c r="AM80" s="868"/>
      <c r="AN80" s="868"/>
      <c r="AO80" s="868"/>
      <c r="AP80" s="868"/>
      <c r="AQ80" s="868"/>
      <c r="AR80" s="868"/>
      <c r="AS80" s="868"/>
      <c r="AT80" s="868"/>
      <c r="AU80" s="868"/>
      <c r="AV80" s="868"/>
      <c r="AW80" s="868"/>
      <c r="AX80" s="868"/>
      <c r="AY80" s="868"/>
      <c r="AZ80" s="868"/>
      <c r="BA80" s="868"/>
      <c r="BB80" s="868"/>
      <c r="BC80" s="868"/>
      <c r="BD80" s="868"/>
      <c r="BE80" s="868"/>
      <c r="BF80" s="868"/>
      <c r="BG80" s="868"/>
      <c r="BH80" s="868"/>
      <c r="BI80" s="868"/>
      <c r="BJ80" s="868"/>
      <c r="BK80" s="868"/>
      <c r="BL80" s="868"/>
      <c r="BM80" s="1524"/>
      <c r="BN80" s="1525"/>
      <c r="BO80" s="1525"/>
      <c r="BP80" s="1526"/>
      <c r="BQ80" s="1526"/>
      <c r="BR80" s="1526"/>
      <c r="BS80" s="1527"/>
      <c r="BT80" s="1527"/>
      <c r="BU80" s="1527"/>
      <c r="BV80" s="1527"/>
      <c r="BW80" s="1527"/>
      <c r="BX80" s="868"/>
      <c r="BY80" s="868"/>
      <c r="BZ80" s="868"/>
      <c r="CA80" s="868"/>
      <c r="CB80" s="871"/>
      <c r="CC80" s="868"/>
      <c r="CD80" s="868"/>
      <c r="CE80" s="868"/>
      <c r="CF80" s="868"/>
      <c r="CG80" s="871"/>
      <c r="CH80" s="868"/>
      <c r="CI80" s="868"/>
      <c r="CJ80" s="868"/>
      <c r="CK80" s="868"/>
      <c r="CL80" s="871"/>
      <c r="CM80" s="868"/>
      <c r="CN80" s="868"/>
      <c r="CO80" s="868"/>
      <c r="CP80" s="868"/>
      <c r="CQ80" s="871"/>
      <c r="CR80" s="868"/>
      <c r="CS80" s="868"/>
      <c r="CT80" s="868"/>
      <c r="CU80" s="868"/>
      <c r="CV80" s="871"/>
      <c r="CW80" s="868"/>
      <c r="CX80" s="868"/>
      <c r="CY80" s="868"/>
      <c r="CZ80" s="868"/>
      <c r="DA80" s="871"/>
      <c r="DB80" s="868"/>
      <c r="DC80" s="868"/>
      <c r="DD80" s="868"/>
      <c r="DE80" s="868"/>
      <c r="DF80" s="871"/>
    </row>
    <row r="81" spans="1:110" s="19" customFormat="1" ht="10.5" customHeight="1" outlineLevel="1" x14ac:dyDescent="0.2">
      <c r="A81" s="26"/>
      <c r="B81" s="477" t="s">
        <v>281</v>
      </c>
      <c r="C81" s="26"/>
      <c r="D81" s="26"/>
      <c r="E81" s="145">
        <v>299.584</v>
      </c>
      <c r="F81" s="145">
        <v>72.344999999999999</v>
      </c>
      <c r="G81" s="145">
        <v>71.311000000000007</v>
      </c>
      <c r="H81" s="145">
        <v>70.373000000000005</v>
      </c>
      <c r="I81" s="145">
        <v>79.966999999999999</v>
      </c>
      <c r="J81" s="145">
        <v>293.99599999999998</v>
      </c>
      <c r="K81" s="145">
        <v>80.111999999999995</v>
      </c>
      <c r="L81" s="145">
        <v>91.61</v>
      </c>
      <c r="M81" s="145">
        <v>88.869</v>
      </c>
      <c r="N81" s="145">
        <v>94.289000000000001</v>
      </c>
      <c r="O81" s="19">
        <v>354.88</v>
      </c>
      <c r="P81" s="145">
        <v>96.667000000000002</v>
      </c>
      <c r="Q81" s="145">
        <v>96.025000000000006</v>
      </c>
      <c r="R81" s="145">
        <v>90.427000000000007</v>
      </c>
      <c r="S81" s="145">
        <v>95.808000000000007</v>
      </c>
      <c r="T81" s="27">
        <v>378.92700000000002</v>
      </c>
      <c r="U81" s="145">
        <v>93.516999999999996</v>
      </c>
      <c r="V81" s="145">
        <v>95.728999999999999</v>
      </c>
      <c r="W81" s="145">
        <v>101.78400000000001</v>
      </c>
      <c r="X81" s="145">
        <v>108</v>
      </c>
      <c r="Y81" s="27">
        <v>399.03</v>
      </c>
      <c r="Z81" s="145">
        <v>111.5</v>
      </c>
      <c r="AA81" s="145">
        <v>109.5</v>
      </c>
      <c r="AB81" s="145">
        <v>105.6</v>
      </c>
      <c r="AC81" s="145">
        <v>111.1</v>
      </c>
      <c r="AD81" s="27">
        <v>437.7</v>
      </c>
      <c r="AE81" s="478">
        <v>102.4</v>
      </c>
      <c r="AF81" s="478">
        <v>96.9</v>
      </c>
      <c r="AG81" s="478">
        <v>93.1</v>
      </c>
      <c r="AH81" s="478">
        <v>97.8</v>
      </c>
      <c r="AI81" s="27">
        <v>390.2</v>
      </c>
      <c r="AJ81" s="478">
        <v>96.8</v>
      </c>
      <c r="AK81" s="478">
        <v>94.2</v>
      </c>
      <c r="AL81" s="478">
        <v>92.1</v>
      </c>
      <c r="AM81" s="478">
        <v>96.9</v>
      </c>
      <c r="AN81" s="27">
        <f>SUM(AJ81:AM81)</f>
        <v>380</v>
      </c>
      <c r="AO81" s="478">
        <v>98.2</v>
      </c>
      <c r="AP81" s="478">
        <f>96.1</f>
        <v>96.1</v>
      </c>
      <c r="AQ81" s="478">
        <v>91.5</v>
      </c>
      <c r="AR81" s="478">
        <v>93.8</v>
      </c>
      <c r="AS81" s="27">
        <f>SUM(AO81:AR81)</f>
        <v>379.6</v>
      </c>
      <c r="AT81" s="478">
        <f>94.2</f>
        <v>94.2</v>
      </c>
      <c r="AU81" s="478">
        <f>94.7</f>
        <v>94.7</v>
      </c>
      <c r="AV81" s="478">
        <v>95.2</v>
      </c>
      <c r="AW81" s="478">
        <v>120.2</v>
      </c>
      <c r="AX81" s="27">
        <f>SUM(AT81:AW81)</f>
        <v>404.3</v>
      </c>
      <c r="AY81" s="478">
        <v>149</v>
      </c>
      <c r="AZ81" s="478">
        <v>151</v>
      </c>
      <c r="BA81" s="478">
        <v>148.9</v>
      </c>
      <c r="BB81" s="478">
        <v>153.1</v>
      </c>
      <c r="BC81" s="27">
        <f>SUM(AY81:BB81)</f>
        <v>602</v>
      </c>
      <c r="BD81" s="478">
        <v>148.80000000000001</v>
      </c>
      <c r="BE81" s="145">
        <v>148</v>
      </c>
      <c r="BF81" s="478">
        <v>147.19999999999999</v>
      </c>
      <c r="BG81" s="478">
        <v>156.4</v>
      </c>
      <c r="BH81" s="27">
        <f>SUM(BD81:BG81)</f>
        <v>600.4</v>
      </c>
      <c r="BI81" s="478">
        <v>153</v>
      </c>
      <c r="BJ81" s="478">
        <v>285.60000000000002</v>
      </c>
      <c r="BK81" s="478">
        <v>282.89999999999998</v>
      </c>
      <c r="BL81" s="478">
        <v>299.2</v>
      </c>
      <c r="BM81" s="27">
        <f>SUM(BI81:BL81)</f>
        <v>1020.7</v>
      </c>
      <c r="BN81" s="478">
        <v>282.8</v>
      </c>
      <c r="BO81" s="478">
        <v>266.2</v>
      </c>
      <c r="BP81" s="478">
        <v>256.89999999999998</v>
      </c>
      <c r="BQ81" s="478">
        <v>259.39999999999998</v>
      </c>
      <c r="BR81" s="27">
        <f>SUM(BN81:BQ81)</f>
        <v>1065.3</v>
      </c>
      <c r="BS81" s="478">
        <v>230.7</v>
      </c>
      <c r="BT81" s="478">
        <v>231</v>
      </c>
      <c r="BU81" s="478">
        <v>231.3</v>
      </c>
      <c r="BV81" s="478">
        <v>240.6</v>
      </c>
      <c r="BW81" s="27">
        <f>SUM(BS81:BV81)</f>
        <v>933.6</v>
      </c>
      <c r="BX81" s="478">
        <v>219.1</v>
      </c>
      <c r="BY81" s="478">
        <v>232.9</v>
      </c>
      <c r="BZ81" s="478">
        <v>240.8</v>
      </c>
      <c r="CA81" s="26">
        <f>+CA67/1.151</f>
        <v>249.78279756733275</v>
      </c>
      <c r="CB81" s="27">
        <f>SUM(BX81:CA81)</f>
        <v>942.5827975673327</v>
      </c>
      <c r="CC81" s="478">
        <v>234.7</v>
      </c>
      <c r="CD81" s="478">
        <v>229.4</v>
      </c>
      <c r="CE81" s="478">
        <v>224.5</v>
      </c>
      <c r="CF81" s="26">
        <f>+CF67/1.15</f>
        <v>231.47826086956522</v>
      </c>
      <c r="CG81" s="27">
        <f>SUM(CC81:CF81)</f>
        <v>920.07826086956527</v>
      </c>
      <c r="CH81" s="26"/>
      <c r="CI81" s="26"/>
      <c r="CJ81" s="26"/>
      <c r="CK81" s="26"/>
      <c r="CL81" s="27"/>
      <c r="CM81" s="26"/>
      <c r="CN81" s="26"/>
      <c r="CO81" s="26"/>
      <c r="CP81" s="26"/>
      <c r="CQ81" s="27"/>
      <c r="CR81" s="26"/>
      <c r="CS81" s="26"/>
      <c r="CT81" s="26"/>
      <c r="CU81" s="26"/>
      <c r="CV81" s="27"/>
      <c r="CW81" s="26"/>
      <c r="CX81" s="26"/>
      <c r="CY81" s="26"/>
      <c r="CZ81" s="26"/>
      <c r="DA81" s="27"/>
      <c r="DB81" s="26"/>
      <c r="DC81" s="26"/>
      <c r="DD81" s="26"/>
      <c r="DE81" s="26"/>
      <c r="DF81" s="27"/>
    </row>
    <row r="82" spans="1:110" s="40" customFormat="1" ht="6" customHeight="1" outlineLevel="1" x14ac:dyDescent="0.2">
      <c r="A82" s="175"/>
      <c r="B82" s="477"/>
      <c r="C82" s="26"/>
      <c r="D82" s="26"/>
      <c r="E82" s="145"/>
      <c r="F82" s="145"/>
      <c r="G82" s="145"/>
      <c r="H82" s="145"/>
      <c r="I82" s="145"/>
      <c r="J82" s="145"/>
      <c r="K82" s="145"/>
      <c r="L82" s="145"/>
      <c r="M82" s="145"/>
      <c r="N82" s="145"/>
      <c r="O82" s="19"/>
      <c r="P82" s="145"/>
      <c r="Q82" s="145"/>
      <c r="R82" s="145"/>
      <c r="S82" s="145"/>
      <c r="T82" s="27"/>
      <c r="U82" s="145"/>
      <c r="V82" s="145"/>
      <c r="W82" s="145"/>
      <c r="X82" s="145"/>
      <c r="Y82" s="27"/>
      <c r="Z82" s="145"/>
      <c r="AA82" s="145"/>
      <c r="AB82" s="145"/>
      <c r="AC82" s="145"/>
      <c r="AD82" s="27"/>
      <c r="AE82" s="478"/>
      <c r="AF82" s="478"/>
      <c r="AG82" s="478"/>
      <c r="AH82" s="478"/>
      <c r="AI82" s="27"/>
      <c r="AJ82" s="478"/>
      <c r="AK82" s="478"/>
      <c r="AL82" s="478"/>
      <c r="AM82" s="478"/>
      <c r="AN82" s="27"/>
      <c r="AO82" s="478"/>
      <c r="AP82" s="478"/>
      <c r="AQ82" s="478"/>
      <c r="AR82" s="478"/>
      <c r="AS82" s="27"/>
      <c r="AT82" s="478"/>
      <c r="AU82" s="478"/>
      <c r="AV82" s="26"/>
      <c r="AW82" s="26"/>
      <c r="AX82" s="27"/>
      <c r="AY82" s="26"/>
      <c r="AZ82" s="26"/>
      <c r="BA82" s="26"/>
      <c r="BB82" s="26"/>
      <c r="BC82" s="27"/>
      <c r="BD82" s="26"/>
      <c r="BE82" s="26"/>
      <c r="BF82" s="26"/>
      <c r="BG82" s="26"/>
      <c r="BH82" s="27"/>
      <c r="BI82" s="26"/>
      <c r="BJ82" s="26"/>
      <c r="BK82" s="478"/>
      <c r="BL82" s="478"/>
      <c r="BM82" s="27"/>
      <c r="BN82" s="26"/>
      <c r="BO82" s="26"/>
      <c r="BP82" s="26"/>
      <c r="BQ82" s="26"/>
      <c r="BR82" s="27"/>
      <c r="BS82" s="26"/>
      <c r="BT82" s="26"/>
      <c r="BU82" s="26"/>
      <c r="BV82" s="26"/>
      <c r="BW82" s="27"/>
      <c r="BX82" s="26"/>
      <c r="BY82" s="26"/>
      <c r="BZ82" s="26"/>
      <c r="CA82" s="26"/>
      <c r="CB82" s="27"/>
      <c r="CC82" s="26"/>
      <c r="CD82" s="26"/>
      <c r="CE82" s="26"/>
      <c r="CF82" s="26"/>
      <c r="CG82" s="27"/>
      <c r="CH82" s="26"/>
      <c r="CI82" s="26"/>
      <c r="CJ82" s="26"/>
      <c r="CK82" s="26"/>
      <c r="CL82" s="27"/>
      <c r="CM82" s="26"/>
      <c r="CN82" s="26"/>
      <c r="CO82" s="26"/>
      <c r="CP82" s="26"/>
      <c r="CQ82" s="27"/>
      <c r="CR82" s="26"/>
      <c r="CS82" s="26"/>
      <c r="CT82" s="26"/>
      <c r="CU82" s="26"/>
      <c r="CV82" s="27"/>
      <c r="CW82" s="26"/>
      <c r="CX82" s="26"/>
      <c r="CY82" s="26"/>
      <c r="CZ82" s="26"/>
      <c r="DA82" s="27"/>
      <c r="DB82" s="26"/>
      <c r="DC82" s="26"/>
      <c r="DD82" s="26"/>
      <c r="DE82" s="26"/>
      <c r="DF82" s="27"/>
    </row>
    <row r="83" spans="1:110" s="19" customFormat="1" ht="10.5" customHeight="1" outlineLevel="1" x14ac:dyDescent="0.2">
      <c r="A83" s="26"/>
      <c r="B83" s="477" t="s">
        <v>266</v>
      </c>
      <c r="C83" s="26"/>
      <c r="D83" s="26"/>
      <c r="E83" s="1354">
        <v>0</v>
      </c>
      <c r="F83" s="478">
        <v>4.4960000000000004</v>
      </c>
      <c r="G83" s="478">
        <v>4.8789999999999996</v>
      </c>
      <c r="H83" s="478">
        <v>5.4039999999999999</v>
      </c>
      <c r="I83" s="478">
        <v>5.7140000000000004</v>
      </c>
      <c r="J83" s="1354">
        <v>20.493000000000002</v>
      </c>
      <c r="K83" s="478">
        <v>6.0389999999999997</v>
      </c>
      <c r="L83" s="478">
        <v>6.9669999999999996</v>
      </c>
      <c r="M83" s="478">
        <v>7.0359999999999996</v>
      </c>
      <c r="N83" s="478">
        <v>7.1280000000000001</v>
      </c>
      <c r="O83" s="27">
        <f>SUM(K83:N83)</f>
        <v>27.17</v>
      </c>
      <c r="P83" s="478">
        <v>7.431</v>
      </c>
      <c r="Q83" s="478">
        <v>8.1259999999999994</v>
      </c>
      <c r="R83" s="478">
        <v>8.1560000000000006</v>
      </c>
      <c r="S83" s="478">
        <v>8.6240000000000006</v>
      </c>
      <c r="T83" s="27">
        <f>SUM(P83:S83)</f>
        <v>32.337000000000003</v>
      </c>
      <c r="U83" s="478">
        <v>9.1259999999999994</v>
      </c>
      <c r="V83" s="478">
        <v>9.5020000000000007</v>
      </c>
      <c r="W83" s="478">
        <v>9.7219999999999995</v>
      </c>
      <c r="X83" s="478">
        <v>10</v>
      </c>
      <c r="Y83" s="27">
        <f>SUM(U83:X83)</f>
        <v>38.35</v>
      </c>
      <c r="Z83" s="478">
        <v>9.6999999999999993</v>
      </c>
      <c r="AA83" s="478">
        <v>10.1</v>
      </c>
      <c r="AB83" s="478">
        <v>10</v>
      </c>
      <c r="AC83" s="478">
        <v>10.3</v>
      </c>
      <c r="AD83" s="27">
        <f>SUM(Z83:AC83)</f>
        <v>40.099999999999994</v>
      </c>
      <c r="AE83" s="478">
        <v>10.3</v>
      </c>
      <c r="AF83" s="478">
        <v>10.4</v>
      </c>
      <c r="AG83" s="478">
        <v>10.199999999999999</v>
      </c>
      <c r="AH83" s="478">
        <v>10.3</v>
      </c>
      <c r="AI83" s="27">
        <f>SUM(AE83:AH83)</f>
        <v>41.2</v>
      </c>
      <c r="AJ83" s="478">
        <v>10</v>
      </c>
      <c r="AK83" s="478">
        <v>10.199999999999999</v>
      </c>
      <c r="AL83" s="478">
        <v>10.199999999999999</v>
      </c>
      <c r="AM83" s="478">
        <v>10.3</v>
      </c>
      <c r="AN83" s="27">
        <f>SUM(AJ83:AM83)</f>
        <v>40.700000000000003</v>
      </c>
      <c r="AO83" s="478">
        <v>10.091289556876735</v>
      </c>
      <c r="AP83" s="478">
        <v>10.288095213784548</v>
      </c>
      <c r="AQ83" s="478">
        <v>10.276401636393516</v>
      </c>
      <c r="AR83" s="478">
        <v>9.9704692849366019</v>
      </c>
      <c r="AS83" s="27">
        <f>SUM(AO83:AR83)</f>
        <v>40.626255691991403</v>
      </c>
      <c r="AT83" s="478">
        <v>9.5767801660499394</v>
      </c>
      <c r="AU83" s="478">
        <v>9.875619022335929</v>
      </c>
      <c r="AV83" s="478">
        <v>9.9611925133040113</v>
      </c>
      <c r="AW83" s="478">
        <v>10.985981341328623</v>
      </c>
      <c r="AX83" s="27">
        <f>SUM(AT83:AW83)</f>
        <v>40.399573043018506</v>
      </c>
      <c r="AY83" s="478">
        <v>12.1</v>
      </c>
      <c r="AZ83" s="478">
        <v>12.183619022335929</v>
      </c>
      <c r="BA83" s="478">
        <v>12.269192513304009</v>
      </c>
      <c r="BB83" s="478">
        <v>12.256261341328621</v>
      </c>
      <c r="BC83" s="27">
        <f>SUM(AY83:BB83)</f>
        <v>48.809072876968557</v>
      </c>
      <c r="BD83" s="26">
        <v>12.072029762430091</v>
      </c>
      <c r="BE83" s="26">
        <v>12.245631250551597</v>
      </c>
      <c r="BF83" s="26">
        <v>12.137344064102253</v>
      </c>
      <c r="BG83" s="26">
        <v>12.418199635221626</v>
      </c>
      <c r="BH83" s="27">
        <f>SUM(BD83:BG83)</f>
        <v>48.873204712305565</v>
      </c>
      <c r="BI83" s="478">
        <f>14-BI87-BI88</f>
        <v>13.442494856480749</v>
      </c>
      <c r="BJ83" s="478">
        <f>40.7-BJ87-BJ88-2</f>
        <v>38.400000000000006</v>
      </c>
      <c r="BK83" s="478">
        <f>39.8-BK87-BK88-1.7</f>
        <v>37.799999999999997</v>
      </c>
      <c r="BL83" s="478">
        <f>38.3-BL87-BL88-1.2</f>
        <v>36.899999999999991</v>
      </c>
      <c r="BM83" s="27">
        <f>SUM(BI83:BL83)</f>
        <v>126.54249485648074</v>
      </c>
      <c r="BN83" s="478">
        <f>36.8-BN87-BN88</f>
        <v>36.799999999999997</v>
      </c>
      <c r="BO83" s="478">
        <f>35.4-BO87-BO88</f>
        <v>35.199999999999996</v>
      </c>
      <c r="BP83" s="478">
        <f>34.6-BP87-BP88</f>
        <v>34.6</v>
      </c>
      <c r="BQ83" s="478">
        <f>34.6-BQ87-BQ88</f>
        <v>34.6</v>
      </c>
      <c r="BR83" s="27">
        <f>SUM(BN83:BQ83)</f>
        <v>141.19999999999999</v>
      </c>
      <c r="BS83" s="478">
        <f>30.5-BS87-BS88</f>
        <v>30.5</v>
      </c>
      <c r="BT83" s="478">
        <f>31.8-BT87-BT88</f>
        <v>31.8</v>
      </c>
      <c r="BU83" s="478">
        <f>33.1-BU87-BU88</f>
        <v>33.1</v>
      </c>
      <c r="BV83" s="478">
        <f>32.9-BV87-BV88</f>
        <v>32.9</v>
      </c>
      <c r="BW83" s="27">
        <f>SUM(BS83:BV83)</f>
        <v>128.30000000000001</v>
      </c>
      <c r="BX83" s="478">
        <v>30.2</v>
      </c>
      <c r="BY83" s="478">
        <v>30</v>
      </c>
      <c r="BZ83" s="478">
        <v>29.9</v>
      </c>
      <c r="CA83" s="478">
        <v>31.2</v>
      </c>
      <c r="CB83" s="27">
        <f>SUM(BX83:CA83)</f>
        <v>121.3</v>
      </c>
      <c r="CC83" s="478">
        <v>30.3</v>
      </c>
      <c r="CD83" s="478">
        <v>29.3</v>
      </c>
      <c r="CE83" s="478">
        <v>29.9</v>
      </c>
      <c r="CF83" s="478">
        <v>30.4</v>
      </c>
      <c r="CG83" s="27">
        <f>SUM(CC83:CF83)</f>
        <v>119.9</v>
      </c>
      <c r="CH83" s="478"/>
      <c r="CI83" s="478"/>
      <c r="CJ83" s="478"/>
      <c r="CK83" s="478"/>
      <c r="CL83" s="27"/>
      <c r="CM83" s="26"/>
      <c r="CN83" s="26"/>
      <c r="CO83" s="26"/>
      <c r="CP83" s="26"/>
      <c r="CQ83" s="27"/>
      <c r="CR83" s="26"/>
      <c r="CS83" s="26"/>
      <c r="CT83" s="26"/>
      <c r="CU83" s="26"/>
      <c r="CV83" s="27"/>
      <c r="CW83" s="26"/>
      <c r="CX83" s="26"/>
      <c r="CY83" s="26"/>
      <c r="CZ83" s="26"/>
      <c r="DA83" s="27"/>
      <c r="DB83" s="26"/>
      <c r="DC83" s="26"/>
      <c r="DD83" s="26"/>
      <c r="DE83" s="26"/>
      <c r="DF83" s="27"/>
    </row>
    <row r="84" spans="1:110" s="19" customFormat="1" ht="6" customHeight="1" outlineLevel="1" x14ac:dyDescent="0.2">
      <c r="A84" s="26"/>
      <c r="B84" s="13"/>
      <c r="E84" s="145"/>
      <c r="F84" s="145"/>
      <c r="G84" s="145"/>
      <c r="H84" s="145"/>
      <c r="I84" s="145"/>
      <c r="J84" s="145"/>
      <c r="K84" s="145"/>
      <c r="L84" s="145"/>
      <c r="M84" s="145"/>
      <c r="N84" s="145"/>
      <c r="P84" s="145"/>
      <c r="Q84" s="145"/>
      <c r="R84" s="145"/>
      <c r="S84" s="145"/>
      <c r="T84" s="27"/>
      <c r="U84" s="145"/>
      <c r="V84" s="145"/>
      <c r="W84" s="145"/>
      <c r="X84" s="145"/>
      <c r="Y84" s="27"/>
      <c r="Z84" s="145"/>
      <c r="AA84" s="145"/>
      <c r="AB84" s="145"/>
      <c r="AC84" s="145"/>
      <c r="AD84" s="27"/>
      <c r="AE84" s="478"/>
      <c r="AF84" s="478"/>
      <c r="AG84" s="478"/>
      <c r="AH84" s="478"/>
      <c r="AI84" s="27"/>
      <c r="AJ84" s="478"/>
      <c r="AK84" s="478"/>
      <c r="AL84" s="478"/>
      <c r="AM84" s="478"/>
      <c r="AN84" s="27"/>
      <c r="AO84" s="478"/>
      <c r="AP84" s="478"/>
      <c r="AQ84" s="478"/>
      <c r="AR84" s="478"/>
      <c r="AS84" s="27"/>
      <c r="AT84" s="478"/>
      <c r="AU84" s="478"/>
      <c r="AV84" s="26"/>
      <c r="AW84" s="26"/>
      <c r="AX84" s="27"/>
      <c r="AY84" s="26"/>
      <c r="AZ84" s="26"/>
      <c r="BA84" s="26"/>
      <c r="BB84" s="26"/>
      <c r="BC84" s="27"/>
      <c r="BD84" s="26"/>
      <c r="BE84" s="26"/>
      <c r="BF84" s="26"/>
      <c r="BG84" s="26"/>
      <c r="BH84" s="27"/>
      <c r="BI84" s="26"/>
      <c r="BJ84" s="26"/>
      <c r="BK84" s="26"/>
      <c r="BL84" s="26"/>
      <c r="BM84" s="27"/>
      <c r="BN84" s="26"/>
      <c r="BO84" s="26"/>
      <c r="BP84" s="26"/>
      <c r="BQ84" s="26"/>
      <c r="BR84" s="27"/>
      <c r="BS84" s="26"/>
      <c r="BT84" s="26"/>
      <c r="BU84" s="26"/>
      <c r="BV84" s="26"/>
      <c r="BW84" s="27"/>
      <c r="BX84" s="26"/>
      <c r="BY84" s="26"/>
      <c r="BZ84" s="26"/>
      <c r="CA84" s="26"/>
      <c r="CB84" s="27"/>
      <c r="CC84" s="26"/>
      <c r="CD84" s="26"/>
      <c r="CE84" s="26"/>
      <c r="CF84" s="26"/>
      <c r="CG84" s="27"/>
      <c r="CH84" s="26"/>
      <c r="CI84" s="26"/>
      <c r="CJ84" s="26"/>
      <c r="CK84" s="26"/>
      <c r="CL84" s="27"/>
      <c r="CM84" s="26"/>
      <c r="CN84" s="26"/>
      <c r="CO84" s="26"/>
      <c r="CP84" s="26"/>
      <c r="CQ84" s="27"/>
      <c r="CR84" s="26"/>
      <c r="CS84" s="26"/>
      <c r="CT84" s="26"/>
      <c r="CU84" s="26"/>
      <c r="CV84" s="27"/>
      <c r="CW84" s="26"/>
      <c r="CX84" s="26"/>
      <c r="CY84" s="26"/>
      <c r="CZ84" s="26"/>
      <c r="DA84" s="27"/>
      <c r="DB84" s="26"/>
      <c r="DC84" s="26"/>
      <c r="DD84" s="26"/>
      <c r="DE84" s="26"/>
      <c r="DF84" s="27"/>
    </row>
    <row r="85" spans="1:110" s="183" customFormat="1" outlineLevel="1" x14ac:dyDescent="0.2">
      <c r="A85" s="87"/>
      <c r="B85" s="477" t="s">
        <v>259</v>
      </c>
      <c r="C85" s="26"/>
      <c r="D85" s="26"/>
      <c r="E85" s="19">
        <v>45.548999999999999</v>
      </c>
      <c r="F85" s="19">
        <v>13.488000000000001</v>
      </c>
      <c r="G85" s="19">
        <v>14.636999999999999</v>
      </c>
      <c r="H85" s="19">
        <v>16.212</v>
      </c>
      <c r="I85" s="19">
        <v>17.142000000000003</v>
      </c>
      <c r="J85" s="19">
        <v>61.479000000000006</v>
      </c>
      <c r="K85" s="19">
        <v>18.116999999999997</v>
      </c>
      <c r="L85" s="19">
        <v>20.901</v>
      </c>
      <c r="M85" s="19">
        <v>21.107999999999997</v>
      </c>
      <c r="N85" s="19">
        <v>21.384</v>
      </c>
      <c r="O85" s="26">
        <v>81.510000000000005</v>
      </c>
      <c r="P85" s="19">
        <v>22.292999999999999</v>
      </c>
      <c r="Q85" s="19">
        <v>24.378</v>
      </c>
      <c r="R85" s="19">
        <v>24.468000000000004</v>
      </c>
      <c r="S85" s="19">
        <v>25.872</v>
      </c>
      <c r="T85" s="27">
        <v>97.01100000000001</v>
      </c>
      <c r="U85" s="19">
        <v>27.378</v>
      </c>
      <c r="V85" s="19">
        <v>28.506</v>
      </c>
      <c r="W85" s="19">
        <v>29.165999999999997</v>
      </c>
      <c r="X85" s="19">
        <v>30</v>
      </c>
      <c r="Y85" s="27">
        <v>115.05</v>
      </c>
      <c r="Z85" s="19">
        <v>29.1</v>
      </c>
      <c r="AA85" s="19">
        <v>30.3</v>
      </c>
      <c r="AB85" s="19">
        <v>30</v>
      </c>
      <c r="AC85" s="19">
        <v>30.9</v>
      </c>
      <c r="AD85" s="27">
        <v>120.3</v>
      </c>
      <c r="AE85" s="26">
        <v>30.9</v>
      </c>
      <c r="AF85" s="26">
        <v>31.2</v>
      </c>
      <c r="AG85" s="26">
        <v>30.6</v>
      </c>
      <c r="AH85" s="26">
        <v>30.9</v>
      </c>
      <c r="AI85" s="96">
        <v>123.6</v>
      </c>
      <c r="AJ85" s="26">
        <v>30</v>
      </c>
      <c r="AK85" s="26">
        <v>30.6</v>
      </c>
      <c r="AL85" s="26">
        <v>30.6</v>
      </c>
      <c r="AM85" s="26">
        <v>30.9</v>
      </c>
      <c r="AN85" s="27">
        <f>SUM(AJ85:AM85)</f>
        <v>122.1</v>
      </c>
      <c r="AO85" s="26">
        <f>AO83*3</f>
        <v>30.273868670630204</v>
      </c>
      <c r="AP85" s="26">
        <f>AP83*3</f>
        <v>30.864285641353643</v>
      </c>
      <c r="AQ85" s="26">
        <f>AQ83*3</f>
        <v>30.829204909180547</v>
      </c>
      <c r="AR85" s="26">
        <f>AR83*3</f>
        <v>29.911407854809806</v>
      </c>
      <c r="AS85" s="96">
        <f>SUM(AO85:AR85)</f>
        <v>121.87876707597421</v>
      </c>
      <c r="AT85" s="26">
        <f t="shared" ref="AT85:AV85" si="162">+(AT92-AT81)</f>
        <v>29.899999999999991</v>
      </c>
      <c r="AU85" s="26">
        <f t="shared" si="162"/>
        <v>30.899999999999991</v>
      </c>
      <c r="AV85" s="26">
        <f t="shared" si="162"/>
        <v>31.099999999999994</v>
      </c>
      <c r="AW85" s="26">
        <f>+(AW92-AW81)</f>
        <v>34.399999999999991</v>
      </c>
      <c r="AX85" s="96">
        <f>SUM(AT85:AW85)</f>
        <v>126.29999999999997</v>
      </c>
      <c r="AY85" s="26">
        <f t="shared" ref="AY85:BA85" si="163">+(AY92-AY81)</f>
        <v>37.599999999999994</v>
      </c>
      <c r="AZ85" s="26">
        <f t="shared" si="163"/>
        <v>38.099999999999994</v>
      </c>
      <c r="BA85" s="26">
        <f t="shared" si="163"/>
        <v>38</v>
      </c>
      <c r="BB85" s="26">
        <f>+(BB92-BB81)</f>
        <v>38.200000000000017</v>
      </c>
      <c r="BC85" s="96">
        <f>SUM(AY85:BB85)</f>
        <v>151.9</v>
      </c>
      <c r="BD85" s="26">
        <f t="shared" ref="BD85:BF85" si="164">+(BD92-BD81)</f>
        <v>37.299999999999983</v>
      </c>
      <c r="BE85" s="26">
        <f t="shared" si="164"/>
        <v>37.699999999999989</v>
      </c>
      <c r="BF85" s="26">
        <f t="shared" si="164"/>
        <v>37.600000000000023</v>
      </c>
      <c r="BG85" s="26">
        <f>+(BG92-BG81)</f>
        <v>38.5</v>
      </c>
      <c r="BH85" s="96">
        <f>SUM(BD85:BG85)</f>
        <v>151.1</v>
      </c>
      <c r="BI85" s="26">
        <f t="shared" ref="BI85:BK85" si="165">+(BI92-BI81)</f>
        <v>39.800000000000011</v>
      </c>
      <c r="BJ85" s="26">
        <f t="shared" si="165"/>
        <v>112.69999999999999</v>
      </c>
      <c r="BK85" s="26">
        <f t="shared" si="165"/>
        <v>110.89999999999998</v>
      </c>
      <c r="BL85" s="26">
        <f>+(BL92-BL81)</f>
        <v>111.60000000000002</v>
      </c>
      <c r="BM85" s="96">
        <f>SUM(BI85:BL85)</f>
        <v>375</v>
      </c>
      <c r="BN85" s="26">
        <f t="shared" ref="BN85:BP85" si="166">+(BN92-BN81)</f>
        <v>107.19999999999999</v>
      </c>
      <c r="BO85" s="26">
        <f t="shared" si="166"/>
        <v>103.19999999999999</v>
      </c>
      <c r="BP85" s="26">
        <f t="shared" si="166"/>
        <v>101.20000000000005</v>
      </c>
      <c r="BQ85" s="26">
        <f>+(BQ92-BQ81)</f>
        <v>101.30000000000001</v>
      </c>
      <c r="BR85" s="96">
        <f>SUM(BN85:BQ85)</f>
        <v>412.90000000000003</v>
      </c>
      <c r="BS85" s="26">
        <f>BS83*3</f>
        <v>91.5</v>
      </c>
      <c r="BT85" s="26">
        <f>BT83*3</f>
        <v>95.4</v>
      </c>
      <c r="BU85" s="26">
        <f>BU83*3</f>
        <v>99.300000000000011</v>
      </c>
      <c r="BV85" s="26">
        <f>BV83*3</f>
        <v>98.699999999999989</v>
      </c>
      <c r="BW85" s="96">
        <f>SUM(BS85:BV85)</f>
        <v>384.90000000000003</v>
      </c>
      <c r="BX85" s="26">
        <f>BX83*3</f>
        <v>90.6</v>
      </c>
      <c r="BY85" s="26">
        <f>BY83*3</f>
        <v>90</v>
      </c>
      <c r="BZ85" s="26">
        <f>BZ83*3</f>
        <v>89.699999999999989</v>
      </c>
      <c r="CA85" s="478">
        <v>91.5</v>
      </c>
      <c r="CB85" s="96">
        <f>SUM(BX85:CA85)</f>
        <v>361.79999999999995</v>
      </c>
      <c r="CC85" s="478">
        <v>88.8</v>
      </c>
      <c r="CD85" s="478">
        <v>85.7</v>
      </c>
      <c r="CE85" s="478">
        <v>87.6</v>
      </c>
      <c r="CF85" s="478">
        <v>88.7</v>
      </c>
      <c r="CG85" s="96">
        <f>SUM(CC85:CF85)</f>
        <v>350.8</v>
      </c>
      <c r="CH85" s="478"/>
      <c r="CI85" s="478"/>
      <c r="CJ85" s="478"/>
      <c r="CK85" s="478"/>
      <c r="CL85" s="96"/>
      <c r="CM85" s="26"/>
      <c r="CN85" s="26"/>
      <c r="CO85" s="26"/>
      <c r="CP85" s="26"/>
      <c r="CQ85" s="96"/>
      <c r="CR85" s="26"/>
      <c r="CS85" s="26"/>
      <c r="CT85" s="26"/>
      <c r="CU85" s="26"/>
      <c r="CV85" s="96"/>
      <c r="CW85" s="26"/>
      <c r="CX85" s="26"/>
      <c r="CY85" s="26"/>
      <c r="CZ85" s="26"/>
      <c r="DA85" s="96"/>
      <c r="DB85" s="26"/>
      <c r="DC85" s="26"/>
      <c r="DD85" s="26"/>
      <c r="DE85" s="26"/>
      <c r="DF85" s="96"/>
    </row>
    <row r="86" spans="1:110" s="19" customFormat="1" ht="6" customHeight="1" outlineLevel="1" x14ac:dyDescent="0.2">
      <c r="A86" s="26"/>
      <c r="B86" s="13"/>
      <c r="T86" s="27"/>
      <c r="Y86" s="27"/>
      <c r="AD86" s="27"/>
      <c r="AE86" s="26"/>
      <c r="AF86" s="26"/>
      <c r="AG86" s="26"/>
      <c r="AH86" s="26"/>
      <c r="AI86" s="96"/>
      <c r="AJ86" s="26"/>
      <c r="AK86" s="26"/>
      <c r="AL86" s="26"/>
      <c r="AM86" s="26"/>
      <c r="AN86" s="96"/>
      <c r="AO86" s="26"/>
      <c r="AP86" s="26"/>
      <c r="AQ86" s="26"/>
      <c r="AR86" s="26"/>
      <c r="AS86" s="96"/>
      <c r="AT86" s="26"/>
      <c r="AU86" s="26"/>
      <c r="AV86" s="26"/>
      <c r="AW86" s="26"/>
      <c r="AX86" s="96"/>
      <c r="AY86" s="26"/>
      <c r="AZ86" s="26"/>
      <c r="BA86" s="26"/>
      <c r="BB86" s="26"/>
      <c r="BC86" s="96"/>
      <c r="BD86" s="26"/>
      <c r="BE86" s="26"/>
      <c r="BF86" s="26"/>
      <c r="BG86" s="26"/>
      <c r="BH86" s="96"/>
      <c r="BI86" s="26"/>
      <c r="BJ86" s="26"/>
      <c r="BK86" s="26"/>
      <c r="BL86" s="26"/>
      <c r="BM86" s="96"/>
      <c r="BN86" s="26"/>
      <c r="BO86" s="26"/>
      <c r="BP86" s="26"/>
      <c r="BQ86" s="26"/>
      <c r="BR86" s="96"/>
      <c r="BS86" s="26"/>
      <c r="BT86" s="26"/>
      <c r="BU86" s="26"/>
      <c r="BV86" s="26"/>
      <c r="BW86" s="96"/>
      <c r="BX86" s="26"/>
      <c r="BY86" s="26"/>
      <c r="BZ86" s="26"/>
      <c r="CA86" s="26"/>
      <c r="CB86" s="96"/>
      <c r="CC86" s="26"/>
      <c r="CD86" s="26"/>
      <c r="CE86" s="26"/>
      <c r="CF86" s="26"/>
      <c r="CG86" s="96"/>
      <c r="CH86" s="26"/>
      <c r="CI86" s="26"/>
      <c r="CJ86" s="26"/>
      <c r="CK86" s="26"/>
      <c r="CL86" s="96"/>
      <c r="CM86" s="26"/>
      <c r="CN86" s="26"/>
      <c r="CO86" s="26"/>
      <c r="CP86" s="26"/>
      <c r="CQ86" s="96"/>
      <c r="CR86" s="26"/>
      <c r="CS86" s="26"/>
      <c r="CT86" s="26"/>
      <c r="CU86" s="26"/>
      <c r="CV86" s="96"/>
      <c r="CW86" s="26"/>
      <c r="CX86" s="26"/>
      <c r="CY86" s="26"/>
      <c r="CZ86" s="26"/>
      <c r="DA86" s="96"/>
      <c r="DB86" s="26"/>
      <c r="DC86" s="26"/>
      <c r="DD86" s="26"/>
      <c r="DE86" s="26"/>
      <c r="DF86" s="96"/>
    </row>
    <row r="87" spans="1:110" s="19" customFormat="1" ht="10.5" customHeight="1" outlineLevel="1" x14ac:dyDescent="0.2">
      <c r="A87" s="26"/>
      <c r="B87" s="477" t="s">
        <v>5</v>
      </c>
      <c r="C87" s="26"/>
      <c r="D87" s="26"/>
      <c r="E87" s="145"/>
      <c r="F87" s="145"/>
      <c r="G87" s="145"/>
      <c r="H87" s="145"/>
      <c r="I87" s="145"/>
      <c r="J87" s="145"/>
      <c r="K87" s="145"/>
      <c r="L87" s="145"/>
      <c r="M87" s="145"/>
      <c r="N87" s="145"/>
      <c r="P87" s="145"/>
      <c r="Q87" s="145"/>
      <c r="R87" s="145"/>
      <c r="S87" s="145"/>
      <c r="T87" s="27"/>
      <c r="U87" s="145"/>
      <c r="V87" s="145"/>
      <c r="W87" s="145"/>
      <c r="X87" s="145"/>
      <c r="Y87" s="27"/>
      <c r="Z87" s="145"/>
      <c r="AA87" s="145"/>
      <c r="AB87" s="145"/>
      <c r="AC87" s="145"/>
      <c r="AD87" s="27"/>
      <c r="AE87" s="478"/>
      <c r="AF87" s="478"/>
      <c r="AG87" s="478"/>
      <c r="AH87" s="478"/>
      <c r="AI87" s="27"/>
      <c r="AJ87" s="478"/>
      <c r="AK87" s="478"/>
      <c r="AL87" s="478"/>
      <c r="AM87" s="478"/>
      <c r="AN87" s="27"/>
      <c r="AO87" s="26">
        <f ca="1">+AO73</f>
        <v>0.30871044312326656</v>
      </c>
      <c r="AP87" s="26">
        <f ca="1">+AP73</f>
        <v>0.31190478621545137</v>
      </c>
      <c r="AQ87" s="26">
        <f ca="1">+AQ73</f>
        <v>0.32359836360648409</v>
      </c>
      <c r="AR87" s="26">
        <f ca="1">+AR73</f>
        <v>0.32953071506339832</v>
      </c>
      <c r="AS87" s="27">
        <f ca="1">SUM(AO87:AR87)</f>
        <v>1.2737443080086004</v>
      </c>
      <c r="AT87" s="478">
        <v>0.3232198339500601</v>
      </c>
      <c r="AU87" s="478">
        <v>0.32438097766406943</v>
      </c>
      <c r="AV87" s="478">
        <v>0.33880748669598881</v>
      </c>
      <c r="AW87" s="478">
        <v>0.41401865867137799</v>
      </c>
      <c r="AX87" s="27">
        <f>SUM(AT87:AW87)</f>
        <v>1.4004269569814962</v>
      </c>
      <c r="AY87" s="478">
        <f>1.3-AY88</f>
        <v>0.5</v>
      </c>
      <c r="AZ87" s="478">
        <f>1.31638097766407-AZ88</f>
        <v>0.51638097766406998</v>
      </c>
      <c r="BA87" s="478">
        <v>0.53080748669598887</v>
      </c>
      <c r="BB87" s="478">
        <v>0.54373865867137794</v>
      </c>
      <c r="BC87" s="27">
        <f>SUM(AY87:BB87)</f>
        <v>2.0909271230314368</v>
      </c>
      <c r="BD87" s="478">
        <f>BB87*(1-2.9%)</f>
        <v>0.52797023756990802</v>
      </c>
      <c r="BE87" s="478">
        <f>BD87*(1.05)</f>
        <v>0.55436874944840342</v>
      </c>
      <c r="BF87" s="478">
        <v>0.56265593589774821</v>
      </c>
      <c r="BG87" s="478">
        <v>0.58180036477837438</v>
      </c>
      <c r="BH87" s="27">
        <f>SUM(BD87:BG87)</f>
        <v>2.2267952876944341</v>
      </c>
      <c r="BI87" s="26">
        <v>0.55750514351925018</v>
      </c>
      <c r="BJ87" s="1233">
        <f>Specialty!AX43</f>
        <v>0</v>
      </c>
      <c r="BK87" s="1233">
        <f>Specialty!AY43</f>
        <v>0</v>
      </c>
      <c r="BL87" s="1233">
        <f>Specialty!AZ43</f>
        <v>0</v>
      </c>
      <c r="BM87" s="27">
        <f>SUM(BI87:BL87)</f>
        <v>0.55750514351925018</v>
      </c>
      <c r="BN87" s="1233">
        <f>Specialty!BB43</f>
        <v>0</v>
      </c>
      <c r="BO87" s="1233">
        <f>Specialty!BC43</f>
        <v>0</v>
      </c>
      <c r="BP87" s="1233">
        <f>Specialty!BD43</f>
        <v>0</v>
      </c>
      <c r="BQ87" s="1233">
        <f>Specialty!BE43</f>
        <v>0</v>
      </c>
      <c r="BR87" s="27">
        <f>SUM(BN87:BQ87)</f>
        <v>0</v>
      </c>
      <c r="BS87" s="1233">
        <f>Specialty!BG43</f>
        <v>0</v>
      </c>
      <c r="BT87" s="1233">
        <f>Specialty!BH43</f>
        <v>0</v>
      </c>
      <c r="BU87" s="1233">
        <f>Specialty!BI43</f>
        <v>0</v>
      </c>
      <c r="BV87" s="1233">
        <f>Specialty!BJ43</f>
        <v>0</v>
      </c>
      <c r="BW87" s="27">
        <f>SUM(BS87:BV87)</f>
        <v>0</v>
      </c>
      <c r="BX87" s="1233">
        <f>Specialty!BL43</f>
        <v>0</v>
      </c>
      <c r="BY87" s="1233">
        <f>Specialty!BM43</f>
        <v>0</v>
      </c>
      <c r="BZ87" s="1233">
        <f>Specialty!BN43</f>
        <v>0</v>
      </c>
      <c r="CA87" s="1233">
        <f>Specialty!BO43</f>
        <v>0</v>
      </c>
      <c r="CB87" s="27">
        <f>SUM(BX87:CA87)</f>
        <v>0</v>
      </c>
      <c r="CC87" s="1233">
        <f>Specialty!BQ43</f>
        <v>0</v>
      </c>
      <c r="CD87" s="1233">
        <f>Specialty!BR43</f>
        <v>0</v>
      </c>
      <c r="CE87" s="1233">
        <f>Specialty!BS43</f>
        <v>0</v>
      </c>
      <c r="CF87" s="1233">
        <f>Specialty!BT43</f>
        <v>0</v>
      </c>
      <c r="CG87" s="27">
        <f>SUM(CC87:CF87)</f>
        <v>0</v>
      </c>
      <c r="CH87" s="1233"/>
      <c r="CI87" s="1233"/>
      <c r="CJ87" s="1233"/>
      <c r="CK87" s="1233"/>
      <c r="CL87" s="27"/>
      <c r="CM87" s="1233"/>
      <c r="CN87" s="1233"/>
      <c r="CO87" s="1233"/>
      <c r="CP87" s="1233"/>
      <c r="CQ87" s="27"/>
      <c r="CR87" s="1233"/>
      <c r="CS87" s="1233"/>
      <c r="CT87" s="1233"/>
      <c r="CU87" s="1233"/>
      <c r="CV87" s="27"/>
      <c r="CW87" s="1233"/>
      <c r="CX87" s="1233"/>
      <c r="CY87" s="1233"/>
      <c r="CZ87" s="1233"/>
      <c r="DA87" s="27"/>
      <c r="DB87" s="1233"/>
      <c r="DC87" s="1233"/>
      <c r="DD87" s="1233"/>
      <c r="DE87" s="1233"/>
      <c r="DF87" s="27"/>
    </row>
    <row r="88" spans="1:110" s="19" customFormat="1" outlineLevel="1" x14ac:dyDescent="0.2">
      <c r="A88" s="26"/>
      <c r="B88" s="13" t="s">
        <v>6</v>
      </c>
      <c r="E88" s="145"/>
      <c r="F88" s="145"/>
      <c r="G88" s="145"/>
      <c r="K88" s="145"/>
      <c r="L88" s="145"/>
      <c r="M88" s="145"/>
      <c r="N88" s="145"/>
      <c r="P88" s="145"/>
      <c r="Q88" s="145"/>
      <c r="R88" s="145"/>
      <c r="S88" s="145"/>
      <c r="T88" s="27"/>
      <c r="U88" s="145"/>
      <c r="V88" s="145"/>
      <c r="W88" s="145"/>
      <c r="X88" s="145"/>
      <c r="Y88" s="27"/>
      <c r="Z88" s="145"/>
      <c r="AA88" s="145"/>
      <c r="AB88" s="145"/>
      <c r="AC88" s="145"/>
      <c r="AD88" s="27"/>
      <c r="AE88" s="145"/>
      <c r="AF88" s="478"/>
      <c r="AG88" s="478"/>
      <c r="AH88" s="478"/>
      <c r="AI88" s="27"/>
      <c r="AJ88" s="478"/>
      <c r="AK88" s="478"/>
      <c r="AL88" s="478"/>
      <c r="AM88" s="478"/>
      <c r="AN88" s="27"/>
      <c r="AO88" s="145">
        <v>0.8</v>
      </c>
      <c r="AP88" s="145">
        <v>0.8</v>
      </c>
      <c r="AQ88" s="145">
        <v>0.8</v>
      </c>
      <c r="AR88" s="145">
        <v>0.8</v>
      </c>
      <c r="AS88" s="27">
        <f>SUM(AO88:AR88)</f>
        <v>3.2</v>
      </c>
      <c r="AT88" s="145">
        <v>0.8</v>
      </c>
      <c r="AU88" s="145">
        <v>0.7</v>
      </c>
      <c r="AV88" s="145">
        <v>0.9</v>
      </c>
      <c r="AW88" s="145">
        <v>0.8</v>
      </c>
      <c r="AX88" s="27">
        <f>SUM(AT88:AW88)</f>
        <v>3.2</v>
      </c>
      <c r="AY88" s="19">
        <f>$AX$74/4</f>
        <v>0.8</v>
      </c>
      <c r="AZ88" s="19">
        <f>$AX$74/4</f>
        <v>0.8</v>
      </c>
      <c r="BA88" s="19">
        <f>$AX$74/4</f>
        <v>0.8</v>
      </c>
      <c r="BB88" s="19">
        <f>$AX$74/4</f>
        <v>0.8</v>
      </c>
      <c r="BC88" s="27">
        <f>SUM(AY88:BB88)</f>
        <v>3.2</v>
      </c>
      <c r="BD88" s="19">
        <v>0.6</v>
      </c>
      <c r="BE88" s="19">
        <v>0.6</v>
      </c>
      <c r="BF88" s="19">
        <v>0.6</v>
      </c>
      <c r="BG88" s="19">
        <v>0.6</v>
      </c>
      <c r="BH88" s="27">
        <f>SUM(BD88:BG88)</f>
        <v>2.4</v>
      </c>
      <c r="BI88" s="145">
        <v>0</v>
      </c>
      <c r="BJ88" s="145">
        <v>0.3</v>
      </c>
      <c r="BK88" s="145">
        <v>0.3</v>
      </c>
      <c r="BL88" s="145">
        <v>0.2</v>
      </c>
      <c r="BM88" s="27">
        <f>SUM(BI88:BL88)</f>
        <v>0.8</v>
      </c>
      <c r="BN88" s="145">
        <v>0</v>
      </c>
      <c r="BO88" s="145">
        <v>0.2</v>
      </c>
      <c r="BR88" s="27"/>
      <c r="BW88" s="27"/>
      <c r="CB88" s="27"/>
      <c r="CG88" s="27"/>
      <c r="CL88" s="27"/>
      <c r="CQ88" s="27"/>
      <c r="CV88" s="27"/>
      <c r="DA88" s="27"/>
      <c r="DF88" s="27"/>
    </row>
    <row r="89" spans="1:110" s="19" customFormat="1" ht="10.5" customHeight="1" outlineLevel="1" x14ac:dyDescent="0.2">
      <c r="A89" s="26"/>
      <c r="B89" s="479" t="s">
        <v>164</v>
      </c>
      <c r="T89" s="27"/>
      <c r="Y89" s="27"/>
      <c r="AD89" s="27"/>
      <c r="AI89" s="27"/>
      <c r="AN89" s="27"/>
      <c r="AS89" s="27"/>
      <c r="AX89" s="27"/>
      <c r="BC89" s="27"/>
      <c r="BH89" s="27"/>
      <c r="BM89" s="27"/>
      <c r="BR89" s="27"/>
      <c r="BW89" s="27"/>
      <c r="CB89" s="27"/>
      <c r="CG89" s="27"/>
      <c r="CL89" s="27"/>
      <c r="CQ89" s="27"/>
      <c r="CV89" s="27"/>
      <c r="DA89" s="27"/>
      <c r="DF89" s="27"/>
    </row>
    <row r="90" spans="1:110" s="19" customFormat="1" outlineLevel="1" x14ac:dyDescent="0.2">
      <c r="A90" s="26"/>
      <c r="B90" s="13" t="s">
        <v>258</v>
      </c>
      <c r="E90" s="19">
        <v>314.767</v>
      </c>
      <c r="F90" s="19">
        <v>76.840999999999994</v>
      </c>
      <c r="G90" s="19">
        <v>76.19</v>
      </c>
      <c r="H90" s="19">
        <v>75.777000000000001</v>
      </c>
      <c r="I90" s="19">
        <v>85.680999999999997</v>
      </c>
      <c r="J90" s="19">
        <v>314.48899999999998</v>
      </c>
      <c r="K90" s="19">
        <v>86.150999999999996</v>
      </c>
      <c r="L90" s="19">
        <v>98.576999999999998</v>
      </c>
      <c r="M90" s="19">
        <v>95.905000000000001</v>
      </c>
      <c r="N90" s="19">
        <v>101.417</v>
      </c>
      <c r="O90" s="19">
        <v>382.05</v>
      </c>
      <c r="P90" s="19">
        <v>104.098</v>
      </c>
      <c r="Q90" s="19">
        <v>104.15100000000001</v>
      </c>
      <c r="R90" s="19">
        <v>98.583000000000013</v>
      </c>
      <c r="S90" s="19">
        <v>104.432</v>
      </c>
      <c r="T90" s="27">
        <v>411.26400000000001</v>
      </c>
      <c r="U90" s="19">
        <v>102.643</v>
      </c>
      <c r="V90" s="19">
        <v>105.23099999999999</v>
      </c>
      <c r="W90" s="19">
        <v>111.506</v>
      </c>
      <c r="X90" s="19">
        <v>118</v>
      </c>
      <c r="Y90" s="27">
        <v>437.38</v>
      </c>
      <c r="Z90" s="19">
        <v>121.2</v>
      </c>
      <c r="AA90" s="19">
        <v>119.6</v>
      </c>
      <c r="AB90" s="19">
        <v>115.6</v>
      </c>
      <c r="AC90" s="19">
        <v>121.4</v>
      </c>
      <c r="AD90" s="27">
        <v>477.8</v>
      </c>
      <c r="AE90" s="19">
        <v>112.7</v>
      </c>
      <c r="AF90" s="19">
        <v>107.3</v>
      </c>
      <c r="AG90" s="19">
        <v>103.3</v>
      </c>
      <c r="AH90" s="19">
        <v>108.1</v>
      </c>
      <c r="AI90" s="27">
        <v>431.4</v>
      </c>
      <c r="AJ90" s="19">
        <v>106.8</v>
      </c>
      <c r="AK90" s="19">
        <v>104.4</v>
      </c>
      <c r="AL90" s="19">
        <v>102.3</v>
      </c>
      <c r="AM90" s="19">
        <v>107.2</v>
      </c>
      <c r="AN90" s="96">
        <f>SUM(AJ90:AM90)</f>
        <v>420.7</v>
      </c>
      <c r="AO90" s="19">
        <f ca="1">AO81+AO83+AO87+AO88</f>
        <v>109.39999999999999</v>
      </c>
      <c r="AP90" s="19">
        <f ca="1">AP81+AP83+AP87+AP88</f>
        <v>107.49999999999999</v>
      </c>
      <c r="AQ90" s="19">
        <f ca="1">AQ81+AQ83+AQ87+AQ88</f>
        <v>102.89999999999999</v>
      </c>
      <c r="AR90" s="19">
        <f ca="1">AR81+AR83+AR87+AR88</f>
        <v>104.89999999999999</v>
      </c>
      <c r="AS90" s="96">
        <f ca="1">SUM(AO90:AR90)</f>
        <v>424.69999999999993</v>
      </c>
      <c r="AT90" s="19">
        <f>AT81+AT83+AT87+AT88</f>
        <v>104.9</v>
      </c>
      <c r="AU90" s="19">
        <f>AU81+AU83+AU87+AU88</f>
        <v>105.6</v>
      </c>
      <c r="AV90" s="19">
        <f>AV81+AV83+AV87+AV88</f>
        <v>106.4</v>
      </c>
      <c r="AW90" s="19">
        <f>AW81+AW83+AW87+AW88</f>
        <v>132.4</v>
      </c>
      <c r="AX90" s="96">
        <f>SUM(AT90:AW90)</f>
        <v>449.29999999999995</v>
      </c>
      <c r="AY90" s="19">
        <f>AY81+AY83+AY87+AY88</f>
        <v>162.4</v>
      </c>
      <c r="AZ90" s="19">
        <f>AZ81+AZ83+AZ87+AZ88</f>
        <v>164.5</v>
      </c>
      <c r="BA90" s="19">
        <f>BA81+BA83+BA87+BA88</f>
        <v>162.5</v>
      </c>
      <c r="BB90" s="19">
        <f>BB81+BB83+BB87+BB88</f>
        <v>166.7</v>
      </c>
      <c r="BC90" s="96">
        <f>SUM(AY90:BB90)</f>
        <v>656.09999999999991</v>
      </c>
      <c r="BD90" s="19">
        <f>BD81+BD83+BD87+BD88</f>
        <v>162</v>
      </c>
      <c r="BE90" s="19">
        <f>BE81+BE83+BE87+BE88</f>
        <v>161.39999999999998</v>
      </c>
      <c r="BF90" s="19">
        <f>BF81+BF83+BF87+BF88</f>
        <v>160.49999999999997</v>
      </c>
      <c r="BG90" s="19">
        <f>BG81+BG83+BG87+BG88</f>
        <v>170</v>
      </c>
      <c r="BH90" s="96">
        <f>SUM(BD90:BG90)</f>
        <v>653.9</v>
      </c>
      <c r="BI90" s="19">
        <f>BI81+BI83+BI87+BI88</f>
        <v>167</v>
      </c>
      <c r="BJ90" s="19">
        <f>BJ81+BJ83+BJ87+BJ88</f>
        <v>324.3</v>
      </c>
      <c r="BK90" s="19">
        <f>BK81+BK83+BK87+BK88</f>
        <v>321</v>
      </c>
      <c r="BL90" s="19">
        <f>BL81+BL83+BL87+BL88</f>
        <v>336.29999999999995</v>
      </c>
      <c r="BM90" s="96">
        <f>SUM(BI90:BL90)</f>
        <v>1148.5999999999999</v>
      </c>
      <c r="BN90" s="19">
        <f>BN81+BN83+BN87+BN88</f>
        <v>319.60000000000002</v>
      </c>
      <c r="BO90" s="19">
        <f>BO81+BO83+BO87+BO88</f>
        <v>301.59999999999997</v>
      </c>
      <c r="BP90" s="19">
        <f>BP81+BP83+BP87+BP88</f>
        <v>291.5</v>
      </c>
      <c r="BQ90" s="19">
        <f>BQ81+BQ83+BQ87+BQ88</f>
        <v>294</v>
      </c>
      <c r="BR90" s="96">
        <f>SUM(BN90:BQ90)</f>
        <v>1206.7</v>
      </c>
      <c r="BS90" s="19">
        <f>BS81+BS83+BS87+BS88</f>
        <v>261.2</v>
      </c>
      <c r="BT90" s="19">
        <f>BT81+BT83+BT87+BT88</f>
        <v>262.8</v>
      </c>
      <c r="BU90" s="19">
        <f>BU81+BU83+BU87+BU88</f>
        <v>264.40000000000003</v>
      </c>
      <c r="BV90" s="19">
        <f>BV81+BV83+BV87+BV88</f>
        <v>273.5</v>
      </c>
      <c r="BW90" s="96">
        <f>SUM(BS90:BV90)</f>
        <v>1061.9000000000001</v>
      </c>
      <c r="BX90" s="19">
        <f>BX81+BX83+BX87+BX88</f>
        <v>249.29999999999998</v>
      </c>
      <c r="BY90" s="19">
        <f>BY81+BY83+BY87+BY88</f>
        <v>262.89999999999998</v>
      </c>
      <c r="BZ90" s="19">
        <f>BZ81+BZ83+BZ87+BZ88</f>
        <v>270.7</v>
      </c>
      <c r="CA90" s="19">
        <f>CA81+CA83+CA87+CA88</f>
        <v>280.98279756733274</v>
      </c>
      <c r="CB90" s="96">
        <f>SUM(BX90:CA90)</f>
        <v>1063.8827975673325</v>
      </c>
      <c r="CC90" s="19">
        <f>CC81+CC83+CC87+CC88</f>
        <v>265</v>
      </c>
      <c r="CD90" s="19">
        <f>CD81+CD83+CD87+CD88</f>
        <v>258.7</v>
      </c>
      <c r="CE90" s="19">
        <f>CE81+CE83+CE87+CE88</f>
        <v>254.4</v>
      </c>
      <c r="CF90" s="19">
        <f>CF81+CF83+CF87</f>
        <v>261.87826086956522</v>
      </c>
      <c r="CG90" s="96">
        <f>SUM(CC90:CF90)</f>
        <v>1039.9782608695652</v>
      </c>
      <c r="CL90" s="96"/>
      <c r="CQ90" s="96"/>
      <c r="CV90" s="96"/>
      <c r="DA90" s="96"/>
      <c r="DF90" s="96"/>
    </row>
    <row r="91" spans="1:110" s="19" customFormat="1" outlineLevel="1" x14ac:dyDescent="0.2">
      <c r="A91" s="26"/>
      <c r="B91" s="477" t="s">
        <v>261</v>
      </c>
      <c r="C91" s="26"/>
      <c r="D91" s="26"/>
      <c r="E91" s="19">
        <v>346.01599999999996</v>
      </c>
      <c r="F91" s="19">
        <v>86.203999999999994</v>
      </c>
      <c r="G91" s="19">
        <v>86.384000000000015</v>
      </c>
      <c r="H91" s="19">
        <v>87.084999999999994</v>
      </c>
      <c r="I91" s="19">
        <v>97.69</v>
      </c>
      <c r="J91" s="19">
        <v>357.36299999999994</v>
      </c>
      <c r="K91" s="19">
        <v>98.894999999999996</v>
      </c>
      <c r="L91" s="19">
        <v>113.27</v>
      </c>
      <c r="M91" s="19">
        <v>110.771</v>
      </c>
      <c r="N91" s="19">
        <v>116.536</v>
      </c>
      <c r="O91" s="19">
        <v>439.47199999999998</v>
      </c>
      <c r="P91" s="19">
        <v>119.849</v>
      </c>
      <c r="Q91" s="19">
        <v>121.369</v>
      </c>
      <c r="R91" s="19">
        <v>115.79100000000001</v>
      </c>
      <c r="S91" s="19">
        <v>122.539</v>
      </c>
      <c r="T91" s="27">
        <v>479.54800000000006</v>
      </c>
      <c r="U91" s="19">
        <v>121.688</v>
      </c>
      <c r="V91" s="19">
        <v>125.06399999999999</v>
      </c>
      <c r="W91" s="19">
        <v>131.87899999999999</v>
      </c>
      <c r="X91" s="19">
        <v>139</v>
      </c>
      <c r="Y91" s="27">
        <v>517.63099999999997</v>
      </c>
      <c r="Z91" s="19">
        <v>141.80000000000001</v>
      </c>
      <c r="AA91" s="19">
        <v>140.9</v>
      </c>
      <c r="AB91" s="19">
        <v>137</v>
      </c>
      <c r="AC91" s="19">
        <v>143.80000000000001</v>
      </c>
      <c r="AD91" s="27">
        <v>563.5</v>
      </c>
      <c r="AE91" s="19">
        <v>134.9</v>
      </c>
      <c r="AF91" s="19">
        <v>129.6</v>
      </c>
      <c r="AG91" s="19">
        <v>125</v>
      </c>
      <c r="AH91" s="19">
        <v>130</v>
      </c>
      <c r="AI91" s="27">
        <v>519.5</v>
      </c>
      <c r="AJ91" s="19">
        <v>128</v>
      </c>
      <c r="AK91" s="19">
        <v>126</v>
      </c>
      <c r="AL91" s="19">
        <v>123.9</v>
      </c>
      <c r="AM91" s="19">
        <v>129</v>
      </c>
      <c r="AN91" s="27">
        <f>SUM(AJ91:AM91)</f>
        <v>506.9</v>
      </c>
      <c r="AO91" s="19">
        <f ca="1">AO81+AO87+AO83*3+AO88</f>
        <v>129.58257911375347</v>
      </c>
      <c r="AP91" s="19">
        <f ca="1">AP81+AP87+AP83*3+AP88</f>
        <v>128.07619042756909</v>
      </c>
      <c r="AQ91" s="19">
        <f ca="1">AQ81+AQ87+AQ83*3+AQ88</f>
        <v>123.45280327278702</v>
      </c>
      <c r="AR91" s="19">
        <f ca="1">AR81+AR87+AR83*3+AR88</f>
        <v>124.8409385698732</v>
      </c>
      <c r="AS91" s="27">
        <f ca="1">SUM(AO91:AR91)</f>
        <v>505.95251138398282</v>
      </c>
      <c r="AT91" s="19">
        <f>AT81+AT87+AT83*3+AT88</f>
        <v>124.05356033209988</v>
      </c>
      <c r="AU91" s="19">
        <f>AU81+AU87+AU83*3+AU88</f>
        <v>125.35123804467186</v>
      </c>
      <c r="AV91" s="19">
        <f>AV81+AV87+AV83*3+AV88</f>
        <v>126.32238502660803</v>
      </c>
      <c r="AW91" s="19">
        <f>AW81+AW87+AW83*3+AW88</f>
        <v>154.37196268265726</v>
      </c>
      <c r="AX91" s="27">
        <f>SUM(AT91:AW91)</f>
        <v>530.09914608603697</v>
      </c>
      <c r="AY91" s="19">
        <f>AY81+AY87+AY83*3+AY88</f>
        <v>186.60000000000002</v>
      </c>
      <c r="AZ91" s="19">
        <f>AZ81+AZ87+AZ83*3+AZ88</f>
        <v>188.86723804467186</v>
      </c>
      <c r="BA91" s="19">
        <f>BA81+BA87+BA83*3+BA88</f>
        <v>187.03838502660801</v>
      </c>
      <c r="BB91" s="19">
        <f>BB81+BB87+BB83*3+BB88</f>
        <v>191.21252268265724</v>
      </c>
      <c r="BC91" s="27">
        <f>SUM(AY91:BB91)</f>
        <v>753.71814575393705</v>
      </c>
      <c r="BD91" s="19">
        <f>BD81+BD87+BD83*3+BD88</f>
        <v>186.14405952486018</v>
      </c>
      <c r="BE91" s="19">
        <f>BE81+BE87+BE83*3+BE88</f>
        <v>185.89126250110317</v>
      </c>
      <c r="BF91" s="19">
        <f>BF81+BF87+BF83*3+BF88</f>
        <v>184.77468812820447</v>
      </c>
      <c r="BG91" s="19">
        <f>BG81+BG87+BG83*3+BG88</f>
        <v>194.83639927044325</v>
      </c>
      <c r="BH91" s="27">
        <f>SUM(BD91:BG91)</f>
        <v>751.64640942461108</v>
      </c>
      <c r="BI91" s="19">
        <f>BI81+BI87+BI83*3+BI88</f>
        <v>193.8849897129615</v>
      </c>
      <c r="BJ91" s="19">
        <f>BJ81+BJ87+BJ83*3+BJ88</f>
        <v>401.10000000000008</v>
      </c>
      <c r="BK91" s="19">
        <f>BK81+BK87+BK83*3+BK88</f>
        <v>396.59999999999997</v>
      </c>
      <c r="BL91" s="19">
        <f>BL81+BL87+BL83*3+BL88</f>
        <v>410.09999999999997</v>
      </c>
      <c r="BM91" s="27">
        <f>SUM(BI91:BL91)</f>
        <v>1401.6849897129614</v>
      </c>
      <c r="BN91" s="19">
        <f>BN81+BN87+BN83*3+BN88</f>
        <v>393.2</v>
      </c>
      <c r="BO91" s="19">
        <f>BO81+BO87+BO83*3+BO88</f>
        <v>371.99999999999994</v>
      </c>
      <c r="BP91" s="19">
        <f>BP81+BP87+BP83*3+BP88</f>
        <v>360.7</v>
      </c>
      <c r="BQ91" s="19">
        <f>BQ81+BQ87+BQ83*3+BQ88</f>
        <v>363.2</v>
      </c>
      <c r="BR91" s="27">
        <f>SUM(BN91:BQ91)</f>
        <v>1489.1</v>
      </c>
      <c r="BS91" s="19">
        <f>BS81+BS87+BS83*3+BS88</f>
        <v>322.2</v>
      </c>
      <c r="BT91" s="19">
        <f>BT81+BT87+BT83*3+BT88</f>
        <v>326.39999999999998</v>
      </c>
      <c r="BU91" s="19">
        <f>BU81+BU87+BU83*3+BU88</f>
        <v>330.6</v>
      </c>
      <c r="BV91" s="19">
        <f>BV81+BV87+BV83*3+BV88</f>
        <v>339.29999999999995</v>
      </c>
      <c r="BW91" s="27">
        <f>SUM(BS91:BV91)</f>
        <v>1318.5</v>
      </c>
      <c r="BX91" s="19">
        <f>BX81+BX87+BX83*3+BX88</f>
        <v>309.7</v>
      </c>
      <c r="BY91" s="19">
        <f>BY81+BY87+BY83*3+BY88</f>
        <v>322.89999999999998</v>
      </c>
      <c r="BZ91" s="19">
        <f>BZ81+BZ87+BZ83*3+BZ88</f>
        <v>330.5</v>
      </c>
      <c r="CA91" s="19">
        <f>CA81+CA85</f>
        <v>341.28279756733275</v>
      </c>
      <c r="CB91" s="27">
        <f>SUM(BX92:BY92)+SUM(BZ91:CA91)</f>
        <v>1300.3827975673328</v>
      </c>
      <c r="CC91" s="19">
        <f>CC81+CC85</f>
        <v>323.5</v>
      </c>
      <c r="CD91" s="19">
        <f>CD81+CD85</f>
        <v>315.10000000000002</v>
      </c>
      <c r="CE91" s="19">
        <f>CE81+CE85</f>
        <v>312.10000000000002</v>
      </c>
      <c r="CF91" s="19">
        <f>CF81+CF85+CF87</f>
        <v>320.17826086956524</v>
      </c>
      <c r="CG91" s="27">
        <f>SUM(CC91:CF91)</f>
        <v>1270.8782608695653</v>
      </c>
      <c r="CL91" s="27"/>
      <c r="CQ91" s="27"/>
      <c r="CV91" s="27"/>
      <c r="DA91" s="27"/>
      <c r="DF91" s="27"/>
    </row>
    <row r="92" spans="1:110" s="19" customFormat="1" ht="12" outlineLevel="1" thickBot="1" x14ac:dyDescent="0.25">
      <c r="B92" s="479" t="s">
        <v>165</v>
      </c>
      <c r="F92" s="145">
        <v>86.203999999999994</v>
      </c>
      <c r="G92" s="145">
        <v>86.384</v>
      </c>
      <c r="H92" s="145">
        <v>87.084999999999994</v>
      </c>
      <c r="I92" s="145">
        <v>97.69</v>
      </c>
      <c r="J92" s="19">
        <v>357.363</v>
      </c>
      <c r="K92" s="145">
        <v>98.894999999999996</v>
      </c>
      <c r="L92" s="145">
        <v>113.27</v>
      </c>
      <c r="M92" s="145">
        <v>110.771</v>
      </c>
      <c r="N92" s="145">
        <v>116.536</v>
      </c>
      <c r="O92" s="19">
        <v>439.47199999999998</v>
      </c>
      <c r="P92" s="145">
        <v>119.849</v>
      </c>
      <c r="Q92" s="145">
        <v>121.369</v>
      </c>
      <c r="R92" s="145">
        <v>115.791</v>
      </c>
      <c r="S92" s="145">
        <v>122.539</v>
      </c>
      <c r="T92" s="1354">
        <v>479.548</v>
      </c>
      <c r="U92" s="145">
        <v>122.108</v>
      </c>
      <c r="V92" s="145">
        <v>125.81399999999999</v>
      </c>
      <c r="W92" s="145">
        <v>132.62899999999999</v>
      </c>
      <c r="X92" s="145">
        <v>138.95099999999999</v>
      </c>
      <c r="Y92" s="27">
        <f>SUM(U92:X92)</f>
        <v>519.50199999999995</v>
      </c>
      <c r="Z92" s="145">
        <v>141.6</v>
      </c>
      <c r="AA92" s="145">
        <v>140.9</v>
      </c>
      <c r="AB92" s="145">
        <v>137</v>
      </c>
      <c r="AC92" s="145">
        <v>143.9</v>
      </c>
      <c r="AD92" s="27">
        <v>563.4</v>
      </c>
      <c r="AE92" s="145">
        <v>134.9</v>
      </c>
      <c r="AF92" s="145">
        <v>129.5</v>
      </c>
      <c r="AG92" s="145">
        <v>125.1</v>
      </c>
      <c r="AH92" s="145">
        <v>130</v>
      </c>
      <c r="AI92" s="27">
        <v>519.5</v>
      </c>
      <c r="AJ92" s="145">
        <v>128</v>
      </c>
      <c r="AK92" s="145">
        <v>126</v>
      </c>
      <c r="AL92" s="145">
        <v>123.9</v>
      </c>
      <c r="AM92" s="145">
        <v>129</v>
      </c>
      <c r="AN92" s="27">
        <f>SUM(AJ92:AM92)</f>
        <v>506.9</v>
      </c>
      <c r="AO92" s="145">
        <v>129.6</v>
      </c>
      <c r="AP92" s="145">
        <v>128</v>
      </c>
      <c r="AQ92" s="145">
        <v>123.5</v>
      </c>
      <c r="AR92" s="145">
        <v>125.2</v>
      </c>
      <c r="AS92" s="27">
        <f>SUM(AO92:AR92)</f>
        <v>506.3</v>
      </c>
      <c r="AT92" s="145">
        <v>124.1</v>
      </c>
      <c r="AU92" s="145">
        <v>125.6</v>
      </c>
      <c r="AV92" s="145">
        <v>126.3</v>
      </c>
      <c r="AW92" s="145">
        <v>154.6</v>
      </c>
      <c r="AX92" s="27">
        <f>SUM(AT92:AW92)</f>
        <v>530.6</v>
      </c>
      <c r="AY92" s="145">
        <v>186.6</v>
      </c>
      <c r="AZ92" s="145">
        <v>189.1</v>
      </c>
      <c r="BA92" s="145">
        <v>186.9</v>
      </c>
      <c r="BB92" s="145">
        <v>191.3</v>
      </c>
      <c r="BC92" s="27">
        <f>SUM(AY92:BB92)</f>
        <v>753.90000000000009</v>
      </c>
      <c r="BD92" s="145">
        <v>186.1</v>
      </c>
      <c r="BE92" s="145">
        <v>185.7</v>
      </c>
      <c r="BF92" s="145">
        <v>184.8</v>
      </c>
      <c r="BG92" s="145">
        <v>194.9</v>
      </c>
      <c r="BH92" s="27">
        <f>SUM(BD92:BG92)</f>
        <v>751.49999999999989</v>
      </c>
      <c r="BI92" s="145">
        <v>192.8</v>
      </c>
      <c r="BJ92" s="145">
        <f>404.3-6</f>
        <v>398.3</v>
      </c>
      <c r="BK92" s="145">
        <f>398.9-5.1</f>
        <v>393.79999999999995</v>
      </c>
      <c r="BL92" s="145">
        <v>410.8</v>
      </c>
      <c r="BM92" s="27">
        <f>SUM(BI92:BL92)</f>
        <v>1395.7</v>
      </c>
      <c r="BN92" s="145">
        <v>390</v>
      </c>
      <c r="BO92" s="145">
        <v>369.4</v>
      </c>
      <c r="BP92" s="145">
        <v>358.1</v>
      </c>
      <c r="BQ92" s="145">
        <v>360.7</v>
      </c>
      <c r="BR92" s="27">
        <f>SUM(BN92:BQ92)</f>
        <v>1478.2</v>
      </c>
      <c r="BS92" s="145">
        <v>320</v>
      </c>
      <c r="BT92" s="145">
        <v>324.3</v>
      </c>
      <c r="BU92" s="145">
        <v>328.3</v>
      </c>
      <c r="BV92" s="145">
        <v>337</v>
      </c>
      <c r="BW92" s="27">
        <f>SUM(BS92:BV92)</f>
        <v>1309.5999999999999</v>
      </c>
      <c r="BX92" s="145">
        <v>307.60000000000002</v>
      </c>
      <c r="BY92" s="145">
        <v>321</v>
      </c>
      <c r="BZ92" s="145">
        <v>328.2</v>
      </c>
      <c r="CA92" s="1906"/>
      <c r="CB92" s="27">
        <f>SUM(BX92:CA92)</f>
        <v>956.8</v>
      </c>
      <c r="CC92" s="145">
        <v>323.5</v>
      </c>
      <c r="CD92" s="145">
        <v>315.10000000000002</v>
      </c>
      <c r="CE92" s="145">
        <v>312.10000000000002</v>
      </c>
      <c r="CF92" s="1906"/>
      <c r="CG92" s="27"/>
      <c r="CH92" s="1906"/>
      <c r="CI92" s="1906"/>
      <c r="CJ92" s="1906"/>
      <c r="CK92" s="1906"/>
      <c r="CL92" s="27"/>
      <c r="CQ92" s="27"/>
      <c r="CV92" s="27"/>
      <c r="DA92" s="27"/>
      <c r="DF92" s="27"/>
    </row>
    <row r="93" spans="1:110" s="40" customFormat="1" ht="16.5" customHeight="1" outlineLevel="1" thickBot="1" x14ac:dyDescent="0.25">
      <c r="A93" s="175"/>
      <c r="B93" s="759"/>
      <c r="C93" s="759"/>
      <c r="D93" s="759"/>
      <c r="E93" s="760"/>
      <c r="F93" s="760"/>
      <c r="G93" s="760"/>
      <c r="H93" s="760"/>
      <c r="I93" s="760"/>
      <c r="J93" s="760"/>
      <c r="K93" s="760"/>
      <c r="L93" s="760"/>
      <c r="M93" s="760"/>
      <c r="N93" s="760"/>
      <c r="O93" s="760"/>
      <c r="P93" s="760"/>
      <c r="Q93" s="760"/>
      <c r="R93" s="760"/>
      <c r="S93" s="760"/>
      <c r="T93" s="760"/>
      <c r="U93" s="760"/>
      <c r="V93" s="760"/>
      <c r="W93" s="760"/>
      <c r="X93" s="760"/>
      <c r="Y93" s="760"/>
      <c r="Z93" s="760"/>
      <c r="AA93" s="760"/>
      <c r="AB93" s="760"/>
      <c r="AC93" s="760"/>
      <c r="AD93" s="760"/>
      <c r="AE93" s="760"/>
      <c r="AF93" s="761"/>
      <c r="AG93" s="760"/>
      <c r="AH93" s="760"/>
      <c r="AI93" s="760"/>
      <c r="AJ93" s="760"/>
      <c r="AK93" s="760"/>
      <c r="AL93" s="760"/>
      <c r="AM93" s="760"/>
      <c r="AN93" s="760"/>
      <c r="AO93" s="760"/>
      <c r="AP93" s="760"/>
      <c r="AQ93" s="760"/>
      <c r="AR93" s="760"/>
      <c r="AS93" s="760"/>
      <c r="AT93" s="760"/>
      <c r="AU93" s="760"/>
      <c r="AV93" s="760"/>
      <c r="AW93" s="760"/>
      <c r="AX93" s="760"/>
      <c r="AY93" s="760"/>
      <c r="AZ93" s="760"/>
      <c r="BA93" s="760"/>
      <c r="BB93" s="760"/>
      <c r="BC93" s="760"/>
      <c r="BD93" s="760"/>
      <c r="BE93" s="760"/>
      <c r="BF93" s="760"/>
      <c r="BG93" s="760"/>
      <c r="BH93" s="760"/>
      <c r="BI93" s="760"/>
      <c r="BJ93" s="760"/>
      <c r="BK93" s="760"/>
      <c r="BL93" s="760"/>
      <c r="BM93" s="760"/>
      <c r="BN93" s="1842">
        <f>SUM(BN78:BO78)/BR78</f>
        <v>0.51373291841428759</v>
      </c>
      <c r="BO93" s="1842"/>
      <c r="BP93" s="1842"/>
      <c r="BQ93" s="760"/>
      <c r="BR93" s="760"/>
      <c r="BS93" s="1842"/>
      <c r="BT93" s="1842"/>
      <c r="BU93" s="1842"/>
      <c r="BV93" s="760"/>
      <c r="BW93" s="1842">
        <f>BW91/BR91-1</f>
        <v>-0.11456584514136048</v>
      </c>
      <c r="BX93" s="1842"/>
      <c r="BY93" s="1842"/>
      <c r="BZ93" s="1842"/>
      <c r="CA93" s="760"/>
      <c r="CB93" s="1842">
        <f>CB91/BW91-1</f>
        <v>-1.3740767867021053E-2</v>
      </c>
      <c r="CC93" s="1842"/>
      <c r="CD93" s="1842"/>
      <c r="CE93" s="1842"/>
      <c r="CF93" s="1907"/>
      <c r="CG93" s="1842">
        <f>CG91/CB91-1</f>
        <v>-2.2689116430148482E-2</v>
      </c>
      <c r="CH93" s="1907"/>
      <c r="CI93" s="1907"/>
      <c r="CJ93" s="1907"/>
      <c r="CK93" s="1907"/>
      <c r="CL93" s="760"/>
      <c r="CM93" s="760"/>
      <c r="CN93" s="760"/>
      <c r="CO93" s="760"/>
      <c r="CP93" s="760"/>
      <c r="CQ93" s="760"/>
      <c r="CR93" s="760"/>
      <c r="CS93" s="760"/>
      <c r="CT93" s="760"/>
      <c r="CU93" s="760"/>
      <c r="CV93" s="760"/>
      <c r="CW93" s="760"/>
      <c r="CX93" s="760"/>
      <c r="CY93" s="760"/>
      <c r="CZ93" s="760"/>
      <c r="DA93" s="760"/>
      <c r="DB93" s="760"/>
      <c r="DC93" s="760"/>
      <c r="DD93" s="760"/>
      <c r="DE93" s="760"/>
      <c r="DF93" s="760"/>
    </row>
    <row r="94" spans="1:110" ht="11.25" customHeight="1" thickBot="1" x14ac:dyDescent="0.25">
      <c r="B94" s="862" t="s">
        <v>336</v>
      </c>
      <c r="C94" s="866"/>
      <c r="D94" s="866"/>
      <c r="E94" s="864"/>
      <c r="F94" s="864"/>
      <c r="G94" s="864"/>
      <c r="H94" s="864"/>
      <c r="I94" s="864"/>
      <c r="J94" s="864"/>
      <c r="K94" s="864"/>
      <c r="L94" s="864"/>
      <c r="M94" s="864"/>
      <c r="N94" s="864"/>
      <c r="O94" s="864"/>
      <c r="P94" s="864"/>
      <c r="Q94" s="864"/>
      <c r="R94" s="864"/>
      <c r="S94" s="864"/>
      <c r="T94" s="864"/>
      <c r="U94" s="864"/>
      <c r="V94" s="864"/>
      <c r="W94" s="819"/>
      <c r="X94" s="819"/>
      <c r="Y94" s="819"/>
      <c r="Z94" s="819"/>
      <c r="AA94" s="819"/>
      <c r="AB94" s="819"/>
      <c r="AC94" s="819"/>
      <c r="AD94" s="819"/>
      <c r="AE94" s="819"/>
      <c r="AF94" s="819"/>
      <c r="AG94" s="819"/>
      <c r="AH94" s="819"/>
      <c r="AI94" s="819"/>
      <c r="AJ94" s="819"/>
      <c r="AK94" s="819"/>
      <c r="AL94" s="819"/>
      <c r="AM94" s="819"/>
      <c r="AN94" s="819"/>
      <c r="AO94" s="819"/>
      <c r="AP94" s="819"/>
      <c r="AQ94" s="819"/>
      <c r="AR94" s="819"/>
      <c r="AS94" s="819"/>
      <c r="AT94" s="819"/>
      <c r="AU94" s="819"/>
      <c r="AV94" s="819"/>
      <c r="AW94" s="819"/>
      <c r="AX94" s="819"/>
      <c r="AY94" s="819"/>
      <c r="AZ94" s="819"/>
      <c r="BA94" s="819"/>
      <c r="BB94" s="819"/>
      <c r="BC94" s="878"/>
      <c r="BD94" s="819"/>
      <c r="BE94" s="819"/>
      <c r="BF94" s="819"/>
      <c r="BG94" s="819"/>
      <c r="BH94" s="819"/>
      <c r="BI94" s="819"/>
      <c r="BJ94" s="819"/>
      <c r="BK94" s="819"/>
      <c r="BL94" s="864"/>
      <c r="BM94" s="960"/>
      <c r="BN94" s="825"/>
      <c r="BO94" s="819"/>
      <c r="BP94" s="819"/>
      <c r="BQ94" s="819"/>
      <c r="BR94" s="864"/>
      <c r="BS94" s="819"/>
      <c r="BT94" s="819"/>
      <c r="BU94" s="819"/>
      <c r="BV94" s="819"/>
      <c r="BW94" s="819"/>
      <c r="BX94" s="819"/>
      <c r="BY94" s="819"/>
      <c r="BZ94" s="819"/>
      <c r="CA94" s="819"/>
      <c r="CB94" s="872"/>
      <c r="CC94" s="819"/>
      <c r="CD94" s="819"/>
      <c r="CE94" s="819"/>
      <c r="CF94" s="819"/>
      <c r="CG94" s="872"/>
      <c r="CH94" s="819"/>
      <c r="CI94" s="819"/>
      <c r="CJ94" s="819"/>
      <c r="CK94" s="819"/>
      <c r="CL94" s="872"/>
      <c r="CM94" s="819"/>
      <c r="CN94" s="819"/>
      <c r="CO94" s="819"/>
      <c r="CP94" s="819"/>
      <c r="CQ94" s="872"/>
      <c r="CR94" s="819"/>
      <c r="CS94" s="819"/>
      <c r="CT94" s="819"/>
      <c r="CU94" s="819"/>
      <c r="CV94" s="872"/>
      <c r="CW94" s="819"/>
      <c r="CX94" s="819"/>
      <c r="CY94" s="819"/>
      <c r="CZ94" s="819"/>
      <c r="DA94" s="872"/>
      <c r="DB94" s="819"/>
      <c r="DC94" s="819"/>
      <c r="DD94" s="819"/>
      <c r="DE94" s="819"/>
      <c r="DF94" s="872"/>
    </row>
    <row r="95" spans="1:110" s="66" customFormat="1" x14ac:dyDescent="0.2">
      <c r="A95" s="661"/>
      <c r="B95" s="664" t="s">
        <v>339</v>
      </c>
      <c r="C95" s="661"/>
      <c r="D95" s="661"/>
      <c r="E95" s="661"/>
      <c r="F95" s="661"/>
      <c r="G95" s="661"/>
      <c r="H95" s="661"/>
      <c r="I95" s="661"/>
      <c r="J95" s="665">
        <f t="shared" ref="J95:AO95" si="167">J67/E67-1</f>
        <v>-1.8652531510361059E-2</v>
      </c>
      <c r="K95" s="661">
        <f t="shared" si="167"/>
        <v>0.10736056396433757</v>
      </c>
      <c r="L95" s="661">
        <f t="shared" si="167"/>
        <v>0.28465454137510338</v>
      </c>
      <c r="M95" s="661">
        <f t="shared" si="167"/>
        <v>0.26282807326673563</v>
      </c>
      <c r="N95" s="661">
        <f t="shared" si="167"/>
        <v>0.17909887828729354</v>
      </c>
      <c r="O95" s="665">
        <f t="shared" si="167"/>
        <v>0.20709125294221686</v>
      </c>
      <c r="P95" s="661">
        <f t="shared" si="167"/>
        <v>0.20664819253045752</v>
      </c>
      <c r="Q95" s="661">
        <f t="shared" si="167"/>
        <v>4.8193428664992988E-2</v>
      </c>
      <c r="R95" s="661">
        <f t="shared" si="167"/>
        <v>1.7531422655819417E-2</v>
      </c>
      <c r="S95" s="661">
        <f t="shared" si="167"/>
        <v>1.6110044649959132E-2</v>
      </c>
      <c r="T95" s="665">
        <f t="shared" si="167"/>
        <v>6.7760933273219193E-2</v>
      </c>
      <c r="U95" s="661">
        <f t="shared" si="167"/>
        <v>-3.2586094530708598E-2</v>
      </c>
      <c r="V95" s="661">
        <f t="shared" si="167"/>
        <v>-3.0825305909919498E-3</v>
      </c>
      <c r="W95" s="661">
        <f t="shared" si="167"/>
        <v>0.12559301978391413</v>
      </c>
      <c r="X95" s="661">
        <f t="shared" si="167"/>
        <v>0.12725450901803592</v>
      </c>
      <c r="Y95" s="665">
        <f t="shared" si="167"/>
        <v>5.3052434901709189E-2</v>
      </c>
      <c r="Z95" s="661">
        <f t="shared" si="167"/>
        <v>0.19229658778617797</v>
      </c>
      <c r="AA95" s="661">
        <f t="shared" si="167"/>
        <v>0.1438540045336314</v>
      </c>
      <c r="AB95" s="661">
        <f t="shared" si="167"/>
        <v>3.7491157745814574E-2</v>
      </c>
      <c r="AC95" s="661">
        <f t="shared" si="167"/>
        <v>2.8703703703703676E-2</v>
      </c>
      <c r="AD95" s="665">
        <f t="shared" si="167"/>
        <v>9.6910006766408596E-2</v>
      </c>
      <c r="AE95" s="661">
        <f t="shared" si="167"/>
        <v>-8.1614349775784745E-2</v>
      </c>
      <c r="AF95" s="661">
        <f t="shared" si="167"/>
        <v>-0.1150684931506849</v>
      </c>
      <c r="AG95" s="661">
        <f t="shared" si="167"/>
        <v>-0.11837121212121215</v>
      </c>
      <c r="AH95" s="661">
        <f t="shared" si="167"/>
        <v>-0.11971197119711974</v>
      </c>
      <c r="AI95" s="665">
        <f t="shared" si="167"/>
        <v>-0.10852181859721266</v>
      </c>
      <c r="AJ95" s="661">
        <f t="shared" si="167"/>
        <v>-5.4687500000000111E-2</v>
      </c>
      <c r="AK95" s="661">
        <f t="shared" si="167"/>
        <v>-2.786377708978327E-2</v>
      </c>
      <c r="AL95" s="661">
        <f t="shared" si="167"/>
        <v>-1.074113856068748E-2</v>
      </c>
      <c r="AM95" s="661">
        <f t="shared" si="167"/>
        <v>-9.2024539877300082E-3</v>
      </c>
      <c r="AN95" s="665">
        <f t="shared" si="167"/>
        <v>-2.6140440799589881E-2</v>
      </c>
      <c r="AO95" s="661">
        <f t="shared" si="167"/>
        <v>1.4462809917355379E-2</v>
      </c>
      <c r="AP95" s="661">
        <f t="shared" ref="AP95:BU95" si="168">AP67/AK67-1</f>
        <v>2.0169851380042347E-2</v>
      </c>
      <c r="AQ95" s="661">
        <f t="shared" si="168"/>
        <v>-6.5146579804559179E-3</v>
      </c>
      <c r="AR95" s="661">
        <f t="shared" si="168"/>
        <v>-3.1991744066047545E-2</v>
      </c>
      <c r="AS95" s="665">
        <f t="shared" si="168"/>
        <v>-1.0526315789473051E-3</v>
      </c>
      <c r="AT95" s="661">
        <f t="shared" si="168"/>
        <v>-4.0733197556008127E-2</v>
      </c>
      <c r="AU95" s="661">
        <f t="shared" si="168"/>
        <v>-1.4568158168574263E-2</v>
      </c>
      <c r="AV95" s="661">
        <f t="shared" si="168"/>
        <v>4.0437158469945444E-2</v>
      </c>
      <c r="AW95" s="661">
        <f t="shared" si="168"/>
        <v>0.28144989339019189</v>
      </c>
      <c r="AX95" s="1157">
        <f t="shared" si="168"/>
        <v>6.5068493150684859E-2</v>
      </c>
      <c r="AY95" s="661">
        <f t="shared" si="168"/>
        <v>0.58174097664543511</v>
      </c>
      <c r="AZ95" s="661">
        <f t="shared" si="168"/>
        <v>0.59450897571277705</v>
      </c>
      <c r="BA95" s="661">
        <f t="shared" si="168"/>
        <v>0.56407563025210083</v>
      </c>
      <c r="BB95" s="661">
        <f t="shared" si="168"/>
        <v>0.27371048252911812</v>
      </c>
      <c r="BC95" s="665">
        <f t="shared" si="168"/>
        <v>0.48899332179074939</v>
      </c>
      <c r="BD95" s="661">
        <f t="shared" si="168"/>
        <v>0.14568148722323326</v>
      </c>
      <c r="BE95" s="661">
        <f t="shared" si="168"/>
        <v>0.12852891231730856</v>
      </c>
      <c r="BF95" s="661">
        <f t="shared" si="168"/>
        <v>0.14075761945024556</v>
      </c>
      <c r="BG95" s="661">
        <f t="shared" si="168"/>
        <v>0.175490039190072</v>
      </c>
      <c r="BH95" s="215">
        <f t="shared" si="168"/>
        <v>0.14774209616663958</v>
      </c>
      <c r="BI95" s="661">
        <f t="shared" si="168"/>
        <v>2.7617276025456938E-2</v>
      </c>
      <c r="BJ95" s="661">
        <f t="shared" si="168"/>
        <v>0.9292434262201954</v>
      </c>
      <c r="BK95" s="661">
        <f t="shared" si="168"/>
        <v>0.92210581422260507</v>
      </c>
      <c r="BL95" s="661">
        <f t="shared" si="168"/>
        <v>0.91293957062531139</v>
      </c>
      <c r="BM95" s="215">
        <f t="shared" si="168"/>
        <v>0.70048280588708534</v>
      </c>
      <c r="BN95" s="661">
        <f t="shared" si="168"/>
        <v>0.85055512955303691</v>
      </c>
      <c r="BO95" s="166">
        <f t="shared" si="168"/>
        <v>-6.7457276523457455E-2</v>
      </c>
      <c r="BP95" s="166">
        <f t="shared" si="168"/>
        <v>-9.2123362238882289E-2</v>
      </c>
      <c r="BQ95" s="166">
        <f t="shared" si="168"/>
        <v>-0.13292720475677322</v>
      </c>
      <c r="BR95" s="215">
        <f t="shared" si="168"/>
        <v>4.3567250312990913E-2</v>
      </c>
      <c r="BS95" s="166">
        <f t="shared" si="168"/>
        <v>-0.18615917150327377</v>
      </c>
      <c r="BT95" s="166">
        <f t="shared" si="168"/>
        <v>-0.1331059162174496</v>
      </c>
      <c r="BU95" s="166">
        <f t="shared" si="168"/>
        <v>-9.9217094437371922E-2</v>
      </c>
      <c r="BV95" s="166">
        <f t="shared" ref="BV95:CK95" si="169">BV67/BQ67-1</f>
        <v>-7.2676446640427939E-2</v>
      </c>
      <c r="BW95" s="215">
        <f t="shared" si="169"/>
        <v>-0.1242479315509194</v>
      </c>
      <c r="BX95" s="166">
        <f t="shared" si="169"/>
        <v>-4.5777212380503807E-2</v>
      </c>
      <c r="BY95" s="166">
        <f t="shared" si="169"/>
        <v>1.0259276470142575E-2</v>
      </c>
      <c r="BZ95" s="166">
        <f t="shared" si="169"/>
        <v>4.0072311538912775E-2</v>
      </c>
      <c r="CA95" s="166">
        <f t="shared" si="169"/>
        <v>3.8617421389305129E-2</v>
      </c>
      <c r="CB95" s="215">
        <f t="shared" si="169"/>
        <v>1.1195613883232092E-2</v>
      </c>
      <c r="CC95" s="166">
        <f t="shared" si="169"/>
        <v>6.1086870289567718E-2</v>
      </c>
      <c r="CD95" s="166">
        <f t="shared" si="169"/>
        <v>-1.8994413407821265E-2</v>
      </c>
      <c r="CE95" s="166">
        <f t="shared" si="169"/>
        <v>-6.5898451566438698E-2</v>
      </c>
      <c r="CF95" s="166">
        <f t="shared" si="169"/>
        <v>-7.4086956521739133E-2</v>
      </c>
      <c r="CG95" s="215">
        <f>CG67/CB67-1</f>
        <v>-2.6984711733284206E-2</v>
      </c>
      <c r="CH95" s="166">
        <f t="shared" si="169"/>
        <v>-1.4953271028036452E-3</v>
      </c>
      <c r="CI95" s="166">
        <f t="shared" si="169"/>
        <v>2.6575550493548317E-3</v>
      </c>
      <c r="CJ95" s="166">
        <f t="shared" si="169"/>
        <v>3.8550501156531247E-4</v>
      </c>
      <c r="CK95" s="166">
        <f t="shared" si="169"/>
        <v>1.5401953418482384E-2</v>
      </c>
      <c r="CL95" s="215">
        <f>CL67/CG67-1</f>
        <v>4.2593469001419582E-3</v>
      </c>
      <c r="CM95" s="677">
        <f>CHOOSE(Scenarios!$C$30,Scenarios!AX33,Scenarios!AX34,Scenarios!AX35)</f>
        <v>-0.04</v>
      </c>
      <c r="CN95" s="677">
        <f>CHOOSE(Scenarios!$C$30,Scenarios!AY33,Scenarios!AY34,Scenarios!AY35)</f>
        <v>-0.04</v>
      </c>
      <c r="CO95" s="677">
        <f>CHOOSE(Scenarios!$C$30,Scenarios!AZ33,Scenarios!AZ34,Scenarios!AZ35)</f>
        <v>-0.01</v>
      </c>
      <c r="CP95" s="677">
        <f>CHOOSE(Scenarios!$C$30,Scenarios!BA33,Scenarios!BA34,Scenarios!BA35)</f>
        <v>-0.01</v>
      </c>
      <c r="CQ95" s="215">
        <f>CQ67/CL67-1</f>
        <v>-2.5019792648444894E-2</v>
      </c>
      <c r="CR95" s="677">
        <f>CHOOSE(Scenarios!$C$30,Scenarios!BC33,Scenarios!BC34,Scenarios!BC35)</f>
        <v>-1.2E-2</v>
      </c>
      <c r="CS95" s="677">
        <f>CHOOSE(Scenarios!$C$30,Scenarios!BD33,Scenarios!BD34,Scenarios!BD35)</f>
        <v>-1.2E-2</v>
      </c>
      <c r="CT95" s="677">
        <f>CHOOSE(Scenarios!$C$30,Scenarios!BE33,Scenarios!BE34,Scenarios!BE35)</f>
        <v>-1.2E-2</v>
      </c>
      <c r="CU95" s="677">
        <f>CHOOSE(Scenarios!$C$30,Scenarios!BF33,Scenarios!BF34,Scenarios!BF35)</f>
        <v>-1.2E-2</v>
      </c>
      <c r="CV95" s="215">
        <f>CV67/CQ67-1</f>
        <v>-1.19999999999999E-2</v>
      </c>
      <c r="CW95" s="677">
        <f>CHOOSE(Scenarios!$C$30,Scenarios!BH33,Scenarios!BH34,Scenarios!BH35)</f>
        <v>-0.105</v>
      </c>
      <c r="CX95" s="677">
        <f>CHOOSE(Scenarios!$C$30,Scenarios!BI33,Scenarios!BI34,Scenarios!BI35)</f>
        <v>-0.105</v>
      </c>
      <c r="CY95" s="677">
        <f>CHOOSE(Scenarios!$C$30,Scenarios!BJ33,Scenarios!BJ34,Scenarios!BJ35)</f>
        <v>-0.105</v>
      </c>
      <c r="CZ95" s="677">
        <f>CHOOSE(Scenarios!$C$30,Scenarios!BK33,Scenarios!BK34,Scenarios!BK35)</f>
        <v>-0.105</v>
      </c>
      <c r="DA95" s="215">
        <f>DA67/CV67-1</f>
        <v>-0.10500000000000009</v>
      </c>
      <c r="DB95" s="677">
        <f>CHOOSE(Scenarios!$C$30,Scenarios!BM33,Scenarios!BM34,Scenarios!BM35)</f>
        <v>-0.115</v>
      </c>
      <c r="DC95" s="677">
        <f>CHOOSE(Scenarios!$C$30,Scenarios!BN33,Scenarios!BN34,Scenarios!BN35)</f>
        <v>-0.115</v>
      </c>
      <c r="DD95" s="677">
        <f>CHOOSE(Scenarios!$C$30,Scenarios!BO33,Scenarios!BO34,Scenarios!BO35)</f>
        <v>-0.115</v>
      </c>
      <c r="DE95" s="677">
        <f>CHOOSE(Scenarios!$C$30,Scenarios!BP33,Scenarios!BP34,Scenarios!BP35)</f>
        <v>-0.115</v>
      </c>
      <c r="DF95" s="215">
        <f>DF67/DA67-1</f>
        <v>-0.11499999999999999</v>
      </c>
    </row>
    <row r="96" spans="1:110" s="66" customFormat="1" ht="4.5" customHeight="1" x14ac:dyDescent="0.2">
      <c r="A96" s="68"/>
      <c r="B96" s="477"/>
      <c r="C96" s="68"/>
      <c r="D96" s="68"/>
      <c r="E96" s="68"/>
      <c r="F96" s="68"/>
      <c r="G96" s="68"/>
      <c r="H96" s="68"/>
      <c r="I96" s="68"/>
      <c r="J96" s="136"/>
      <c r="K96" s="68"/>
      <c r="L96" s="68"/>
      <c r="M96" s="68"/>
      <c r="N96" s="68"/>
      <c r="O96" s="136"/>
      <c r="T96" s="136"/>
      <c r="Y96" s="118"/>
      <c r="Z96" s="68"/>
      <c r="AD96" s="118"/>
      <c r="AI96" s="136"/>
      <c r="AN96" s="118"/>
      <c r="AS96" s="118"/>
      <c r="AX96" s="665"/>
      <c r="BC96" s="118"/>
      <c r="BH96" s="118"/>
      <c r="BK96" s="196"/>
      <c r="BL96" s="196"/>
      <c r="BM96" s="118"/>
      <c r="BN96" s="196"/>
      <c r="BR96" s="118"/>
      <c r="BU96" s="196"/>
      <c r="BV96" s="196"/>
      <c r="BW96" s="118"/>
      <c r="CB96" s="118"/>
      <c r="CF96" s="196"/>
      <c r="CG96" s="118"/>
      <c r="CH96" s="196"/>
      <c r="CI96" s="196"/>
      <c r="CJ96" s="196"/>
      <c r="CK96" s="196"/>
      <c r="CL96" s="118"/>
      <c r="CM96" s="196"/>
      <c r="CN96" s="196"/>
      <c r="CO96" s="196"/>
      <c r="CP96" s="196"/>
      <c r="CQ96" s="118"/>
      <c r="CR96" s="196"/>
      <c r="CS96" s="196"/>
      <c r="CT96" s="196"/>
      <c r="CU96" s="196"/>
      <c r="CV96" s="118"/>
      <c r="CW96" s="196"/>
      <c r="CX96" s="196"/>
      <c r="CY96" s="196"/>
      <c r="CZ96" s="196"/>
      <c r="DA96" s="118"/>
      <c r="DB96" s="196"/>
      <c r="DC96" s="196"/>
      <c r="DD96" s="196"/>
      <c r="DE96" s="196"/>
      <c r="DF96" s="118"/>
    </row>
    <row r="97" spans="1:110" s="66" customFormat="1" x14ac:dyDescent="0.2">
      <c r="A97" s="68"/>
      <c r="B97" s="477" t="s">
        <v>266</v>
      </c>
      <c r="C97" s="68"/>
      <c r="D97" s="68"/>
      <c r="E97" s="68"/>
      <c r="F97" s="68"/>
      <c r="G97" s="68"/>
      <c r="H97" s="68"/>
      <c r="I97" s="68"/>
      <c r="J97" s="136"/>
      <c r="K97" s="68"/>
      <c r="L97" s="68"/>
      <c r="M97" s="68"/>
      <c r="N97" s="68"/>
      <c r="O97" s="136"/>
      <c r="T97" s="136"/>
      <c r="Y97" s="118"/>
      <c r="Z97" s="68"/>
      <c r="AD97" s="118"/>
      <c r="AI97" s="136"/>
      <c r="AN97" s="118"/>
      <c r="AS97" s="118"/>
      <c r="AT97" s="137">
        <f>AT69/AO69-1</f>
        <v>-5.0985494760298677E-2</v>
      </c>
      <c r="AU97" s="66">
        <f>AU69/AP69-1</f>
        <v>-4.0092571353340545E-2</v>
      </c>
      <c r="AV97" s="66">
        <f>AV69/AQ69-1</f>
        <v>-3.0673102730162105E-2</v>
      </c>
      <c r="AW97" s="66">
        <f>AW69/AR69-1</f>
        <v>0.10185198182459265</v>
      </c>
      <c r="AX97" s="1056">
        <v>-2.3183266574705041E-2</v>
      </c>
      <c r="AY97" s="66">
        <f>AY69/AT69-1</f>
        <v>0.26347266933149127</v>
      </c>
      <c r="AZ97" s="66">
        <f>AZ69/AU69-1</f>
        <v>0.23370686888385839</v>
      </c>
      <c r="BA97" s="66">
        <f>BA69/AV69-1</f>
        <v>0.23169916623109832</v>
      </c>
      <c r="BB97" s="66">
        <f>BB69/AW69-1</f>
        <v>0.11562735822436521</v>
      </c>
      <c r="BC97" s="1056">
        <v>0.02</v>
      </c>
      <c r="BD97" s="66">
        <f t="shared" ref="BD97:CK97" si="170">BD69/AY69-1</f>
        <v>-2.3115898818105718E-3</v>
      </c>
      <c r="BE97" s="66">
        <f t="shared" si="170"/>
        <v>5.0898036209094943E-3</v>
      </c>
      <c r="BF97" s="66">
        <f t="shared" si="170"/>
        <v>-1.0746302094354454E-2</v>
      </c>
      <c r="BG97" s="66">
        <f t="shared" si="170"/>
        <v>1.32126991570376E-2</v>
      </c>
      <c r="BH97" s="136">
        <f t="shared" si="170"/>
        <v>1.3139326677780172E-3</v>
      </c>
      <c r="BI97" s="66">
        <f t="shared" si="170"/>
        <v>0.11352399894802656</v>
      </c>
      <c r="BJ97" s="66">
        <f t="shared" si="170"/>
        <v>2.0354956737139753</v>
      </c>
      <c r="BK97" s="66">
        <f t="shared" si="170"/>
        <v>2.0091864513042688</v>
      </c>
      <c r="BL97" s="66">
        <f t="shared" si="170"/>
        <v>1.8670055096096148</v>
      </c>
      <c r="BM97" s="136">
        <f t="shared" si="170"/>
        <v>1.5114095617030361</v>
      </c>
      <c r="BN97" s="66">
        <f t="shared" si="170"/>
        <v>1.6439555990408894</v>
      </c>
      <c r="BO97" s="66">
        <f t="shared" si="170"/>
        <v>-8.8229766100378249E-2</v>
      </c>
      <c r="BP97" s="66">
        <f t="shared" si="170"/>
        <v>-8.9876537722365035E-2</v>
      </c>
      <c r="BQ97" s="66">
        <f t="shared" si="170"/>
        <v>-6.6961753937680335E-2</v>
      </c>
      <c r="BR97" s="136">
        <f t="shared" si="170"/>
        <v>0.1071574685089427</v>
      </c>
      <c r="BS97" s="66">
        <f t="shared" si="170"/>
        <v>-0.17936909470571627</v>
      </c>
      <c r="BT97" s="66">
        <f t="shared" si="170"/>
        <v>-0.10262320759980226</v>
      </c>
      <c r="BU97" s="66">
        <f t="shared" si="170"/>
        <v>-4.755696969635459E-2</v>
      </c>
      <c r="BV97" s="66">
        <f t="shared" si="170"/>
        <v>-5.3655185808237471E-2</v>
      </c>
      <c r="BW97" s="136">
        <f t="shared" si="170"/>
        <v>-9.7255254880770914E-2</v>
      </c>
      <c r="BX97" s="66">
        <f t="shared" si="170"/>
        <v>3.5440237393594032E-2</v>
      </c>
      <c r="BY97" s="66">
        <f t="shared" si="170"/>
        <v>-7.0305123804655922E-3</v>
      </c>
      <c r="BZ97" s="66">
        <f t="shared" si="170"/>
        <v>-5.2434641424847661E-2</v>
      </c>
      <c r="CA97" s="66">
        <f t="shared" si="170"/>
        <v>-7.5272842098085269E-3</v>
      </c>
      <c r="CB97" s="136">
        <f t="shared" si="170"/>
        <v>-8.7781862848199665E-3</v>
      </c>
      <c r="CC97" s="66">
        <f t="shared" si="170"/>
        <v>3.3112582781458233E-3</v>
      </c>
      <c r="CD97" s="66">
        <f t="shared" si="170"/>
        <v>-2.3178807947019875E-2</v>
      </c>
      <c r="CE97" s="66">
        <f t="shared" si="170"/>
        <v>0</v>
      </c>
      <c r="CF97" s="66">
        <f t="shared" si="170"/>
        <v>-2.5641025641025661E-2</v>
      </c>
      <c r="CG97" s="136">
        <f t="shared" si="170"/>
        <v>-1.1513157894737058E-2</v>
      </c>
      <c r="CH97" s="66">
        <f t="shared" si="170"/>
        <v>-4.2904290429042979E-2</v>
      </c>
      <c r="CI97" s="66">
        <f t="shared" si="170"/>
        <v>-6.7796610169491567E-3</v>
      </c>
      <c r="CJ97" s="66">
        <f t="shared" si="170"/>
        <v>-3.9999999999999925E-2</v>
      </c>
      <c r="CK97" s="66">
        <f t="shared" si="170"/>
        <v>-3.289473684210531E-2</v>
      </c>
      <c r="CL97" s="136">
        <f>CL69/CG69-1</f>
        <v>-3.0782029950083056E-2</v>
      </c>
      <c r="CM97" s="678">
        <f>CHOOSE(Scenarios!$C$30,Scenarios!AX38,Scenarios!AX39,Scenarios!AX40)</f>
        <v>-3.5000000000000003E-2</v>
      </c>
      <c r="CN97" s="678">
        <f>CHOOSE(Scenarios!$C$30,Scenarios!AY38,Scenarios!AY39,Scenarios!AY40)</f>
        <v>-3.5000000000000003E-2</v>
      </c>
      <c r="CO97" s="678">
        <f>CHOOSE(Scenarios!$C$30,Scenarios!AZ38,Scenarios!AZ39,Scenarios!AZ40)</f>
        <v>-5.0000000000000001E-3</v>
      </c>
      <c r="CP97" s="678">
        <f>CHOOSE(Scenarios!$C$30,Scenarios!BA38,Scenarios!BA39,Scenarios!BA40)</f>
        <v>-5.0000000000000001E-3</v>
      </c>
      <c r="CQ97" s="136">
        <f>CQ69/CL69-1</f>
        <v>-2.0012875536480568E-2</v>
      </c>
      <c r="CR97" s="678">
        <f>CHOOSE(Scenarios!$C$30,Scenarios!BC38,Scenarios!BC39,Scenarios!BC40)</f>
        <v>-5.0000000000000001E-3</v>
      </c>
      <c r="CS97" s="678">
        <f>CHOOSE(Scenarios!$C$30,Scenarios!BD38,Scenarios!BD39,Scenarios!BD40)</f>
        <v>-5.0000000000000001E-3</v>
      </c>
      <c r="CT97" s="678">
        <f>CHOOSE(Scenarios!$C$30,Scenarios!BE38,Scenarios!BE39,Scenarios!BE40)</f>
        <v>-5.0000000000000001E-3</v>
      </c>
      <c r="CU97" s="678">
        <f>CHOOSE(Scenarios!$C$30,Scenarios!BF38,Scenarios!BF39,Scenarios!BF40)</f>
        <v>-5.0000000000000001E-3</v>
      </c>
      <c r="CV97" s="136">
        <f>CV69/CQ69-1</f>
        <v>-5.0000000000001155E-3</v>
      </c>
      <c r="CW97" s="678">
        <f>CHOOSE(Scenarios!$C$30,Scenarios!BH38,Scenarios!BH39,Scenarios!BH40)</f>
        <v>-0.105</v>
      </c>
      <c r="CX97" s="678">
        <f>CHOOSE(Scenarios!$C$30,Scenarios!BI38,Scenarios!BI39,Scenarios!BI40)</f>
        <v>-0.105</v>
      </c>
      <c r="CY97" s="678">
        <f>CHOOSE(Scenarios!$C$30,Scenarios!BJ38,Scenarios!BJ39,Scenarios!BJ40)</f>
        <v>-0.105</v>
      </c>
      <c r="CZ97" s="678">
        <f>CHOOSE(Scenarios!$C$30,Scenarios!BK38,Scenarios!BK39,Scenarios!BK40)</f>
        <v>-0.105</v>
      </c>
      <c r="DA97" s="136">
        <f>DA69/CV69-1</f>
        <v>-0.10500000000000009</v>
      </c>
      <c r="DB97" s="678">
        <f>CHOOSE(Scenarios!$C$30,Scenarios!BM38,Scenarios!BM39,Scenarios!BM40)</f>
        <v>-0.115</v>
      </c>
      <c r="DC97" s="678">
        <f>CHOOSE(Scenarios!$C$30,Scenarios!BN38,Scenarios!BN39,Scenarios!BN40)</f>
        <v>-0.115</v>
      </c>
      <c r="DD97" s="678">
        <f>CHOOSE(Scenarios!$C$30,Scenarios!BO38,Scenarios!BO39,Scenarios!BO40)</f>
        <v>-0.115</v>
      </c>
      <c r="DE97" s="678">
        <f>CHOOSE(Scenarios!$C$30,Scenarios!BP38,Scenarios!BP39,Scenarios!BP40)</f>
        <v>-0.115</v>
      </c>
      <c r="DF97" s="136">
        <f>DF69/DA69-1</f>
        <v>-0.11499999999999988</v>
      </c>
    </row>
    <row r="98" spans="1:110" s="66" customFormat="1" ht="4.5" customHeight="1" x14ac:dyDescent="0.2">
      <c r="A98" s="68"/>
      <c r="B98" s="13"/>
      <c r="C98" s="68"/>
      <c r="D98" s="68"/>
      <c r="E98" s="68"/>
      <c r="F98" s="68"/>
      <c r="G98" s="68"/>
      <c r="H98" s="68"/>
      <c r="I98" s="68"/>
      <c r="J98" s="136"/>
      <c r="K98" s="68"/>
      <c r="L98" s="68"/>
      <c r="M98" s="68"/>
      <c r="N98" s="68"/>
      <c r="O98" s="136"/>
      <c r="T98" s="136"/>
      <c r="Y98" s="118"/>
      <c r="AD98" s="136"/>
      <c r="AI98" s="136"/>
      <c r="AN98" s="136"/>
      <c r="AS98" s="136"/>
      <c r="AX98" s="136"/>
      <c r="BC98" s="136"/>
      <c r="BH98" s="136"/>
      <c r="BL98" s="138"/>
      <c r="BM98" s="136"/>
      <c r="BN98" s="137"/>
      <c r="BR98" s="136"/>
      <c r="BW98" s="136"/>
      <c r="CB98" s="136"/>
      <c r="CF98" s="138"/>
      <c r="CG98" s="136"/>
      <c r="CH98" s="137"/>
      <c r="CL98" s="136"/>
      <c r="CM98" s="137"/>
      <c r="CP98" s="138"/>
      <c r="CQ98" s="136"/>
      <c r="CR98" s="137"/>
      <c r="CU98" s="138"/>
      <c r="CV98" s="136"/>
      <c r="CW98" s="137"/>
      <c r="CZ98" s="138"/>
      <c r="DA98" s="136"/>
      <c r="DB98" s="137"/>
      <c r="DE98" s="138"/>
      <c r="DF98" s="136"/>
    </row>
    <row r="99" spans="1:110" s="66" customFormat="1" x14ac:dyDescent="0.2">
      <c r="A99" s="68"/>
      <c r="B99" s="477" t="s">
        <v>7</v>
      </c>
      <c r="C99" s="68"/>
      <c r="D99" s="68"/>
      <c r="E99" s="68"/>
      <c r="F99" s="68"/>
      <c r="G99" s="68"/>
      <c r="H99" s="68"/>
      <c r="I99" s="68"/>
      <c r="J99" s="136"/>
      <c r="K99" s="68"/>
      <c r="L99" s="68"/>
      <c r="M99" s="68"/>
      <c r="N99" s="68"/>
      <c r="O99" s="136"/>
      <c r="T99" s="136"/>
      <c r="Y99" s="118"/>
      <c r="Z99" s="68"/>
      <c r="AD99" s="118"/>
      <c r="AI99" s="136"/>
      <c r="AN99" s="118"/>
      <c r="AS99" s="118"/>
      <c r="AT99" s="196">
        <v>4.7E-2</v>
      </c>
      <c r="AU99" s="196">
        <v>0.04</v>
      </c>
      <c r="AV99" s="196">
        <v>4.7E-2</v>
      </c>
      <c r="AW99" s="196">
        <v>4.7E-2</v>
      </c>
      <c r="AX99" s="1056">
        <v>4.5285893416927792E-2</v>
      </c>
      <c r="AY99" s="66">
        <f>AY73/AT73-1</f>
        <v>0.5469347715748587</v>
      </c>
      <c r="AZ99" s="66">
        <f>AZ73/AU73-1</f>
        <v>0.59189660683135603</v>
      </c>
      <c r="BA99" s="66">
        <f>BA73/AV73-1</f>
        <v>0.56669349863653173</v>
      </c>
      <c r="BB99" s="66">
        <f>BB73/AW73-1</f>
        <v>0.31331921227000437</v>
      </c>
      <c r="BC99" s="1056">
        <v>7.0000000000000007E-2</v>
      </c>
      <c r="BD99" s="66">
        <f t="shared" ref="BD99:CQ99" si="171">BD73/AY73-1</f>
        <v>5.5940475139816037E-2</v>
      </c>
      <c r="BE99" s="66">
        <f t="shared" si="171"/>
        <v>7.3565397308353653E-2</v>
      </c>
      <c r="BF99" s="66">
        <f t="shared" si="171"/>
        <v>6.0000000000000053E-2</v>
      </c>
      <c r="BG99" s="66">
        <f t="shared" si="171"/>
        <v>7.0000000000000062E-2</v>
      </c>
      <c r="BH99" s="136">
        <f t="shared" si="171"/>
        <v>6.4979866187787172E-2</v>
      </c>
      <c r="BI99" s="66">
        <f t="shared" si="171"/>
        <v>5.5940475139816037E-2</v>
      </c>
      <c r="BJ99" s="66">
        <f t="shared" si="171"/>
        <v>1.215924541699497</v>
      </c>
      <c r="BK99" s="66">
        <f t="shared" si="171"/>
        <v>1.2686487532536805</v>
      </c>
      <c r="BL99" s="138">
        <f t="shared" si="171"/>
        <v>1.2292066229307514</v>
      </c>
      <c r="BM99" s="136">
        <f t="shared" si="171"/>
        <v>0.95768618630385638</v>
      </c>
      <c r="BN99" s="137">
        <f t="shared" si="171"/>
        <v>1.257630218771062</v>
      </c>
      <c r="BO99" s="66">
        <f t="shared" si="171"/>
        <v>6.4828684279923054E-2</v>
      </c>
      <c r="BP99" s="66">
        <f t="shared" si="171"/>
        <v>6.4716463923581991E-2</v>
      </c>
      <c r="BQ99" s="66">
        <f t="shared" si="171"/>
        <v>6.4799913964876277E-2</v>
      </c>
      <c r="BR99" s="136">
        <f t="shared" si="171"/>
        <v>0.2173307623455849</v>
      </c>
      <c r="BS99" s="66">
        <f t="shared" si="171"/>
        <v>5.9605175498838259E-2</v>
      </c>
      <c r="BT99" s="66">
        <f t="shared" si="171"/>
        <v>5.9704269345470573E-2</v>
      </c>
      <c r="BU99" s="66">
        <f t="shared" si="171"/>
        <v>5.9479737693987289E-2</v>
      </c>
      <c r="BV99" s="66">
        <f t="shared" si="171"/>
        <v>5.9646709912463569E-2</v>
      </c>
      <c r="BW99" s="136">
        <f t="shared" si="171"/>
        <v>5.9608285025102736E-2</v>
      </c>
      <c r="BX99" s="66">
        <f t="shared" si="171"/>
        <v>7.4999999999999956E-2</v>
      </c>
      <c r="BY99" s="66">
        <f t="shared" si="171"/>
        <v>7.4999999999999956E-2</v>
      </c>
      <c r="BZ99" s="66">
        <f t="shared" si="171"/>
        <v>7.4999999999999956E-2</v>
      </c>
      <c r="CA99" s="66">
        <f t="shared" si="171"/>
        <v>7.4999999999999956E-2</v>
      </c>
      <c r="CB99" s="136">
        <f t="shared" si="171"/>
        <v>7.5000000000000178E-2</v>
      </c>
      <c r="CC99" s="66">
        <f t="shared" si="171"/>
        <v>7.4999999999999956E-2</v>
      </c>
      <c r="CD99" s="66">
        <f t="shared" si="171"/>
        <v>7.4999999999999956E-2</v>
      </c>
      <c r="CE99" s="66">
        <f t="shared" si="171"/>
        <v>7.5000000000000178E-2</v>
      </c>
      <c r="CF99" s="138">
        <f t="shared" si="171"/>
        <v>7.4999999999999956E-2</v>
      </c>
      <c r="CG99" s="136">
        <f t="shared" si="171"/>
        <v>7.4999999999999734E-2</v>
      </c>
      <c r="CH99" s="137">
        <f t="shared" si="171"/>
        <v>7.4999999999999956E-2</v>
      </c>
      <c r="CI99" s="66">
        <f t="shared" si="171"/>
        <v>7.0000000000000062E-2</v>
      </c>
      <c r="CJ99" s="66">
        <f t="shared" si="171"/>
        <v>6.999999999999984E-2</v>
      </c>
      <c r="CK99" s="66">
        <f t="shared" si="171"/>
        <v>7.0000000000000062E-2</v>
      </c>
      <c r="CL99" s="136">
        <f t="shared" si="171"/>
        <v>7.1185873736942185E-2</v>
      </c>
      <c r="CM99" s="137">
        <f t="shared" si="171"/>
        <v>-3.0000000000000027E-2</v>
      </c>
      <c r="CN99" s="66">
        <f t="shared" si="171"/>
        <v>-3.0000000000000138E-2</v>
      </c>
      <c r="CO99" s="66">
        <f t="shared" si="171"/>
        <v>-2.9999999999999916E-2</v>
      </c>
      <c r="CP99" s="138">
        <f t="shared" si="171"/>
        <v>-3.0000000000000027E-2</v>
      </c>
      <c r="CQ99" s="136">
        <f t="shared" si="171"/>
        <v>-3.0000000000000138E-2</v>
      </c>
      <c r="CR99" s="137">
        <f t="shared" ref="CR99" si="172">CR73/CM73-1</f>
        <v>3.0000000000000027E-2</v>
      </c>
      <c r="CS99" s="66">
        <f t="shared" ref="CS99" si="173">CS73/CN73-1</f>
        <v>3.0000000000000027E-2</v>
      </c>
      <c r="CT99" s="66">
        <f t="shared" ref="CT99" si="174">CT73/CO73-1</f>
        <v>3.0000000000000027E-2</v>
      </c>
      <c r="CU99" s="138">
        <f t="shared" ref="CU99" si="175">CU73/CP73-1</f>
        <v>3.0000000000000027E-2</v>
      </c>
      <c r="CV99" s="136">
        <f t="shared" ref="CV99" si="176">CV73/CQ73-1</f>
        <v>3.0000000000000249E-2</v>
      </c>
      <c r="CW99" s="137">
        <f t="shared" ref="CW99" si="177">CW73/CR73-1</f>
        <v>-7.0000000000000062E-2</v>
      </c>
      <c r="CX99" s="66">
        <f t="shared" ref="CX99" si="178">CX73/CS73-1</f>
        <v>-7.0000000000000062E-2</v>
      </c>
      <c r="CY99" s="66">
        <f t="shared" ref="CY99" si="179">CY73/CT73-1</f>
        <v>-7.0000000000000173E-2</v>
      </c>
      <c r="CZ99" s="138">
        <f t="shared" ref="CZ99" si="180">CZ73/CU73-1</f>
        <v>-7.0000000000000062E-2</v>
      </c>
      <c r="DA99" s="136">
        <f t="shared" ref="DA99" si="181">DA73/CV73-1</f>
        <v>-7.0000000000000062E-2</v>
      </c>
      <c r="DB99" s="137">
        <f t="shared" ref="DB99" si="182">DB73/CW73-1</f>
        <v>-6.9999999999999951E-2</v>
      </c>
      <c r="DC99" s="66">
        <f t="shared" ref="DC99" si="183">DC73/CX73-1</f>
        <v>-7.0000000000000062E-2</v>
      </c>
      <c r="DD99" s="66">
        <f t="shared" ref="DD99" si="184">DD73/CY73-1</f>
        <v>-7.0000000000000173E-2</v>
      </c>
      <c r="DE99" s="138">
        <f t="shared" ref="DE99" si="185">DE73/CZ73-1</f>
        <v>-7.0000000000000173E-2</v>
      </c>
      <c r="DF99" s="136">
        <f t="shared" ref="DF99" si="186">DF73/DA73-1</f>
        <v>-7.0000000000000284E-2</v>
      </c>
    </row>
    <row r="100" spans="1:110" s="66" customFormat="1" ht="4.5" customHeight="1" x14ac:dyDescent="0.2">
      <c r="A100" s="68"/>
      <c r="B100" s="13"/>
      <c r="C100" s="68"/>
      <c r="D100" s="68"/>
      <c r="E100" s="68"/>
      <c r="F100" s="68"/>
      <c r="G100" s="68"/>
      <c r="H100" s="68"/>
      <c r="I100" s="68"/>
      <c r="J100" s="136"/>
      <c r="K100" s="68"/>
      <c r="L100" s="68"/>
      <c r="M100" s="68"/>
      <c r="N100" s="68"/>
      <c r="O100" s="136"/>
      <c r="T100" s="136"/>
      <c r="Y100" s="118"/>
      <c r="AD100" s="136"/>
      <c r="AI100" s="136"/>
      <c r="AN100" s="136"/>
      <c r="AS100" s="136"/>
      <c r="AX100" s="136"/>
      <c r="BC100" s="136"/>
      <c r="BH100" s="136"/>
      <c r="BM100" s="136"/>
      <c r="BR100" s="136"/>
      <c r="BW100" s="136"/>
      <c r="CB100" s="136"/>
      <c r="CG100" s="136"/>
      <c r="CL100" s="136"/>
      <c r="CQ100" s="136"/>
      <c r="CV100" s="136"/>
      <c r="DA100" s="136"/>
      <c r="DF100" s="136"/>
    </row>
    <row r="101" spans="1:110" outlineLevel="1" x14ac:dyDescent="0.2">
      <c r="B101" s="13" t="s">
        <v>260</v>
      </c>
      <c r="C101" s="182"/>
      <c r="D101" s="182"/>
      <c r="E101" s="204"/>
      <c r="F101" s="204"/>
      <c r="G101" s="204"/>
      <c r="H101" s="204"/>
      <c r="I101" s="204"/>
      <c r="J101" s="136"/>
      <c r="K101" s="68"/>
      <c r="L101" s="68"/>
      <c r="M101" s="68"/>
      <c r="N101" s="68"/>
      <c r="O101" s="136"/>
      <c r="P101" s="66"/>
      <c r="Q101" s="66"/>
      <c r="R101" s="66"/>
      <c r="S101" s="66"/>
      <c r="T101" s="136"/>
      <c r="U101" s="66"/>
      <c r="V101" s="66"/>
      <c r="W101" s="66"/>
      <c r="X101" s="66"/>
      <c r="Y101" s="136"/>
      <c r="Z101" s="66"/>
      <c r="AA101" s="66"/>
      <c r="AB101" s="66"/>
      <c r="AC101" s="66"/>
      <c r="AD101" s="136"/>
      <c r="AE101" s="66"/>
      <c r="AF101" s="66"/>
      <c r="AG101" s="66"/>
      <c r="AH101" s="66"/>
      <c r="AI101" s="136"/>
      <c r="AJ101" s="66"/>
      <c r="AK101" s="66"/>
      <c r="AL101" s="66"/>
      <c r="AM101" s="66"/>
      <c r="AN101" s="136"/>
      <c r="AO101" s="66"/>
      <c r="AP101" s="66"/>
      <c r="AQ101" s="66"/>
      <c r="AR101" s="66"/>
      <c r="AS101" s="136"/>
      <c r="AT101" s="66">
        <f t="shared" ref="AT101:AZ101" si="187">AT74/AO74-1</f>
        <v>0</v>
      </c>
      <c r="AU101" s="66">
        <f t="shared" si="187"/>
        <v>-0.12500000000000011</v>
      </c>
      <c r="AV101" s="66">
        <f t="shared" si="187"/>
        <v>0.125</v>
      </c>
      <c r="AW101" s="66">
        <f t="shared" si="187"/>
        <v>0</v>
      </c>
      <c r="AX101" s="136">
        <f t="shared" si="187"/>
        <v>0</v>
      </c>
      <c r="AY101" s="196">
        <f t="shared" si="187"/>
        <v>0</v>
      </c>
      <c r="AZ101" s="196">
        <f t="shared" si="187"/>
        <v>0.14285714285714302</v>
      </c>
      <c r="BA101" s="196">
        <v>0</v>
      </c>
      <c r="BB101" s="196">
        <v>0</v>
      </c>
      <c r="BC101" s="136">
        <f>BC74/AX74-1</f>
        <v>0</v>
      </c>
      <c r="BD101" s="66">
        <f>BD76/AY76-1</f>
        <v>0.13242944332673501</v>
      </c>
      <c r="BE101" s="66">
        <f>BE76/AZ76-1</f>
        <v>0.11737304413321326</v>
      </c>
      <c r="BF101" s="66">
        <f>BF76/BA76-1</f>
        <v>0.12713113560702483</v>
      </c>
      <c r="BG101" s="66">
        <f>BG76/BB76-1</f>
        <v>0.16117291541691703</v>
      </c>
      <c r="BH101" s="136">
        <f>BH74/BC74-1</f>
        <v>-0.25000000000000011</v>
      </c>
      <c r="BI101" s="66">
        <f>BI76/BD76-1</f>
        <v>2.9985065407413414E-2</v>
      </c>
      <c r="BJ101" s="66">
        <f>BJ76/BE76-1</f>
        <v>0.99914325360533818</v>
      </c>
      <c r="BK101" s="66">
        <f>BK76/BF76-1</f>
        <v>0.99054911052152383</v>
      </c>
      <c r="BL101" s="66">
        <f>BL76/BG76-1</f>
        <v>0.9702013547985382</v>
      </c>
      <c r="BM101" s="136">
        <f>BM74/BH74-1</f>
        <v>-0.66666666666666663</v>
      </c>
      <c r="BN101" s="196">
        <v>0</v>
      </c>
      <c r="BO101" s="196">
        <v>0</v>
      </c>
      <c r="BP101" s="196">
        <v>1</v>
      </c>
      <c r="BQ101" s="196">
        <v>1</v>
      </c>
      <c r="BR101" s="136">
        <f>BR74/BM74-1</f>
        <v>-1</v>
      </c>
      <c r="BS101" s="196">
        <v>1</v>
      </c>
      <c r="BT101" s="196">
        <v>0</v>
      </c>
      <c r="BU101" s="196">
        <v>0</v>
      </c>
      <c r="BV101" s="196">
        <v>0</v>
      </c>
      <c r="BW101" s="616" t="s">
        <v>515</v>
      </c>
      <c r="BX101" s="196">
        <v>1</v>
      </c>
      <c r="BY101" s="196">
        <v>1</v>
      </c>
      <c r="BZ101" s="196">
        <v>1</v>
      </c>
      <c r="CA101" s="196">
        <v>1</v>
      </c>
      <c r="CB101" s="616" t="s">
        <v>515</v>
      </c>
      <c r="CC101" s="196">
        <v>1</v>
      </c>
      <c r="CD101" s="196">
        <v>1</v>
      </c>
      <c r="CE101" s="196">
        <v>1</v>
      </c>
      <c r="CF101" s="196">
        <v>0</v>
      </c>
      <c r="CG101" s="616" t="s">
        <v>515</v>
      </c>
      <c r="CH101" s="196">
        <v>0</v>
      </c>
      <c r="CI101" s="196">
        <v>0</v>
      </c>
      <c r="CJ101" s="1954">
        <v>0</v>
      </c>
      <c r="CK101" s="1954">
        <v>0</v>
      </c>
      <c r="CL101" s="616" t="s">
        <v>515</v>
      </c>
      <c r="CM101" s="196">
        <v>0</v>
      </c>
      <c r="CN101" s="196">
        <v>0</v>
      </c>
      <c r="CO101" s="196">
        <v>0</v>
      </c>
      <c r="CP101" s="196">
        <v>0</v>
      </c>
      <c r="CQ101" s="616" t="s">
        <v>515</v>
      </c>
      <c r="CR101" s="196">
        <v>0</v>
      </c>
      <c r="CS101" s="196">
        <v>0</v>
      </c>
      <c r="CT101" s="196">
        <v>0</v>
      </c>
      <c r="CU101" s="196">
        <v>0</v>
      </c>
      <c r="CV101" s="616" t="s">
        <v>515</v>
      </c>
      <c r="CW101" s="196">
        <v>0</v>
      </c>
      <c r="CX101" s="196">
        <v>0</v>
      </c>
      <c r="CY101" s="196">
        <v>0</v>
      </c>
      <c r="CZ101" s="196">
        <v>0</v>
      </c>
      <c r="DA101" s="616" t="s">
        <v>515</v>
      </c>
      <c r="DB101" s="196">
        <v>0</v>
      </c>
      <c r="DC101" s="196">
        <v>0</v>
      </c>
      <c r="DD101" s="196">
        <v>0</v>
      </c>
      <c r="DE101" s="196">
        <v>0</v>
      </c>
      <c r="DF101" s="616" t="s">
        <v>515</v>
      </c>
    </row>
    <row r="102" spans="1:110" ht="4.5" customHeight="1" x14ac:dyDescent="0.2">
      <c r="B102" s="202"/>
      <c r="C102" s="182"/>
      <c r="D102" s="182"/>
      <c r="E102" s="204"/>
      <c r="F102" s="204"/>
      <c r="G102" s="204"/>
      <c r="H102" s="204"/>
      <c r="I102" s="204"/>
      <c r="J102" s="136"/>
      <c r="K102" s="68"/>
      <c r="L102" s="68"/>
      <c r="M102" s="68"/>
      <c r="N102" s="68"/>
      <c r="O102" s="136"/>
      <c r="P102" s="66"/>
      <c r="Q102" s="66"/>
      <c r="R102" s="66"/>
      <c r="S102" s="66"/>
      <c r="T102" s="136"/>
      <c r="U102" s="66"/>
      <c r="V102" s="66"/>
      <c r="W102" s="66"/>
      <c r="X102" s="66"/>
      <c r="Y102" s="136"/>
      <c r="Z102" s="66"/>
      <c r="AA102" s="66"/>
      <c r="AB102" s="66"/>
      <c r="AC102" s="66"/>
      <c r="AD102" s="136"/>
      <c r="AE102" s="66"/>
      <c r="AF102" s="66"/>
      <c r="AG102" s="66"/>
      <c r="AH102" s="66"/>
      <c r="AI102" s="136"/>
      <c r="AJ102" s="66"/>
      <c r="AK102" s="66"/>
      <c r="AL102" s="66"/>
      <c r="AM102" s="66"/>
      <c r="AN102" s="136"/>
      <c r="AO102" s="196"/>
      <c r="AP102" s="66"/>
      <c r="AQ102" s="66"/>
      <c r="AR102" s="66"/>
      <c r="AS102" s="136"/>
      <c r="AT102" s="66"/>
      <c r="AU102" s="66"/>
      <c r="AV102" s="66"/>
      <c r="AW102" s="66"/>
      <c r="AX102" s="136"/>
      <c r="AY102" s="66"/>
      <c r="AZ102" s="66"/>
      <c r="BA102" s="66"/>
      <c r="BB102" s="66"/>
      <c r="BC102" s="136"/>
      <c r="BD102" s="66"/>
      <c r="BE102" s="66"/>
      <c r="BF102" s="66"/>
      <c r="BG102" s="66"/>
      <c r="BH102" s="136"/>
      <c r="BI102" s="66"/>
      <c r="BJ102" s="66"/>
      <c r="BK102" s="66"/>
      <c r="BL102" s="66"/>
      <c r="BM102" s="136"/>
      <c r="BN102" s="66"/>
      <c r="BO102" s="66"/>
      <c r="BP102" s="66"/>
      <c r="BQ102" s="66"/>
      <c r="BR102" s="136"/>
      <c r="BS102" s="66"/>
      <c r="BT102" s="66"/>
      <c r="BU102" s="66"/>
      <c r="BV102" s="66"/>
      <c r="BW102" s="136"/>
      <c r="BX102" s="66"/>
      <c r="BY102" s="66"/>
      <c r="BZ102" s="66"/>
      <c r="CA102" s="66"/>
      <c r="CB102" s="136"/>
      <c r="CC102" s="66"/>
      <c r="CD102" s="66"/>
      <c r="CE102" s="66"/>
      <c r="CF102" s="66"/>
      <c r="CG102" s="136"/>
      <c r="CH102" s="66"/>
      <c r="CI102" s="66"/>
      <c r="CJ102" s="66"/>
      <c r="CK102" s="66"/>
      <c r="CL102" s="136"/>
      <c r="CM102" s="66"/>
      <c r="CN102" s="66"/>
      <c r="CO102" s="66"/>
      <c r="CP102" s="66"/>
      <c r="CQ102" s="136"/>
      <c r="CR102" s="66"/>
      <c r="CS102" s="66"/>
      <c r="CT102" s="66"/>
      <c r="CU102" s="66"/>
      <c r="CV102" s="136"/>
      <c r="CW102" s="66"/>
      <c r="CX102" s="66"/>
      <c r="CY102" s="66"/>
      <c r="CZ102" s="66"/>
      <c r="DA102" s="136"/>
      <c r="DB102" s="66"/>
      <c r="DC102" s="66"/>
      <c r="DD102" s="66"/>
      <c r="DE102" s="66"/>
      <c r="DF102" s="136"/>
    </row>
    <row r="103" spans="1:110" ht="12" thickBot="1" x14ac:dyDescent="0.25">
      <c r="B103" s="216" t="s">
        <v>338</v>
      </c>
      <c r="C103" s="211"/>
      <c r="D103" s="211"/>
      <c r="E103" s="217"/>
      <c r="F103" s="217"/>
      <c r="G103" s="217"/>
      <c r="H103" s="217"/>
      <c r="I103" s="217"/>
      <c r="J103" s="141">
        <v>3.2793281235549809E-2</v>
      </c>
      <c r="K103" s="120">
        <v>0.14722054661036599</v>
      </c>
      <c r="L103" s="120">
        <v>0.31123819225782534</v>
      </c>
      <c r="M103" s="120">
        <v>0.27198713900212423</v>
      </c>
      <c r="N103" s="120">
        <v>0.19291636810318336</v>
      </c>
      <c r="O103" s="141">
        <v>0.22976357373315093</v>
      </c>
      <c r="P103" s="140">
        <v>0.21188128823499697</v>
      </c>
      <c r="Q103" s="140">
        <v>7.150172155027823E-2</v>
      </c>
      <c r="R103" s="140">
        <v>4.5318720603768181E-2</v>
      </c>
      <c r="S103" s="140">
        <v>5.1511979130912433E-2</v>
      </c>
      <c r="T103" s="141">
        <v>9.1191247679033305E-2</v>
      </c>
      <c r="U103" s="140">
        <v>1.5344308254553685E-2</v>
      </c>
      <c r="V103" s="140">
        <v>3.0444347403373095E-2</v>
      </c>
      <c r="W103" s="140">
        <v>0.13893998670017504</v>
      </c>
      <c r="X103" s="120">
        <v>0.13433274304507137</v>
      </c>
      <c r="Y103" s="121">
        <v>7.9414365193890779E-2</v>
      </c>
      <c r="Z103" s="120">
        <v>0.16527512984024706</v>
      </c>
      <c r="AA103" s="140">
        <v>0.12662316893750414</v>
      </c>
      <c r="AB103" s="140">
        <v>3.8831049674322715E-2</v>
      </c>
      <c r="AC103" s="140">
        <v>3.4532374100719521E-2</v>
      </c>
      <c r="AD103" s="141">
        <v>8.8613317208590781E-2</v>
      </c>
      <c r="AE103" s="140">
        <v>-4.8660084626233946E-2</v>
      </c>
      <c r="AF103" s="140">
        <v>-8.0198722498225572E-2</v>
      </c>
      <c r="AG103" s="140">
        <v>-8.7591240875912524E-2</v>
      </c>
      <c r="AH103" s="140">
        <v>-9.5966620305980577E-2</v>
      </c>
      <c r="AI103" s="141">
        <v>-7.8083407275953864E-2</v>
      </c>
      <c r="AJ103" s="140">
        <f t="shared" ref="AJ103:BH103" si="188">AJ77/AE77-1</f>
        <v>-5.1148999258710193E-2</v>
      </c>
      <c r="AK103" s="140">
        <f t="shared" si="188"/>
        <v>-2.777777777777779E-2</v>
      </c>
      <c r="AL103" s="140">
        <f t="shared" si="188"/>
        <v>-8.799999999999919E-3</v>
      </c>
      <c r="AM103" s="140">
        <f t="shared" si="188"/>
        <v>-7.692307692307665E-3</v>
      </c>
      <c r="AN103" s="141">
        <f t="shared" si="188"/>
        <v>-2.4254090471607315E-2</v>
      </c>
      <c r="AO103" s="140">
        <f t="shared" ref="AO103:AX103" ca="1" si="189">AO77/AJ77-1</f>
        <v>1.2363899326198968E-2</v>
      </c>
      <c r="AP103" s="140">
        <f t="shared" ca="1" si="189"/>
        <v>1.6477701806103973E-2</v>
      </c>
      <c r="AQ103" s="140">
        <f t="shared" ca="1" si="189"/>
        <v>-3.6093359742774833E-3</v>
      </c>
      <c r="AR103" s="140">
        <f t="shared" ca="1" si="189"/>
        <v>-3.2240786280052669E-2</v>
      </c>
      <c r="AS103" s="141">
        <f t="shared" ca="1" si="189"/>
        <v>-1.8691825133501094E-3</v>
      </c>
      <c r="AT103" s="140">
        <f t="shared" ca="1" si="189"/>
        <v>-4.2309538452237616E-2</v>
      </c>
      <c r="AU103" s="140">
        <f t="shared" ca="1" si="189"/>
        <v>-1.9333729550376155E-2</v>
      </c>
      <c r="AV103" s="140">
        <f t="shared" ca="1" si="189"/>
        <v>2.3063038276430747E-2</v>
      </c>
      <c r="AW103" s="140">
        <f t="shared" ca="1" si="189"/>
        <v>0.2383758226350623</v>
      </c>
      <c r="AX103" s="141">
        <f t="shared" ca="1" si="189"/>
        <v>4.87150237649705E-2</v>
      </c>
      <c r="AY103" s="140">
        <f t="shared" si="188"/>
        <v>0.50362610797743756</v>
      </c>
      <c r="AZ103" s="140">
        <f t="shared" si="188"/>
        <v>0.50557324840764339</v>
      </c>
      <c r="BA103" s="140">
        <f t="shared" si="188"/>
        <v>0.47980997624703092</v>
      </c>
      <c r="BB103" s="140">
        <f t="shared" si="188"/>
        <v>0.23738680465717987</v>
      </c>
      <c r="BC103" s="141">
        <f t="shared" si="188"/>
        <v>0.42084432717678122</v>
      </c>
      <c r="BD103" s="140">
        <f t="shared" si="188"/>
        <v>0.11471887243441459</v>
      </c>
      <c r="BE103" s="140">
        <f t="shared" si="188"/>
        <v>0.10051753442577249</v>
      </c>
      <c r="BF103" s="140">
        <f t="shared" si="188"/>
        <v>0.10999898093173655</v>
      </c>
      <c r="BG103" s="140">
        <f t="shared" si="188"/>
        <v>0.14201529012023006</v>
      </c>
      <c r="BH103" s="141">
        <f t="shared" si="188"/>
        <v>0.11691304137460778</v>
      </c>
      <c r="BI103" s="140">
        <f>BI78/BD78-1</f>
        <v>3.6002149382052817E-2</v>
      </c>
      <c r="BJ103" s="140">
        <f>BJ78/BE78-1</f>
        <v>1.144857296715132</v>
      </c>
      <c r="BK103" s="140">
        <f t="shared" ref="BK103:BR103" si="190">BK77/BF77-1</f>
        <v>1.1083057710795852</v>
      </c>
      <c r="BL103" s="140">
        <f t="shared" si="190"/>
        <v>1.0866579598043233</v>
      </c>
      <c r="BM103" s="141">
        <f t="shared" si="190"/>
        <v>0.8406862926746157</v>
      </c>
      <c r="BN103" s="140">
        <f t="shared" si="190"/>
        <v>1.0064316806508908</v>
      </c>
      <c r="BO103" s="140">
        <f t="shared" si="190"/>
        <v>-7.1755678275382651E-2</v>
      </c>
      <c r="BP103" s="140">
        <f t="shared" si="190"/>
        <v>-9.0942528473266004E-2</v>
      </c>
      <c r="BQ103" s="140">
        <f t="shared" si="190"/>
        <v>-0.12297983841778426</v>
      </c>
      <c r="BR103" s="141">
        <f t="shared" si="190"/>
        <v>5.7479002110568445E-2</v>
      </c>
      <c r="BS103" s="140">
        <f>BS78/BN78-1</f>
        <v>-0.17948717948717952</v>
      </c>
      <c r="BT103" s="140">
        <f>BT78/BO78-1</f>
        <v>-0.12208987547374117</v>
      </c>
      <c r="BU103" s="140">
        <f>BU78/BP78-1</f>
        <v>-8.3216978497626437E-2</v>
      </c>
      <c r="BV103" s="140">
        <f>BV78/BQ78-1</f>
        <v>-6.5705572497920639E-2</v>
      </c>
      <c r="BW103" s="141">
        <f>BW77/BR77-1</f>
        <v>-0.11545816876695891</v>
      </c>
      <c r="BX103" s="140">
        <f>BX78/BS78-1</f>
        <v>6.4375000000000071E-2</v>
      </c>
      <c r="BY103" s="140">
        <f>BY78/BT78-1</f>
        <v>0.10021584952204754</v>
      </c>
      <c r="BZ103" s="140">
        <f>BZ78/BU78-1</f>
        <v>0.11239719768504419</v>
      </c>
      <c r="CA103" s="140">
        <f>CA78/BV78-1</f>
        <v>0.12462908011869445</v>
      </c>
      <c r="CB103" s="141">
        <f>CB77/BW77-1</f>
        <v>-5.6443138876222099E-3</v>
      </c>
      <c r="CC103" s="140">
        <f>CC78/BX78-1</f>
        <v>4.6095126247797991E-2</v>
      </c>
      <c r="CD103" s="140">
        <f>CD78/BY78-1</f>
        <v>-2.1020179372197356E-2</v>
      </c>
      <c r="CE103" s="140">
        <f>CE78/BZ78-1</f>
        <v>-4.9561883899233217E-2</v>
      </c>
      <c r="CF103" s="140">
        <f t="shared" ref="CF103:CK103" si="191">CF77/CA77-1</f>
        <v>-6.358839050131937E-2</v>
      </c>
      <c r="CG103" s="141">
        <f t="shared" si="191"/>
        <v>-2.358490566037752E-2</v>
      </c>
      <c r="CH103" s="140">
        <f t="shared" si="191"/>
        <v>-1.2910468706146427E-2</v>
      </c>
      <c r="CI103" s="140">
        <f t="shared" si="191"/>
        <v>1.4314342971659677E-3</v>
      </c>
      <c r="CJ103" s="140">
        <f t="shared" si="191"/>
        <v>-1.0083549409391934E-2</v>
      </c>
      <c r="CK103" s="140">
        <f t="shared" si="191"/>
        <v>2.5359256128487662E-3</v>
      </c>
      <c r="CL103" s="141">
        <f t="shared" ref="CL103:CQ103" si="192">CL77/CG77-1</f>
        <v>-4.7598749644786054E-3</v>
      </c>
      <c r="CM103" s="140">
        <f t="shared" si="192"/>
        <v>-4.0169178276940776E-2</v>
      </c>
      <c r="CN103" s="140">
        <f t="shared" si="192"/>
        <v>-4.0788879359634156E-2</v>
      </c>
      <c r="CO103" s="140">
        <f t="shared" si="192"/>
        <v>-1.0455762514551825E-2</v>
      </c>
      <c r="CP103" s="140">
        <f t="shared" si="192"/>
        <v>-9.4696458684654372E-3</v>
      </c>
      <c r="CQ103" s="141">
        <f t="shared" si="192"/>
        <v>-2.5239024912556252E-2</v>
      </c>
      <c r="CR103" s="140">
        <f t="shared" ref="CR103" si="193">CR77/CM77-1</f>
        <v>-1.0317115582578529E-2</v>
      </c>
      <c r="CS103" s="140">
        <f t="shared" ref="CS103" si="194">CS77/CN77-1</f>
        <v>-1.0289366544864897E-2</v>
      </c>
      <c r="CT103" s="140">
        <f t="shared" ref="CT103" si="195">CT77/CO77-1</f>
        <v>-1.0289105472410576E-2</v>
      </c>
      <c r="CU103" s="140">
        <f t="shared" ref="CU103" si="196">CU77/CP77-1</f>
        <v>-1.0315027890589357E-2</v>
      </c>
      <c r="CV103" s="141">
        <f t="shared" ref="CV103" si="197">CV77/CQ77-1</f>
        <v>-1.0302784208167881E-2</v>
      </c>
      <c r="CW103" s="140">
        <f t="shared" ref="CW103" si="198">CW77/CR77-1</f>
        <v>-0.10499999999999987</v>
      </c>
      <c r="CX103" s="140">
        <f t="shared" ref="CX103" si="199">CX77/CS77-1</f>
        <v>-0.10500000000000009</v>
      </c>
      <c r="CY103" s="140">
        <f t="shared" ref="CY103" si="200">CY77/CT77-1</f>
        <v>-0.10499999999999998</v>
      </c>
      <c r="CZ103" s="140">
        <f t="shared" ref="CZ103" si="201">CZ77/CU77-1</f>
        <v>-0.10499999999999998</v>
      </c>
      <c r="DA103" s="141">
        <f t="shared" ref="DA103" si="202">DA77/CV77-1</f>
        <v>-0.1050000000000002</v>
      </c>
      <c r="DB103" s="140">
        <f t="shared" ref="DB103" si="203">DB77/CW77-1</f>
        <v>-0.11499999999999988</v>
      </c>
      <c r="DC103" s="140">
        <f t="shared" ref="DC103" si="204">DC77/CX77-1</f>
        <v>-0.1150000000000001</v>
      </c>
      <c r="DD103" s="140">
        <f t="shared" ref="DD103" si="205">DD77/CY77-1</f>
        <v>-0.11500000000000021</v>
      </c>
      <c r="DE103" s="140">
        <f t="shared" ref="DE103" si="206">DE77/CZ77-1</f>
        <v>-0.1150000000000001</v>
      </c>
      <c r="DF103" s="141">
        <f t="shared" ref="DF103" si="207">DF77/DA77-1</f>
        <v>-0.11499999999999999</v>
      </c>
    </row>
    <row r="104" spans="1:110" s="40" customFormat="1" ht="12" outlineLevel="1" thickBot="1" x14ac:dyDescent="0.25">
      <c r="A104" s="175"/>
      <c r="B104" s="185"/>
      <c r="C104" s="185"/>
      <c r="D104" s="185"/>
      <c r="E104" s="201"/>
      <c r="F104" s="201"/>
      <c r="G104" s="201"/>
      <c r="H104" s="201"/>
      <c r="I104" s="201"/>
      <c r="J104" s="201"/>
      <c r="K104" s="201"/>
      <c r="L104" s="201"/>
      <c r="M104" s="201"/>
      <c r="N104" s="201"/>
      <c r="O104" s="201"/>
      <c r="P104" s="201"/>
      <c r="Q104" s="201"/>
      <c r="R104" s="201"/>
      <c r="S104" s="201"/>
      <c r="T104" s="201"/>
      <c r="U104" s="201"/>
      <c r="V104" s="201"/>
      <c r="W104" s="201"/>
      <c r="X104" s="201"/>
      <c r="Y104" s="201"/>
      <c r="Z104" s="201"/>
      <c r="AA104" s="201"/>
      <c r="AB104" s="201"/>
      <c r="AC104" s="201"/>
      <c r="AD104" s="201"/>
      <c r="AE104" s="201"/>
      <c r="AF104" s="201"/>
      <c r="AG104" s="201"/>
      <c r="AH104" s="201"/>
      <c r="AI104" s="201"/>
      <c r="AJ104" s="201"/>
      <c r="AK104" s="201"/>
      <c r="AL104" s="201"/>
      <c r="AM104" s="201"/>
      <c r="AN104" s="201"/>
      <c r="AO104" s="201"/>
      <c r="AP104" s="201"/>
      <c r="AQ104" s="201"/>
      <c r="AR104" s="201"/>
      <c r="AS104" s="201"/>
      <c r="AT104" s="201"/>
      <c r="AU104" s="201"/>
      <c r="AV104" s="201"/>
      <c r="AW104" s="201"/>
      <c r="AX104" s="201"/>
      <c r="AY104" s="201"/>
      <c r="AZ104" s="201"/>
      <c r="BA104" s="201"/>
      <c r="BB104" s="201"/>
      <c r="BC104" s="201"/>
      <c r="BD104" s="201"/>
      <c r="BE104" s="201"/>
      <c r="BF104" s="201"/>
      <c r="BG104" s="201"/>
      <c r="BH104" s="201"/>
      <c r="BI104" s="201"/>
      <c r="BJ104" s="201"/>
      <c r="BK104" s="201"/>
      <c r="BL104" s="201"/>
      <c r="BM104" s="201"/>
      <c r="BN104" s="201"/>
      <c r="BO104" s="201"/>
      <c r="BP104" s="201"/>
      <c r="BQ104" s="201"/>
      <c r="BR104" s="201"/>
      <c r="BS104" s="201"/>
      <c r="BT104" s="201"/>
      <c r="BU104" s="201"/>
      <c r="BV104" s="201"/>
      <c r="BW104" s="201"/>
      <c r="BX104" s="201"/>
      <c r="BY104" s="201"/>
      <c r="BZ104" s="201"/>
      <c r="CA104" s="201"/>
      <c r="CB104" s="201"/>
      <c r="CC104" s="201"/>
      <c r="CD104" s="201"/>
      <c r="CE104" s="201"/>
      <c r="CF104" s="201"/>
      <c r="CG104" s="201"/>
      <c r="CH104" s="201"/>
      <c r="CI104" s="201"/>
      <c r="CJ104" s="201"/>
      <c r="CK104" s="201"/>
      <c r="CL104" s="201"/>
      <c r="CM104" s="201"/>
      <c r="CN104" s="201"/>
      <c r="CO104" s="198"/>
      <c r="CP104" s="201"/>
      <c r="CQ104" s="201"/>
      <c r="CR104" s="201"/>
      <c r="CS104" s="201"/>
      <c r="CT104" s="201"/>
      <c r="CU104" s="201"/>
      <c r="CV104" s="201"/>
      <c r="CW104" s="201"/>
      <c r="CX104" s="201"/>
      <c r="CY104" s="201"/>
      <c r="CZ104" s="201"/>
      <c r="DA104" s="201"/>
      <c r="DB104" s="201"/>
      <c r="DC104" s="201"/>
      <c r="DD104" s="201"/>
      <c r="DE104" s="201"/>
      <c r="DF104" s="201"/>
    </row>
    <row r="105" spans="1:110" ht="12" outlineLevel="1" thickBot="1" x14ac:dyDescent="0.25">
      <c r="B105" s="862" t="s">
        <v>262</v>
      </c>
      <c r="C105" s="866"/>
      <c r="D105" s="866"/>
      <c r="E105" s="819"/>
      <c r="F105" s="819"/>
      <c r="G105" s="819"/>
      <c r="H105" s="819"/>
      <c r="I105" s="819"/>
      <c r="J105" s="819"/>
      <c r="K105" s="819"/>
      <c r="L105" s="819"/>
      <c r="M105" s="819"/>
      <c r="N105" s="819"/>
      <c r="O105" s="819"/>
      <c r="P105" s="819"/>
      <c r="Q105" s="819"/>
      <c r="R105" s="819"/>
      <c r="S105" s="819"/>
      <c r="T105" s="819"/>
      <c r="U105" s="819"/>
      <c r="V105" s="819"/>
      <c r="W105" s="819"/>
      <c r="X105" s="819"/>
      <c r="Y105" s="819"/>
      <c r="Z105" s="819"/>
      <c r="AA105" s="819"/>
      <c r="AB105" s="820"/>
      <c r="AC105" s="819"/>
      <c r="AD105" s="819"/>
      <c r="AE105" s="819"/>
      <c r="AF105" s="819"/>
      <c r="AG105" s="819"/>
      <c r="AH105" s="819"/>
      <c r="AI105" s="819"/>
      <c r="AJ105" s="819"/>
      <c r="AK105" s="819"/>
      <c r="AL105" s="819"/>
      <c r="AM105" s="819"/>
      <c r="AN105" s="819"/>
      <c r="AO105" s="819"/>
      <c r="AP105" s="819"/>
      <c r="AQ105" s="819"/>
      <c r="AR105" s="819"/>
      <c r="AS105" s="819"/>
      <c r="AT105" s="819"/>
      <c r="AU105" s="819"/>
      <c r="AV105" s="819"/>
      <c r="AW105" s="819"/>
      <c r="AX105" s="819"/>
      <c r="AY105" s="819"/>
      <c r="AZ105" s="819"/>
      <c r="BA105" s="819"/>
      <c r="BB105" s="819"/>
      <c r="BC105" s="819"/>
      <c r="BD105" s="819"/>
      <c r="BE105" s="819"/>
      <c r="BF105" s="819"/>
      <c r="BG105" s="819"/>
      <c r="BH105" s="878"/>
      <c r="BI105" s="878"/>
      <c r="BJ105" s="819"/>
      <c r="BK105" s="819"/>
      <c r="BL105" s="819"/>
      <c r="BM105" s="819"/>
      <c r="BN105" s="819"/>
      <c r="BO105" s="819"/>
      <c r="BP105" s="819"/>
      <c r="BQ105" s="819"/>
      <c r="BR105" s="819"/>
      <c r="BS105" s="819"/>
      <c r="BT105" s="819"/>
      <c r="BU105" s="819"/>
      <c r="BV105" s="819"/>
      <c r="BW105" s="819"/>
      <c r="BX105" s="819"/>
      <c r="BY105" s="819"/>
      <c r="BZ105" s="819"/>
      <c r="CA105" s="819"/>
      <c r="CB105" s="872"/>
      <c r="CC105" s="819"/>
      <c r="CD105" s="819"/>
      <c r="CE105" s="819"/>
      <c r="CF105" s="819"/>
      <c r="CG105" s="872"/>
      <c r="CH105" s="819"/>
      <c r="CI105" s="819"/>
      <c r="CJ105" s="819"/>
      <c r="CK105" s="819"/>
      <c r="CL105" s="872"/>
      <c r="CM105" s="819"/>
      <c r="CN105" s="819"/>
      <c r="CO105" s="819"/>
      <c r="CP105" s="819"/>
      <c r="CQ105" s="872"/>
      <c r="CR105" s="819"/>
      <c r="CS105" s="819"/>
      <c r="CT105" s="819"/>
      <c r="CU105" s="819"/>
      <c r="CV105" s="872"/>
      <c r="CW105" s="819"/>
      <c r="CX105" s="819"/>
      <c r="CY105" s="819"/>
      <c r="CZ105" s="819"/>
      <c r="DA105" s="872"/>
      <c r="DB105" s="819"/>
      <c r="DC105" s="819"/>
      <c r="DD105" s="819"/>
      <c r="DE105" s="819"/>
      <c r="DF105" s="872"/>
    </row>
    <row r="106" spans="1:110" outlineLevel="1" x14ac:dyDescent="0.2">
      <c r="B106" s="483" t="s">
        <v>281</v>
      </c>
      <c r="C106" s="206"/>
      <c r="D106" s="206"/>
      <c r="E106" s="215">
        <v>0.86580967354110805</v>
      </c>
      <c r="F106" s="207">
        <v>0.83923019813465738</v>
      </c>
      <c r="G106" s="207">
        <v>0.82551166882756055</v>
      </c>
      <c r="H106" s="207">
        <v>0.80809553884136187</v>
      </c>
      <c r="I106" s="207">
        <v>0.81857917903572519</v>
      </c>
      <c r="J106" s="215">
        <v>0.82268169900073607</v>
      </c>
      <c r="K106" s="207">
        <v>0.81007128772941006</v>
      </c>
      <c r="L106" s="207">
        <v>0.80877549218681033</v>
      </c>
      <c r="M106" s="207">
        <v>0.80227676919049207</v>
      </c>
      <c r="N106" s="207">
        <v>0.80909761790348045</v>
      </c>
      <c r="O106" s="215">
        <v>0.80751447191174863</v>
      </c>
      <c r="P106" s="166">
        <v>0.8065732713664695</v>
      </c>
      <c r="Q106" s="166">
        <v>0.79118226235694455</v>
      </c>
      <c r="R106" s="166">
        <v>0.78095016020243369</v>
      </c>
      <c r="S106" s="166">
        <v>0.78185720464505182</v>
      </c>
      <c r="T106" s="214">
        <v>0.79017533177075072</v>
      </c>
      <c r="U106" s="166">
        <v>0.76849812635592663</v>
      </c>
      <c r="V106" s="166">
        <v>0.76544009467152818</v>
      </c>
      <c r="W106" s="166">
        <v>0.77179839094927938</v>
      </c>
      <c r="X106" s="207">
        <v>0.7769784172661871</v>
      </c>
      <c r="Y106" s="215">
        <v>0.77087732380788632</v>
      </c>
      <c r="Z106" s="208">
        <v>0.78631875881523283</v>
      </c>
      <c r="AA106" s="54">
        <v>0.77714691270404535</v>
      </c>
      <c r="AB106" s="208">
        <v>0.77080291970802917</v>
      </c>
      <c r="AC106" s="208">
        <v>0.7726008344923504</v>
      </c>
      <c r="AD106" s="215">
        <v>0.77675244010647748</v>
      </c>
      <c r="AE106" s="207">
        <v>0.75908080059303185</v>
      </c>
      <c r="AF106" s="207">
        <v>0.74768518518518512</v>
      </c>
      <c r="AG106" s="208">
        <v>0.74480000000000002</v>
      </c>
      <c r="AH106" s="207">
        <v>0.75230769230769223</v>
      </c>
      <c r="AI106" s="215">
        <v>0.75110683349374396</v>
      </c>
      <c r="AJ106" s="207">
        <f>AJ67/AJ77</f>
        <v>0.75624999999999998</v>
      </c>
      <c r="AK106" s="207">
        <f>AK67/AK77</f>
        <v>0.74761904761904763</v>
      </c>
      <c r="AL106" s="207">
        <f>AL67/AL77</f>
        <v>0.74334140435835339</v>
      </c>
      <c r="AM106" s="207">
        <f>AM67/AM77</f>
        <v>0.75116279069767444</v>
      </c>
      <c r="AN106" s="215">
        <f>AN67/AN77</f>
        <v>0.74965476425330446</v>
      </c>
      <c r="AO106" s="207">
        <f ca="1">AO67/AO$77</f>
        <v>0.75781791558412792</v>
      </c>
      <c r="AP106" s="207">
        <f ca="1">AP67/AP$77</f>
        <v>0.75033462253351002</v>
      </c>
      <c r="AQ106" s="207">
        <f ca="1">AQ67/AQ$77</f>
        <v>0.74117393509337626</v>
      </c>
      <c r="AR106" s="207">
        <f ca="1">AR67/AR$77</f>
        <v>0.75135609419902227</v>
      </c>
      <c r="AS106" s="215">
        <f ca="1">AS67/AS$77</f>
        <v>0.75026804187934937</v>
      </c>
      <c r="AT106" s="207">
        <f t="shared" ref="AT106:BT106" si="208">AT67/AT$77</f>
        <v>0.75906526994359391</v>
      </c>
      <c r="AU106" s="207">
        <f t="shared" si="208"/>
        <v>0.75398089171974525</v>
      </c>
      <c r="AV106" s="207">
        <f t="shared" si="208"/>
        <v>0.75376088677751385</v>
      </c>
      <c r="AW106" s="207">
        <f t="shared" si="208"/>
        <v>0.77749029754204402</v>
      </c>
      <c r="AX106" s="215">
        <f t="shared" si="208"/>
        <v>0.76196758386732</v>
      </c>
      <c r="AY106" s="207">
        <f t="shared" si="208"/>
        <v>0.79849946409431938</v>
      </c>
      <c r="AZ106" s="207">
        <f t="shared" si="208"/>
        <v>0.79851930195663667</v>
      </c>
      <c r="BA106" s="207">
        <f t="shared" si="208"/>
        <v>0.79668271803103263</v>
      </c>
      <c r="BB106" s="207">
        <f t="shared" si="208"/>
        <v>0.80031364349189749</v>
      </c>
      <c r="BC106" s="215">
        <f t="shared" si="208"/>
        <v>0.79851439182915496</v>
      </c>
      <c r="BD106" s="207">
        <f t="shared" si="208"/>
        <v>0.82067871657421787</v>
      </c>
      <c r="BE106" s="207">
        <f t="shared" si="208"/>
        <v>0.81884394488244339</v>
      </c>
      <c r="BF106" s="207">
        <f t="shared" si="208"/>
        <v>0.81875920292770366</v>
      </c>
      <c r="BG106" s="207">
        <f t="shared" si="208"/>
        <v>0.82377243482755624</v>
      </c>
      <c r="BH106" s="215">
        <f t="shared" si="208"/>
        <v>0.82055500110311397</v>
      </c>
      <c r="BI106" s="207">
        <f t="shared" si="208"/>
        <v>0.8150738003563599</v>
      </c>
      <c r="BJ106" s="207">
        <f t="shared" si="208"/>
        <v>0.74470972334018182</v>
      </c>
      <c r="BK106" s="207">
        <f t="shared" si="208"/>
        <v>0.74644856831642126</v>
      </c>
      <c r="BL106" s="207">
        <f t="shared" si="208"/>
        <v>0.7551917554900881</v>
      </c>
      <c r="BM106" s="215">
        <f t="shared" si="208"/>
        <v>0.75805403463563603</v>
      </c>
      <c r="BN106" s="207">
        <f t="shared" si="208"/>
        <v>0.75175198675314048</v>
      </c>
      <c r="BO106" s="207">
        <f t="shared" si="208"/>
        <v>0.74815823522930791</v>
      </c>
      <c r="BP106" s="207">
        <f t="shared" si="208"/>
        <v>0.74547895781172613</v>
      </c>
      <c r="BQ106" s="207">
        <f t="shared" si="208"/>
        <v>0.74662619522464158</v>
      </c>
      <c r="BR106" s="215">
        <f t="shared" si="208"/>
        <v>0.74808139257091866</v>
      </c>
      <c r="BS106" s="207">
        <f t="shared" si="208"/>
        <v>0.74717863702202925</v>
      </c>
      <c r="BT106" s="207">
        <f t="shared" si="208"/>
        <v>0.74033281274527429</v>
      </c>
      <c r="BU106" s="207">
        <f t="shared" ref="BU106:CQ106" si="209">BU67/BU$77</f>
        <v>0.73344007862353122</v>
      </c>
      <c r="BV106" s="207">
        <f t="shared" si="209"/>
        <v>0.74179345450555068</v>
      </c>
      <c r="BW106" s="215">
        <f t="shared" si="209"/>
        <v>0.74064764805865846</v>
      </c>
      <c r="BX106" s="207">
        <f t="shared" si="209"/>
        <v>0.7401644157369347</v>
      </c>
      <c r="BY106" s="207">
        <f t="shared" si="209"/>
        <v>0.75252242152466364</v>
      </c>
      <c r="BZ106" s="207">
        <f t="shared" si="209"/>
        <v>0.76040525739320919</v>
      </c>
      <c r="CA106" s="207">
        <f t="shared" si="209"/>
        <v>0.75857519788918204</v>
      </c>
      <c r="CB106" s="215">
        <f t="shared" si="209"/>
        <v>0.7531908990011098</v>
      </c>
      <c r="CC106" s="207">
        <f t="shared" si="209"/>
        <v>0.750771821498737</v>
      </c>
      <c r="CD106" s="207">
        <f t="shared" si="209"/>
        <v>0.75407958774692241</v>
      </c>
      <c r="CE106" s="207">
        <f t="shared" si="209"/>
        <v>0.74733506194180355</v>
      </c>
      <c r="CF106" s="207">
        <f t="shared" si="209"/>
        <v>0.75007044237813469</v>
      </c>
      <c r="CG106" s="215">
        <f t="shared" si="209"/>
        <v>0.75056834327934074</v>
      </c>
      <c r="CH106" s="207">
        <f t="shared" ref="CH106:CI106" si="210">CH67/CH$77</f>
        <v>0.75945408018197325</v>
      </c>
      <c r="CI106" s="207">
        <f t="shared" si="210"/>
        <v>0.75500285877644369</v>
      </c>
      <c r="CJ106" s="207">
        <f t="shared" ref="CJ106:CK106" si="211">CJ67/CJ$77</f>
        <v>0.75523864959254938</v>
      </c>
      <c r="CK106" s="207">
        <f t="shared" si="211"/>
        <v>0.7596964586846543</v>
      </c>
      <c r="CL106" s="215">
        <f t="shared" si="209"/>
        <v>0.75737026197444512</v>
      </c>
      <c r="CM106" s="207">
        <f t="shared" si="209"/>
        <v>0.7595879403683653</v>
      </c>
      <c r="CN106" s="207">
        <f t="shared" si="209"/>
        <v>0.7556237921235841</v>
      </c>
      <c r="CO106" s="207">
        <f t="shared" si="209"/>
        <v>0.75558649605861505</v>
      </c>
      <c r="CP106" s="207">
        <f t="shared" si="209"/>
        <v>0.75928969865565066</v>
      </c>
      <c r="CQ106" s="215">
        <f t="shared" si="209"/>
        <v>0.7575406011668695</v>
      </c>
      <c r="CR106" s="207">
        <f t="shared" ref="CR106:CV106" si="212">CR67/CR$77</f>
        <v>0.75829631582010448</v>
      </c>
      <c r="CS106" s="207">
        <f t="shared" si="212"/>
        <v>0.75431775852688521</v>
      </c>
      <c r="CT106" s="207">
        <f t="shared" si="212"/>
        <v>0.75428032795601552</v>
      </c>
      <c r="CU106" s="207">
        <f t="shared" si="212"/>
        <v>0.75799698228503565</v>
      </c>
      <c r="CV106" s="215">
        <f t="shared" si="212"/>
        <v>0.75624150700883885</v>
      </c>
      <c r="CW106" s="207">
        <f t="shared" ref="CW106:DF106" si="213">CW67/CW$77</f>
        <v>0.75829631582010448</v>
      </c>
      <c r="CX106" s="207">
        <f t="shared" si="213"/>
        <v>0.75431775852688521</v>
      </c>
      <c r="CY106" s="207">
        <f t="shared" si="213"/>
        <v>0.75428032795601541</v>
      </c>
      <c r="CZ106" s="207">
        <f t="shared" si="213"/>
        <v>0.75799698228503565</v>
      </c>
      <c r="DA106" s="215">
        <f t="shared" si="213"/>
        <v>0.75624150700883896</v>
      </c>
      <c r="DB106" s="207">
        <f t="shared" si="213"/>
        <v>0.75829631582010437</v>
      </c>
      <c r="DC106" s="207">
        <f t="shared" si="213"/>
        <v>0.75431775852688532</v>
      </c>
      <c r="DD106" s="207">
        <f t="shared" si="213"/>
        <v>0.75428032795601563</v>
      </c>
      <c r="DE106" s="207">
        <f t="shared" si="213"/>
        <v>0.75799698228503565</v>
      </c>
      <c r="DF106" s="215">
        <f t="shared" si="213"/>
        <v>0.75624150700883908</v>
      </c>
    </row>
    <row r="107" spans="1:110" ht="6" customHeight="1" outlineLevel="1" x14ac:dyDescent="0.2">
      <c r="B107" s="477"/>
      <c r="C107" s="182"/>
      <c r="D107" s="182"/>
      <c r="E107" s="118"/>
      <c r="F107" s="68"/>
      <c r="G107" s="68"/>
      <c r="H107" s="68"/>
      <c r="I107" s="68"/>
      <c r="J107" s="118"/>
      <c r="K107" s="68"/>
      <c r="L107" s="68"/>
      <c r="M107" s="68"/>
      <c r="N107" s="68"/>
      <c r="O107" s="118"/>
      <c r="P107" s="66"/>
      <c r="Q107" s="66"/>
      <c r="R107" s="66"/>
      <c r="S107" s="66"/>
      <c r="T107" s="136"/>
      <c r="U107" s="66"/>
      <c r="V107" s="66"/>
      <c r="W107" s="66"/>
      <c r="X107" s="68"/>
      <c r="Y107" s="118"/>
      <c r="Z107" s="117"/>
      <c r="AA107" s="146"/>
      <c r="AB107" s="117"/>
      <c r="AC107" s="117"/>
      <c r="AD107" s="118"/>
      <c r="AE107" s="68"/>
      <c r="AF107" s="68"/>
      <c r="AG107" s="117"/>
      <c r="AH107" s="68"/>
      <c r="AI107" s="118"/>
      <c r="AJ107" s="68"/>
      <c r="AK107" s="68"/>
      <c r="AL107" s="68"/>
      <c r="AM107" s="68"/>
      <c r="AN107" s="118"/>
      <c r="AO107" s="68"/>
      <c r="AP107" s="68"/>
      <c r="AQ107" s="68"/>
      <c r="AR107" s="68"/>
      <c r="AS107" s="118"/>
      <c r="AT107" s="68"/>
      <c r="AU107" s="68"/>
      <c r="AV107" s="68"/>
      <c r="AW107" s="68"/>
      <c r="AX107" s="118"/>
      <c r="AY107" s="68"/>
      <c r="AZ107" s="68"/>
      <c r="BA107" s="68"/>
      <c r="BB107" s="68"/>
      <c r="BC107" s="118"/>
      <c r="BD107" s="68"/>
      <c r="BE107" s="68"/>
      <c r="BF107" s="68"/>
      <c r="BG107" s="68"/>
      <c r="BH107" s="118"/>
      <c r="BI107" s="68"/>
      <c r="BJ107" s="68"/>
      <c r="BK107" s="68"/>
      <c r="BL107" s="68"/>
      <c r="BM107" s="118"/>
      <c r="BN107" s="68"/>
      <c r="BO107" s="68"/>
      <c r="BP107" s="68"/>
      <c r="BQ107" s="68"/>
      <c r="BR107" s="118"/>
      <c r="BS107" s="68"/>
      <c r="BT107" s="68"/>
      <c r="BU107" s="68"/>
      <c r="BV107" s="68"/>
      <c r="BW107" s="118"/>
      <c r="BX107" s="68"/>
      <c r="BY107" s="68"/>
      <c r="BZ107" s="68"/>
      <c r="CA107" s="68"/>
      <c r="CB107" s="118"/>
      <c r="CC107" s="68"/>
      <c r="CD107" s="68"/>
      <c r="CE107" s="68"/>
      <c r="CF107" s="68"/>
      <c r="CG107" s="118"/>
      <c r="CH107" s="68"/>
      <c r="CI107" s="68"/>
      <c r="CJ107" s="68"/>
      <c r="CK107" s="68"/>
      <c r="CL107" s="118"/>
      <c r="CM107" s="68"/>
      <c r="CN107" s="68"/>
      <c r="CO107" s="68"/>
      <c r="CP107" s="68"/>
      <c r="CQ107" s="118"/>
      <c r="CR107" s="68"/>
      <c r="CS107" s="68"/>
      <c r="CT107" s="68"/>
      <c r="CU107" s="68"/>
      <c r="CV107" s="118"/>
      <c r="CW107" s="68"/>
      <c r="CX107" s="68"/>
      <c r="CY107" s="68"/>
      <c r="CZ107" s="68"/>
      <c r="DA107" s="118"/>
      <c r="DB107" s="68"/>
      <c r="DC107" s="68"/>
      <c r="DD107" s="68"/>
      <c r="DE107" s="68"/>
      <c r="DF107" s="118"/>
    </row>
    <row r="108" spans="1:110" outlineLevel="1" x14ac:dyDescent="0.2">
      <c r="B108" s="477" t="s">
        <v>266</v>
      </c>
      <c r="C108" s="182"/>
      <c r="D108" s="182"/>
      <c r="E108" s="118"/>
      <c r="F108" s="68"/>
      <c r="G108" s="68"/>
      <c r="H108" s="209"/>
      <c r="I108" s="209"/>
      <c r="J108" s="223"/>
      <c r="K108" s="209"/>
      <c r="L108" s="209"/>
      <c r="M108" s="209"/>
      <c r="N108" s="209"/>
      <c r="O108" s="223"/>
      <c r="P108" s="209"/>
      <c r="Q108" s="209"/>
      <c r="R108" s="209"/>
      <c r="S108" s="209"/>
      <c r="T108" s="223"/>
      <c r="U108" s="209"/>
      <c r="V108" s="209"/>
      <c r="W108" s="209"/>
      <c r="X108" s="209"/>
      <c r="Y108" s="223"/>
      <c r="Z108" s="209"/>
      <c r="AA108" s="209"/>
      <c r="AB108" s="209"/>
      <c r="AC108" s="209"/>
      <c r="AD108" s="223"/>
      <c r="AE108" s="209"/>
      <c r="AF108" s="209"/>
      <c r="AG108" s="209"/>
      <c r="AH108" s="209"/>
      <c r="AI108" s="223"/>
      <c r="AJ108" s="209"/>
      <c r="AK108" s="209"/>
      <c r="AL108" s="209"/>
      <c r="AM108" s="209"/>
      <c r="AN108" s="223"/>
      <c r="AO108" s="66">
        <f ca="1">3*AO69/AO$77</f>
        <v>0.23362606978253173</v>
      </c>
      <c r="AP108" s="66">
        <f ca="1">3*AP69/AP$77</f>
        <v>0.24098378893310632</v>
      </c>
      <c r="AQ108" s="66">
        <f ca="1">3*AQ69/AQ$77</f>
        <v>0.24972462424412437</v>
      </c>
      <c r="AR108" s="66">
        <f ca="1">3*AR69/AR$77</f>
        <v>0.23959614688468925</v>
      </c>
      <c r="AS108" s="118">
        <f ca="1">3*AS69/AS$77</f>
        <v>0.24088973635606029</v>
      </c>
      <c r="AT108" s="66">
        <f t="shared" ref="AT108:BT108" si="214">3*AT69/AT$77</f>
        <v>0.23150959305519597</v>
      </c>
      <c r="AU108" s="68">
        <f t="shared" si="214"/>
        <v>0.23588261996025309</v>
      </c>
      <c r="AV108" s="66">
        <f t="shared" si="214"/>
        <v>0.23660789817824254</v>
      </c>
      <c r="AW108" s="66">
        <f t="shared" si="214"/>
        <v>0.21318204413962399</v>
      </c>
      <c r="AX108" s="118">
        <f t="shared" si="214"/>
        <v>0.22841824185649362</v>
      </c>
      <c r="AY108" s="66">
        <f t="shared" si="214"/>
        <v>0.19453376205787781</v>
      </c>
      <c r="AZ108" s="66">
        <f t="shared" si="214"/>
        <v>0.19328850907989309</v>
      </c>
      <c r="BA108" s="66">
        <f t="shared" si="214"/>
        <v>0.19693727950728748</v>
      </c>
      <c r="BB108" s="66">
        <f t="shared" si="214"/>
        <v>0.19220483023515869</v>
      </c>
      <c r="BC108" s="118">
        <f t="shared" si="214"/>
        <v>0.19422631467158197</v>
      </c>
      <c r="BD108" s="66">
        <f t="shared" si="214"/>
        <v>0.17411033811419874</v>
      </c>
      <c r="BE108" s="66">
        <f t="shared" si="214"/>
        <v>0.17652813658680638</v>
      </c>
      <c r="BF108" s="66">
        <f t="shared" si="214"/>
        <v>0.17551451429669651</v>
      </c>
      <c r="BG108" s="66">
        <f t="shared" si="214"/>
        <v>0.17052694173042365</v>
      </c>
      <c r="BH108" s="118">
        <f t="shared" si="214"/>
        <v>0.17412413300503568</v>
      </c>
      <c r="BI108" s="66">
        <f t="shared" si="214"/>
        <v>0.18737709705061537</v>
      </c>
      <c r="BJ108" s="66">
        <f t="shared" si="214"/>
        <v>0.252605270912862</v>
      </c>
      <c r="BK108" s="66">
        <f t="shared" si="214"/>
        <v>0.25051200147235736</v>
      </c>
      <c r="BL108" s="66">
        <f t="shared" si="214"/>
        <v>0.23429890806054732</v>
      </c>
      <c r="BM108" s="118">
        <f t="shared" si="214"/>
        <v>0.23757280873574702</v>
      </c>
      <c r="BN108" s="66">
        <f t="shared" si="214"/>
        <v>0.24691432539496602</v>
      </c>
      <c r="BO108" s="66">
        <f t="shared" si="214"/>
        <v>0.24812213934859495</v>
      </c>
      <c r="BP108" s="66">
        <f t="shared" si="214"/>
        <v>0.25080576010140276</v>
      </c>
      <c r="BQ108" s="66">
        <f t="shared" si="214"/>
        <v>0.24926432915377886</v>
      </c>
      <c r="BR108" s="118">
        <f t="shared" si="214"/>
        <v>0.24873355308375836</v>
      </c>
      <c r="BS108" s="66">
        <f t="shared" si="214"/>
        <v>0.24745973537811161</v>
      </c>
      <c r="BT108" s="66">
        <f t="shared" si="214"/>
        <v>0.25416037904214578</v>
      </c>
      <c r="BU108" s="66">
        <f t="shared" ref="BU108:CQ108" si="215">3*BU69/BU$77</f>
        <v>0.26090693772574436</v>
      </c>
      <c r="BV108" s="66">
        <f t="shared" si="215"/>
        <v>0.25273071337140224</v>
      </c>
      <c r="BW108" s="118">
        <f t="shared" si="215"/>
        <v>0.25385222049723466</v>
      </c>
      <c r="BX108" s="66">
        <f t="shared" si="215"/>
        <v>0.26600117439812093</v>
      </c>
      <c r="BY108" s="66">
        <f t="shared" si="215"/>
        <v>0.25392376681614348</v>
      </c>
      <c r="BZ108" s="66">
        <f t="shared" si="215"/>
        <v>0.24644030668127054</v>
      </c>
      <c r="CA108" s="66">
        <f t="shared" si="215"/>
        <v>0.24696569920844325</v>
      </c>
      <c r="CB108" s="118">
        <f t="shared" si="215"/>
        <v>0.25305216426193117</v>
      </c>
      <c r="CC108" s="66">
        <f t="shared" si="215"/>
        <v>0.25512208812798204</v>
      </c>
      <c r="CD108" s="66">
        <f t="shared" si="215"/>
        <v>0.25336387059833959</v>
      </c>
      <c r="CE108" s="66">
        <f t="shared" si="215"/>
        <v>0.25929127052722561</v>
      </c>
      <c r="CF108" s="66">
        <f t="shared" si="215"/>
        <v>0.25697379543533388</v>
      </c>
      <c r="CG108" s="118">
        <f t="shared" si="215"/>
        <v>0.25618073316283035</v>
      </c>
      <c r="CH108" s="66">
        <f t="shared" ref="CH108:CI108" si="216">3*CH69/CH$77</f>
        <v>0.2473699175433608</v>
      </c>
      <c r="CI108" s="66">
        <f t="shared" si="216"/>
        <v>0.25128644939965694</v>
      </c>
      <c r="CJ108" s="66">
        <f t="shared" ref="CJ108:CK108" si="217">3*CJ69/CJ$77</f>
        <v>0.25145518044237486</v>
      </c>
      <c r="CK108" s="66">
        <f t="shared" si="217"/>
        <v>0.24789207419898815</v>
      </c>
      <c r="CL108" s="118">
        <f t="shared" si="215"/>
        <v>0.24948247555143124</v>
      </c>
      <c r="CM108" s="66">
        <f t="shared" si="215"/>
        <v>0.2487021306534152</v>
      </c>
      <c r="CN108" s="66">
        <f t="shared" si="215"/>
        <v>0.25280297366525795</v>
      </c>
      <c r="CO108" s="66">
        <f t="shared" si="215"/>
        <v>0.25284155580143253</v>
      </c>
      <c r="CP108" s="66">
        <f t="shared" si="215"/>
        <v>0.24901065656312008</v>
      </c>
      <c r="CQ108" s="118">
        <f t="shared" si="215"/>
        <v>0.25082006775841098</v>
      </c>
      <c r="CR108" s="66">
        <f t="shared" ref="CR108:CV108" si="218">3*CR69/CR$77</f>
        <v>0.2500382939792023</v>
      </c>
      <c r="CS108" s="66">
        <f t="shared" si="218"/>
        <v>0.25415404290322224</v>
      </c>
      <c r="CT108" s="66">
        <f t="shared" si="218"/>
        <v>0.25419276418343228</v>
      </c>
      <c r="CU108" s="66">
        <f t="shared" si="218"/>
        <v>0.25034794936030791</v>
      </c>
      <c r="CV108" s="118">
        <f t="shared" si="218"/>
        <v>0.25216395826671834</v>
      </c>
      <c r="CW108" s="66">
        <f t="shared" ref="CW108:DF108" si="219">3*CW69/CW$77</f>
        <v>0.2500382939792023</v>
      </c>
      <c r="CX108" s="66">
        <f t="shared" si="219"/>
        <v>0.25415404290322224</v>
      </c>
      <c r="CY108" s="66">
        <f t="shared" si="219"/>
        <v>0.25419276418343228</v>
      </c>
      <c r="CZ108" s="66">
        <f t="shared" si="219"/>
        <v>0.25034794936030785</v>
      </c>
      <c r="DA108" s="118">
        <f t="shared" si="219"/>
        <v>0.25216395826671839</v>
      </c>
      <c r="DB108" s="66">
        <f t="shared" si="219"/>
        <v>0.2500382939792023</v>
      </c>
      <c r="DC108" s="66">
        <f t="shared" si="219"/>
        <v>0.2541540429032223</v>
      </c>
      <c r="DD108" s="66">
        <f t="shared" si="219"/>
        <v>0.25419276418343228</v>
      </c>
      <c r="DE108" s="66">
        <f t="shared" si="219"/>
        <v>0.25034794936030791</v>
      </c>
      <c r="DF108" s="118">
        <f t="shared" si="219"/>
        <v>0.25216395826671839</v>
      </c>
    </row>
    <row r="109" spans="1:110" outlineLevel="1" x14ac:dyDescent="0.2">
      <c r="B109" s="477" t="s">
        <v>267</v>
      </c>
      <c r="C109" s="182"/>
      <c r="D109" s="182"/>
      <c r="E109" s="118">
        <v>0.13163842134467771</v>
      </c>
      <c r="F109" s="68">
        <v>1.3920467727715651E-3</v>
      </c>
      <c r="G109" s="68">
        <v>1.620670494536025E-3</v>
      </c>
      <c r="H109" s="68">
        <v>1.8372854108055347E-3</v>
      </c>
      <c r="I109" s="68">
        <v>0.17547343638038695</v>
      </c>
      <c r="J109" s="118">
        <v>0.17203515752889922</v>
      </c>
      <c r="K109" s="68">
        <v>0.18319429698164721</v>
      </c>
      <c r="L109" s="68">
        <v>0.18452370442305996</v>
      </c>
      <c r="M109" s="68">
        <v>0.19055528974189992</v>
      </c>
      <c r="N109" s="68">
        <v>0.18349694514999657</v>
      </c>
      <c r="O109" s="118">
        <v>0.18547256708049661</v>
      </c>
      <c r="P109" s="66">
        <v>0.1860090614022645</v>
      </c>
      <c r="Q109" s="66">
        <v>0.20085853883611138</v>
      </c>
      <c r="R109" s="66">
        <v>0.21131175998134571</v>
      </c>
      <c r="S109" s="66">
        <v>0.21113278221627399</v>
      </c>
      <c r="T109" s="136">
        <v>0.20229674610257992</v>
      </c>
      <c r="U109" s="66">
        <v>0.22498520807310499</v>
      </c>
      <c r="V109" s="66">
        <v>0.22793129917482249</v>
      </c>
      <c r="W109" s="66">
        <v>0.22115727295475396</v>
      </c>
      <c r="X109" s="68">
        <v>0.21582733812949639</v>
      </c>
      <c r="Y109" s="118">
        <v>0.22226257700949134</v>
      </c>
      <c r="Z109" s="68">
        <v>0.20521861777150918</v>
      </c>
      <c r="AA109" s="66">
        <v>0.21504613200851666</v>
      </c>
      <c r="AB109" s="117">
        <v>0.21897810218978103</v>
      </c>
      <c r="AC109" s="117">
        <v>0.21488178025034771</v>
      </c>
      <c r="AD109" s="118">
        <v>0.21348713398402835</v>
      </c>
      <c r="AE109" s="68">
        <v>0.22905856189770202</v>
      </c>
      <c r="AF109" s="68">
        <v>0.24074074074074073</v>
      </c>
      <c r="AG109" s="68">
        <v>0.24480000000000002</v>
      </c>
      <c r="AH109" s="68">
        <v>0.2376923076923077</v>
      </c>
      <c r="AI109" s="118">
        <v>0.23792107795957654</v>
      </c>
      <c r="AJ109" s="68">
        <f>AJ71/AJ77</f>
        <v>0.234375</v>
      </c>
      <c r="AK109" s="68">
        <f>AK71/AK77</f>
        <v>0.24285714285714285</v>
      </c>
      <c r="AL109" s="68">
        <f>AL71/AL77</f>
        <v>0.24697336561743341</v>
      </c>
      <c r="AM109" s="68">
        <f>AM71/AM77</f>
        <v>0.23953488372093021</v>
      </c>
      <c r="AN109" s="118">
        <f>AN71/AN77</f>
        <v>0.24087591240875914</v>
      </c>
      <c r="AO109" s="68">
        <f ca="1">AO73/AO$77</f>
        <v>2.3823452599462968E-3</v>
      </c>
      <c r="AP109" s="68">
        <f ca="1">AP73/AP$77</f>
        <v>2.4353065559975635E-3</v>
      </c>
      <c r="AQ109" s="68">
        <f ca="1">AQ73/AQ$77</f>
        <v>2.6212313939234428E-3</v>
      </c>
      <c r="AR109" s="68">
        <f ca="1">AR73/AR$77</f>
        <v>2.6396045947616829E-3</v>
      </c>
      <c r="AS109" s="118">
        <f ca="1">AS73/AS$77</f>
        <v>2.5175175127096403E-3</v>
      </c>
      <c r="AT109" s="68">
        <f t="shared" ref="AT109:BT109" si="220">AT73/AT$77</f>
        <v>2.6045111518941187E-3</v>
      </c>
      <c r="AU109" s="68">
        <f t="shared" si="220"/>
        <v>2.5826510960515084E-3</v>
      </c>
      <c r="AV109" s="68">
        <f t="shared" si="220"/>
        <v>2.6825612565003075E-3</v>
      </c>
      <c r="AW109" s="68">
        <f t="shared" si="220"/>
        <v>2.6779990858433246E-3</v>
      </c>
      <c r="AX109" s="118">
        <f t="shared" si="220"/>
        <v>2.6393270957057974E-3</v>
      </c>
      <c r="AY109" s="68">
        <f t="shared" si="220"/>
        <v>2.6795284030010718E-3</v>
      </c>
      <c r="AZ109" s="68">
        <f t="shared" si="220"/>
        <v>2.7307296544900584E-3</v>
      </c>
      <c r="BA109" s="68">
        <f t="shared" si="220"/>
        <v>2.8400614590475596E-3</v>
      </c>
      <c r="BB109" s="68">
        <f t="shared" si="220"/>
        <v>2.842334859756288E-3</v>
      </c>
      <c r="BC109" s="118">
        <f t="shared" si="220"/>
        <v>2.7734807309078612E-3</v>
      </c>
      <c r="BD109" s="68">
        <f t="shared" si="220"/>
        <v>2.5382386222962739E-3</v>
      </c>
      <c r="BE109" s="68">
        <f t="shared" si="220"/>
        <v>2.6638529371492297E-3</v>
      </c>
      <c r="BF109" s="68">
        <f t="shared" si="220"/>
        <v>2.7121332526480512E-3</v>
      </c>
      <c r="BG109" s="68">
        <f t="shared" si="220"/>
        <v>2.6630977065281182E-3</v>
      </c>
      <c r="BH109" s="118">
        <f t="shared" si="220"/>
        <v>2.6445220247777565E-3</v>
      </c>
      <c r="BI109" s="68">
        <f t="shared" si="220"/>
        <v>2.590384609869273E-3</v>
      </c>
      <c r="BJ109" s="68">
        <f t="shared" si="220"/>
        <v>2.7826851207675947E-3</v>
      </c>
      <c r="BK109" s="68">
        <f t="shared" si="220"/>
        <v>2.9183991272419608E-3</v>
      </c>
      <c r="BL109" s="68">
        <f t="shared" si="220"/>
        <v>2.845025470998074E-3</v>
      </c>
      <c r="BM109" s="118">
        <f t="shared" si="220"/>
        <v>2.8126162822460373E-3</v>
      </c>
      <c r="BN109" s="68">
        <f t="shared" si="220"/>
        <v>2.9146921023412132E-3</v>
      </c>
      <c r="BO109" s="68">
        <f t="shared" si="220"/>
        <v>3.1921368831075232E-3</v>
      </c>
      <c r="BP109" s="68">
        <f t="shared" si="220"/>
        <v>3.418120081952759E-3</v>
      </c>
      <c r="BQ109" s="68">
        <f t="shared" si="220"/>
        <v>3.4541770069246502E-3</v>
      </c>
      <c r="BR109" s="118">
        <f t="shared" si="220"/>
        <v>3.2377799617946236E-3</v>
      </c>
      <c r="BS109" s="68">
        <f t="shared" si="220"/>
        <v>3.7717868599525298E-3</v>
      </c>
      <c r="BT109" s="68">
        <f t="shared" si="220"/>
        <v>3.8613012790108311E-3</v>
      </c>
      <c r="BU109" s="68">
        <f t="shared" ref="BU109:CQ109" si="221">BU73/BU$77</f>
        <v>3.9553879317274472E-3</v>
      </c>
      <c r="BV109" s="68">
        <f t="shared" si="221"/>
        <v>3.9215175785799663E-3</v>
      </c>
      <c r="BW109" s="118">
        <f t="shared" si="221"/>
        <v>3.878593811468903E-3</v>
      </c>
      <c r="BX109" s="68">
        <f t="shared" si="221"/>
        <v>4.2092970946260369E-3</v>
      </c>
      <c r="BY109" s="68">
        <f t="shared" si="221"/>
        <v>4.1763967784093289E-3</v>
      </c>
      <c r="BZ109" s="68">
        <f t="shared" si="221"/>
        <v>4.238522434415015E-3</v>
      </c>
      <c r="CA109" s="68">
        <f t="shared" si="221"/>
        <v>4.1507126590547838E-3</v>
      </c>
      <c r="CB109" s="118">
        <f t="shared" si="221"/>
        <v>4.1931558350417611E-3</v>
      </c>
      <c r="CC109" s="68">
        <f t="shared" si="221"/>
        <v>4.3256050651469275E-3</v>
      </c>
      <c r="CD109" s="68">
        <f t="shared" si="221"/>
        <v>4.5860256178834307E-3</v>
      </c>
      <c r="CE109" s="68">
        <f t="shared" si="221"/>
        <v>4.7940118770584588E-3</v>
      </c>
      <c r="CF109" s="68">
        <f t="shared" si="221"/>
        <v>4.7650157935063267E-3</v>
      </c>
      <c r="CG109" s="118">
        <f t="shared" si="221"/>
        <v>4.6165227768406635E-3</v>
      </c>
      <c r="CH109" s="68">
        <f t="shared" ref="CH109:CI109" si="222">CH73/CH$77</f>
        <v>4.710844657563943E-3</v>
      </c>
      <c r="CI109" s="68">
        <f t="shared" si="222"/>
        <v>4.9000333353617781E-3</v>
      </c>
      <c r="CJ109" s="68">
        <f t="shared" ref="CJ109:CK109" si="223">CJ73/CJ$77</f>
        <v>5.1818440893593712E-3</v>
      </c>
      <c r="CK109" s="68">
        <f t="shared" si="223"/>
        <v>5.085670018194135E-3</v>
      </c>
      <c r="CL109" s="118">
        <f t="shared" si="221"/>
        <v>4.9688048742609348E-3</v>
      </c>
      <c r="CM109" s="68">
        <f t="shared" si="221"/>
        <v>4.7607549314096437E-3</v>
      </c>
      <c r="CN109" s="68">
        <f t="shared" si="221"/>
        <v>4.9551472382094747E-3</v>
      </c>
      <c r="CO109" s="68">
        <f t="shared" si="221"/>
        <v>5.0794987998224852E-3</v>
      </c>
      <c r="CP109" s="68">
        <f t="shared" si="221"/>
        <v>4.980261227808102E-3</v>
      </c>
      <c r="CQ109" s="118">
        <f t="shared" si="221"/>
        <v>4.9445359951969118E-3</v>
      </c>
      <c r="CR109" s="68">
        <f t="shared" ref="CR109:CV109" si="224">CR73/CR$77</f>
        <v>4.9546957480611914E-3</v>
      </c>
      <c r="CS109" s="68">
        <f t="shared" si="224"/>
        <v>5.1568625038796471E-3</v>
      </c>
      <c r="CT109" s="68">
        <f t="shared" si="224"/>
        <v>5.2862748028195163E-3</v>
      </c>
      <c r="CU109" s="68">
        <f t="shared" si="224"/>
        <v>5.1831332284544944E-3</v>
      </c>
      <c r="CV109" s="118">
        <f t="shared" si="224"/>
        <v>5.1458890595929788E-3</v>
      </c>
      <c r="CW109" s="68">
        <f t="shared" ref="CW109:DF109" si="225">CW73/CW$77</f>
        <v>5.1484547996613486E-3</v>
      </c>
      <c r="CX109" s="68">
        <f t="shared" si="225"/>
        <v>5.3585275179978461E-3</v>
      </c>
      <c r="CY109" s="68">
        <f t="shared" si="225"/>
        <v>5.4930006330973736E-3</v>
      </c>
      <c r="CZ109" s="68">
        <f t="shared" si="225"/>
        <v>5.3858255893437746E-3</v>
      </c>
      <c r="DA109" s="118">
        <f t="shared" si="225"/>
        <v>5.3471249446049949E-3</v>
      </c>
      <c r="DB109" s="68">
        <f t="shared" si="225"/>
        <v>5.4102406369322641E-3</v>
      </c>
      <c r="DC109" s="68">
        <f t="shared" si="225"/>
        <v>5.6309950189129916E-3</v>
      </c>
      <c r="DD109" s="68">
        <f t="shared" si="225"/>
        <v>5.7723057500345286E-3</v>
      </c>
      <c r="DE109" s="68">
        <f t="shared" si="225"/>
        <v>5.6596811277849837E-3</v>
      </c>
      <c r="DF109" s="118">
        <f t="shared" si="225"/>
        <v>5.6190126536527054E-3</v>
      </c>
    </row>
    <row r="110" spans="1:110" outlineLevel="1" x14ac:dyDescent="0.2">
      <c r="B110" s="13" t="s">
        <v>371</v>
      </c>
      <c r="C110" s="182"/>
      <c r="D110" s="182"/>
      <c r="E110" s="118"/>
      <c r="F110" s="68"/>
      <c r="G110" s="68"/>
      <c r="H110" s="68"/>
      <c r="I110" s="68"/>
      <c r="J110" s="223"/>
      <c r="K110" s="209"/>
      <c r="L110" s="209"/>
      <c r="M110" s="209"/>
      <c r="N110" s="209"/>
      <c r="O110" s="223"/>
      <c r="P110" s="209"/>
      <c r="Q110" s="209"/>
      <c r="R110" s="209"/>
      <c r="S110" s="209"/>
      <c r="T110" s="223"/>
      <c r="U110" s="209"/>
      <c r="V110" s="209"/>
      <c r="W110" s="209"/>
      <c r="X110" s="209"/>
      <c r="Y110" s="223"/>
      <c r="Z110" s="209"/>
      <c r="AA110" s="209"/>
      <c r="AB110" s="209"/>
      <c r="AC110" s="209"/>
      <c r="AD110" s="223"/>
      <c r="AE110" s="209"/>
      <c r="AF110" s="209"/>
      <c r="AG110" s="209"/>
      <c r="AH110" s="209"/>
      <c r="AI110" s="223"/>
      <c r="AJ110" s="209"/>
      <c r="AK110" s="209"/>
      <c r="AL110" s="209"/>
      <c r="AM110" s="209"/>
      <c r="AN110" s="223"/>
      <c r="AO110" s="66">
        <f ca="1">AO71/AO$77</f>
        <v>0.23362606978253173</v>
      </c>
      <c r="AP110" s="66">
        <f ca="1">AP71/AP$77</f>
        <v>0.24098378893310632</v>
      </c>
      <c r="AQ110" s="66">
        <f ca="1">AQ71/AQ$77</f>
        <v>0.24972462424412437</v>
      </c>
      <c r="AR110" s="66">
        <f ca="1">AR71/AR$77</f>
        <v>0.23959614688468925</v>
      </c>
      <c r="AS110" s="118">
        <f ca="1">AS71/AS$77</f>
        <v>0.24088973635606029</v>
      </c>
      <c r="AT110" s="66">
        <f t="shared" ref="AT110:BT110" si="226">AT71/AT$77</f>
        <v>0.24093473005640606</v>
      </c>
      <c r="AU110" s="68">
        <f t="shared" si="226"/>
        <v>0.24601910828025472</v>
      </c>
      <c r="AV110" s="66">
        <f t="shared" si="226"/>
        <v>0.24623911322248609</v>
      </c>
      <c r="AW110" s="66">
        <f t="shared" si="226"/>
        <v>0.22250970245795598</v>
      </c>
      <c r="AX110" s="118">
        <f t="shared" si="226"/>
        <v>0.23803241613267992</v>
      </c>
      <c r="AY110" s="66">
        <f t="shared" si="226"/>
        <v>0.20150053590568057</v>
      </c>
      <c r="AZ110" s="66">
        <f t="shared" si="226"/>
        <v>0.20148069804336327</v>
      </c>
      <c r="BA110" s="66">
        <f t="shared" si="226"/>
        <v>0.20331728196896737</v>
      </c>
      <c r="BB110" s="66">
        <f t="shared" si="226"/>
        <v>0.19968635650810254</v>
      </c>
      <c r="BC110" s="118">
        <f t="shared" si="226"/>
        <v>0.20148560817084493</v>
      </c>
      <c r="BD110" s="66">
        <f t="shared" si="226"/>
        <v>0.17932128342578207</v>
      </c>
      <c r="BE110" s="66">
        <f t="shared" si="226"/>
        <v>0.18115605511755667</v>
      </c>
      <c r="BF110" s="66">
        <f t="shared" si="226"/>
        <v>0.18124079707229637</v>
      </c>
      <c r="BG110" s="66">
        <f t="shared" si="226"/>
        <v>0.17622756517244381</v>
      </c>
      <c r="BH110" s="118">
        <f t="shared" si="226"/>
        <v>0.17944499889688614</v>
      </c>
      <c r="BI110" s="66">
        <f t="shared" si="226"/>
        <v>0.1849261996436401</v>
      </c>
      <c r="BJ110" s="66">
        <f t="shared" si="226"/>
        <v>0.25529027665981824</v>
      </c>
      <c r="BK110" s="66">
        <f t="shared" si="226"/>
        <v>0.25355143168357869</v>
      </c>
      <c r="BL110" s="66">
        <f t="shared" si="226"/>
        <v>0.2448082445099119</v>
      </c>
      <c r="BM110" s="118">
        <f t="shared" si="226"/>
        <v>0.24194596536436386</v>
      </c>
      <c r="BN110" s="66">
        <f t="shared" si="226"/>
        <v>0.24824801324685955</v>
      </c>
      <c r="BO110" s="66">
        <f t="shared" si="226"/>
        <v>0.25184176477069209</v>
      </c>
      <c r="BP110" s="66">
        <f t="shared" si="226"/>
        <v>0.25452104218827387</v>
      </c>
      <c r="BQ110" s="66">
        <f t="shared" si="226"/>
        <v>0.25337380477535837</v>
      </c>
      <c r="BR110" s="118">
        <f t="shared" si="226"/>
        <v>0.25191860742908129</v>
      </c>
      <c r="BS110" s="66">
        <f t="shared" si="226"/>
        <v>0.2528213629779707</v>
      </c>
      <c r="BT110" s="66">
        <f t="shared" si="226"/>
        <v>0.2596671872547256</v>
      </c>
      <c r="BU110" s="66">
        <f t="shared" ref="BU110:CQ110" si="227">BU71/BU$77</f>
        <v>0.26655992137646878</v>
      </c>
      <c r="BV110" s="66">
        <f t="shared" si="227"/>
        <v>0.25820654549444927</v>
      </c>
      <c r="BW110" s="118">
        <f t="shared" si="227"/>
        <v>0.25935235194134137</v>
      </c>
      <c r="BX110" s="66">
        <f t="shared" si="227"/>
        <v>0.25983558426306519</v>
      </c>
      <c r="BY110" s="66">
        <f t="shared" si="227"/>
        <v>0.2474775784753363</v>
      </c>
      <c r="BZ110" s="66">
        <f t="shared" si="227"/>
        <v>0.23959474260679081</v>
      </c>
      <c r="CA110" s="66">
        <f t="shared" si="227"/>
        <v>0.24142480211081793</v>
      </c>
      <c r="CB110" s="118">
        <f t="shared" si="227"/>
        <v>0.24680910099889011</v>
      </c>
      <c r="CC110" s="66">
        <f t="shared" si="227"/>
        <v>0.24922817850126297</v>
      </c>
      <c r="CD110" s="66">
        <f t="shared" si="227"/>
        <v>0.24592041225307762</v>
      </c>
      <c r="CE110" s="66">
        <f t="shared" si="227"/>
        <v>0.25266493805819651</v>
      </c>
      <c r="CF110" s="66">
        <f t="shared" si="227"/>
        <v>0.24992955762186533</v>
      </c>
      <c r="CG110" s="118">
        <f t="shared" si="227"/>
        <v>0.24943165672065928</v>
      </c>
      <c r="CH110" s="66">
        <f t="shared" ref="CH110:CI110" si="228">CH71/CH$77</f>
        <v>0.24054591981802667</v>
      </c>
      <c r="CI110" s="66">
        <f t="shared" si="228"/>
        <v>0.24499714122355631</v>
      </c>
      <c r="CJ110" s="66">
        <f t="shared" ref="CJ110:CK110" si="229">CJ71/CJ$77</f>
        <v>0.24476135040745048</v>
      </c>
      <c r="CK110" s="66">
        <f t="shared" si="229"/>
        <v>0.2403035413153457</v>
      </c>
      <c r="CL110" s="118">
        <f t="shared" si="227"/>
        <v>0.24262973802555501</v>
      </c>
      <c r="CM110" s="66">
        <f t="shared" si="227"/>
        <v>0.23565130470022502</v>
      </c>
      <c r="CN110" s="66">
        <f t="shared" si="227"/>
        <v>0.23942106063820653</v>
      </c>
      <c r="CO110" s="66">
        <f t="shared" si="227"/>
        <v>0.23933400514156228</v>
      </c>
      <c r="CP110" s="66">
        <f t="shared" si="227"/>
        <v>0.23573004011654128</v>
      </c>
      <c r="CQ110" s="118">
        <f t="shared" si="227"/>
        <v>0.23751486283793366</v>
      </c>
      <c r="CR110" s="66">
        <f t="shared" ref="CR110:CV110" si="230">CR71/CR$77</f>
        <v>0.23674898843183434</v>
      </c>
      <c r="CS110" s="66">
        <f t="shared" si="230"/>
        <v>0.24052537896923512</v>
      </c>
      <c r="CT110" s="66">
        <f t="shared" si="230"/>
        <v>0.24043339724116503</v>
      </c>
      <c r="CU110" s="66">
        <f t="shared" si="230"/>
        <v>0.23681988448650981</v>
      </c>
      <c r="CV110" s="118">
        <f t="shared" si="230"/>
        <v>0.23861260393156805</v>
      </c>
      <c r="CW110" s="66">
        <f t="shared" ref="CW110:DF110" si="231">CW71/CW$77</f>
        <v>0.23655522938023416</v>
      </c>
      <c r="CX110" s="66">
        <f t="shared" si="231"/>
        <v>0.24032371395511701</v>
      </c>
      <c r="CY110" s="66">
        <f t="shared" si="231"/>
        <v>0.24022667141088713</v>
      </c>
      <c r="CZ110" s="66">
        <f t="shared" si="231"/>
        <v>0.23661719212562052</v>
      </c>
      <c r="DA110" s="118">
        <f t="shared" si="231"/>
        <v>0.23841136804655608</v>
      </c>
      <c r="DB110" s="66">
        <f t="shared" si="231"/>
        <v>0.23629344354296325</v>
      </c>
      <c r="DC110" s="66">
        <f t="shared" si="231"/>
        <v>0.24005124645420187</v>
      </c>
      <c r="DD110" s="66">
        <f t="shared" si="231"/>
        <v>0.23994736629395003</v>
      </c>
      <c r="DE110" s="66">
        <f t="shared" si="231"/>
        <v>0.23634333658717929</v>
      </c>
      <c r="DF110" s="118">
        <f t="shared" si="231"/>
        <v>0.23813948033750842</v>
      </c>
    </row>
    <row r="111" spans="1:110" outlineLevel="1" x14ac:dyDescent="0.2">
      <c r="B111" s="13" t="s">
        <v>268</v>
      </c>
      <c r="C111" s="182"/>
      <c r="D111" s="182"/>
      <c r="E111" s="118">
        <f>E71/E77</f>
        <v>0.13163842134467771</v>
      </c>
      <c r="F111" s="68">
        <f t="shared" ref="F111:AX111" si="232">F71/F78</f>
        <v>0.15646605725952395</v>
      </c>
      <c r="G111" s="68">
        <f t="shared" si="232"/>
        <v>0.16944110020374142</v>
      </c>
      <c r="H111" s="68">
        <f t="shared" si="232"/>
        <v>0.18616294424987082</v>
      </c>
      <c r="I111" s="68">
        <f t="shared" si="232"/>
        <v>0.17547343638038698</v>
      </c>
      <c r="J111" s="136">
        <f t="shared" si="232"/>
        <v>0.1720351575288992</v>
      </c>
      <c r="K111" s="66">
        <f t="shared" si="232"/>
        <v>0.18319429698164719</v>
      </c>
      <c r="L111" s="66">
        <f t="shared" si="232"/>
        <v>0.18452370442305996</v>
      </c>
      <c r="M111" s="66">
        <f t="shared" si="232"/>
        <v>0.19055528974189992</v>
      </c>
      <c r="N111" s="66">
        <f t="shared" si="232"/>
        <v>0.18349694514999657</v>
      </c>
      <c r="O111" s="136">
        <f t="shared" si="232"/>
        <v>0.18547256708049661</v>
      </c>
      <c r="P111" s="66">
        <f t="shared" si="232"/>
        <v>0.1860090614022645</v>
      </c>
      <c r="Q111" s="66">
        <f t="shared" si="232"/>
        <v>0.20085853883611138</v>
      </c>
      <c r="R111" s="66">
        <f t="shared" si="232"/>
        <v>0.21131175998134574</v>
      </c>
      <c r="S111" s="66">
        <f t="shared" si="232"/>
        <v>0.21113278221627399</v>
      </c>
      <c r="T111" s="136">
        <f t="shared" si="232"/>
        <v>0.20229674610257994</v>
      </c>
      <c r="U111" s="66">
        <f t="shared" si="232"/>
        <v>0.22421135388344743</v>
      </c>
      <c r="V111" s="66">
        <f t="shared" si="232"/>
        <v>0.22657255949258431</v>
      </c>
      <c r="W111" s="66">
        <f t="shared" si="232"/>
        <v>0.21990665691515429</v>
      </c>
      <c r="X111" s="66">
        <f t="shared" si="232"/>
        <v>0.21590344797806421</v>
      </c>
      <c r="Y111" s="136">
        <f t="shared" si="232"/>
        <v>0.22146209254247337</v>
      </c>
      <c r="Z111" s="66">
        <f t="shared" si="232"/>
        <v>0.20550847457627119</v>
      </c>
      <c r="AA111" s="66">
        <f t="shared" si="232"/>
        <v>0.21504613200851669</v>
      </c>
      <c r="AB111" s="66">
        <f t="shared" si="232"/>
        <v>0.21897810218978103</v>
      </c>
      <c r="AC111" s="66">
        <f t="shared" si="232"/>
        <v>0.21473245309242528</v>
      </c>
      <c r="AD111" s="136">
        <f t="shared" si="232"/>
        <v>0.21352502662406816</v>
      </c>
      <c r="AE111" s="66">
        <f t="shared" si="232"/>
        <v>0.22905856189770199</v>
      </c>
      <c r="AF111" s="66">
        <f t="shared" si="232"/>
        <v>0.24092664092664093</v>
      </c>
      <c r="AG111" s="66">
        <f t="shared" si="232"/>
        <v>0.24460431654676262</v>
      </c>
      <c r="AH111" s="66">
        <f t="shared" si="232"/>
        <v>0.23769230769230767</v>
      </c>
      <c r="AI111" s="136">
        <f t="shared" si="232"/>
        <v>0.23792107795957651</v>
      </c>
      <c r="AJ111" s="66">
        <f t="shared" si="232"/>
        <v>0.234375</v>
      </c>
      <c r="AK111" s="66">
        <f t="shared" si="232"/>
        <v>0.24285714285714285</v>
      </c>
      <c r="AL111" s="66">
        <f t="shared" si="232"/>
        <v>0.24697336561743341</v>
      </c>
      <c r="AM111" s="66">
        <f t="shared" si="232"/>
        <v>0.23953488372093021</v>
      </c>
      <c r="AN111" s="136">
        <f t="shared" si="232"/>
        <v>0.24087591240875914</v>
      </c>
      <c r="AO111" s="66">
        <f t="shared" si="232"/>
        <v>0.23359466566844295</v>
      </c>
      <c r="AP111" s="66">
        <f t="shared" si="232"/>
        <v>0.24112723157307533</v>
      </c>
      <c r="AQ111" s="66">
        <f t="shared" si="232"/>
        <v>0.24962918954802063</v>
      </c>
      <c r="AR111" s="66">
        <f t="shared" si="232"/>
        <v>0.23890900842499843</v>
      </c>
      <c r="AS111" s="118">
        <f t="shared" si="232"/>
        <v>0.2407244066284302</v>
      </c>
      <c r="AT111" s="66">
        <f t="shared" si="232"/>
        <v>0.24093473005640606</v>
      </c>
      <c r="AU111" s="66">
        <f t="shared" si="232"/>
        <v>0.24601910828025472</v>
      </c>
      <c r="AV111" s="66">
        <f t="shared" si="232"/>
        <v>0.24623911322248609</v>
      </c>
      <c r="AW111" s="66">
        <f t="shared" si="232"/>
        <v>0.22250970245795598</v>
      </c>
      <c r="AX111" s="118">
        <f t="shared" si="232"/>
        <v>0.23803241613267992</v>
      </c>
      <c r="AY111" s="66">
        <f>AY71/AY77</f>
        <v>0.20150053590568057</v>
      </c>
      <c r="AZ111" s="66">
        <f>AZ71/AZ77</f>
        <v>0.20148069804336327</v>
      </c>
      <c r="BA111" s="66">
        <f>BA71/BA77</f>
        <v>0.20331728196896737</v>
      </c>
      <c r="BB111" s="66">
        <f>(BB78-BB67)/BB78</f>
        <v>0.19968635650810254</v>
      </c>
      <c r="BC111" s="118">
        <f>BC71/BC77</f>
        <v>0.20148560817084493</v>
      </c>
      <c r="BD111" s="66">
        <f>(BD78-BD67)/BD78</f>
        <v>8.2716058053402666E-2</v>
      </c>
      <c r="BE111" s="66">
        <f>(BE78-BE67)/BE78</f>
        <v>8.2348595800142158E-2</v>
      </c>
      <c r="BF111" s="66">
        <f>(BF78-BF67)/BF78</f>
        <v>8.0850597748151773E-2</v>
      </c>
      <c r="BG111" s="66">
        <f>(BG78-BG67)/BG78</f>
        <v>7.6616085171882925E-2</v>
      </c>
      <c r="BH111" s="118">
        <f>BH71/BH77</f>
        <v>0.17944499889688614</v>
      </c>
      <c r="BI111" s="66">
        <f>(BI78-BI67)/BI78</f>
        <v>9.0140086748563941E-2</v>
      </c>
      <c r="BJ111" s="66">
        <f>(BJ78-BJ67)/BJ78</f>
        <v>0.17459639770643534</v>
      </c>
      <c r="BK111" s="66">
        <f>(BK77-BK67)/BK77</f>
        <v>0.25355143168357869</v>
      </c>
      <c r="BL111" s="66">
        <f>(BL77-BL67)/BL77</f>
        <v>0.2448082445099119</v>
      </c>
      <c r="BM111" s="118">
        <f>BM71/BM77</f>
        <v>0.24194596536436386</v>
      </c>
      <c r="BN111" s="66">
        <f>(BN77-BN67)/BN77</f>
        <v>0.24824801324685955</v>
      </c>
      <c r="BO111" s="66">
        <f>(BO77-BO67)/BO77</f>
        <v>0.25184176477069209</v>
      </c>
      <c r="BP111" s="66">
        <f>(BP77-BP67)/BP77</f>
        <v>0.25452104218827387</v>
      </c>
      <c r="BQ111" s="66">
        <f>(BQ77-BQ67)/BQ77</f>
        <v>0.25337380477535837</v>
      </c>
      <c r="BR111" s="118">
        <f t="shared" ref="BR111:CQ111" si="233">BR71/BR77</f>
        <v>0.25191860742908129</v>
      </c>
      <c r="BS111" s="66">
        <f t="shared" si="233"/>
        <v>0.2528213629779707</v>
      </c>
      <c r="BT111" s="66">
        <f t="shared" si="233"/>
        <v>0.2596671872547256</v>
      </c>
      <c r="BU111" s="66">
        <f t="shared" si="233"/>
        <v>0.26655992137646878</v>
      </c>
      <c r="BV111" s="66">
        <f t="shared" si="233"/>
        <v>0.25820654549444927</v>
      </c>
      <c r="BW111" s="118">
        <f t="shared" si="233"/>
        <v>0.25935235194134137</v>
      </c>
      <c r="BX111" s="66">
        <f t="shared" si="233"/>
        <v>0.25983558426306519</v>
      </c>
      <c r="BY111" s="66">
        <f t="shared" si="233"/>
        <v>0.2474775784753363</v>
      </c>
      <c r="BZ111" s="66">
        <f t="shared" si="233"/>
        <v>0.23959474260679081</v>
      </c>
      <c r="CA111" s="66">
        <f t="shared" si="233"/>
        <v>0.24142480211081793</v>
      </c>
      <c r="CB111" s="118">
        <f t="shared" si="233"/>
        <v>0.24680910099889011</v>
      </c>
      <c r="CC111" s="66">
        <f t="shared" si="233"/>
        <v>0.24922817850126297</v>
      </c>
      <c r="CD111" s="66">
        <f t="shared" si="233"/>
        <v>0.24592041225307762</v>
      </c>
      <c r="CE111" s="66">
        <f t="shared" si="233"/>
        <v>0.25266493805819651</v>
      </c>
      <c r="CF111" s="66">
        <f t="shared" si="233"/>
        <v>0.24992955762186533</v>
      </c>
      <c r="CG111" s="118">
        <f t="shared" si="233"/>
        <v>0.24943165672065928</v>
      </c>
      <c r="CH111" s="66">
        <f t="shared" ref="CH111:CI111" si="234">CH71/CH77</f>
        <v>0.24054591981802667</v>
      </c>
      <c r="CI111" s="66">
        <f t="shared" si="234"/>
        <v>0.24499714122355631</v>
      </c>
      <c r="CJ111" s="66">
        <f t="shared" ref="CJ111:CK111" si="235">CJ71/CJ77</f>
        <v>0.24476135040745048</v>
      </c>
      <c r="CK111" s="66">
        <f t="shared" si="235"/>
        <v>0.2403035413153457</v>
      </c>
      <c r="CL111" s="118">
        <f t="shared" si="233"/>
        <v>0.24262973802555501</v>
      </c>
      <c r="CM111" s="66">
        <f t="shared" si="233"/>
        <v>0.23565130470022502</v>
      </c>
      <c r="CN111" s="66">
        <f t="shared" si="233"/>
        <v>0.23942106063820653</v>
      </c>
      <c r="CO111" s="66">
        <f t="shared" si="233"/>
        <v>0.23933400514156228</v>
      </c>
      <c r="CP111" s="66">
        <f t="shared" si="233"/>
        <v>0.23573004011654128</v>
      </c>
      <c r="CQ111" s="118">
        <f t="shared" si="233"/>
        <v>0.23751486283793366</v>
      </c>
      <c r="CR111" s="66">
        <f t="shared" ref="CR111:CV111" si="236">CR71/CR77</f>
        <v>0.23674898843183434</v>
      </c>
      <c r="CS111" s="66">
        <f t="shared" si="236"/>
        <v>0.24052537896923512</v>
      </c>
      <c r="CT111" s="66">
        <f t="shared" si="236"/>
        <v>0.24043339724116503</v>
      </c>
      <c r="CU111" s="66">
        <f t="shared" si="236"/>
        <v>0.23681988448650981</v>
      </c>
      <c r="CV111" s="118">
        <f t="shared" si="236"/>
        <v>0.23861260393156805</v>
      </c>
      <c r="CW111" s="66">
        <f t="shared" ref="CW111:DF111" si="237">CW71/CW77</f>
        <v>0.23655522938023416</v>
      </c>
      <c r="CX111" s="66">
        <f t="shared" si="237"/>
        <v>0.24032371395511701</v>
      </c>
      <c r="CY111" s="66">
        <f t="shared" si="237"/>
        <v>0.24022667141088713</v>
      </c>
      <c r="CZ111" s="66">
        <f t="shared" si="237"/>
        <v>0.23661719212562052</v>
      </c>
      <c r="DA111" s="118">
        <f t="shared" si="237"/>
        <v>0.23841136804655608</v>
      </c>
      <c r="DB111" s="66">
        <f t="shared" si="237"/>
        <v>0.23629344354296325</v>
      </c>
      <c r="DC111" s="66">
        <f t="shared" si="237"/>
        <v>0.24005124645420187</v>
      </c>
      <c r="DD111" s="66">
        <f t="shared" si="237"/>
        <v>0.23994736629395003</v>
      </c>
      <c r="DE111" s="66">
        <f t="shared" si="237"/>
        <v>0.23634333658717929</v>
      </c>
      <c r="DF111" s="118">
        <f t="shared" si="237"/>
        <v>0.23813948033750842</v>
      </c>
    </row>
    <row r="112" spans="1:110" outlineLevel="1" x14ac:dyDescent="0.2">
      <c r="B112" s="13" t="s">
        <v>260</v>
      </c>
      <c r="C112" s="182"/>
      <c r="D112" s="182"/>
      <c r="E112" s="118"/>
      <c r="F112" s="68"/>
      <c r="G112" s="68"/>
      <c r="H112" s="68"/>
      <c r="I112" s="68"/>
      <c r="J112" s="223"/>
      <c r="K112" s="209"/>
      <c r="L112" s="209"/>
      <c r="M112" s="209"/>
      <c r="N112" s="209"/>
      <c r="O112" s="223"/>
      <c r="P112" s="66"/>
      <c r="Q112" s="66"/>
      <c r="R112" s="66"/>
      <c r="S112" s="66"/>
      <c r="T112" s="136"/>
      <c r="U112" s="66"/>
      <c r="V112" s="66"/>
      <c r="W112" s="66"/>
      <c r="X112" s="66"/>
      <c r="Y112" s="136"/>
      <c r="Z112" s="66"/>
      <c r="AA112" s="66"/>
      <c r="AB112" s="66"/>
      <c r="AC112" s="66"/>
      <c r="AD112" s="136"/>
      <c r="AE112" s="66"/>
      <c r="AF112" s="66"/>
      <c r="AG112" s="66"/>
      <c r="AH112" s="66"/>
      <c r="AI112" s="136"/>
      <c r="AJ112" s="66"/>
      <c r="AK112" s="66"/>
      <c r="AL112" s="66"/>
      <c r="AM112" s="66"/>
      <c r="AN112" s="136"/>
      <c r="AO112" s="66">
        <f ca="1">AO74/AO$77</f>
        <v>6.1736693733941174E-3</v>
      </c>
      <c r="AP112" s="66">
        <f ca="1">AP74/AP$77</f>
        <v>6.2462819773861401E-3</v>
      </c>
      <c r="AQ112" s="66">
        <f ca="1">AQ74/AQ$77</f>
        <v>6.4802092685759677E-3</v>
      </c>
      <c r="AR112" s="66">
        <f ca="1">AR74/AR$77</f>
        <v>6.4081543215268426E-3</v>
      </c>
      <c r="AS112" s="118">
        <f ca="1">AS74/AS$77</f>
        <v>6.3247042518807112E-3</v>
      </c>
      <c r="AT112" s="66">
        <f t="shared" ref="AT112:BT112" si="238">AT74/AT$77</f>
        <v>6.4464141821112013E-3</v>
      </c>
      <c r="AU112" s="66">
        <f t="shared" si="238"/>
        <v>5.5732484076433117E-3</v>
      </c>
      <c r="AV112" s="66">
        <f t="shared" si="238"/>
        <v>7.1258907363420431E-3</v>
      </c>
      <c r="AW112" s="66">
        <f t="shared" si="238"/>
        <v>5.1746442432082798E-3</v>
      </c>
      <c r="AX112" s="118">
        <f t="shared" si="238"/>
        <v>6.0309084055785904E-3</v>
      </c>
      <c r="AY112" s="66">
        <f t="shared" si="238"/>
        <v>4.2872454448017148E-3</v>
      </c>
      <c r="AZ112" s="66">
        <f t="shared" si="238"/>
        <v>4.2305658381808567E-3</v>
      </c>
      <c r="BA112" s="66">
        <f t="shared" si="238"/>
        <v>4.2803638309256284E-3</v>
      </c>
      <c r="BB112" s="66">
        <f t="shared" si="238"/>
        <v>4.1819132253005748E-3</v>
      </c>
      <c r="BC112" s="118">
        <f t="shared" si="238"/>
        <v>4.2445947738426843E-3</v>
      </c>
      <c r="BD112" s="66">
        <f t="shared" si="238"/>
        <v>2.8845246663664692E-3</v>
      </c>
      <c r="BE112" s="66">
        <f t="shared" si="238"/>
        <v>2.8831202405977196E-3</v>
      </c>
      <c r="BF112" s="66">
        <f t="shared" si="238"/>
        <v>2.8921403788132382E-3</v>
      </c>
      <c r="BG112" s="66">
        <f t="shared" si="238"/>
        <v>2.7464036130770463E-3</v>
      </c>
      <c r="BH112" s="118">
        <f t="shared" si="238"/>
        <v>2.8502183808903161E-3</v>
      </c>
      <c r="BI112" s="66">
        <f t="shared" si="238"/>
        <v>0</v>
      </c>
      <c r="BJ112" s="66">
        <f t="shared" si="238"/>
        <v>6.7956595384157477E-4</v>
      </c>
      <c r="BK112" s="66">
        <f t="shared" si="238"/>
        <v>6.8589206046053763E-4</v>
      </c>
      <c r="BL112" s="66">
        <f t="shared" si="238"/>
        <v>4.3872445252672376E-4</v>
      </c>
      <c r="BM112" s="118">
        <f t="shared" si="238"/>
        <v>5.1615139277730966E-4</v>
      </c>
      <c r="BN112" s="66">
        <f t="shared" si="238"/>
        <v>0</v>
      </c>
      <c r="BO112" s="66">
        <f t="shared" si="238"/>
        <v>4.8806543560211654E-4</v>
      </c>
      <c r="BP112" s="66">
        <f t="shared" si="238"/>
        <v>0</v>
      </c>
      <c r="BQ112" s="66">
        <f t="shared" si="238"/>
        <v>0</v>
      </c>
      <c r="BR112" s="118">
        <f t="shared" si="238"/>
        <v>0</v>
      </c>
      <c r="BS112" s="66">
        <f t="shared" si="238"/>
        <v>0</v>
      </c>
      <c r="BT112" s="66">
        <f t="shared" si="238"/>
        <v>0</v>
      </c>
      <c r="BU112" s="66">
        <f t="shared" ref="BU112:CQ112" si="239">BU74/BU$77</f>
        <v>0</v>
      </c>
      <c r="BV112" s="66">
        <f t="shared" si="239"/>
        <v>0</v>
      </c>
      <c r="BW112" s="118">
        <f t="shared" si="239"/>
        <v>0</v>
      </c>
      <c r="BX112" s="66">
        <f t="shared" si="239"/>
        <v>0</v>
      </c>
      <c r="BY112" s="66">
        <f t="shared" si="239"/>
        <v>0</v>
      </c>
      <c r="BZ112" s="66">
        <f t="shared" si="239"/>
        <v>0</v>
      </c>
      <c r="CA112" s="66">
        <f t="shared" si="239"/>
        <v>0</v>
      </c>
      <c r="CB112" s="118">
        <f t="shared" si="239"/>
        <v>0</v>
      </c>
      <c r="CC112" s="66">
        <f t="shared" si="239"/>
        <v>0</v>
      </c>
      <c r="CD112" s="66">
        <f t="shared" si="239"/>
        <v>0</v>
      </c>
      <c r="CE112" s="66">
        <f t="shared" si="239"/>
        <v>0</v>
      </c>
      <c r="CF112" s="66">
        <f t="shared" si="239"/>
        <v>0</v>
      </c>
      <c r="CG112" s="118">
        <f t="shared" si="239"/>
        <v>0</v>
      </c>
      <c r="CH112" s="66">
        <f t="shared" ref="CH112:CI112" si="240">CH74/CH$77</f>
        <v>0</v>
      </c>
      <c r="CI112" s="66">
        <f t="shared" si="240"/>
        <v>0</v>
      </c>
      <c r="CJ112" s="66">
        <f t="shared" ref="CJ112:CK112" si="241">CJ74/CJ$77</f>
        <v>0</v>
      </c>
      <c r="CK112" s="66">
        <f t="shared" si="241"/>
        <v>0</v>
      </c>
      <c r="CL112" s="118">
        <f t="shared" si="239"/>
        <v>0</v>
      </c>
      <c r="CM112" s="66">
        <f t="shared" si="239"/>
        <v>0</v>
      </c>
      <c r="CN112" s="66">
        <f t="shared" si="239"/>
        <v>0</v>
      </c>
      <c r="CO112" s="66">
        <f t="shared" si="239"/>
        <v>0</v>
      </c>
      <c r="CP112" s="66">
        <f t="shared" si="239"/>
        <v>0</v>
      </c>
      <c r="CQ112" s="118">
        <f t="shared" si="239"/>
        <v>0</v>
      </c>
      <c r="CR112" s="66">
        <f t="shared" ref="CR112:CV112" si="242">CR74/CR$77</f>
        <v>0</v>
      </c>
      <c r="CS112" s="66">
        <f t="shared" si="242"/>
        <v>0</v>
      </c>
      <c r="CT112" s="66">
        <f t="shared" si="242"/>
        <v>0</v>
      </c>
      <c r="CU112" s="66">
        <f t="shared" si="242"/>
        <v>0</v>
      </c>
      <c r="CV112" s="118">
        <f t="shared" si="242"/>
        <v>0</v>
      </c>
      <c r="CW112" s="66">
        <f t="shared" ref="CW112:DF112" si="243">CW74/CW$77</f>
        <v>0</v>
      </c>
      <c r="CX112" s="66">
        <f t="shared" si="243"/>
        <v>0</v>
      </c>
      <c r="CY112" s="66">
        <f t="shared" si="243"/>
        <v>0</v>
      </c>
      <c r="CZ112" s="66">
        <f t="shared" si="243"/>
        <v>0</v>
      </c>
      <c r="DA112" s="118">
        <f t="shared" si="243"/>
        <v>0</v>
      </c>
      <c r="DB112" s="66">
        <f t="shared" si="243"/>
        <v>0</v>
      </c>
      <c r="DC112" s="66">
        <f t="shared" si="243"/>
        <v>0</v>
      </c>
      <c r="DD112" s="66">
        <f t="shared" si="243"/>
        <v>0</v>
      </c>
      <c r="DE112" s="66">
        <f t="shared" si="243"/>
        <v>0</v>
      </c>
      <c r="DF112" s="118">
        <f t="shared" si="243"/>
        <v>0</v>
      </c>
    </row>
    <row r="113" spans="1:110" ht="6.75" customHeight="1" outlineLevel="1" x14ac:dyDescent="0.2">
      <c r="B113" s="13"/>
      <c r="C113" s="182"/>
      <c r="D113" s="182"/>
      <c r="E113" s="118"/>
      <c r="F113" s="68"/>
      <c r="G113" s="68"/>
      <c r="H113" s="68"/>
      <c r="I113" s="68"/>
      <c r="J113" s="223"/>
      <c r="K113" s="209"/>
      <c r="L113" s="209"/>
      <c r="M113" s="209"/>
      <c r="N113" s="209"/>
      <c r="O113" s="223"/>
      <c r="P113" s="66"/>
      <c r="Q113" s="66"/>
      <c r="R113" s="66"/>
      <c r="S113" s="66"/>
      <c r="T113" s="136"/>
      <c r="U113" s="66"/>
      <c r="V113" s="66"/>
      <c r="W113" s="66"/>
      <c r="X113" s="66"/>
      <c r="Y113" s="136"/>
      <c r="Z113" s="66"/>
      <c r="AA113" s="66"/>
      <c r="AB113" s="66"/>
      <c r="AC113" s="66"/>
      <c r="AD113" s="136"/>
      <c r="AE113" s="66"/>
      <c r="AF113" s="66"/>
      <c r="AG113" s="66"/>
      <c r="AH113" s="66"/>
      <c r="AI113" s="136"/>
      <c r="AJ113" s="66"/>
      <c r="AK113" s="66"/>
      <c r="AL113" s="66"/>
      <c r="AM113" s="66"/>
      <c r="AN113" s="136"/>
      <c r="AO113" s="66"/>
      <c r="AP113" s="66"/>
      <c r="AQ113" s="66"/>
      <c r="AR113" s="66"/>
      <c r="AS113" s="118"/>
      <c r="AT113" s="66"/>
      <c r="AU113" s="66"/>
      <c r="AV113" s="66"/>
      <c r="AW113" s="66"/>
      <c r="AX113" s="118"/>
      <c r="AY113" s="66"/>
      <c r="AZ113" s="66"/>
      <c r="BA113" s="66"/>
      <c r="BB113" s="66"/>
      <c r="BC113" s="118"/>
      <c r="BD113" s="66"/>
      <c r="BE113" s="66"/>
      <c r="BF113" s="66"/>
      <c r="BG113" s="66"/>
      <c r="BH113" s="118"/>
      <c r="BI113" s="66"/>
      <c r="BJ113" s="66"/>
      <c r="BK113" s="66"/>
      <c r="BL113" s="66"/>
      <c r="BM113" s="118"/>
      <c r="BN113" s="66"/>
      <c r="BO113" s="66"/>
      <c r="BP113" s="66"/>
      <c r="BQ113" s="66"/>
      <c r="BR113" s="118"/>
      <c r="BS113" s="66"/>
      <c r="BT113" s="66"/>
      <c r="BU113" s="66"/>
      <c r="BV113" s="66"/>
      <c r="BW113" s="118"/>
      <c r="BX113" s="66"/>
      <c r="BY113" s="66"/>
      <c r="BZ113" s="66"/>
      <c r="CA113" s="66"/>
      <c r="CB113" s="118"/>
      <c r="CC113" s="66"/>
      <c r="CD113" s="66"/>
      <c r="CE113" s="66"/>
      <c r="CF113" s="66"/>
      <c r="CG113" s="118"/>
      <c r="CH113" s="66"/>
      <c r="CI113" s="66"/>
      <c r="CJ113" s="66"/>
      <c r="CK113" s="66"/>
      <c r="CL113" s="118"/>
      <c r="CM113" s="66"/>
      <c r="CN113" s="66"/>
      <c r="CO113" s="66"/>
      <c r="CP113" s="66"/>
      <c r="CQ113" s="118"/>
      <c r="CR113" s="66"/>
      <c r="CS113" s="66"/>
      <c r="CT113" s="66"/>
      <c r="CU113" s="66"/>
      <c r="CV113" s="118"/>
      <c r="CW113" s="66"/>
      <c r="CX113" s="66"/>
      <c r="CY113" s="66"/>
      <c r="CZ113" s="66"/>
      <c r="DA113" s="118"/>
      <c r="DB113" s="66"/>
      <c r="DC113" s="66"/>
      <c r="DD113" s="66"/>
      <c r="DE113" s="66"/>
      <c r="DF113" s="118"/>
    </row>
    <row r="114" spans="1:110" ht="12" outlineLevel="1" thickBot="1" x14ac:dyDescent="0.25">
      <c r="B114" s="216" t="s">
        <v>153</v>
      </c>
      <c r="C114" s="211"/>
      <c r="D114" s="211"/>
      <c r="E114" s="121"/>
      <c r="F114" s="120"/>
      <c r="G114" s="120"/>
      <c r="H114" s="120"/>
      <c r="I114" s="120"/>
      <c r="J114" s="484"/>
      <c r="K114" s="212"/>
      <c r="L114" s="212"/>
      <c r="M114" s="212"/>
      <c r="N114" s="212"/>
      <c r="O114" s="484"/>
      <c r="P114" s="212"/>
      <c r="Q114" s="212"/>
      <c r="R114" s="212"/>
      <c r="S114" s="212"/>
      <c r="T114" s="484"/>
      <c r="U114" s="212"/>
      <c r="V114" s="212"/>
      <c r="W114" s="212"/>
      <c r="X114" s="212"/>
      <c r="Y114" s="484"/>
      <c r="Z114" s="212"/>
      <c r="AA114" s="212"/>
      <c r="AB114" s="212"/>
      <c r="AC114" s="212"/>
      <c r="AD114" s="484"/>
      <c r="AE114" s="212"/>
      <c r="AF114" s="212"/>
      <c r="AG114" s="212"/>
      <c r="AH114" s="212"/>
      <c r="AI114" s="484"/>
      <c r="AJ114" s="212"/>
      <c r="AK114" s="212"/>
      <c r="AL114" s="212"/>
      <c r="AM114" s="212"/>
      <c r="AN114" s="484"/>
      <c r="AO114" s="140">
        <f ca="1">AO77/AO$77</f>
        <v>1</v>
      </c>
      <c r="AP114" s="140">
        <f ca="1">AP77/AP$77</f>
        <v>1</v>
      </c>
      <c r="AQ114" s="140">
        <f ca="1">AQ77/AQ$77</f>
        <v>1</v>
      </c>
      <c r="AR114" s="140">
        <f ca="1">AR77/AR$77</f>
        <v>1</v>
      </c>
      <c r="AS114" s="121">
        <f ca="1">AS77/AS$77</f>
        <v>1</v>
      </c>
      <c r="AT114" s="140">
        <f t="shared" ref="AT114:BT114" si="244">AT77/AT$77</f>
        <v>1</v>
      </c>
      <c r="AU114" s="140">
        <f t="shared" si="244"/>
        <v>1</v>
      </c>
      <c r="AV114" s="140">
        <f t="shared" si="244"/>
        <v>1</v>
      </c>
      <c r="AW114" s="140">
        <f t="shared" si="244"/>
        <v>1</v>
      </c>
      <c r="AX114" s="121">
        <f t="shared" si="244"/>
        <v>1</v>
      </c>
      <c r="AY114" s="140">
        <f t="shared" si="244"/>
        <v>1</v>
      </c>
      <c r="AZ114" s="140">
        <f t="shared" si="244"/>
        <v>1</v>
      </c>
      <c r="BA114" s="140">
        <f t="shared" si="244"/>
        <v>1</v>
      </c>
      <c r="BB114" s="140">
        <f t="shared" si="244"/>
        <v>1</v>
      </c>
      <c r="BC114" s="121">
        <f t="shared" si="244"/>
        <v>1</v>
      </c>
      <c r="BD114" s="140">
        <f t="shared" si="244"/>
        <v>1</v>
      </c>
      <c r="BE114" s="140">
        <f t="shared" si="244"/>
        <v>1</v>
      </c>
      <c r="BF114" s="140">
        <f t="shared" si="244"/>
        <v>1</v>
      </c>
      <c r="BG114" s="140">
        <f t="shared" si="244"/>
        <v>1</v>
      </c>
      <c r="BH114" s="121">
        <f t="shared" si="244"/>
        <v>1</v>
      </c>
      <c r="BI114" s="140">
        <f t="shared" si="244"/>
        <v>1</v>
      </c>
      <c r="BJ114" s="140">
        <f t="shared" si="244"/>
        <v>1</v>
      </c>
      <c r="BK114" s="140">
        <f t="shared" si="244"/>
        <v>1</v>
      </c>
      <c r="BL114" s="140">
        <f t="shared" si="244"/>
        <v>1</v>
      </c>
      <c r="BM114" s="121">
        <f t="shared" si="244"/>
        <v>1</v>
      </c>
      <c r="BN114" s="140">
        <f t="shared" si="244"/>
        <v>1</v>
      </c>
      <c r="BO114" s="140">
        <f t="shared" si="244"/>
        <v>1</v>
      </c>
      <c r="BP114" s="140">
        <f t="shared" si="244"/>
        <v>1</v>
      </c>
      <c r="BQ114" s="140">
        <f t="shared" si="244"/>
        <v>1</v>
      </c>
      <c r="BR114" s="121">
        <f t="shared" si="244"/>
        <v>1</v>
      </c>
      <c r="BS114" s="140">
        <f t="shared" si="244"/>
        <v>1</v>
      </c>
      <c r="BT114" s="140">
        <f t="shared" si="244"/>
        <v>1</v>
      </c>
      <c r="BU114" s="140">
        <f t="shared" ref="BU114:CQ114" si="245">BU77/BU$77</f>
        <v>1</v>
      </c>
      <c r="BV114" s="140">
        <f t="shared" si="245"/>
        <v>1</v>
      </c>
      <c r="BW114" s="121">
        <f t="shared" si="245"/>
        <v>1</v>
      </c>
      <c r="BX114" s="140">
        <f t="shared" si="245"/>
        <v>1</v>
      </c>
      <c r="BY114" s="140">
        <f t="shared" si="245"/>
        <v>1</v>
      </c>
      <c r="BZ114" s="140">
        <f t="shared" si="245"/>
        <v>1</v>
      </c>
      <c r="CA114" s="140">
        <f t="shared" si="245"/>
        <v>1</v>
      </c>
      <c r="CB114" s="121">
        <f t="shared" si="245"/>
        <v>1</v>
      </c>
      <c r="CC114" s="140">
        <f t="shared" si="245"/>
        <v>1</v>
      </c>
      <c r="CD114" s="140">
        <f t="shared" si="245"/>
        <v>1</v>
      </c>
      <c r="CE114" s="140">
        <f t="shared" si="245"/>
        <v>1</v>
      </c>
      <c r="CF114" s="140">
        <f t="shared" si="245"/>
        <v>1</v>
      </c>
      <c r="CG114" s="121">
        <f t="shared" si="245"/>
        <v>1</v>
      </c>
      <c r="CH114" s="140">
        <f t="shared" ref="CH114:CI114" si="246">CH77/CH$77</f>
        <v>1</v>
      </c>
      <c r="CI114" s="140">
        <f t="shared" si="246"/>
        <v>1</v>
      </c>
      <c r="CJ114" s="140">
        <f t="shared" ref="CJ114:CK114" si="247">CJ77/CJ$77</f>
        <v>1</v>
      </c>
      <c r="CK114" s="140">
        <f t="shared" si="247"/>
        <v>1</v>
      </c>
      <c r="CL114" s="121">
        <f t="shared" si="245"/>
        <v>1</v>
      </c>
      <c r="CM114" s="140">
        <f t="shared" si="245"/>
        <v>1</v>
      </c>
      <c r="CN114" s="140">
        <f t="shared" si="245"/>
        <v>1</v>
      </c>
      <c r="CO114" s="140">
        <f t="shared" si="245"/>
        <v>1</v>
      </c>
      <c r="CP114" s="140">
        <f t="shared" si="245"/>
        <v>1</v>
      </c>
      <c r="CQ114" s="121">
        <f t="shared" si="245"/>
        <v>1</v>
      </c>
      <c r="CR114" s="140">
        <f t="shared" ref="CR114:CV114" si="248">CR77/CR$77</f>
        <v>1</v>
      </c>
      <c r="CS114" s="140">
        <f t="shared" si="248"/>
        <v>1</v>
      </c>
      <c r="CT114" s="140">
        <f t="shared" si="248"/>
        <v>1</v>
      </c>
      <c r="CU114" s="140">
        <f t="shared" si="248"/>
        <v>1</v>
      </c>
      <c r="CV114" s="121">
        <f t="shared" si="248"/>
        <v>1</v>
      </c>
      <c r="CW114" s="140">
        <f t="shared" ref="CW114:DF114" si="249">CW77/CW$77</f>
        <v>1</v>
      </c>
      <c r="CX114" s="140">
        <f t="shared" si="249"/>
        <v>1</v>
      </c>
      <c r="CY114" s="140">
        <f t="shared" si="249"/>
        <v>1</v>
      </c>
      <c r="CZ114" s="140">
        <f t="shared" si="249"/>
        <v>1</v>
      </c>
      <c r="DA114" s="121">
        <f t="shared" si="249"/>
        <v>1</v>
      </c>
      <c r="DB114" s="140">
        <f t="shared" si="249"/>
        <v>1</v>
      </c>
      <c r="DC114" s="140">
        <f t="shared" si="249"/>
        <v>1</v>
      </c>
      <c r="DD114" s="140">
        <f t="shared" si="249"/>
        <v>1</v>
      </c>
      <c r="DE114" s="140">
        <f t="shared" si="249"/>
        <v>1</v>
      </c>
      <c r="DF114" s="121">
        <f t="shared" si="249"/>
        <v>1</v>
      </c>
    </row>
    <row r="115" spans="1:110" ht="12.75" outlineLevel="1" x14ac:dyDescent="0.2">
      <c r="B115" s="182"/>
      <c r="C115" s="182"/>
      <c r="D115" s="182"/>
      <c r="E115" s="213"/>
      <c r="F115" s="204"/>
      <c r="G115" s="204"/>
      <c r="H115" s="204"/>
      <c r="I115" s="204"/>
      <c r="J115" s="204"/>
      <c r="K115" s="78"/>
      <c r="L115" s="78"/>
      <c r="M115" s="78"/>
      <c r="N115" s="78"/>
      <c r="O115" s="78"/>
      <c r="P115" s="78"/>
      <c r="Q115" s="78"/>
      <c r="R115" s="78"/>
      <c r="S115" s="78"/>
      <c r="T115" s="78"/>
      <c r="U115" s="78"/>
      <c r="V115" s="78"/>
      <c r="W115" s="78"/>
      <c r="X115" s="204"/>
      <c r="Y115" s="204"/>
      <c r="Z115" s="204"/>
      <c r="AA115" s="78"/>
      <c r="AB115" s="204"/>
      <c r="AC115" s="204"/>
      <c r="AD115" s="204"/>
      <c r="AE115" s="204"/>
      <c r="AF115" s="204"/>
      <c r="AG115" s="204"/>
      <c r="AH115" s="204"/>
      <c r="AI115" s="204"/>
      <c r="AJ115" s="204"/>
      <c r="AK115" s="204"/>
      <c r="AL115" s="204"/>
      <c r="AM115" s="204"/>
      <c r="AN115" s="204"/>
      <c r="AO115" s="204"/>
      <c r="AP115" s="204"/>
      <c r="AQ115" s="204"/>
      <c r="AR115" s="204"/>
      <c r="AS115" s="204"/>
      <c r="AT115" s="204"/>
      <c r="AU115" s="204"/>
      <c r="AV115" s="204"/>
      <c r="AW115" s="204"/>
      <c r="AX115" s="204"/>
      <c r="AY115" s="204"/>
      <c r="AZ115" s="204"/>
      <c r="BA115" s="204"/>
      <c r="BB115" s="204"/>
      <c r="BC115" s="204"/>
      <c r="BD115" s="204"/>
      <c r="BE115" s="204"/>
      <c r="BF115" s="204"/>
      <c r="BG115" s="204"/>
      <c r="BH115" s="204"/>
      <c r="BI115" s="204"/>
      <c r="BJ115" s="1439"/>
      <c r="BK115" s="2017"/>
      <c r="BL115" s="2018"/>
      <c r="BM115" s="2018"/>
      <c r="BN115" s="2018"/>
      <c r="BO115" s="204"/>
      <c r="BP115" s="204"/>
      <c r="BQ115" s="204"/>
      <c r="BR115" s="204"/>
      <c r="BS115" s="204"/>
      <c r="BT115" s="204"/>
      <c r="BU115" s="204"/>
      <c r="BV115" s="204"/>
      <c r="BW115" s="204"/>
      <c r="BX115" s="204"/>
      <c r="BY115" s="204"/>
      <c r="BZ115" s="204"/>
      <c r="CA115" s="204"/>
      <c r="CB115" s="204"/>
      <c r="CC115" s="204"/>
      <c r="CD115" s="204"/>
      <c r="CE115" s="204"/>
      <c r="CF115" s="204"/>
      <c r="CG115" s="204"/>
      <c r="CH115" s="204"/>
      <c r="CI115" s="204"/>
      <c r="CJ115" s="204"/>
      <c r="CK115" s="204"/>
      <c r="CL115" s="204"/>
      <c r="CM115" s="204"/>
      <c r="CN115" s="204"/>
      <c r="CO115" s="204"/>
      <c r="CP115" s="204"/>
      <c r="CQ115" s="204"/>
      <c r="CR115" s="204"/>
      <c r="CS115" s="204"/>
      <c r="CT115" s="204"/>
      <c r="CU115" s="204"/>
      <c r="CV115" s="204"/>
      <c r="CW115" s="204"/>
      <c r="CX115" s="204"/>
      <c r="CY115" s="204"/>
      <c r="CZ115" s="204"/>
      <c r="DA115" s="204"/>
      <c r="DB115" s="204"/>
      <c r="DC115" s="204"/>
      <c r="DD115" s="204"/>
      <c r="DE115" s="204"/>
      <c r="DF115" s="204"/>
    </row>
    <row r="116" spans="1:110" s="40" customFormat="1" ht="6" customHeight="1" thickBot="1" x14ac:dyDescent="0.25">
      <c r="A116" s="175"/>
      <c r="B116" s="185"/>
      <c r="C116" s="185"/>
      <c r="D116" s="185"/>
      <c r="E116" s="201"/>
      <c r="F116" s="201"/>
      <c r="G116" s="201"/>
      <c r="H116" s="201"/>
      <c r="I116" s="201"/>
      <c r="J116" s="201"/>
      <c r="K116" s="201"/>
      <c r="L116" s="201"/>
      <c r="M116" s="201"/>
      <c r="N116" s="201"/>
      <c r="O116" s="201"/>
      <c r="P116" s="201"/>
      <c r="Q116" s="201"/>
      <c r="R116" s="201"/>
      <c r="S116" s="201"/>
      <c r="T116" s="201"/>
      <c r="U116" s="201"/>
      <c r="V116" s="201"/>
      <c r="W116" s="201"/>
      <c r="X116" s="201"/>
      <c r="Y116" s="201"/>
      <c r="Z116" s="201"/>
      <c r="AA116" s="201"/>
      <c r="AB116" s="219"/>
      <c r="AC116" s="219"/>
      <c r="AD116" s="219"/>
      <c r="AE116" s="219"/>
      <c r="AF116" s="219"/>
      <c r="AG116" s="219"/>
      <c r="AH116" s="219"/>
      <c r="AI116" s="201"/>
      <c r="AJ116" s="219"/>
      <c r="AK116" s="219"/>
      <c r="AL116" s="219"/>
      <c r="AM116" s="219"/>
      <c r="AN116" s="201"/>
      <c r="AO116" s="219"/>
      <c r="AP116" s="219"/>
      <c r="AQ116" s="219"/>
      <c r="AR116" s="219"/>
      <c r="AS116" s="201"/>
      <c r="AT116" s="219"/>
      <c r="AU116" s="219"/>
      <c r="AV116" s="219"/>
      <c r="AW116" s="219"/>
      <c r="AX116" s="201"/>
      <c r="AY116" s="219"/>
      <c r="AZ116" s="219"/>
      <c r="BA116" s="219"/>
      <c r="BB116" s="219"/>
      <c r="BC116" s="201"/>
      <c r="BD116" s="219"/>
      <c r="BE116" s="219"/>
      <c r="BF116" s="219"/>
      <c r="BG116" s="219"/>
      <c r="BH116" s="201"/>
      <c r="BI116" s="219"/>
      <c r="BJ116" s="219"/>
      <c r="BK116" s="219"/>
      <c r="BL116" s="219"/>
      <c r="BM116" s="201"/>
      <c r="BN116" s="219"/>
      <c r="BO116" s="219"/>
      <c r="BP116" s="219"/>
      <c r="BQ116" s="219"/>
      <c r="BR116" s="201"/>
      <c r="BS116" s="219"/>
      <c r="BT116" s="219"/>
      <c r="BU116" s="219"/>
      <c r="BV116" s="219"/>
      <c r="BW116" s="201"/>
      <c r="BX116" s="219"/>
      <c r="BY116" s="219"/>
      <c r="BZ116" s="219"/>
      <c r="CA116" s="219"/>
      <c r="CB116" s="201"/>
      <c r="CC116" s="219"/>
      <c r="CD116" s="219"/>
      <c r="CE116" s="219"/>
      <c r="CF116" s="219"/>
      <c r="CG116" s="201"/>
      <c r="CH116" s="219"/>
      <c r="CI116" s="219"/>
      <c r="CJ116" s="219"/>
      <c r="CK116" s="219"/>
      <c r="CL116" s="201"/>
      <c r="CM116" s="219"/>
      <c r="CN116" s="219"/>
      <c r="CO116" s="219"/>
      <c r="CP116" s="219"/>
      <c r="CQ116" s="201"/>
      <c r="CR116" s="219"/>
      <c r="CS116" s="219"/>
      <c r="CT116" s="219"/>
      <c r="CU116" s="219"/>
      <c r="CV116" s="201"/>
      <c r="CW116" s="219"/>
      <c r="CX116" s="219"/>
      <c r="CY116" s="219"/>
      <c r="CZ116" s="219"/>
      <c r="DA116" s="201"/>
      <c r="DB116" s="219"/>
      <c r="DC116" s="219"/>
      <c r="DD116" s="219"/>
      <c r="DE116" s="219"/>
      <c r="DF116" s="201"/>
    </row>
    <row r="117" spans="1:110" s="19" customFormat="1" ht="11.25" customHeight="1" thickBot="1" x14ac:dyDescent="0.25">
      <c r="A117" s="26"/>
      <c r="B117" s="873" t="s">
        <v>166</v>
      </c>
      <c r="C117" s="874"/>
      <c r="D117" s="874"/>
      <c r="E117" s="816"/>
      <c r="F117" s="816"/>
      <c r="G117" s="816"/>
      <c r="H117" s="816"/>
      <c r="I117" s="816"/>
      <c r="J117" s="816"/>
      <c r="K117" s="816"/>
      <c r="L117" s="816"/>
      <c r="M117" s="816"/>
      <c r="N117" s="816"/>
      <c r="O117" s="816"/>
      <c r="P117" s="816"/>
      <c r="Q117" s="816"/>
      <c r="R117" s="816"/>
      <c r="S117" s="816"/>
      <c r="T117" s="816"/>
      <c r="U117" s="816"/>
      <c r="V117" s="816"/>
      <c r="W117" s="816"/>
      <c r="X117" s="816"/>
      <c r="Y117" s="816"/>
      <c r="Z117" s="875"/>
      <c r="AA117" s="816"/>
      <c r="AB117" s="876"/>
      <c r="AC117" s="876"/>
      <c r="AD117" s="816"/>
      <c r="AE117" s="876"/>
      <c r="AF117" s="876"/>
      <c r="AG117" s="876"/>
      <c r="AH117" s="876"/>
      <c r="AI117" s="816"/>
      <c r="AJ117" s="876"/>
      <c r="AK117" s="876"/>
      <c r="AL117" s="876"/>
      <c r="AM117" s="876"/>
      <c r="AN117" s="816"/>
      <c r="AO117" s="876"/>
      <c r="AP117" s="876"/>
      <c r="AQ117" s="876"/>
      <c r="AR117" s="876"/>
      <c r="AS117" s="816"/>
      <c r="AT117" s="876"/>
      <c r="AU117" s="876"/>
      <c r="AV117" s="876"/>
      <c r="AW117" s="876"/>
      <c r="AX117" s="816"/>
      <c r="AY117" s="876"/>
      <c r="AZ117" s="876"/>
      <c r="BA117" s="876"/>
      <c r="BB117" s="876"/>
      <c r="BC117" s="816"/>
      <c r="BD117" s="876"/>
      <c r="BE117" s="876"/>
      <c r="BF117" s="876"/>
      <c r="BG117" s="876"/>
      <c r="BH117" s="816"/>
      <c r="BI117" s="876"/>
      <c r="BJ117" s="876"/>
      <c r="BK117" s="876"/>
      <c r="BL117" s="876"/>
      <c r="BM117" s="816"/>
      <c r="BN117" s="876"/>
      <c r="BO117" s="876"/>
      <c r="BP117" s="876"/>
      <c r="BQ117" s="876"/>
      <c r="BR117" s="816"/>
      <c r="BS117" s="876"/>
      <c r="BT117" s="876"/>
      <c r="BU117" s="876"/>
      <c r="BV117" s="876"/>
      <c r="BW117" s="816"/>
      <c r="BX117" s="876"/>
      <c r="BY117" s="876"/>
      <c r="BZ117" s="876"/>
      <c r="CA117" s="876"/>
      <c r="CB117" s="818"/>
      <c r="CC117" s="876"/>
      <c r="CD117" s="876"/>
      <c r="CE117" s="876"/>
      <c r="CF117" s="876"/>
      <c r="CG117" s="818"/>
      <c r="CH117" s="876"/>
      <c r="CI117" s="876"/>
      <c r="CJ117" s="876"/>
      <c r="CK117" s="876"/>
      <c r="CL117" s="818"/>
      <c r="CM117" s="876"/>
      <c r="CN117" s="876"/>
      <c r="CO117" s="876"/>
      <c r="CP117" s="876"/>
      <c r="CQ117" s="818"/>
      <c r="CR117" s="876"/>
      <c r="CS117" s="876"/>
      <c r="CT117" s="876"/>
      <c r="CU117" s="876"/>
      <c r="CV117" s="818"/>
      <c r="CW117" s="876"/>
      <c r="CX117" s="876"/>
      <c r="CY117" s="876"/>
      <c r="CZ117" s="876"/>
      <c r="DA117" s="818"/>
      <c r="DB117" s="876"/>
      <c r="DC117" s="876"/>
      <c r="DD117" s="876"/>
      <c r="DE117" s="876"/>
      <c r="DF117" s="818"/>
    </row>
    <row r="118" spans="1:110" x14ac:dyDescent="0.2">
      <c r="B118" s="220" t="s">
        <v>271</v>
      </c>
      <c r="C118" s="206"/>
      <c r="D118" s="206"/>
      <c r="E118" s="207"/>
      <c r="F118" s="207"/>
      <c r="G118" s="207"/>
      <c r="H118" s="207"/>
      <c r="I118" s="207"/>
      <c r="J118" s="619"/>
      <c r="K118" s="221">
        <v>0.43113041055820595</v>
      </c>
      <c r="L118" s="221">
        <v>0.43107377988780349</v>
      </c>
      <c r="M118" s="222">
        <v>0.45</v>
      </c>
      <c r="N118" s="222">
        <v>0.46</v>
      </c>
      <c r="O118" s="619">
        <v>0.45100000000000001</v>
      </c>
      <c r="P118" s="222">
        <v>0.47129045706930001</v>
      </c>
      <c r="Q118" s="222">
        <v>0.46788578122149566</v>
      </c>
      <c r="R118" s="222">
        <v>0.47089944513759974</v>
      </c>
      <c r="S118" s="222">
        <v>0.48091619426995558</v>
      </c>
      <c r="T118" s="619">
        <v>0.47242951242997205</v>
      </c>
      <c r="U118" s="222">
        <v>0.49404206813908402</v>
      </c>
      <c r="V118" s="222">
        <v>0.49534500289838546</v>
      </c>
      <c r="W118" s="222">
        <v>0.51571180026186936</v>
      </c>
      <c r="X118" s="222">
        <v>0.52</v>
      </c>
      <c r="Y118" s="619">
        <v>0.50900434404865336</v>
      </c>
      <c r="Z118" s="222">
        <v>0.53687623762376246</v>
      </c>
      <c r="AA118" s="222">
        <v>0.53928846153846166</v>
      </c>
      <c r="AB118" s="222">
        <v>0.54544636678200686</v>
      </c>
      <c r="AC118" s="222">
        <v>0.55327635914332784</v>
      </c>
      <c r="AD118" s="619">
        <v>0.54057569146093121</v>
      </c>
      <c r="AE118" s="620">
        <v>0.56465661047027504</v>
      </c>
      <c r="AF118" s="222">
        <v>0.56472134203168689</v>
      </c>
      <c r="AG118" s="222">
        <v>0.58455856727976763</v>
      </c>
      <c r="AH118" s="222">
        <v>0.5987562442183163</v>
      </c>
      <c r="AI118" s="619">
        <v>0.57251455591212075</v>
      </c>
      <c r="AJ118" s="222">
        <v>0.60386891385767805</v>
      </c>
      <c r="AK118" s="222">
        <v>0.611787356321839</v>
      </c>
      <c r="AL118" s="222">
        <v>0.62353665689149562</v>
      </c>
      <c r="AM118" s="222">
        <v>0.63818190298507471</v>
      </c>
      <c r="AN118" s="619">
        <v>0.61294276105532475</v>
      </c>
      <c r="AO118" s="166">
        <f ca="1">AO121*AO67/AO76+AO124*AO69/AO76</f>
        <v>0.64574044854804913</v>
      </c>
      <c r="AP118" s="166">
        <f ca="1">AP121*AP67/AP76+AP124*AP69/AP76</f>
        <v>0.65330826122260122</v>
      </c>
      <c r="AQ118" s="166">
        <f ca="1">AQ121*AQ67/AQ76+AQ124*AQ69/AQ76</f>
        <v>0.65556464272125459</v>
      </c>
      <c r="AR118" s="166">
        <f ca="1">AR121*AR67/AR76+AR124*AR69/AR76</f>
        <v>0.66990776483973236</v>
      </c>
      <c r="AS118" s="214">
        <f ca="1">AS121*AS67/AS76+AS124*AS69/AS76</f>
        <v>0.6560055790447169</v>
      </c>
      <c r="AT118" s="166">
        <f t="shared" ref="AT118:BC118" si="250">AT121*AT67/AT76+AT124*AT69/AT76</f>
        <v>0.67156518507609531</v>
      </c>
      <c r="AU118" s="166">
        <f t="shared" si="250"/>
        <v>0.67406490606795599</v>
      </c>
      <c r="AV118" s="166">
        <f t="shared" si="250"/>
        <v>0.67731743642158104</v>
      </c>
      <c r="AW118" s="166">
        <f t="shared" si="250"/>
        <v>0.68750473657095612</v>
      </c>
      <c r="AX118" s="214">
        <f t="shared" si="250"/>
        <v>0.67821217390800304</v>
      </c>
      <c r="AY118" s="166">
        <f t="shared" si="250"/>
        <v>0.69842610837438424</v>
      </c>
      <c r="AZ118" s="166">
        <f t="shared" si="250"/>
        <v>0.70994025175320097</v>
      </c>
      <c r="BA118" s="166">
        <f t="shared" si="250"/>
        <v>0.71733268597260869</v>
      </c>
      <c r="BB118" s="166">
        <f t="shared" si="250"/>
        <v>0.72348508192482985</v>
      </c>
      <c r="BC118" s="214">
        <f t="shared" si="250"/>
        <v>0.71236256012238597</v>
      </c>
      <c r="BD118" s="166">
        <f>BD121*BD67/(BD76-BD74)+BD124*BD69/(BD76-BD74)</f>
        <v>0.73914667425672054</v>
      </c>
      <c r="BE118" s="166">
        <f>BE121*BE67/(BE76-BE74)+BE124*BE69/(BE76-BE74)</f>
        <v>0.74136951097691206</v>
      </c>
      <c r="BF118" s="166">
        <f>BF121*BF67/(BF76-BF74)+BF124*BF69/(BF76-BF74)</f>
        <v>0.74250161186696306</v>
      </c>
      <c r="BG118" s="166">
        <f>BG121*BG67/(BG76-BG74)+BG124*BG69/(BG76-BG74)</f>
        <v>0.74857134180473295</v>
      </c>
      <c r="BH118" s="214">
        <f t="shared" ref="BH118:BW118" si="251">BH121*BH67/BH76+BH124*BH69/BH76</f>
        <v>0.7405776125318746</v>
      </c>
      <c r="BI118" s="166">
        <f t="shared" si="251"/>
        <v>0.76655201114887095</v>
      </c>
      <c r="BJ118" s="166">
        <f t="shared" si="251"/>
        <v>0.77543147578515637</v>
      </c>
      <c r="BK118" s="166">
        <f t="shared" si="251"/>
        <v>0.78604043556973002</v>
      </c>
      <c r="BL118" s="166">
        <f t="shared" si="251"/>
        <v>0.79639467356156268</v>
      </c>
      <c r="BM118" s="214">
        <f t="shared" si="251"/>
        <v>0.78327916841222334</v>
      </c>
      <c r="BN118" s="166">
        <f t="shared" si="251"/>
        <v>0.80299022819248622</v>
      </c>
      <c r="BO118" s="166">
        <f t="shared" si="251"/>
        <v>0.80636074080705755</v>
      </c>
      <c r="BP118" s="166">
        <f t="shared" si="251"/>
        <v>0.80582086876949</v>
      </c>
      <c r="BQ118" s="166">
        <f t="shared" si="251"/>
        <v>0.80703097448356897</v>
      </c>
      <c r="BR118" s="214">
        <f t="shared" si="251"/>
        <v>0.8055041969211596</v>
      </c>
      <c r="BS118" s="166">
        <f t="shared" si="251"/>
        <v>0.82240115168486472</v>
      </c>
      <c r="BT118" s="166">
        <f t="shared" si="251"/>
        <v>0.82793728666876898</v>
      </c>
      <c r="BU118" s="166">
        <f t="shared" si="251"/>
        <v>0.82911220691390186</v>
      </c>
      <c r="BV118" s="166">
        <f t="shared" si="251"/>
        <v>0.82547197760100377</v>
      </c>
      <c r="BW118" s="214">
        <f t="shared" si="251"/>
        <v>0.82623822659416235</v>
      </c>
      <c r="BX118" s="1769">
        <v>0.84299999999999997</v>
      </c>
      <c r="BY118" s="1769">
        <v>0.84699999999999998</v>
      </c>
      <c r="BZ118" s="1769">
        <v>0.84499999999999997</v>
      </c>
      <c r="CA118" s="1769">
        <v>0.84199999999999997</v>
      </c>
      <c r="CB118" s="214">
        <f>CB121*CB67/CB76+CB124*CB69/CB76</f>
        <v>0.8413449655607943</v>
      </c>
      <c r="CC118" s="1769">
        <v>0.85199999999999998</v>
      </c>
      <c r="CD118" s="1769">
        <v>0.86299999999999999</v>
      </c>
      <c r="CE118" s="1769">
        <v>0.85399999999999998</v>
      </c>
      <c r="CF118" s="1769">
        <v>0.85199999999999998</v>
      </c>
      <c r="CG118" s="214">
        <f t="shared" ref="CG118:CQ118" si="252">CG121*CG67/CG76+CG124*CG69/CG76</f>
        <v>0.84847644784653264</v>
      </c>
      <c r="CH118" s="1769">
        <v>0.86499999999999999</v>
      </c>
      <c r="CI118" s="1769">
        <v>0.86599999999999999</v>
      </c>
      <c r="CJ118" s="1956">
        <v>0.86099999999999999</v>
      </c>
      <c r="CK118" s="1956">
        <v>0.85699999999999998</v>
      </c>
      <c r="CL118" s="214">
        <f t="shared" si="252"/>
        <v>0.85822235404925928</v>
      </c>
      <c r="CM118" s="166">
        <f t="shared" si="252"/>
        <v>0.86538118330255109</v>
      </c>
      <c r="CN118" s="166">
        <f t="shared" si="252"/>
        <v>0.86671116431662887</v>
      </c>
      <c r="CO118" s="166">
        <f t="shared" si="252"/>
        <v>0.8610216465469045</v>
      </c>
      <c r="CP118" s="166">
        <f t="shared" si="252"/>
        <v>0.85666601711078316</v>
      </c>
      <c r="CQ118" s="214">
        <f t="shared" si="252"/>
        <v>0.86237083224397892</v>
      </c>
      <c r="CR118" s="166">
        <f t="shared" ref="CR118:CV118" si="253">CR121*CR67/CR76+CR124*CR69/CR76</f>
        <v>0.86215569130455727</v>
      </c>
      <c r="CS118" s="166">
        <f t="shared" si="253"/>
        <v>0.86292698952933378</v>
      </c>
      <c r="CT118" s="166">
        <f t="shared" si="253"/>
        <v>0.85724338541105893</v>
      </c>
      <c r="CU118" s="166">
        <f t="shared" si="253"/>
        <v>0.85266482857362236</v>
      </c>
      <c r="CV118" s="214">
        <f t="shared" si="253"/>
        <v>0.85867043422718781</v>
      </c>
      <c r="CW118" s="166">
        <f t="shared" ref="CW118:DF118" si="254">CW121*CW67/CW76+CW124*CW69/CW76</f>
        <v>0.85816509550998421</v>
      </c>
      <c r="CX118" s="166">
        <f t="shared" si="254"/>
        <v>0.85896141007244942</v>
      </c>
      <c r="CY118" s="166">
        <f t="shared" si="254"/>
        <v>0.8532749618555987</v>
      </c>
      <c r="CZ118" s="166">
        <f t="shared" si="254"/>
        <v>0.8486709497240349</v>
      </c>
      <c r="DA118" s="214">
        <f t="shared" si="254"/>
        <v>0.8546906244863961</v>
      </c>
      <c r="DB118" s="166">
        <f t="shared" si="254"/>
        <v>0.8541077266320527</v>
      </c>
      <c r="DC118" s="166">
        <f t="shared" si="254"/>
        <v>0.85492605588785286</v>
      </c>
      <c r="DD118" s="166">
        <f t="shared" si="254"/>
        <v>0.84923551263796304</v>
      </c>
      <c r="DE118" s="166">
        <f t="shared" si="254"/>
        <v>0.84460802302412818</v>
      </c>
      <c r="DF118" s="214">
        <f t="shared" si="254"/>
        <v>0.85064165411210624</v>
      </c>
    </row>
    <row r="119" spans="1:110" x14ac:dyDescent="0.2">
      <c r="B119" s="181" t="s">
        <v>148</v>
      </c>
      <c r="C119" s="182"/>
      <c r="D119" s="182"/>
      <c r="E119" s="68"/>
      <c r="F119" s="68"/>
      <c r="G119" s="68"/>
      <c r="H119" s="68"/>
      <c r="I119" s="68"/>
      <c r="J119" s="223"/>
      <c r="K119" s="66"/>
      <c r="L119" s="66"/>
      <c r="M119" s="66"/>
      <c r="N119" s="66"/>
      <c r="O119" s="223"/>
      <c r="P119" s="209">
        <v>401.6004651109406</v>
      </c>
      <c r="Q119" s="209">
        <v>368.12001333692166</v>
      </c>
      <c r="R119" s="209">
        <v>208.99445137599724</v>
      </c>
      <c r="S119" s="209">
        <v>209.1619426995556</v>
      </c>
      <c r="T119" s="223">
        <v>214.29512429972041</v>
      </c>
      <c r="U119" s="209">
        <v>227.51611069784019</v>
      </c>
      <c r="V119" s="209">
        <v>274.59221676889803</v>
      </c>
      <c r="W119" s="209">
        <v>448.12355124269618</v>
      </c>
      <c r="X119" s="209">
        <v>390.8380573004444</v>
      </c>
      <c r="Y119" s="223">
        <v>365.74831618681304</v>
      </c>
      <c r="Z119" s="209">
        <v>428.34169484678438</v>
      </c>
      <c r="AA119" s="209">
        <v>439.43458640076204</v>
      </c>
      <c r="AB119" s="209">
        <v>297.34566520137508</v>
      </c>
      <c r="AC119" s="209">
        <v>332.76359143327829</v>
      </c>
      <c r="AD119" s="223">
        <v>315.71347412277851</v>
      </c>
      <c r="AE119" s="224">
        <v>277.8037284651258</v>
      </c>
      <c r="AF119" s="209">
        <v>254.3288049322523</v>
      </c>
      <c r="AG119" s="209">
        <v>391.12200497760762</v>
      </c>
      <c r="AH119" s="209">
        <v>454.79885074988459</v>
      </c>
      <c r="AI119" s="223">
        <v>319.38864451189539</v>
      </c>
      <c r="AJ119" s="209">
        <v>392.12303387403</v>
      </c>
      <c r="AK119" s="209">
        <v>470.66014290152117</v>
      </c>
      <c r="AL119" s="209">
        <v>389.78089611727995</v>
      </c>
      <c r="AM119" s="209">
        <v>394.25658766758409</v>
      </c>
      <c r="AN119" s="223">
        <v>404.28205143204002</v>
      </c>
      <c r="AO119" s="209">
        <f t="shared" ref="AO119:AX119" ca="1" si="255">(AO118-AJ118)*100*100</f>
        <v>418.71534690371084</v>
      </c>
      <c r="AP119" s="209">
        <f t="shared" ca="1" si="255"/>
        <v>415.20904900762207</v>
      </c>
      <c r="AQ119" s="209">
        <f t="shared" ca="1" si="255"/>
        <v>320.27985829758967</v>
      </c>
      <c r="AR119" s="209">
        <f t="shared" ca="1" si="255"/>
        <v>317.25861854657643</v>
      </c>
      <c r="AS119" s="223">
        <f t="shared" ca="1" si="255"/>
        <v>430.62817989392153</v>
      </c>
      <c r="AT119" s="209">
        <f t="shared" ca="1" si="255"/>
        <v>258.24736528046179</v>
      </c>
      <c r="AU119" s="209">
        <f t="shared" ca="1" si="255"/>
        <v>207.56644845354776</v>
      </c>
      <c r="AV119" s="209">
        <f t="shared" ca="1" si="255"/>
        <v>217.52793700326455</v>
      </c>
      <c r="AW119" s="209">
        <f t="shared" ca="1" si="255"/>
        <v>175.96971731223766</v>
      </c>
      <c r="AX119" s="223">
        <f t="shared" ca="1" si="255"/>
        <v>222.06594863286134</v>
      </c>
      <c r="AY119" s="209">
        <f t="shared" ref="AY119:CB119" si="256">(AY118-AT118)*100*100</f>
        <v>268.6092329828893</v>
      </c>
      <c r="AZ119" s="209">
        <f t="shared" si="256"/>
        <v>358.75345685244974</v>
      </c>
      <c r="BA119" s="209">
        <f t="shared" si="256"/>
        <v>400.15249551027648</v>
      </c>
      <c r="BB119" s="209">
        <f t="shared" si="256"/>
        <v>359.8034535387373</v>
      </c>
      <c r="BC119" s="223">
        <f t="shared" si="256"/>
        <v>341.50386214382934</v>
      </c>
      <c r="BD119" s="209">
        <f t="shared" si="256"/>
        <v>407.20565882336308</v>
      </c>
      <c r="BE119" s="209">
        <f t="shared" si="256"/>
        <v>314.29259223711091</v>
      </c>
      <c r="BF119" s="209">
        <f t="shared" si="256"/>
        <v>251.68925894354376</v>
      </c>
      <c r="BG119" s="209">
        <f t="shared" si="256"/>
        <v>250.86259879903093</v>
      </c>
      <c r="BH119" s="223">
        <f t="shared" si="256"/>
        <v>282.15052409488629</v>
      </c>
      <c r="BI119" s="209">
        <f t="shared" si="256"/>
        <v>274.0533689215041</v>
      </c>
      <c r="BJ119" s="209">
        <f t="shared" si="256"/>
        <v>340.61964808244306</v>
      </c>
      <c r="BK119" s="209">
        <f t="shared" si="256"/>
        <v>435.38823702766962</v>
      </c>
      <c r="BL119" s="209">
        <f t="shared" si="256"/>
        <v>478.23331756829737</v>
      </c>
      <c r="BM119" s="223">
        <f t="shared" si="256"/>
        <v>427.01555880348741</v>
      </c>
      <c r="BN119" s="209">
        <f t="shared" si="256"/>
        <v>364.38217043615271</v>
      </c>
      <c r="BO119" s="209">
        <f t="shared" si="256"/>
        <v>309.29265021901188</v>
      </c>
      <c r="BP119" s="209">
        <f>(BP118-BK118)*100*100</f>
        <v>197.80433199759972</v>
      </c>
      <c r="BQ119" s="209">
        <f>(BQ118-BL118)*100*100</f>
        <v>106.36300922006292</v>
      </c>
      <c r="BR119" s="223">
        <f t="shared" si="256"/>
        <v>222.25028508936262</v>
      </c>
      <c r="BS119" s="209">
        <f t="shared" si="256"/>
        <v>194.10923492378495</v>
      </c>
      <c r="BT119" s="209">
        <f>(BT118-BO118)*100*100</f>
        <v>215.76545861711426</v>
      </c>
      <c r="BU119" s="209">
        <f>(BU118-BP118)*100*100</f>
        <v>232.91338144411867</v>
      </c>
      <c r="BV119" s="209">
        <f>(BV118-BQ118)*100*100</f>
        <v>184.41003117434795</v>
      </c>
      <c r="BW119" s="223">
        <f t="shared" si="256"/>
        <v>207.34029673002752</v>
      </c>
      <c r="BX119" s="209">
        <f>(BX118-BS118)*100*100</f>
        <v>205.98848315135254</v>
      </c>
      <c r="BY119" s="209">
        <f>(BY118-BT118)*100*100</f>
        <v>190.62713331230995</v>
      </c>
      <c r="BZ119" s="209">
        <f>(BZ118-BU118)*100*100</f>
        <v>158.87793086098111</v>
      </c>
      <c r="CA119" s="209">
        <f>(CA118-BV118)*100*100</f>
        <v>165.280223989962</v>
      </c>
      <c r="CB119" s="223">
        <f t="shared" si="256"/>
        <v>151.06738966631949</v>
      </c>
      <c r="CC119" s="209">
        <f>(CC118-BX118)*100*100</f>
        <v>90.000000000000085</v>
      </c>
      <c r="CD119" s="209">
        <f>(CD118-BY118)*100*100</f>
        <v>160.00000000000014</v>
      </c>
      <c r="CE119" s="209">
        <f>(CE118-BZ118)*100*100</f>
        <v>90.000000000000085</v>
      </c>
      <c r="CF119" s="209">
        <f t="shared" ref="CF119:CL119" si="257">(CF118-CA118)*100*100</f>
        <v>100.00000000000009</v>
      </c>
      <c r="CG119" s="223">
        <f t="shared" si="257"/>
        <v>71.314822857383447</v>
      </c>
      <c r="CH119" s="209">
        <f t="shared" si="257"/>
        <v>130.00000000000011</v>
      </c>
      <c r="CI119" s="209">
        <f t="shared" si="257"/>
        <v>30.000000000000028</v>
      </c>
      <c r="CJ119" s="1957">
        <f t="shared" si="257"/>
        <v>70.000000000000057</v>
      </c>
      <c r="CK119" s="1957">
        <f t="shared" si="257"/>
        <v>50.000000000000043</v>
      </c>
      <c r="CL119" s="223">
        <f t="shared" si="257"/>
        <v>97.459062027266398</v>
      </c>
      <c r="CM119" s="209">
        <f t="shared" ref="CM119:CV119" si="258">(CM118-CH118)*100*100</f>
        <v>3.8118330255110244</v>
      </c>
      <c r="CN119" s="209">
        <f t="shared" si="258"/>
        <v>7.1116431662887614</v>
      </c>
      <c r="CO119" s="209">
        <f t="shared" si="258"/>
        <v>0.21646546904507957</v>
      </c>
      <c r="CP119" s="209">
        <f t="shared" si="258"/>
        <v>-3.3398288921682173</v>
      </c>
      <c r="CQ119" s="223">
        <f t="shared" si="258"/>
        <v>41.484781947196403</v>
      </c>
      <c r="CR119" s="209">
        <f t="shared" si="258"/>
        <v>-32.254919979938236</v>
      </c>
      <c r="CS119" s="209">
        <f t="shared" si="258"/>
        <v>-37.841747872950918</v>
      </c>
      <c r="CT119" s="209">
        <f t="shared" si="258"/>
        <v>-37.782611358455618</v>
      </c>
      <c r="CU119" s="209">
        <f t="shared" si="258"/>
        <v>-40.011885371608045</v>
      </c>
      <c r="CV119" s="223">
        <f t="shared" si="258"/>
        <v>-37.00398016791118</v>
      </c>
      <c r="CW119" s="209">
        <f t="shared" ref="CW119" si="259">(CW118-CR118)*100*100</f>
        <v>-39.905957945730599</v>
      </c>
      <c r="CX119" s="209">
        <f t="shared" ref="CX119" si="260">(CX118-CS118)*100*100</f>
        <v>-39.655794568843604</v>
      </c>
      <c r="CY119" s="209">
        <f t="shared" ref="CY119" si="261">(CY118-CT118)*100*100</f>
        <v>-39.684235554602324</v>
      </c>
      <c r="CZ119" s="209">
        <f t="shared" ref="CZ119" si="262">(CZ118-CU118)*100*100</f>
        <v>-39.938788495874618</v>
      </c>
      <c r="DA119" s="223">
        <f t="shared" ref="DA119" si="263">(DA118-CV118)*100*100</f>
        <v>-39.798097407917069</v>
      </c>
      <c r="DB119" s="209">
        <f t="shared" ref="DB119" si="264">(DB118-CW118)*100*100</f>
        <v>-40.573688779315106</v>
      </c>
      <c r="DC119" s="209">
        <f t="shared" ref="DC119" si="265">(DC118-CX118)*100*100</f>
        <v>-40.353541845965509</v>
      </c>
      <c r="DD119" s="209">
        <f t="shared" ref="DD119" si="266">(DD118-CY118)*100*100</f>
        <v>-40.3944921763566</v>
      </c>
      <c r="DE119" s="209">
        <f t="shared" ref="DE119" si="267">(DE118-CZ118)*100*100</f>
        <v>-40.629266999067106</v>
      </c>
      <c r="DF119" s="223">
        <f t="shared" ref="DF119" si="268">(DF118-DA118)*100*100</f>
        <v>-40.48970374289862</v>
      </c>
    </row>
    <row r="120" spans="1:110" x14ac:dyDescent="0.2">
      <c r="B120" s="181" t="s">
        <v>149</v>
      </c>
      <c r="C120" s="182"/>
      <c r="D120" s="182"/>
      <c r="E120" s="68"/>
      <c r="F120" s="68"/>
      <c r="G120" s="68"/>
      <c r="H120" s="68"/>
      <c r="I120" s="68"/>
      <c r="J120" s="226"/>
      <c r="K120" s="66"/>
      <c r="L120" s="225">
        <f>(L118-K118)*10000</f>
        <v>-0.56630670402457728</v>
      </c>
      <c r="M120" s="225">
        <f>(M118-L118)*10000</f>
        <v>189.26220112196523</v>
      </c>
      <c r="N120" s="225">
        <f>(N118-M118)*10000</f>
        <v>100.00000000000009</v>
      </c>
      <c r="O120" s="226"/>
      <c r="P120" s="225">
        <v>112.90457069299987</v>
      </c>
      <c r="Q120" s="225">
        <v>-34.0467584780435</v>
      </c>
      <c r="R120" s="225">
        <v>30.136639161040812</v>
      </c>
      <c r="S120" s="225">
        <v>100.16749132355839</v>
      </c>
      <c r="T120" s="226" t="s">
        <v>92</v>
      </c>
      <c r="U120" s="225">
        <v>131.25873869128446</v>
      </c>
      <c r="V120" s="225">
        <v>13.029347593014329</v>
      </c>
      <c r="W120" s="225">
        <v>203.66797363483903</v>
      </c>
      <c r="X120" s="225">
        <v>42.881997381306604</v>
      </c>
      <c r="Y120" s="226" t="s">
        <v>92</v>
      </c>
      <c r="Z120" s="225">
        <v>168.76237623762447</v>
      </c>
      <c r="AA120" s="225">
        <v>24.122239146991966</v>
      </c>
      <c r="AB120" s="225">
        <v>61.579052435452027</v>
      </c>
      <c r="AC120" s="225">
        <v>78.299923613209813</v>
      </c>
      <c r="AD120" s="226" t="s">
        <v>92</v>
      </c>
      <c r="AE120" s="225">
        <v>113.802513269472</v>
      </c>
      <c r="AF120" s="225">
        <v>0.64731561411845995</v>
      </c>
      <c r="AG120" s="225">
        <v>198.37225248080736</v>
      </c>
      <c r="AH120" s="225">
        <v>141.97676938548676</v>
      </c>
      <c r="AI120" s="226" t="s">
        <v>92</v>
      </c>
      <c r="AJ120" s="225">
        <v>313.54357945557297</v>
      </c>
      <c r="AK120" s="225">
        <v>79.184424641609581</v>
      </c>
      <c r="AL120" s="225">
        <v>117.49300569656617</v>
      </c>
      <c r="AM120" s="225">
        <v>146.4524609357909</v>
      </c>
      <c r="AN120" s="226" t="s">
        <v>92</v>
      </c>
      <c r="AO120" s="225">
        <f ca="1">(AO118-AM118)*10000</f>
        <v>75.585455629744175</v>
      </c>
      <c r="AP120" s="225">
        <f ca="1">(AP118-AO118)*10000</f>
        <v>75.678126745520885</v>
      </c>
      <c r="AQ120" s="225">
        <f ca="1">(AQ118-AP118)*10000</f>
        <v>22.563814986533703</v>
      </c>
      <c r="AR120" s="225">
        <f ca="1">(AR118-AQ118)*10000</f>
        <v>143.43122118477768</v>
      </c>
      <c r="AS120" s="226" t="s">
        <v>92</v>
      </c>
      <c r="AT120" s="225">
        <f ca="1">(AT118-AR118)*10000</f>
        <v>16.574202363629496</v>
      </c>
      <c r="AU120" s="225">
        <f>(AU118-AT118)*10000</f>
        <v>24.997209918606877</v>
      </c>
      <c r="AV120" s="225">
        <f>(AV118-AU118)*10000</f>
        <v>32.52530353625049</v>
      </c>
      <c r="AW120" s="225">
        <f>(AW118-AV118)*10000</f>
        <v>101.87300149375078</v>
      </c>
      <c r="AX120" s="226" t="s">
        <v>92</v>
      </c>
      <c r="AY120" s="225">
        <f>(AY118-AW118)*10000</f>
        <v>109.21371803428114</v>
      </c>
      <c r="AZ120" s="225">
        <f>(AZ118-AY118)*10000</f>
        <v>115.14143378816732</v>
      </c>
      <c r="BA120" s="225">
        <f>(BA118-AZ118)*10000</f>
        <v>73.92434219407717</v>
      </c>
      <c r="BB120" s="225">
        <f>(BB118-BA118)*10000</f>
        <v>61.523959522211683</v>
      </c>
      <c r="BC120" s="226" t="s">
        <v>92</v>
      </c>
      <c r="BD120" s="225">
        <f>(BD118-BB118)*10000</f>
        <v>156.61592331890682</v>
      </c>
      <c r="BE120" s="225">
        <f>(BE118-BD118)*10000</f>
        <v>22.228367201915233</v>
      </c>
      <c r="BF120" s="225">
        <f>(BF118-BE118)*10000</f>
        <v>11.321008900510021</v>
      </c>
      <c r="BG120" s="225">
        <f>(BG118-BF118)*10000</f>
        <v>60.697299377698855</v>
      </c>
      <c r="BH120" s="226" t="s">
        <v>92</v>
      </c>
      <c r="BI120" s="225">
        <f>(BI118-BG118)*10000</f>
        <v>179.80669344137999</v>
      </c>
      <c r="BJ120" s="225">
        <f>(BJ118-BI118)*10000</f>
        <v>88.794646362854166</v>
      </c>
      <c r="BK120" s="225">
        <f>(BK118-BJ118)*10000</f>
        <v>106.08959784573658</v>
      </c>
      <c r="BL120" s="225">
        <f>(BL118-BK118)*10000</f>
        <v>103.5423799183266</v>
      </c>
      <c r="BM120" s="226" t="s">
        <v>92</v>
      </c>
      <c r="BN120" s="225">
        <f>(BN118-BL118)*10000</f>
        <v>65.955546309235388</v>
      </c>
      <c r="BO120" s="225">
        <f>(BO118-BN118)*10000</f>
        <v>33.705126145713308</v>
      </c>
      <c r="BP120" s="225">
        <f>(BP118-BO118)*10000</f>
        <v>-5.3987203756755697</v>
      </c>
      <c r="BQ120" s="225">
        <f>(BQ118-BP118)*10000</f>
        <v>12.101057140789795</v>
      </c>
      <c r="BR120" s="226" t="s">
        <v>92</v>
      </c>
      <c r="BS120" s="225">
        <f>(BS118-BQ118)*10000</f>
        <v>153.70177201295743</v>
      </c>
      <c r="BT120" s="225">
        <f>(BT118-BS118)*10000</f>
        <v>55.361349839042617</v>
      </c>
      <c r="BU120" s="225">
        <f>(BU118-BT118)*10000</f>
        <v>11.749202451328822</v>
      </c>
      <c r="BV120" s="225">
        <f>(BV118-BU118)*10000</f>
        <v>-36.402293128980915</v>
      </c>
      <c r="BW120" s="226" t="s">
        <v>92</v>
      </c>
      <c r="BX120" s="225">
        <f>(BX118-BV118)*10000</f>
        <v>175.28022398996202</v>
      </c>
      <c r="BY120" s="225">
        <f>(BY118-BW118)*10000</f>
        <v>207.61773405837624</v>
      </c>
      <c r="BZ120" s="225">
        <f>(BZ118-BX118)*10000</f>
        <v>20.000000000000018</v>
      </c>
      <c r="CA120" s="225">
        <f>(CA118-BY118)*10000</f>
        <v>-50.000000000000043</v>
      </c>
      <c r="CB120" s="226" t="s">
        <v>92</v>
      </c>
      <c r="CC120" s="225">
        <f>(CC118-CA118)*10000</f>
        <v>100.00000000000009</v>
      </c>
      <c r="CD120" s="225">
        <f>(CD118-CB118)*10000</f>
        <v>216.5503443920569</v>
      </c>
      <c r="CE120" s="225">
        <f>(CE118-CC118)*10000</f>
        <v>20.000000000000018</v>
      </c>
      <c r="CF120" s="225">
        <f>(CF118-CE118)*10000</f>
        <v>-20.000000000000018</v>
      </c>
      <c r="CG120" s="226" t="s">
        <v>92</v>
      </c>
      <c r="CH120" s="225">
        <f>(CH118-CG118)*10000</f>
        <v>165.23552153467347</v>
      </c>
      <c r="CI120" s="225">
        <f>(CI118-CH118)*10000</f>
        <v>10.000000000000009</v>
      </c>
      <c r="CJ120" s="1958">
        <f>(CJ118-CI118)*10000</f>
        <v>-50.000000000000043</v>
      </c>
      <c r="CK120" s="1958">
        <f>(CK118-CJ118)*10000</f>
        <v>-40.000000000000036</v>
      </c>
      <c r="CL120" s="226" t="s">
        <v>92</v>
      </c>
      <c r="CM120" s="225">
        <f>(CM118-CK118)*10000</f>
        <v>83.811833025511092</v>
      </c>
      <c r="CN120" s="225">
        <f>(CN118-CM118)*10000</f>
        <v>13.299810140777746</v>
      </c>
      <c r="CO120" s="225">
        <f>(CO118-CN118)*10000</f>
        <v>-56.895177697243724</v>
      </c>
      <c r="CP120" s="225">
        <f>(CP118-CO118)*10000</f>
        <v>-43.556294361213332</v>
      </c>
      <c r="CQ120" s="226" t="s">
        <v>92</v>
      </c>
      <c r="CR120" s="225">
        <f>(CR118-CP118)*10000</f>
        <v>54.896741937741076</v>
      </c>
      <c r="CS120" s="225">
        <f>(CS118-CR118)*10000</f>
        <v>7.7129822477650656</v>
      </c>
      <c r="CT120" s="225">
        <f>(CT118-CS118)*10000</f>
        <v>-56.836041182748431</v>
      </c>
      <c r="CU120" s="225">
        <f>(CU118-CT118)*10000</f>
        <v>-45.785568374365759</v>
      </c>
      <c r="CV120" s="226" t="s">
        <v>92</v>
      </c>
      <c r="CW120" s="225">
        <f>(CW118-CU118)*10000</f>
        <v>55.00266936361853</v>
      </c>
      <c r="CX120" s="225">
        <f>(CX118-CW118)*10000</f>
        <v>7.9631456246520571</v>
      </c>
      <c r="CY120" s="225">
        <f>(CY118-CX118)*10000</f>
        <v>-56.864482168507145</v>
      </c>
      <c r="CZ120" s="225">
        <f>(CZ118-CY118)*10000</f>
        <v>-46.040121315638061</v>
      </c>
      <c r="DA120" s="226" t="s">
        <v>92</v>
      </c>
      <c r="DB120" s="225">
        <f>(DB118-CZ118)*10000</f>
        <v>54.367769080178043</v>
      </c>
      <c r="DC120" s="225">
        <f>(DC118-DB118)*10000</f>
        <v>8.1832925580016536</v>
      </c>
      <c r="DD120" s="225">
        <f>(DD118-DC118)*10000</f>
        <v>-56.905432498898236</v>
      </c>
      <c r="DE120" s="225">
        <f>(DE118-DD118)*10000</f>
        <v>-46.274896138348566</v>
      </c>
      <c r="DF120" s="226" t="s">
        <v>92</v>
      </c>
    </row>
    <row r="121" spans="1:110" x14ac:dyDescent="0.2">
      <c r="B121" s="485" t="s">
        <v>282</v>
      </c>
      <c r="C121" s="182"/>
      <c r="D121" s="182"/>
      <c r="E121" s="68"/>
      <c r="F121" s="68"/>
      <c r="G121" s="68"/>
      <c r="I121" s="68"/>
      <c r="J121" s="227"/>
      <c r="K121" s="196">
        <v>0.438</v>
      </c>
      <c r="L121" s="196">
        <v>0.438</v>
      </c>
      <c r="M121" s="196">
        <v>0.46100000000000002</v>
      </c>
      <c r="N121" s="196">
        <v>0.46800000000000003</v>
      </c>
      <c r="O121" s="227">
        <v>0.45100000000000001</v>
      </c>
      <c r="P121" s="196">
        <v>0.47899999999999998</v>
      </c>
      <c r="Q121" s="196">
        <v>0.47599999999999998</v>
      </c>
      <c r="R121" s="196">
        <v>0.48</v>
      </c>
      <c r="S121" s="196">
        <v>0.49</v>
      </c>
      <c r="T121" s="227">
        <v>0.48099999999999998</v>
      </c>
      <c r="U121" s="196">
        <v>0.504</v>
      </c>
      <c r="V121" s="196">
        <v>0.50600000000000001</v>
      </c>
      <c r="W121" s="196">
        <v>0.52600000000000002</v>
      </c>
      <c r="X121" s="196">
        <v>0.53</v>
      </c>
      <c r="Y121" s="227">
        <v>0.51900000000000002</v>
      </c>
      <c r="Z121" s="196">
        <v>0.54600000000000004</v>
      </c>
      <c r="AA121" s="196">
        <v>0.54900000000000004</v>
      </c>
      <c r="AB121" s="196">
        <v>0.55600000000000005</v>
      </c>
      <c r="AC121" s="196">
        <v>0.5635</v>
      </c>
      <c r="AD121" s="227">
        <v>0.55400000000000005</v>
      </c>
      <c r="AE121" s="228">
        <v>0.57799999999999996</v>
      </c>
      <c r="AF121" s="196">
        <v>0.57799999999999996</v>
      </c>
      <c r="AG121" s="196">
        <v>0.59699999999999998</v>
      </c>
      <c r="AH121" s="196">
        <v>0.61099999999999999</v>
      </c>
      <c r="AI121" s="136">
        <v>0.590788560660644</v>
      </c>
      <c r="AJ121" s="196">
        <v>0.61650000000000005</v>
      </c>
      <c r="AK121" s="196">
        <v>0.624</v>
      </c>
      <c r="AL121" s="196">
        <v>0.63600000000000001</v>
      </c>
      <c r="AM121" s="196">
        <v>0.65</v>
      </c>
      <c r="AN121" s="136">
        <v>0.63162826681542761</v>
      </c>
      <c r="AO121" s="196">
        <v>0.66400000000000003</v>
      </c>
      <c r="AP121" s="196">
        <v>0.67</v>
      </c>
      <c r="AQ121" s="196">
        <v>0.67300000000000004</v>
      </c>
      <c r="AR121" s="196">
        <v>0.68700000000000006</v>
      </c>
      <c r="AS121" s="136">
        <f>AS132/(AS132+AS133)</f>
        <v>0.67337170706006322</v>
      </c>
      <c r="AT121" s="196">
        <v>0.69</v>
      </c>
      <c r="AU121" s="196">
        <v>0.69199999999999995</v>
      </c>
      <c r="AV121" s="196">
        <v>0.69599999999999995</v>
      </c>
      <c r="AW121" s="196">
        <v>0.70399999999999996</v>
      </c>
      <c r="AX121" s="136">
        <f>AX132/(AX132+AX133)</f>
        <v>0.69604353203067026</v>
      </c>
      <c r="AY121" s="196">
        <v>0.71299999999999997</v>
      </c>
      <c r="AZ121" s="196">
        <v>0.72499999999999998</v>
      </c>
      <c r="BA121" s="196">
        <v>0.73299999999999998</v>
      </c>
      <c r="BB121" s="196">
        <v>0.73899999999999999</v>
      </c>
      <c r="BC121" s="136">
        <f>BC132/(BC132+BC133)</f>
        <v>0.72756910299003308</v>
      </c>
      <c r="BD121" s="196">
        <v>0.75</v>
      </c>
      <c r="BE121" s="196">
        <v>0.752</v>
      </c>
      <c r="BF121" s="196">
        <v>0.753</v>
      </c>
      <c r="BG121" s="196">
        <v>0.75800000000000001</v>
      </c>
      <c r="BH121" s="136">
        <f>BH132/(BH132+BH133)</f>
        <v>0.75331451341812061</v>
      </c>
      <c r="BI121" s="196">
        <v>0.77700000000000002</v>
      </c>
      <c r="BJ121" s="196">
        <v>0.78700000000000003</v>
      </c>
      <c r="BK121" s="196">
        <v>0.79700000000000004</v>
      </c>
      <c r="BL121" s="196">
        <v>0.80600000000000005</v>
      </c>
      <c r="BM121" s="136">
        <f>BM132/(BM132+BM133)</f>
        <v>0.79385292706830712</v>
      </c>
      <c r="BN121" s="196">
        <v>0.81299999999999994</v>
      </c>
      <c r="BO121" s="196">
        <v>0.81699999999999995</v>
      </c>
      <c r="BP121" s="196">
        <v>0.81599999999999995</v>
      </c>
      <c r="BQ121" s="196">
        <v>0.81699999999999995</v>
      </c>
      <c r="BR121" s="136">
        <f>BR132/(BR132+BR133)</f>
        <v>0.81569921986204252</v>
      </c>
      <c r="BS121" s="196">
        <v>0.83299999999999996</v>
      </c>
      <c r="BT121" s="196">
        <v>0.83899999999999997</v>
      </c>
      <c r="BU121" s="196">
        <v>0.84</v>
      </c>
      <c r="BV121" s="196">
        <v>0.83499999999999996</v>
      </c>
      <c r="BW121" s="136">
        <f>BW132/(BW132+BW133)</f>
        <v>0.8367412425503199</v>
      </c>
      <c r="BX121" s="1770">
        <v>0.85099999999999998</v>
      </c>
      <c r="BY121" s="1770">
        <v>0.85499999999999998</v>
      </c>
      <c r="BZ121" s="1770">
        <v>0.85099999999999998</v>
      </c>
      <c r="CA121" s="1770">
        <v>0.84799999999999998</v>
      </c>
      <c r="CB121" s="136">
        <f>CB132/(CB132+CB133)</f>
        <v>0.85119478725363795</v>
      </c>
      <c r="CC121" s="1770">
        <v>0.85899999999999999</v>
      </c>
      <c r="CD121" s="1770">
        <v>0.85599999999999998</v>
      </c>
      <c r="CE121" s="1770">
        <v>0.86</v>
      </c>
      <c r="CF121" s="1770">
        <v>0.85799999999999998</v>
      </c>
      <c r="CG121" s="136">
        <f>CG132/(CG132+CG133)</f>
        <v>0.85824562233790824</v>
      </c>
      <c r="CH121" s="1770">
        <v>0.871</v>
      </c>
      <c r="CI121" s="1770">
        <v>0.872</v>
      </c>
      <c r="CJ121" s="1955">
        <v>0.86499999999999999</v>
      </c>
      <c r="CK121" s="1955">
        <v>0.86</v>
      </c>
      <c r="CL121" s="136">
        <f>CL132/(CL132+CL133)</f>
        <v>0.86697907634307247</v>
      </c>
      <c r="CM121" s="66">
        <f>CK121+CM123/10000</f>
        <v>0.87275437766209174</v>
      </c>
      <c r="CN121" s="66">
        <f>CM121+CN123/10000</f>
        <v>0.87375437766209174</v>
      </c>
      <c r="CO121" s="66">
        <f>CN121+CO123/10000</f>
        <v>0.86675437766209174</v>
      </c>
      <c r="CP121" s="66">
        <f>CO121+CP123/10000</f>
        <v>0.86175437766209173</v>
      </c>
      <c r="CQ121" s="136">
        <f>CQ132/(CQ132+CQ133)</f>
        <v>0.86866385164546844</v>
      </c>
      <c r="CR121" s="66">
        <f>CP121+CR123/10000</f>
        <v>0.86725437766209168</v>
      </c>
      <c r="CS121" s="66">
        <f>CR121+CS123/10000</f>
        <v>0.86825437766209168</v>
      </c>
      <c r="CT121" s="66">
        <f>CS121+CT123/10000</f>
        <v>0.86125437766209167</v>
      </c>
      <c r="CU121" s="66">
        <f>CT121+CU123/10000</f>
        <v>0.85625437766209167</v>
      </c>
      <c r="CV121" s="136">
        <f>CV132/(CV132+CV133)</f>
        <v>0.86316385164546838</v>
      </c>
      <c r="CW121" s="66">
        <f>CU121+CW123/10000</f>
        <v>0.86175437766209162</v>
      </c>
      <c r="CX121" s="66">
        <f>CW121+CX123/10000</f>
        <v>0.86275437766209162</v>
      </c>
      <c r="CY121" s="66">
        <f>CX121+CY123/10000</f>
        <v>0.85575437766209161</v>
      </c>
      <c r="CZ121" s="66">
        <f>CY121+CZ123/10000</f>
        <v>0.85075437766209161</v>
      </c>
      <c r="DA121" s="136">
        <f>DA132/(DA132+DA133)</f>
        <v>0.85766385164546832</v>
      </c>
      <c r="DB121" s="66">
        <f>CZ121+DB123/10000</f>
        <v>0.85625437766209156</v>
      </c>
      <c r="DC121" s="66">
        <f>DB121+DC123/10000</f>
        <v>0.85725437766209156</v>
      </c>
      <c r="DD121" s="66">
        <f>DC121+DD123/10000</f>
        <v>0.85025437766209155</v>
      </c>
      <c r="DE121" s="66">
        <f>DD121+DE123/10000</f>
        <v>0.84525437766209155</v>
      </c>
      <c r="DF121" s="136">
        <f>DF132/(DF132+DF133)</f>
        <v>0.85216385164546826</v>
      </c>
    </row>
    <row r="122" spans="1:110" x14ac:dyDescent="0.2">
      <c r="B122" s="181" t="s">
        <v>148</v>
      </c>
      <c r="C122" s="182"/>
      <c r="D122" s="182"/>
      <c r="E122" s="68"/>
      <c r="F122" s="68"/>
      <c r="G122" s="68"/>
      <c r="I122" s="68"/>
      <c r="J122" s="223"/>
      <c r="K122" s="66"/>
      <c r="L122" s="66"/>
      <c r="M122" s="66"/>
      <c r="N122" s="66"/>
      <c r="O122" s="223"/>
      <c r="P122" s="209">
        <v>410</v>
      </c>
      <c r="Q122" s="209">
        <v>380</v>
      </c>
      <c r="R122" s="209">
        <v>190</v>
      </c>
      <c r="S122" s="209">
        <v>220</v>
      </c>
      <c r="T122" s="223">
        <v>300</v>
      </c>
      <c r="U122" s="209">
        <v>250</v>
      </c>
      <c r="V122" s="209">
        <v>300</v>
      </c>
      <c r="W122" s="209">
        <v>460</v>
      </c>
      <c r="X122" s="209">
        <v>400</v>
      </c>
      <c r="Y122" s="223">
        <v>380</v>
      </c>
      <c r="Z122" s="209">
        <v>420</v>
      </c>
      <c r="AA122" s="209">
        <v>430</v>
      </c>
      <c r="AB122" s="209">
        <v>300</v>
      </c>
      <c r="AC122" s="209">
        <v>335</v>
      </c>
      <c r="AD122" s="223">
        <v>350</v>
      </c>
      <c r="AE122" s="224">
        <v>319.99999999999915</v>
      </c>
      <c r="AF122" s="209">
        <v>289.99999999999915</v>
      </c>
      <c r="AG122" s="209">
        <v>409.99999999999926</v>
      </c>
      <c r="AH122" s="209">
        <v>475</v>
      </c>
      <c r="AI122" s="223">
        <v>367.88560660643952</v>
      </c>
      <c r="AJ122" s="209">
        <v>385.00000000000091</v>
      </c>
      <c r="AK122" s="209">
        <v>460</v>
      </c>
      <c r="AL122" s="209">
        <v>390</v>
      </c>
      <c r="AM122" s="209">
        <v>390</v>
      </c>
      <c r="AN122" s="223">
        <v>408.39706154783607</v>
      </c>
      <c r="AO122" s="209">
        <f t="shared" ref="AO122:CB122" si="269">(AO121-AJ121)*100*100</f>
        <v>474.99999999999983</v>
      </c>
      <c r="AP122" s="209">
        <f t="shared" si="269"/>
        <v>460.0000000000004</v>
      </c>
      <c r="AQ122" s="209">
        <f t="shared" si="269"/>
        <v>370.00000000000034</v>
      </c>
      <c r="AR122" s="209">
        <f t="shared" si="269"/>
        <v>370.00000000000034</v>
      </c>
      <c r="AS122" s="223">
        <f t="shared" si="269"/>
        <v>417.43440244635616</v>
      </c>
      <c r="AT122" s="209">
        <f t="shared" si="269"/>
        <v>259.99999999999915</v>
      </c>
      <c r="AU122" s="209">
        <f t="shared" si="269"/>
        <v>219.99999999999909</v>
      </c>
      <c r="AV122" s="209">
        <f t="shared" si="269"/>
        <v>229.99999999999909</v>
      </c>
      <c r="AW122" s="209">
        <f t="shared" si="269"/>
        <v>169.99999999999903</v>
      </c>
      <c r="AX122" s="223">
        <f t="shared" si="269"/>
        <v>226.71824970607045</v>
      </c>
      <c r="AY122" s="209">
        <f t="shared" si="269"/>
        <v>230.0000000000002</v>
      </c>
      <c r="AZ122" s="209">
        <f t="shared" si="269"/>
        <v>330.00000000000028</v>
      </c>
      <c r="BA122" s="209">
        <f t="shared" si="269"/>
        <v>370.00000000000034</v>
      </c>
      <c r="BB122" s="209">
        <f t="shared" si="269"/>
        <v>350.00000000000028</v>
      </c>
      <c r="BC122" s="223">
        <f t="shared" si="269"/>
        <v>315.25570959362813</v>
      </c>
      <c r="BD122" s="209">
        <f t="shared" si="269"/>
        <v>370.00000000000034</v>
      </c>
      <c r="BE122" s="209">
        <f t="shared" si="269"/>
        <v>270.00000000000023</v>
      </c>
      <c r="BF122" s="209">
        <f t="shared" si="269"/>
        <v>200.00000000000017</v>
      </c>
      <c r="BG122" s="209">
        <f t="shared" si="269"/>
        <v>190.00000000000017</v>
      </c>
      <c r="BH122" s="223">
        <f t="shared" si="269"/>
        <v>257.45410428087536</v>
      </c>
      <c r="BI122" s="209">
        <f t="shared" si="269"/>
        <v>270.00000000000023</v>
      </c>
      <c r="BJ122" s="209">
        <f t="shared" si="269"/>
        <v>350.00000000000028</v>
      </c>
      <c r="BK122" s="209">
        <f t="shared" si="269"/>
        <v>440.0000000000004</v>
      </c>
      <c r="BL122" s="209">
        <f t="shared" si="269"/>
        <v>480.00000000000045</v>
      </c>
      <c r="BM122" s="223">
        <f t="shared" si="269"/>
        <v>405.3841365018651</v>
      </c>
      <c r="BN122" s="209">
        <f t="shared" si="269"/>
        <v>359.9999999999992</v>
      </c>
      <c r="BO122" s="209">
        <f t="shared" si="269"/>
        <v>299.99999999999915</v>
      </c>
      <c r="BP122" s="209">
        <f>(BP121-BK121)*100*100</f>
        <v>189.99999999999906</v>
      </c>
      <c r="BQ122" s="209">
        <f>(BQ121-BL121)*100*100</f>
        <v>109.99999999999899</v>
      </c>
      <c r="BR122" s="223">
        <f t="shared" si="269"/>
        <v>218.46292793735401</v>
      </c>
      <c r="BS122" s="209">
        <f t="shared" si="269"/>
        <v>200.00000000000017</v>
      </c>
      <c r="BT122" s="209">
        <f t="shared" si="269"/>
        <v>220.0000000000002</v>
      </c>
      <c r="BU122" s="209">
        <f>(BU121-BP121)*100*100</f>
        <v>240.00000000000023</v>
      </c>
      <c r="BV122" s="209">
        <f>(BV121-BQ121)*100*100</f>
        <v>180.00000000000017</v>
      </c>
      <c r="BW122" s="223">
        <f t="shared" si="269"/>
        <v>210.42022688277373</v>
      </c>
      <c r="BX122" s="209">
        <f>(BX121-BS121)*100*100</f>
        <v>180.00000000000017</v>
      </c>
      <c r="BY122" s="209">
        <f>(BY121-BT121)*100*100</f>
        <v>160.00000000000014</v>
      </c>
      <c r="BZ122" s="209">
        <f>(BZ121-BU121)*100*100</f>
        <v>110.0000000000001</v>
      </c>
      <c r="CA122" s="209">
        <f>(CA121-BV121)*100*100</f>
        <v>130.00000000000011</v>
      </c>
      <c r="CB122" s="223">
        <f t="shared" si="269"/>
        <v>144.53544703318056</v>
      </c>
      <c r="CC122" s="209">
        <f>(CC121-BX121)*100*100</f>
        <v>80.000000000000071</v>
      </c>
      <c r="CD122" s="209">
        <f>(CD121-BY121)*100*100</f>
        <v>10.000000000000009</v>
      </c>
      <c r="CE122" s="209">
        <f>(CE121-BZ121)*100*100</f>
        <v>90.000000000000085</v>
      </c>
      <c r="CF122" s="209">
        <f t="shared" ref="CF122:CL122" si="270">(CF121-CA121)*100*100</f>
        <v>100.00000000000009</v>
      </c>
      <c r="CG122" s="223">
        <f t="shared" si="270"/>
        <v>70.50835084270291</v>
      </c>
      <c r="CH122" s="209">
        <f t="shared" si="270"/>
        <v>120.00000000000011</v>
      </c>
      <c r="CI122" s="209">
        <f t="shared" si="270"/>
        <v>160.00000000000014</v>
      </c>
      <c r="CJ122" s="1957">
        <f t="shared" si="270"/>
        <v>50.000000000000043</v>
      </c>
      <c r="CK122" s="1957">
        <f t="shared" si="270"/>
        <v>20.000000000000018</v>
      </c>
      <c r="CL122" s="223">
        <f t="shared" si="270"/>
        <v>87.334540051642321</v>
      </c>
      <c r="CM122" s="209">
        <f t="shared" ref="CM122:CV122" si="271">(CM121-CH121)*100*100</f>
        <v>17.543776620917441</v>
      </c>
      <c r="CN122" s="209">
        <f t="shared" si="271"/>
        <v>17.543776620917441</v>
      </c>
      <c r="CO122" s="209">
        <f t="shared" si="271"/>
        <v>17.543776620917441</v>
      </c>
      <c r="CP122" s="209">
        <f t="shared" si="271"/>
        <v>17.543776620917441</v>
      </c>
      <c r="CQ122" s="223">
        <f t="shared" si="271"/>
        <v>16.84775302395969</v>
      </c>
      <c r="CR122" s="209">
        <f t="shared" si="271"/>
        <v>-55.000000000000604</v>
      </c>
      <c r="CS122" s="209">
        <f t="shared" si="271"/>
        <v>-55.000000000000604</v>
      </c>
      <c r="CT122" s="209">
        <f t="shared" si="271"/>
        <v>-55.000000000000604</v>
      </c>
      <c r="CU122" s="209">
        <f t="shared" si="271"/>
        <v>-55.000000000000604</v>
      </c>
      <c r="CV122" s="223">
        <f t="shared" si="271"/>
        <v>-55.000000000000604</v>
      </c>
      <c r="CW122" s="209">
        <f t="shared" ref="CW122" si="272">(CW121-CR121)*100*100</f>
        <v>-55.000000000000604</v>
      </c>
      <c r="CX122" s="209">
        <f t="shared" ref="CX122" si="273">(CX121-CS121)*100*100</f>
        <v>-55.000000000000604</v>
      </c>
      <c r="CY122" s="209">
        <f t="shared" ref="CY122" si="274">(CY121-CT121)*100*100</f>
        <v>-55.000000000000604</v>
      </c>
      <c r="CZ122" s="209">
        <f t="shared" ref="CZ122" si="275">(CZ121-CU121)*100*100</f>
        <v>-55.000000000000604</v>
      </c>
      <c r="DA122" s="223">
        <f t="shared" ref="DA122" si="276">(DA121-CV121)*100*100</f>
        <v>-55.000000000000604</v>
      </c>
      <c r="DB122" s="209">
        <f t="shared" ref="DB122" si="277">(DB121-CW121)*100*100</f>
        <v>-55.000000000000604</v>
      </c>
      <c r="DC122" s="209">
        <f t="shared" ref="DC122" si="278">(DC121-CX121)*100*100</f>
        <v>-55.000000000000604</v>
      </c>
      <c r="DD122" s="209">
        <f t="shared" ref="DD122" si="279">(DD121-CY121)*100*100</f>
        <v>-55.000000000000604</v>
      </c>
      <c r="DE122" s="209">
        <f t="shared" ref="DE122" si="280">(DE121-CZ121)*100*100</f>
        <v>-55.000000000000604</v>
      </c>
      <c r="DF122" s="223">
        <f t="shared" ref="DF122" si="281">(DF121-DA121)*100*100</f>
        <v>-55.000000000000604</v>
      </c>
    </row>
    <row r="123" spans="1:110" x14ac:dyDescent="0.2">
      <c r="A123" s="77"/>
      <c r="B123" s="621" t="s">
        <v>149</v>
      </c>
      <c r="C123" s="233"/>
      <c r="D123" s="233"/>
      <c r="E123" s="66"/>
      <c r="F123" s="66"/>
      <c r="G123" s="66"/>
      <c r="H123" s="66"/>
      <c r="I123" s="66"/>
      <c r="J123" s="226"/>
      <c r="K123" s="66"/>
      <c r="L123" s="225">
        <f>(L121-K121)*10000</f>
        <v>0</v>
      </c>
      <c r="M123" s="225">
        <f>(M121-L121)*10000</f>
        <v>230.0000000000002</v>
      </c>
      <c r="N123" s="225">
        <f>(N121-M121)*10000</f>
        <v>70.000000000000057</v>
      </c>
      <c r="O123" s="226"/>
      <c r="P123" s="225">
        <v>110</v>
      </c>
      <c r="Q123" s="225">
        <v>-30</v>
      </c>
      <c r="R123" s="225">
        <v>40</v>
      </c>
      <c r="S123" s="225">
        <v>100</v>
      </c>
      <c r="T123" s="226" t="s">
        <v>92</v>
      </c>
      <c r="U123" s="225">
        <v>140</v>
      </c>
      <c r="V123" s="225">
        <v>20</v>
      </c>
      <c r="W123" s="225">
        <v>200</v>
      </c>
      <c r="X123" s="225">
        <v>40</v>
      </c>
      <c r="Y123" s="226" t="s">
        <v>92</v>
      </c>
      <c r="Z123" s="225">
        <v>160</v>
      </c>
      <c r="AA123" s="225">
        <v>30</v>
      </c>
      <c r="AB123" s="225">
        <v>70.000000000000057</v>
      </c>
      <c r="AC123" s="225">
        <v>74.999999999999517</v>
      </c>
      <c r="AD123" s="226" t="s">
        <v>92</v>
      </c>
      <c r="AE123" s="225">
        <v>145</v>
      </c>
      <c r="AF123" s="225">
        <v>0</v>
      </c>
      <c r="AG123" s="225">
        <v>190</v>
      </c>
      <c r="AH123" s="225">
        <v>140</v>
      </c>
      <c r="AI123" s="226" t="s">
        <v>92</v>
      </c>
      <c r="AJ123" s="225">
        <v>55.000000000000604</v>
      </c>
      <c r="AK123" s="225">
        <v>332.11439339355996</v>
      </c>
      <c r="AL123" s="225">
        <v>195</v>
      </c>
      <c r="AM123" s="225">
        <v>260</v>
      </c>
      <c r="AN123" s="226" t="s">
        <v>92</v>
      </c>
      <c r="AO123" s="225">
        <f>(AO121-AM121)*10000</f>
        <v>140.00000000000011</v>
      </c>
      <c r="AP123" s="225">
        <f>(AP121-AO121)*10000</f>
        <v>60.000000000000057</v>
      </c>
      <c r="AQ123" s="225">
        <f>(AQ121-AP121)*10000</f>
        <v>30.000000000000028</v>
      </c>
      <c r="AR123" s="225">
        <f>(AR121-AP121)*10000</f>
        <v>170.00000000000014</v>
      </c>
      <c r="AS123" s="226" t="s">
        <v>92</v>
      </c>
      <c r="AT123" s="225">
        <f>(AT121-AR121)*10000</f>
        <v>29.999999999998916</v>
      </c>
      <c r="AU123" s="225">
        <f>(AU121-AT121)*10000</f>
        <v>20.000000000000018</v>
      </c>
      <c r="AV123" s="225">
        <f>(AV121-AU121)*10000</f>
        <v>40.000000000000036</v>
      </c>
      <c r="AW123" s="225">
        <f>(AW121-AV121)*10000</f>
        <v>80.000000000000071</v>
      </c>
      <c r="AX123" s="226" t="s">
        <v>92</v>
      </c>
      <c r="AY123" s="225">
        <f>(AY121-AW121)*10000</f>
        <v>90.000000000000085</v>
      </c>
      <c r="AZ123" s="225">
        <f>(AZ121-AY121)*10000</f>
        <v>120.00000000000011</v>
      </c>
      <c r="BA123" s="225">
        <f>(BA121-AZ121)*10000</f>
        <v>80.000000000000071</v>
      </c>
      <c r="BB123" s="225">
        <f>(BB121-BA121)*10000</f>
        <v>60.000000000000057</v>
      </c>
      <c r="BC123" s="226" t="s">
        <v>92</v>
      </c>
      <c r="BD123" s="225">
        <f>(BD121-BB121)*10000</f>
        <v>110.0000000000001</v>
      </c>
      <c r="BE123" s="225">
        <f>(BE121-BD121)*10000</f>
        <v>20.000000000000018</v>
      </c>
      <c r="BF123" s="225">
        <f>(BF121-BE121)*10000</f>
        <v>10.000000000000009</v>
      </c>
      <c r="BG123" s="225">
        <f>(BG121-BF121)*10000</f>
        <v>50.000000000000043</v>
      </c>
      <c r="BH123" s="226" t="s">
        <v>92</v>
      </c>
      <c r="BI123" s="225">
        <f>(BI121-BG121)*10000</f>
        <v>190.00000000000017</v>
      </c>
      <c r="BJ123" s="225">
        <f>(BJ121-BI121)*10000</f>
        <v>100.00000000000009</v>
      </c>
      <c r="BK123" s="225">
        <f>(BK121-BJ121)*10000</f>
        <v>100.00000000000009</v>
      </c>
      <c r="BL123" s="225">
        <f>(BL121-BK121)*10000</f>
        <v>90.000000000000085</v>
      </c>
      <c r="BM123" s="226" t="s">
        <v>92</v>
      </c>
      <c r="BN123" s="225">
        <f>(BN121-BM121)*10000</f>
        <v>191.47072931692821</v>
      </c>
      <c r="BO123" s="225">
        <f>(BO121-BN121)*10000</f>
        <v>40.000000000000036</v>
      </c>
      <c r="BP123" s="225">
        <f>(BP121-BO121)*10000</f>
        <v>-10.000000000000009</v>
      </c>
      <c r="BQ123" s="225">
        <f>(BQ121-BP121)*10000</f>
        <v>10.000000000000009</v>
      </c>
      <c r="BR123" s="226" t="s">
        <v>92</v>
      </c>
      <c r="BS123" s="225">
        <f>(BS121-BR121)*10000</f>
        <v>173.0078013795744</v>
      </c>
      <c r="BT123" s="225">
        <f>(BT121-BS121)*10000</f>
        <v>60.000000000000057</v>
      </c>
      <c r="BU123" s="225">
        <f>(BU121-BT121)*10000</f>
        <v>10.000000000000009</v>
      </c>
      <c r="BV123" s="225">
        <f>(BV121-BU121)*10000</f>
        <v>-50.000000000000043</v>
      </c>
      <c r="BW123" s="226" t="s">
        <v>92</v>
      </c>
      <c r="BX123" s="225">
        <f>(BX121-BW121)*10000</f>
        <v>142.58757449680081</v>
      </c>
      <c r="BY123" s="225">
        <f>(BY121-BX121)*10000</f>
        <v>40.000000000000036</v>
      </c>
      <c r="BZ123" s="225">
        <f>(BZ121-BY121)*10000</f>
        <v>-40.000000000000036</v>
      </c>
      <c r="CA123" s="225">
        <f>(CA121-BZ121)*10000</f>
        <v>-30.000000000000028</v>
      </c>
      <c r="CB123" s="226" t="s">
        <v>92</v>
      </c>
      <c r="CC123" s="225">
        <f>(CC121-CB121)*10000</f>
        <v>78.052127463620337</v>
      </c>
      <c r="CD123" s="225">
        <f>(CD121-CC121)*10000</f>
        <v>-30.000000000000028</v>
      </c>
      <c r="CE123" s="225">
        <f>(CE121-CD121)*10000</f>
        <v>40.000000000000036</v>
      </c>
      <c r="CF123" s="225">
        <f>(CF121-CE121)*10000</f>
        <v>-20.000000000000018</v>
      </c>
      <c r="CG123" s="226" t="s">
        <v>92</v>
      </c>
      <c r="CH123" s="225">
        <f>(CH121-CG121)*10000</f>
        <v>127.54377662091754</v>
      </c>
      <c r="CI123" s="225">
        <f>(CI121-CH121)*10000</f>
        <v>10.000000000000009</v>
      </c>
      <c r="CJ123" s="1958">
        <f>(CJ121-CI121)*10000</f>
        <v>-70.000000000000057</v>
      </c>
      <c r="CK123" s="1958">
        <f>(CK121-CJ121)*10000</f>
        <v>-50.000000000000043</v>
      </c>
      <c r="CL123" s="226" t="s">
        <v>92</v>
      </c>
      <c r="CM123" s="229">
        <f>CH123</f>
        <v>127.54377662091754</v>
      </c>
      <c r="CN123" s="229">
        <f>CI123</f>
        <v>10.000000000000009</v>
      </c>
      <c r="CO123" s="229">
        <f>CJ123</f>
        <v>-70.000000000000057</v>
      </c>
      <c r="CP123" s="229">
        <f>CK123</f>
        <v>-50.000000000000043</v>
      </c>
      <c r="CQ123" s="226" t="s">
        <v>92</v>
      </c>
      <c r="CR123" s="229">
        <v>55</v>
      </c>
      <c r="CS123" s="229">
        <v>10</v>
      </c>
      <c r="CT123" s="229">
        <f>CO123</f>
        <v>-70.000000000000057</v>
      </c>
      <c r="CU123" s="229">
        <f>CP123</f>
        <v>-50.000000000000043</v>
      </c>
      <c r="CV123" s="226" t="s">
        <v>92</v>
      </c>
      <c r="CW123" s="229">
        <v>55</v>
      </c>
      <c r="CX123" s="229">
        <v>10</v>
      </c>
      <c r="CY123" s="229">
        <f>CT123</f>
        <v>-70.000000000000057</v>
      </c>
      <c r="CZ123" s="229">
        <f>CU123</f>
        <v>-50.000000000000043</v>
      </c>
      <c r="DA123" s="226" t="s">
        <v>92</v>
      </c>
      <c r="DB123" s="229">
        <v>55</v>
      </c>
      <c r="DC123" s="229">
        <v>10</v>
      </c>
      <c r="DD123" s="229">
        <f>CY123</f>
        <v>-70.000000000000057</v>
      </c>
      <c r="DE123" s="229">
        <f>CZ123</f>
        <v>-50.000000000000043</v>
      </c>
      <c r="DF123" s="226" t="s">
        <v>92</v>
      </c>
    </row>
    <row r="124" spans="1:110" x14ac:dyDescent="0.2">
      <c r="B124" s="485" t="s">
        <v>289</v>
      </c>
      <c r="C124" s="182"/>
      <c r="D124" s="182"/>
      <c r="E124" s="68"/>
      <c r="F124" s="68"/>
      <c r="G124" s="68"/>
      <c r="I124" s="68"/>
      <c r="J124" s="227"/>
      <c r="K124" s="196">
        <v>0.34</v>
      </c>
      <c r="L124" s="196">
        <v>0.34</v>
      </c>
      <c r="M124" s="196">
        <v>0.36299999999999999</v>
      </c>
      <c r="N124" s="196">
        <v>0.36499999999999999</v>
      </c>
      <c r="O124" s="227">
        <v>0.36</v>
      </c>
      <c r="P124" s="196">
        <v>0.371</v>
      </c>
      <c r="Q124" s="196">
        <v>0.372</v>
      </c>
      <c r="R124" s="196">
        <v>0.37</v>
      </c>
      <c r="S124" s="196">
        <v>0.38</v>
      </c>
      <c r="T124" s="227">
        <v>0.372</v>
      </c>
      <c r="U124" s="196">
        <v>0.39200000000000002</v>
      </c>
      <c r="V124" s="196">
        <v>0.38800000000000001</v>
      </c>
      <c r="W124" s="196">
        <v>0.40799999999999997</v>
      </c>
      <c r="X124" s="196">
        <v>0.42199999999999999</v>
      </c>
      <c r="Y124" s="227">
        <v>0.40500000000000003</v>
      </c>
      <c r="Z124" s="196">
        <v>0.432</v>
      </c>
      <c r="AA124" s="196">
        <v>0.434</v>
      </c>
      <c r="AB124" s="196">
        <v>0.434</v>
      </c>
      <c r="AC124" s="196">
        <v>0.443</v>
      </c>
      <c r="AD124" s="227">
        <v>0.436</v>
      </c>
      <c r="AE124" s="228">
        <v>0.432</v>
      </c>
      <c r="AF124" s="196">
        <v>0.441</v>
      </c>
      <c r="AG124" s="196">
        <v>0.47099999999999997</v>
      </c>
      <c r="AH124" s="196">
        <v>0.48249999999999998</v>
      </c>
      <c r="AI124" s="136">
        <v>0.45655218446601942</v>
      </c>
      <c r="AJ124" s="196">
        <v>0.48159999999999997</v>
      </c>
      <c r="AK124" s="196">
        <v>0.499</v>
      </c>
      <c r="AL124" s="196">
        <v>0.51100000000000001</v>
      </c>
      <c r="AM124" s="196">
        <v>0.52700000000000002</v>
      </c>
      <c r="AN124" s="136">
        <v>0.50481818181818172</v>
      </c>
      <c r="AO124" s="196">
        <v>0.53900000000000003</v>
      </c>
      <c r="AP124" s="196">
        <v>0.56799999999999995</v>
      </c>
      <c r="AQ124" s="196">
        <v>0.57199999999999995</v>
      </c>
      <c r="AR124" s="196">
        <v>0.58499999999999996</v>
      </c>
      <c r="AS124" s="136">
        <f>AS137/(AS137+AS138)</f>
        <v>0.56598052241432373</v>
      </c>
      <c r="AT124" s="196">
        <v>0.56899999999999995</v>
      </c>
      <c r="AU124" s="196">
        <v>0.57199999999999995</v>
      </c>
      <c r="AV124" s="196">
        <v>0.58299999999999996</v>
      </c>
      <c r="AW124" s="196">
        <v>0.58299999999999996</v>
      </c>
      <c r="AX124" s="136">
        <f>AX137/(AX137+AX138)</f>
        <v>0.57699445764053836</v>
      </c>
      <c r="AY124" s="196">
        <v>0.59399999999999997</v>
      </c>
      <c r="AZ124" s="196">
        <v>0.6</v>
      </c>
      <c r="BA124" s="196">
        <v>0.60499999999999998</v>
      </c>
      <c r="BB124" s="196">
        <v>0.60899999999999999</v>
      </c>
      <c r="BC124" s="136">
        <f>BC137/(BC137+BC138)</f>
        <v>0.60202896642527981</v>
      </c>
      <c r="BD124" s="196">
        <v>0.61799999999999999</v>
      </c>
      <c r="BE124" s="196">
        <v>0.627</v>
      </c>
      <c r="BF124" s="196">
        <v>0.63</v>
      </c>
      <c r="BG124" s="196">
        <v>0.64700000000000002</v>
      </c>
      <c r="BH124" s="136">
        <f>BH137/(BH137+BH138)</f>
        <v>0.63062078093977503</v>
      </c>
      <c r="BI124" s="196">
        <v>0.66200000000000003</v>
      </c>
      <c r="BJ124" s="196">
        <v>0.70499999999999996</v>
      </c>
      <c r="BK124" s="196">
        <v>0.72199999999999998</v>
      </c>
      <c r="BL124" s="196">
        <v>0.73699999999999999</v>
      </c>
      <c r="BM124" s="136">
        <f>BM137/(BM137+BM138)</f>
        <v>0.7149869333333333</v>
      </c>
      <c r="BN124" s="196">
        <v>0.74</v>
      </c>
      <c r="BO124" s="196">
        <v>0.746</v>
      </c>
      <c r="BP124" s="196">
        <v>0.748</v>
      </c>
      <c r="BQ124" s="196">
        <v>0.751</v>
      </c>
      <c r="BR124" s="136">
        <f>BR137/(BR137+BR138)</f>
        <v>0.74615911843061278</v>
      </c>
      <c r="BS124" s="196">
        <v>0.76400000000000001</v>
      </c>
      <c r="BT124" s="196">
        <v>0.76900000000000002</v>
      </c>
      <c r="BU124" s="196">
        <v>0.77500000000000002</v>
      </c>
      <c r="BV124" s="196">
        <v>0.78</v>
      </c>
      <c r="BW124" s="136">
        <f>BW137/(BW137+BW138)</f>
        <v>0.77217852700961753</v>
      </c>
      <c r="BX124" s="1770">
        <v>0.78800000000000003</v>
      </c>
      <c r="BY124" s="1770">
        <v>0.79600000000000004</v>
      </c>
      <c r="BZ124" s="1770">
        <v>0.80300000000000005</v>
      </c>
      <c r="CA124" s="1770">
        <v>0.79400000000000004</v>
      </c>
      <c r="CB124" s="136">
        <f>CB137/(CB137+CB138)</f>
        <v>0.79521725688589096</v>
      </c>
      <c r="CC124" s="1770">
        <v>0.79800000000000004</v>
      </c>
      <c r="CD124" s="1770">
        <v>0.80900000000000005</v>
      </c>
      <c r="CE124" s="1770">
        <v>0.81299999999999994</v>
      </c>
      <c r="CF124" s="1770">
        <v>0.81399999999999995</v>
      </c>
      <c r="CG124" s="136">
        <f>CG137/(CG137+CG138)</f>
        <v>0.80848020506978058</v>
      </c>
      <c r="CH124" s="1770">
        <v>0.82099999999999995</v>
      </c>
      <c r="CI124" s="1770">
        <v>0.82799999999999996</v>
      </c>
      <c r="CJ124" s="1955">
        <v>0.83499999999999996</v>
      </c>
      <c r="CK124" s="1955">
        <v>0.83499999999999996</v>
      </c>
      <c r="CL124" s="136">
        <f>CL137/(CL137+CL138)</f>
        <v>0.82975051485731099</v>
      </c>
      <c r="CM124" s="66">
        <f>CK124+CM126/10000</f>
        <v>0.84751979493021934</v>
      </c>
      <c r="CN124" s="66">
        <f>CM124+CN126/10000</f>
        <v>0.85451979493021935</v>
      </c>
      <c r="CO124" s="66">
        <f>CN124+CO126/10000</f>
        <v>0.86151979493021935</v>
      </c>
      <c r="CP124" s="66">
        <f>CO124+CP126/10000</f>
        <v>0.86151979493021935</v>
      </c>
      <c r="CQ124" s="136">
        <f>CQ137/(CQ137+CQ138)</f>
        <v>0.85635224588662051</v>
      </c>
      <c r="CR124" s="66">
        <f>CP124+CR126/10000</f>
        <v>0.8670197949302193</v>
      </c>
      <c r="CS124" s="66">
        <f>CR124+CS126/10000</f>
        <v>0.8680197949302193</v>
      </c>
      <c r="CT124" s="66">
        <f>CS124+CT126/10000</f>
        <v>0.87501979493021931</v>
      </c>
      <c r="CU124" s="66">
        <f>CT124+CU126/10000</f>
        <v>0.87301979493021931</v>
      </c>
      <c r="CV124" s="136">
        <f>CV137/(CV137+CV138)</f>
        <v>0.87081151148834679</v>
      </c>
      <c r="CW124" s="66">
        <f>CU124+CW126/10000</f>
        <v>0.87851979493021926</v>
      </c>
      <c r="CX124" s="66">
        <f>CW124+CX126/10000</f>
        <v>0.87951979493021926</v>
      </c>
      <c r="CY124" s="66">
        <f>CX124+CY126/10000</f>
        <v>0.88651979493021926</v>
      </c>
      <c r="CZ124" s="66">
        <f>CY124+CZ126/10000</f>
        <v>0.88451979493021926</v>
      </c>
      <c r="DA124" s="136">
        <f>DA137/(DA137+DA138)</f>
        <v>0.88231146038951025</v>
      </c>
      <c r="DB124" s="66">
        <f>CZ124+DB126/10000</f>
        <v>0.89001979493021921</v>
      </c>
      <c r="DC124" s="66">
        <f>DB124+DC126/10000</f>
        <v>0.89101979493021921</v>
      </c>
      <c r="DD124" s="66">
        <f>DC124+DD126/10000</f>
        <v>0.89801979493021922</v>
      </c>
      <c r="DE124" s="66">
        <f>DD124+DE126/10000</f>
        <v>0.89601979493021922</v>
      </c>
      <c r="DF124" s="136">
        <f>DF137/(DF137+DF138)</f>
        <v>0.8938113912132406</v>
      </c>
    </row>
    <row r="125" spans="1:110" ht="11.25" customHeight="1" x14ac:dyDescent="0.2">
      <c r="B125" s="181" t="s">
        <v>148</v>
      </c>
      <c r="C125" s="182"/>
      <c r="D125" s="182"/>
      <c r="E125" s="68"/>
      <c r="F125" s="68"/>
      <c r="G125" s="68"/>
      <c r="I125" s="68"/>
      <c r="J125" s="223"/>
      <c r="K125" s="66"/>
      <c r="L125" s="66"/>
      <c r="M125" s="66"/>
      <c r="N125" s="66"/>
      <c r="O125" s="223"/>
      <c r="P125" s="209">
        <v>310</v>
      </c>
      <c r="Q125" s="209">
        <v>320</v>
      </c>
      <c r="R125" s="209">
        <v>70.000000000000057</v>
      </c>
      <c r="S125" s="209">
        <v>150</v>
      </c>
      <c r="T125" s="223">
        <v>120</v>
      </c>
      <c r="U125" s="209">
        <v>210</v>
      </c>
      <c r="V125" s="209">
        <v>160</v>
      </c>
      <c r="W125" s="209">
        <v>380</v>
      </c>
      <c r="X125" s="209">
        <v>420</v>
      </c>
      <c r="Y125" s="223">
        <v>330</v>
      </c>
      <c r="Z125" s="209">
        <v>400</v>
      </c>
      <c r="AA125" s="209">
        <v>460</v>
      </c>
      <c r="AB125" s="209">
        <v>260</v>
      </c>
      <c r="AC125" s="209">
        <v>210</v>
      </c>
      <c r="AD125" s="223">
        <v>310</v>
      </c>
      <c r="AE125" s="224">
        <v>0</v>
      </c>
      <c r="AF125" s="209">
        <v>70.000000000000057</v>
      </c>
      <c r="AG125" s="209">
        <v>370</v>
      </c>
      <c r="AH125" s="209">
        <v>395</v>
      </c>
      <c r="AI125" s="223">
        <v>205.5218446601942</v>
      </c>
      <c r="AJ125" s="209">
        <v>496</v>
      </c>
      <c r="AK125" s="209">
        <v>580</v>
      </c>
      <c r="AL125" s="209">
        <v>400</v>
      </c>
      <c r="AM125" s="209">
        <v>445</v>
      </c>
      <c r="AN125" s="223">
        <v>482.6599735216231</v>
      </c>
      <c r="AO125" s="209">
        <f t="shared" ref="AO125:CB125" si="282">(AO124-AJ124)*100*100</f>
        <v>574.00000000000068</v>
      </c>
      <c r="AP125" s="209">
        <f t="shared" si="282"/>
        <v>689.99999999999955</v>
      </c>
      <c r="AQ125" s="209">
        <f t="shared" si="282"/>
        <v>609.99999999999943</v>
      </c>
      <c r="AR125" s="209">
        <f t="shared" si="282"/>
        <v>579.99999999999932</v>
      </c>
      <c r="AS125" s="223">
        <f t="shared" si="282"/>
        <v>611.62340596142008</v>
      </c>
      <c r="AT125" s="209">
        <f t="shared" si="282"/>
        <v>299.99999999999915</v>
      </c>
      <c r="AU125" s="209">
        <f t="shared" si="282"/>
        <v>40.000000000000036</v>
      </c>
      <c r="AV125" s="209">
        <f t="shared" si="282"/>
        <v>110.0000000000001</v>
      </c>
      <c r="AW125" s="209">
        <f t="shared" si="282"/>
        <v>-20.000000000000018</v>
      </c>
      <c r="AX125" s="223">
        <f t="shared" si="282"/>
        <v>110.13935226214633</v>
      </c>
      <c r="AY125" s="209">
        <f t="shared" si="282"/>
        <v>250.00000000000023</v>
      </c>
      <c r="AZ125" s="209">
        <f t="shared" si="282"/>
        <v>280.00000000000023</v>
      </c>
      <c r="BA125" s="209">
        <f t="shared" si="282"/>
        <v>220.0000000000002</v>
      </c>
      <c r="BB125" s="209">
        <f t="shared" si="282"/>
        <v>260.00000000000023</v>
      </c>
      <c r="BC125" s="223">
        <f t="shared" si="282"/>
        <v>250.3450878474145</v>
      </c>
      <c r="BD125" s="209">
        <f t="shared" si="282"/>
        <v>240.00000000000023</v>
      </c>
      <c r="BE125" s="209">
        <f t="shared" si="282"/>
        <v>270.00000000000023</v>
      </c>
      <c r="BF125" s="209">
        <f t="shared" si="282"/>
        <v>250.00000000000023</v>
      </c>
      <c r="BG125" s="209">
        <f>(BG124-BB124)*100*100</f>
        <v>380.00000000000034</v>
      </c>
      <c r="BH125" s="223">
        <f t="shared" si="282"/>
        <v>285.91814514495218</v>
      </c>
      <c r="BI125" s="209">
        <f t="shared" si="282"/>
        <v>440.0000000000004</v>
      </c>
      <c r="BJ125" s="209">
        <f t="shared" si="282"/>
        <v>779.99999999999955</v>
      </c>
      <c r="BK125" s="209">
        <f t="shared" si="282"/>
        <v>919.99999999999977</v>
      </c>
      <c r="BL125" s="209">
        <f t="shared" si="282"/>
        <v>899.99999999999966</v>
      </c>
      <c r="BM125" s="223">
        <f t="shared" si="282"/>
        <v>843.66152393558275</v>
      </c>
      <c r="BN125" s="209">
        <f t="shared" si="282"/>
        <v>779.99999999999955</v>
      </c>
      <c r="BO125" s="209">
        <f t="shared" si="282"/>
        <v>410.00000000000034</v>
      </c>
      <c r="BP125" s="209">
        <f>(BP124-BK124)*100*100</f>
        <v>260.00000000000023</v>
      </c>
      <c r="BQ125" s="209">
        <f>(BQ124-BL124)*100*100</f>
        <v>140.00000000000011</v>
      </c>
      <c r="BR125" s="223">
        <f t="shared" si="282"/>
        <v>311.72185097279481</v>
      </c>
      <c r="BS125" s="209">
        <f t="shared" si="282"/>
        <v>240.00000000000023</v>
      </c>
      <c r="BT125" s="209">
        <f t="shared" si="282"/>
        <v>230.0000000000002</v>
      </c>
      <c r="BU125" s="209">
        <f>(BU124-BP124)*100*100</f>
        <v>270.00000000000023</v>
      </c>
      <c r="BV125" s="209">
        <f>(BV124-BQ124)*100*100</f>
        <v>290.00000000000028</v>
      </c>
      <c r="BW125" s="223">
        <f t="shared" si="282"/>
        <v>260.19408579004755</v>
      </c>
      <c r="BX125" s="209">
        <f>(BX124-BS124)*100*100</f>
        <v>240.00000000000023</v>
      </c>
      <c r="BY125" s="209">
        <f>(BY124-BT124)*100*100</f>
        <v>270.00000000000023</v>
      </c>
      <c r="BZ125" s="209">
        <f>(BZ124-BU124)*100*100</f>
        <v>280.00000000000023</v>
      </c>
      <c r="CA125" s="209">
        <f>(CA124-BV124)*100*100</f>
        <v>140.00000000000011</v>
      </c>
      <c r="CB125" s="223">
        <f t="shared" si="282"/>
        <v>230.38729876273422</v>
      </c>
      <c r="CC125" s="209">
        <f>(CC124-BX124)*100*100</f>
        <v>100.00000000000009</v>
      </c>
      <c r="CD125" s="209">
        <f>(CD124-BY124)*100*100</f>
        <v>130.00000000000011</v>
      </c>
      <c r="CE125" s="209">
        <f>(CE124-BZ124)*100*100</f>
        <v>99.999999999998977</v>
      </c>
      <c r="CF125" s="209">
        <f t="shared" ref="CF125:CL125" si="283">(CF124-CA124)*100*100</f>
        <v>199.99999999999906</v>
      </c>
      <c r="CG125" s="223">
        <f t="shared" si="283"/>
        <v>132.62948183889623</v>
      </c>
      <c r="CH125" s="209">
        <f t="shared" si="283"/>
        <v>229.99999999999909</v>
      </c>
      <c r="CI125" s="209">
        <f t="shared" si="283"/>
        <v>189.99999999999906</v>
      </c>
      <c r="CJ125" s="1957">
        <f t="shared" si="283"/>
        <v>220.0000000000002</v>
      </c>
      <c r="CK125" s="1957">
        <f t="shared" si="283"/>
        <v>210.0000000000002</v>
      </c>
      <c r="CL125" s="223">
        <f t="shared" si="283"/>
        <v>212.70309787530417</v>
      </c>
      <c r="CM125" s="209">
        <f t="shared" ref="CM125:CV125" si="284">(CM124-CH124)*100*100</f>
        <v>265.19794930219388</v>
      </c>
      <c r="CN125" s="209">
        <f t="shared" si="284"/>
        <v>265.19794930219388</v>
      </c>
      <c r="CO125" s="209">
        <f t="shared" si="284"/>
        <v>265.19794930219388</v>
      </c>
      <c r="CP125" s="209">
        <f t="shared" si="284"/>
        <v>265.19794930219388</v>
      </c>
      <c r="CQ125" s="223">
        <f t="shared" si="284"/>
        <v>266.01731029309519</v>
      </c>
      <c r="CR125" s="209">
        <f t="shared" si="284"/>
        <v>194.99999999999963</v>
      </c>
      <c r="CS125" s="209">
        <f t="shared" si="284"/>
        <v>134.99999999999957</v>
      </c>
      <c r="CT125" s="209">
        <f t="shared" si="284"/>
        <v>134.99999999999957</v>
      </c>
      <c r="CU125" s="209">
        <f t="shared" si="284"/>
        <v>114.99999999999955</v>
      </c>
      <c r="CV125" s="223">
        <f t="shared" si="284"/>
        <v>144.59265601726278</v>
      </c>
      <c r="CW125" s="209">
        <f t="shared" ref="CW125" si="285">(CW124-CR124)*100*100</f>
        <v>114.99999999999955</v>
      </c>
      <c r="CX125" s="209">
        <f t="shared" ref="CX125" si="286">(CX124-CS124)*100*100</f>
        <v>114.99999999999955</v>
      </c>
      <c r="CY125" s="209">
        <f t="shared" ref="CY125" si="287">(CY124-CT124)*100*100</f>
        <v>114.99999999999955</v>
      </c>
      <c r="CZ125" s="209">
        <f t="shared" ref="CZ125" si="288">(CZ124-CU124)*100*100</f>
        <v>114.99999999999955</v>
      </c>
      <c r="DA125" s="223">
        <f t="shared" ref="DA125" si="289">(DA124-CV124)*100*100</f>
        <v>114.99948901163459</v>
      </c>
      <c r="DB125" s="209">
        <f t="shared" ref="DB125" si="290">(DB124-CW124)*100*100</f>
        <v>114.99999999999955</v>
      </c>
      <c r="DC125" s="209">
        <f t="shared" ref="DC125" si="291">(DC124-CX124)*100*100</f>
        <v>114.99999999999955</v>
      </c>
      <c r="DD125" s="209">
        <f t="shared" ref="DD125" si="292">(DD124-CY124)*100*100</f>
        <v>114.99999999999955</v>
      </c>
      <c r="DE125" s="209">
        <f t="shared" ref="DE125" si="293">(DE124-CZ124)*100*100</f>
        <v>114.99999999999955</v>
      </c>
      <c r="DF125" s="223">
        <f t="shared" ref="DF125" si="294">(DF124-DA124)*100*100</f>
        <v>114.99930823730354</v>
      </c>
    </row>
    <row r="126" spans="1:110" ht="11.25" customHeight="1" x14ac:dyDescent="0.2">
      <c r="A126" s="77"/>
      <c r="B126" s="621" t="s">
        <v>149</v>
      </c>
      <c r="C126" s="233"/>
      <c r="D126" s="233"/>
      <c r="E126" s="66"/>
      <c r="F126" s="66"/>
      <c r="G126" s="66"/>
      <c r="H126" s="66"/>
      <c r="I126" s="66"/>
      <c r="J126" s="226"/>
      <c r="K126" s="66"/>
      <c r="L126" s="225">
        <f>(L124-K124)*10000</f>
        <v>0</v>
      </c>
      <c r="M126" s="225">
        <f>(M124-L124)*10000</f>
        <v>229.99999999999966</v>
      </c>
      <c r="N126" s="225">
        <f>(N124-M124)*10000</f>
        <v>20.000000000000018</v>
      </c>
      <c r="O126" s="226"/>
      <c r="P126" s="225">
        <v>60.000000000000057</v>
      </c>
      <c r="Q126" s="225">
        <v>10</v>
      </c>
      <c r="R126" s="225">
        <v>-20</v>
      </c>
      <c r="S126" s="225">
        <v>100</v>
      </c>
      <c r="T126" s="226" t="s">
        <v>92</v>
      </c>
      <c r="U126" s="225">
        <v>120</v>
      </c>
      <c r="V126" s="225">
        <v>-40</v>
      </c>
      <c r="W126" s="225">
        <v>200</v>
      </c>
      <c r="X126" s="225">
        <v>140</v>
      </c>
      <c r="Y126" s="226" t="s">
        <v>92</v>
      </c>
      <c r="Z126" s="225">
        <v>100</v>
      </c>
      <c r="AA126" s="225">
        <v>20</v>
      </c>
      <c r="AB126" s="225">
        <v>0</v>
      </c>
      <c r="AC126" s="225">
        <v>90.000000000000085</v>
      </c>
      <c r="AD126" s="226" t="s">
        <v>92</v>
      </c>
      <c r="AE126" s="225">
        <v>-110</v>
      </c>
      <c r="AF126" s="225">
        <v>90.000000000000085</v>
      </c>
      <c r="AG126" s="225">
        <v>300</v>
      </c>
      <c r="AH126" s="225">
        <v>115</v>
      </c>
      <c r="AI126" s="226" t="s">
        <v>92</v>
      </c>
      <c r="AJ126" s="225">
        <v>-9.000000000000119</v>
      </c>
      <c r="AK126" s="225">
        <v>174</v>
      </c>
      <c r="AL126" s="225">
        <v>120</v>
      </c>
      <c r="AM126" s="225">
        <v>160</v>
      </c>
      <c r="AN126" s="226" t="s">
        <v>92</v>
      </c>
      <c r="AO126" s="225">
        <f>(AO124-AM124)*10000</f>
        <v>120.00000000000011</v>
      </c>
      <c r="AP126" s="225">
        <f>(AP124-AO124)*10000</f>
        <v>289.99999999999915</v>
      </c>
      <c r="AQ126" s="225">
        <f>(AQ124-AP124)*10000</f>
        <v>40.000000000000036</v>
      </c>
      <c r="AR126" s="225">
        <f>(AR124-AQ124)*10000</f>
        <v>130.00000000000011</v>
      </c>
      <c r="AS126" s="226" t="s">
        <v>92</v>
      </c>
      <c r="AT126" s="225">
        <f>(AT124-AR124)*10000</f>
        <v>-160.00000000000014</v>
      </c>
      <c r="AU126" s="225">
        <f>(AU124-AT124)*10000</f>
        <v>30.000000000000028</v>
      </c>
      <c r="AV126" s="225">
        <f>(AV124-AU124)*10000</f>
        <v>110.0000000000001</v>
      </c>
      <c r="AW126" s="225">
        <f>(AW124-AV124)*10000</f>
        <v>0</v>
      </c>
      <c r="AX126" s="226" t="s">
        <v>92</v>
      </c>
      <c r="AY126" s="225">
        <f>(AY124-AW124)*10000</f>
        <v>110.0000000000001</v>
      </c>
      <c r="AZ126" s="225">
        <f>(AZ124-AY124)*10000</f>
        <v>60.000000000000057</v>
      </c>
      <c r="BA126" s="225">
        <f>(BA124-AZ124)*10000</f>
        <v>50.000000000000043</v>
      </c>
      <c r="BB126" s="225">
        <f>(BB124-BA124)*10000</f>
        <v>40.000000000000036</v>
      </c>
      <c r="BC126" s="226" t="s">
        <v>92</v>
      </c>
      <c r="BD126" s="225">
        <f>(BD124-BB124)*10000</f>
        <v>90.000000000000085</v>
      </c>
      <c r="BE126" s="225">
        <f>(BE124-BD124)*10000</f>
        <v>90.000000000000085</v>
      </c>
      <c r="BF126" s="225">
        <f>(BF124-BE124)*10000</f>
        <v>30.000000000000028</v>
      </c>
      <c r="BG126" s="225">
        <f>(BG124-BF124)*10000</f>
        <v>170.00000000000014</v>
      </c>
      <c r="BH126" s="226" t="s">
        <v>92</v>
      </c>
      <c r="BI126" s="225">
        <f>(BI124-BG124)*10000</f>
        <v>150.00000000000014</v>
      </c>
      <c r="BJ126" s="225">
        <f>(BJ124-BI124)*10000</f>
        <v>429.99999999999926</v>
      </c>
      <c r="BK126" s="225">
        <f>(BK124-BJ124)*10000</f>
        <v>170.00000000000014</v>
      </c>
      <c r="BL126" s="225">
        <f>(BL124-BK124)*10000</f>
        <v>150.00000000000014</v>
      </c>
      <c r="BM126" s="226" t="s">
        <v>92</v>
      </c>
      <c r="BN126" s="225">
        <f>(BN124-BM124)*10000</f>
        <v>250.13066666666694</v>
      </c>
      <c r="BO126" s="225">
        <f>(BO124-BN124)*10000</f>
        <v>60.000000000000057</v>
      </c>
      <c r="BP126" s="225">
        <f>(BP124-BO124)*10000</f>
        <v>20.000000000000018</v>
      </c>
      <c r="BQ126" s="225">
        <f>(BQ124-BP124)*10000</f>
        <v>30.000000000000028</v>
      </c>
      <c r="BR126" s="226" t="s">
        <v>92</v>
      </c>
      <c r="BS126" s="225">
        <f>(BS124-BR124)*10000</f>
        <v>178.40881569387236</v>
      </c>
      <c r="BT126" s="225">
        <f>(BT124-BS124)*10000</f>
        <v>50.000000000000043</v>
      </c>
      <c r="BU126" s="225">
        <f>(BU124-BT124)*10000</f>
        <v>60.000000000000057</v>
      </c>
      <c r="BV126" s="225">
        <f>(BV124-BU124)*10000</f>
        <v>50.000000000000043</v>
      </c>
      <c r="BW126" s="226" t="s">
        <v>92</v>
      </c>
      <c r="BX126" s="225">
        <f>(BX124-BW124)*10000</f>
        <v>158.214729903825</v>
      </c>
      <c r="BY126" s="225">
        <f>(BY124-BX124)*10000</f>
        <v>80.000000000000071</v>
      </c>
      <c r="BZ126" s="225">
        <f>(BZ124-BY124)*10000</f>
        <v>70.000000000000057</v>
      </c>
      <c r="CA126" s="225">
        <f>(CA124-BZ124)*10000</f>
        <v>-90.000000000000085</v>
      </c>
      <c r="CB126" s="226" t="s">
        <v>92</v>
      </c>
      <c r="CC126" s="225">
        <f>(CC124-CB124)*10000</f>
        <v>27.827431141090877</v>
      </c>
      <c r="CD126" s="225">
        <f>(CD124-CC124)*10000</f>
        <v>110.0000000000001</v>
      </c>
      <c r="CE126" s="225">
        <f>(CE124-CD124)*10000</f>
        <v>39.999999999998927</v>
      </c>
      <c r="CF126" s="225">
        <f>(CF124-CE124)*10000</f>
        <v>10.000000000000009</v>
      </c>
      <c r="CG126" s="226" t="s">
        <v>92</v>
      </c>
      <c r="CH126" s="225">
        <f>(CH124-CG124)*10000</f>
        <v>125.19794930219375</v>
      </c>
      <c r="CI126" s="225">
        <f>(CI124-CH124)*10000</f>
        <v>70.000000000000057</v>
      </c>
      <c r="CJ126" s="1958">
        <f>(CJ124-CI124)*10000</f>
        <v>70.000000000000057</v>
      </c>
      <c r="CK126" s="1958">
        <f>(CK124-CJ124)*10000</f>
        <v>0</v>
      </c>
      <c r="CL126" s="226" t="s">
        <v>92</v>
      </c>
      <c r="CM126" s="229">
        <f>CH126</f>
        <v>125.19794930219375</v>
      </c>
      <c r="CN126" s="229">
        <f>CI126</f>
        <v>70.000000000000057</v>
      </c>
      <c r="CO126" s="229">
        <f>CJ126</f>
        <v>70.000000000000057</v>
      </c>
      <c r="CP126" s="229">
        <f>CK126</f>
        <v>0</v>
      </c>
      <c r="CQ126" s="226" t="s">
        <v>92</v>
      </c>
      <c r="CR126" s="229">
        <v>55</v>
      </c>
      <c r="CS126" s="229">
        <v>10</v>
      </c>
      <c r="CT126" s="229">
        <f>CO126</f>
        <v>70.000000000000057</v>
      </c>
      <c r="CU126" s="229">
        <v>-20</v>
      </c>
      <c r="CV126" s="226" t="s">
        <v>92</v>
      </c>
      <c r="CW126" s="229">
        <v>55</v>
      </c>
      <c r="CX126" s="229">
        <v>10</v>
      </c>
      <c r="CY126" s="229">
        <f>CT126</f>
        <v>70.000000000000057</v>
      </c>
      <c r="CZ126" s="229">
        <v>-20</v>
      </c>
      <c r="DA126" s="226" t="s">
        <v>92</v>
      </c>
      <c r="DB126" s="229">
        <v>55</v>
      </c>
      <c r="DC126" s="229">
        <v>10</v>
      </c>
      <c r="DD126" s="229">
        <f>CY126</f>
        <v>70.000000000000057</v>
      </c>
      <c r="DE126" s="229">
        <v>-20</v>
      </c>
      <c r="DF126" s="226" t="s">
        <v>92</v>
      </c>
    </row>
    <row r="127" spans="1:110" s="66" customFormat="1" ht="11.25" hidden="1" customHeight="1" outlineLevel="1" x14ac:dyDescent="0.2">
      <c r="A127" s="68"/>
      <c r="B127" s="137" t="s">
        <v>328</v>
      </c>
      <c r="C127" s="581"/>
      <c r="D127" s="581"/>
      <c r="E127" s="581"/>
      <c r="F127" s="581"/>
      <c r="G127" s="581"/>
      <c r="H127" s="581"/>
      <c r="I127" s="581"/>
      <c r="J127" s="618"/>
      <c r="K127" s="196">
        <v>0.43</v>
      </c>
      <c r="L127" s="196">
        <v>0.43</v>
      </c>
      <c r="M127" s="196">
        <v>0.45</v>
      </c>
      <c r="N127" s="196">
        <v>0.46</v>
      </c>
      <c r="O127" s="618"/>
      <c r="P127" s="617">
        <v>0.47</v>
      </c>
      <c r="Q127" s="617">
        <v>0.47</v>
      </c>
      <c r="R127" s="617">
        <v>0.47</v>
      </c>
      <c r="S127" s="617">
        <v>0.48</v>
      </c>
      <c r="T127" s="618"/>
      <c r="U127" s="617">
        <v>0.49</v>
      </c>
      <c r="V127" s="617">
        <v>0.5</v>
      </c>
      <c r="W127" s="617">
        <v>0.51</v>
      </c>
      <c r="X127" s="617">
        <v>0.52</v>
      </c>
      <c r="Y127" s="618">
        <v>0.504</v>
      </c>
      <c r="Z127" s="617">
        <v>0.53700000000000003</v>
      </c>
      <c r="AA127" s="617">
        <v>0.53900000000000003</v>
      </c>
      <c r="AB127" s="617">
        <v>0.54900000000000004</v>
      </c>
      <c r="AC127" s="617">
        <v>0.55400000000000005</v>
      </c>
      <c r="AD127" s="618">
        <v>0.54400000000000004</v>
      </c>
      <c r="AE127" s="617">
        <v>0.56299999999999994</v>
      </c>
      <c r="AF127" s="617">
        <v>0.56299999999999994</v>
      </c>
      <c r="AG127" s="617">
        <v>0.58299999999999996</v>
      </c>
      <c r="AH127" s="617">
        <v>0.59699999999999998</v>
      </c>
      <c r="AI127" s="618">
        <v>0.57599999999999996</v>
      </c>
      <c r="AJ127" s="617">
        <v>0.60299999999999998</v>
      </c>
      <c r="AK127" s="617">
        <v>0.61099999999999999</v>
      </c>
      <c r="AL127" s="617">
        <v>0.622</v>
      </c>
      <c r="AM127" s="617">
        <v>0.63700000000000001</v>
      </c>
      <c r="AN127" s="618">
        <v>0.61799999999999999</v>
      </c>
      <c r="AO127" s="617">
        <v>0.65100000000000002</v>
      </c>
      <c r="AP127" s="617">
        <v>0.65900000000000003</v>
      </c>
      <c r="AQ127" s="617">
        <v>0.66200000000000003</v>
      </c>
      <c r="AR127" s="617">
        <v>0.67300000000000004</v>
      </c>
      <c r="AS127" s="618">
        <v>0.66100000000000003</v>
      </c>
      <c r="AT127" s="617">
        <v>0.67700000000000005</v>
      </c>
      <c r="AU127" s="617">
        <v>0.67800000000000005</v>
      </c>
      <c r="AV127" s="617">
        <v>0.68300000000000005</v>
      </c>
      <c r="AW127" s="196">
        <v>0.69099999999999995</v>
      </c>
      <c r="AX127" s="618">
        <v>0.68300000000000005</v>
      </c>
      <c r="AY127" s="617">
        <v>0.70199999999999996</v>
      </c>
      <c r="AZ127" s="196">
        <v>0.71399999999999997</v>
      </c>
      <c r="BA127" s="196">
        <v>0.72099999999999997</v>
      </c>
      <c r="BB127" s="196">
        <v>0.72699999999999998</v>
      </c>
      <c r="BC127" s="616"/>
      <c r="BD127" s="196">
        <v>0.73799999999999999</v>
      </c>
      <c r="BE127" s="196">
        <v>0.74</v>
      </c>
      <c r="BF127" s="196">
        <v>0.74099999999999999</v>
      </c>
      <c r="BG127" s="196">
        <v>0.748</v>
      </c>
      <c r="BH127" s="616"/>
      <c r="BI127" s="196">
        <v>0.76500000000000001</v>
      </c>
      <c r="BJ127" s="196">
        <v>0.77800000000000002</v>
      </c>
      <c r="BK127" s="196">
        <v>0.78800000000000003</v>
      </c>
      <c r="BL127" s="196">
        <v>0.79800000000000004</v>
      </c>
      <c r="BM127" s="616"/>
      <c r="BN127" s="196">
        <v>0.80500000000000005</v>
      </c>
      <c r="BO127" s="196">
        <v>0.80900000000000005</v>
      </c>
      <c r="BP127" s="196">
        <v>0.80800000000000005</v>
      </c>
      <c r="BQ127" s="196">
        <v>0.80900000000000005</v>
      </c>
      <c r="BR127" s="616"/>
      <c r="BS127" s="196">
        <v>0.82399999999999995</v>
      </c>
      <c r="BT127" s="196">
        <v>0.83</v>
      </c>
      <c r="BU127" s="196">
        <v>0.83099999999999996</v>
      </c>
      <c r="BV127" s="196">
        <v>0.82799999999999996</v>
      </c>
      <c r="BW127" s="616"/>
      <c r="BX127" s="196">
        <v>0.84299999999999997</v>
      </c>
      <c r="BY127" s="196">
        <v>0.84699999999999998</v>
      </c>
      <c r="BZ127" s="196">
        <v>0.84499999999999997</v>
      </c>
      <c r="CA127" s="196">
        <v>0.84199999999999997</v>
      </c>
      <c r="CB127" s="616"/>
      <c r="CC127" s="196">
        <v>0.85199999999999998</v>
      </c>
      <c r="CD127" s="196">
        <v>0.86299999999999999</v>
      </c>
      <c r="CE127" s="196">
        <v>0.85399999999999998</v>
      </c>
      <c r="CF127" s="196">
        <v>0.85199999999999998</v>
      </c>
      <c r="CG127" s="616"/>
      <c r="CH127" s="196">
        <v>0.86499999999999999</v>
      </c>
      <c r="CI127" s="196">
        <v>0.86599999999999999</v>
      </c>
      <c r="CJ127" s="1959">
        <v>0.86099999999999999</v>
      </c>
      <c r="CK127" s="1959">
        <v>0.86099999999999999</v>
      </c>
      <c r="CL127" s="616"/>
      <c r="CM127" s="196"/>
      <c r="CN127" s="196"/>
      <c r="CO127" s="196"/>
      <c r="CP127" s="196"/>
      <c r="CQ127" s="616"/>
      <c r="CR127" s="196"/>
      <c r="CS127" s="196"/>
      <c r="CT127" s="196"/>
      <c r="CU127" s="196"/>
      <c r="CV127" s="616"/>
      <c r="CW127" s="196"/>
      <c r="CX127" s="196"/>
      <c r="CY127" s="196"/>
      <c r="CZ127" s="196"/>
      <c r="DA127" s="616"/>
      <c r="DB127" s="196"/>
      <c r="DC127" s="196"/>
      <c r="DD127" s="196"/>
      <c r="DE127" s="196"/>
      <c r="DF127" s="616"/>
    </row>
    <row r="128" spans="1:110" ht="11.25" customHeight="1" collapsed="1" thickBot="1" x14ac:dyDescent="0.25">
      <c r="B128" s="762" t="s">
        <v>272</v>
      </c>
      <c r="C128" s="763"/>
      <c r="D128" s="763"/>
      <c r="E128" s="708"/>
      <c r="F128" s="708"/>
      <c r="G128" s="708"/>
      <c r="H128" s="688"/>
      <c r="I128" s="708"/>
      <c r="J128" s="709"/>
      <c r="K128" s="708">
        <f t="shared" ref="K128:AN128" si="295">100%-K118</f>
        <v>0.56886958944179411</v>
      </c>
      <c r="L128" s="708">
        <f t="shared" si="295"/>
        <v>0.56892622011219651</v>
      </c>
      <c r="M128" s="708">
        <f t="shared" si="295"/>
        <v>0.55000000000000004</v>
      </c>
      <c r="N128" s="708">
        <f t="shared" si="295"/>
        <v>0.54</v>
      </c>
      <c r="O128" s="709">
        <f t="shared" si="295"/>
        <v>0.54899999999999993</v>
      </c>
      <c r="P128" s="708">
        <f t="shared" si="295"/>
        <v>0.52870954293070005</v>
      </c>
      <c r="Q128" s="708">
        <f t="shared" si="295"/>
        <v>0.5321142187785044</v>
      </c>
      <c r="R128" s="708">
        <f t="shared" si="295"/>
        <v>0.52910055486240026</v>
      </c>
      <c r="S128" s="708">
        <f t="shared" si="295"/>
        <v>0.51908380573004442</v>
      </c>
      <c r="T128" s="709">
        <f t="shared" si="295"/>
        <v>0.527570487570028</v>
      </c>
      <c r="U128" s="708">
        <f t="shared" si="295"/>
        <v>0.50595793186091598</v>
      </c>
      <c r="V128" s="708">
        <f t="shared" si="295"/>
        <v>0.50465499710161454</v>
      </c>
      <c r="W128" s="708">
        <f t="shared" si="295"/>
        <v>0.48428819973813064</v>
      </c>
      <c r="X128" s="708">
        <f t="shared" si="295"/>
        <v>0.48</v>
      </c>
      <c r="Y128" s="709">
        <f t="shared" si="295"/>
        <v>0.49099565595134664</v>
      </c>
      <c r="Z128" s="708">
        <f t="shared" si="295"/>
        <v>0.46312376237623754</v>
      </c>
      <c r="AA128" s="708">
        <f t="shared" si="295"/>
        <v>0.46071153846153834</v>
      </c>
      <c r="AB128" s="708">
        <f t="shared" si="295"/>
        <v>0.45455363321799314</v>
      </c>
      <c r="AC128" s="708">
        <f t="shared" si="295"/>
        <v>0.44672364085667216</v>
      </c>
      <c r="AD128" s="709">
        <f t="shared" si="295"/>
        <v>0.45942430853906879</v>
      </c>
      <c r="AE128" s="708">
        <f t="shared" si="295"/>
        <v>0.43534338952972496</v>
      </c>
      <c r="AF128" s="708">
        <f t="shared" si="295"/>
        <v>0.43527865796831311</v>
      </c>
      <c r="AG128" s="708">
        <f t="shared" si="295"/>
        <v>0.41544143272023237</v>
      </c>
      <c r="AH128" s="708">
        <f t="shared" si="295"/>
        <v>0.4012437557816837</v>
      </c>
      <c r="AI128" s="709">
        <f t="shared" si="295"/>
        <v>0.42748544408787925</v>
      </c>
      <c r="AJ128" s="708">
        <f t="shared" si="295"/>
        <v>0.39613108614232195</v>
      </c>
      <c r="AK128" s="708">
        <f t="shared" si="295"/>
        <v>0.388212643678161</v>
      </c>
      <c r="AL128" s="708">
        <f t="shared" si="295"/>
        <v>0.37646334310850438</v>
      </c>
      <c r="AM128" s="708">
        <f t="shared" si="295"/>
        <v>0.36181809701492529</v>
      </c>
      <c r="AN128" s="709">
        <f t="shared" si="295"/>
        <v>0.38705723894467525</v>
      </c>
      <c r="AO128" s="708">
        <f ca="1">100%-AO118</f>
        <v>0.35425955145195087</v>
      </c>
      <c r="AP128" s="708">
        <f ca="1">100%-AP118</f>
        <v>0.34669173877739878</v>
      </c>
      <c r="AQ128" s="708">
        <f ca="1">100%-AQ118</f>
        <v>0.34443535727874541</v>
      </c>
      <c r="AR128" s="708">
        <f ca="1">100%-AR118</f>
        <v>0.33009223516026764</v>
      </c>
      <c r="AS128" s="709">
        <f ca="1">100%-AS118</f>
        <v>0.3439944209552831</v>
      </c>
      <c r="AT128" s="708">
        <f t="shared" ref="AT128:BV128" si="296">100%-AT118</f>
        <v>0.32843481492390469</v>
      </c>
      <c r="AU128" s="708">
        <f t="shared" si="296"/>
        <v>0.32593509393204401</v>
      </c>
      <c r="AV128" s="708">
        <f t="shared" si="296"/>
        <v>0.32268256357841896</v>
      </c>
      <c r="AW128" s="708">
        <f t="shared" si="296"/>
        <v>0.31249526342904388</v>
      </c>
      <c r="AX128" s="709">
        <f t="shared" si="296"/>
        <v>0.32178782609199696</v>
      </c>
      <c r="AY128" s="708">
        <f t="shared" si="296"/>
        <v>0.30157389162561576</v>
      </c>
      <c r="AZ128" s="708">
        <f t="shared" si="296"/>
        <v>0.29005974824679903</v>
      </c>
      <c r="BA128" s="708">
        <f t="shared" si="296"/>
        <v>0.28266731402739131</v>
      </c>
      <c r="BB128" s="708">
        <f t="shared" si="296"/>
        <v>0.27651491807517015</v>
      </c>
      <c r="BC128" s="709">
        <f t="shared" si="296"/>
        <v>0.28763743987761403</v>
      </c>
      <c r="BD128" s="708">
        <f t="shared" si="296"/>
        <v>0.26085332574327946</v>
      </c>
      <c r="BE128" s="708">
        <f t="shared" si="296"/>
        <v>0.25863048902308794</v>
      </c>
      <c r="BF128" s="708">
        <f t="shared" si="296"/>
        <v>0.25749838813303694</v>
      </c>
      <c r="BG128" s="708">
        <f t="shared" si="296"/>
        <v>0.25142865819526705</v>
      </c>
      <c r="BH128" s="709">
        <f t="shared" si="296"/>
        <v>0.2594223874681254</v>
      </c>
      <c r="BI128" s="764">
        <f t="shared" si="296"/>
        <v>0.23344798885112905</v>
      </c>
      <c r="BJ128" s="708">
        <f t="shared" si="296"/>
        <v>0.22456852421484363</v>
      </c>
      <c r="BK128" s="708">
        <f t="shared" si="296"/>
        <v>0.21395956443026998</v>
      </c>
      <c r="BL128" s="708">
        <f>100%-BL118</f>
        <v>0.20360532643843732</v>
      </c>
      <c r="BM128" s="709">
        <f t="shared" si="296"/>
        <v>0.21672083158777666</v>
      </c>
      <c r="BN128" s="708">
        <f t="shared" si="296"/>
        <v>0.19700977180751378</v>
      </c>
      <c r="BO128" s="708">
        <f>100%-BO118</f>
        <v>0.19363925919294245</v>
      </c>
      <c r="BP128" s="708">
        <f>100%-BP118</f>
        <v>0.19417913123051</v>
      </c>
      <c r="BQ128" s="708">
        <f>100%-BQ118</f>
        <v>0.19296902551643103</v>
      </c>
      <c r="BR128" s="709">
        <f t="shared" si="296"/>
        <v>0.1944958030788404</v>
      </c>
      <c r="BS128" s="708">
        <f t="shared" si="296"/>
        <v>0.17759884831513528</v>
      </c>
      <c r="BT128" s="708">
        <f t="shared" si="296"/>
        <v>0.17206271333123102</v>
      </c>
      <c r="BU128" s="708">
        <f t="shared" si="296"/>
        <v>0.17088779308609814</v>
      </c>
      <c r="BV128" s="708">
        <f t="shared" si="296"/>
        <v>0.17452802239899623</v>
      </c>
      <c r="BW128" s="709">
        <f t="shared" ref="BW128:CB128" si="297">100%-BW118</f>
        <v>0.17376177340583765</v>
      </c>
      <c r="BX128" s="708">
        <f t="shared" si="297"/>
        <v>0.15700000000000003</v>
      </c>
      <c r="BY128" s="708">
        <f>100%-BY118</f>
        <v>0.15300000000000002</v>
      </c>
      <c r="BZ128" s="708">
        <f>100%-BZ118</f>
        <v>0.15500000000000003</v>
      </c>
      <c r="CA128" s="708">
        <f>100%-CA118</f>
        <v>0.15800000000000003</v>
      </c>
      <c r="CB128" s="709">
        <f t="shared" si="297"/>
        <v>0.1586550344392057</v>
      </c>
      <c r="CC128" s="708">
        <f t="shared" ref="CC128:CD128" si="298">100%-CC118</f>
        <v>0.14800000000000002</v>
      </c>
      <c r="CD128" s="708">
        <f t="shared" si="298"/>
        <v>0.13700000000000001</v>
      </c>
      <c r="CE128" s="708">
        <f t="shared" ref="CE128" si="299">100%-CE118</f>
        <v>0.14600000000000002</v>
      </c>
      <c r="CF128" s="708">
        <f t="shared" ref="CF128:CL128" si="300">100%-CF118</f>
        <v>0.14800000000000002</v>
      </c>
      <c r="CG128" s="709">
        <f t="shared" si="300"/>
        <v>0.15152355215346736</v>
      </c>
      <c r="CH128" s="708">
        <f t="shared" ref="CH128:CI128" si="301">100%-CH118</f>
        <v>0.13500000000000001</v>
      </c>
      <c r="CI128" s="708">
        <f t="shared" si="301"/>
        <v>0.13400000000000001</v>
      </c>
      <c r="CJ128" s="708">
        <f t="shared" ref="CJ128:CK128" si="302">100%-CJ118</f>
        <v>0.13900000000000001</v>
      </c>
      <c r="CK128" s="708">
        <f t="shared" si="302"/>
        <v>0.14300000000000002</v>
      </c>
      <c r="CL128" s="709">
        <f t="shared" si="300"/>
        <v>0.14177764595074072</v>
      </c>
      <c r="CM128" s="708">
        <f t="shared" ref="CM128:CV128" si="303">100%-CM118</f>
        <v>0.13461881669744891</v>
      </c>
      <c r="CN128" s="708">
        <f t="shared" si="303"/>
        <v>0.13328883568337113</v>
      </c>
      <c r="CO128" s="708">
        <f t="shared" si="303"/>
        <v>0.1389783534530955</v>
      </c>
      <c r="CP128" s="708">
        <f t="shared" si="303"/>
        <v>0.14333398288921684</v>
      </c>
      <c r="CQ128" s="709">
        <f t="shared" si="303"/>
        <v>0.13762916775602108</v>
      </c>
      <c r="CR128" s="708">
        <f t="shared" si="303"/>
        <v>0.13784430869544273</v>
      </c>
      <c r="CS128" s="708">
        <f t="shared" si="303"/>
        <v>0.13707301047066622</v>
      </c>
      <c r="CT128" s="708">
        <f t="shared" si="303"/>
        <v>0.14275661458894107</v>
      </c>
      <c r="CU128" s="708">
        <f t="shared" si="303"/>
        <v>0.14733517142637764</v>
      </c>
      <c r="CV128" s="709">
        <f t="shared" si="303"/>
        <v>0.14132956577281219</v>
      </c>
      <c r="CW128" s="708">
        <f t="shared" ref="CW128:DF128" si="304">100%-CW118</f>
        <v>0.14183490449001579</v>
      </c>
      <c r="CX128" s="708">
        <f t="shared" si="304"/>
        <v>0.14103858992755058</v>
      </c>
      <c r="CY128" s="708">
        <f t="shared" si="304"/>
        <v>0.1467250381444013</v>
      </c>
      <c r="CZ128" s="708">
        <f t="shared" si="304"/>
        <v>0.1513290502759651</v>
      </c>
      <c r="DA128" s="709">
        <f t="shared" si="304"/>
        <v>0.1453093755136039</v>
      </c>
      <c r="DB128" s="708">
        <f t="shared" si="304"/>
        <v>0.1458922733679473</v>
      </c>
      <c r="DC128" s="708">
        <f t="shared" si="304"/>
        <v>0.14507394411214714</v>
      </c>
      <c r="DD128" s="708">
        <f t="shared" si="304"/>
        <v>0.15076448736203696</v>
      </c>
      <c r="DE128" s="708">
        <f t="shared" si="304"/>
        <v>0.15539197697587182</v>
      </c>
      <c r="DF128" s="709">
        <f t="shared" si="304"/>
        <v>0.14935834588789376</v>
      </c>
    </row>
    <row r="129" spans="1:110" ht="6" customHeight="1" thickBot="1" x14ac:dyDescent="0.25">
      <c r="B129" s="182"/>
      <c r="C129" s="182"/>
      <c r="D129" s="182"/>
      <c r="E129" s="68"/>
      <c r="F129" s="68"/>
      <c r="G129" s="68"/>
      <c r="I129" s="68"/>
      <c r="J129" s="68"/>
      <c r="K129" s="66"/>
      <c r="L129" s="66"/>
      <c r="M129" s="66"/>
      <c r="N129" s="66"/>
      <c r="O129" s="66"/>
      <c r="P129" s="66"/>
      <c r="Q129" s="66"/>
      <c r="R129" s="66"/>
      <c r="S129" s="66"/>
      <c r="T129" s="66"/>
      <c r="U129" s="66"/>
      <c r="V129" s="66"/>
      <c r="W129" s="66"/>
      <c r="X129" s="68"/>
      <c r="Y129" s="68"/>
      <c r="Z129" s="68"/>
      <c r="AA129" s="68"/>
      <c r="AB129" s="68"/>
      <c r="AC129" s="68"/>
      <c r="AD129" s="68"/>
      <c r="AE129" s="68"/>
      <c r="AF129" s="68"/>
      <c r="AG129" s="68"/>
      <c r="AH129" s="68"/>
      <c r="AJ129" s="68"/>
      <c r="AK129" s="68"/>
      <c r="AL129" s="68"/>
      <c r="AM129" s="68"/>
      <c r="AO129" s="68"/>
      <c r="AP129" s="68"/>
      <c r="AQ129" s="68"/>
      <c r="AR129" s="68"/>
      <c r="AT129" s="68"/>
      <c r="AU129" s="68"/>
      <c r="AV129" s="68"/>
      <c r="AW129" s="68"/>
      <c r="AY129" s="68"/>
      <c r="AZ129" s="68"/>
      <c r="BA129" s="68"/>
      <c r="BB129" s="68"/>
      <c r="BD129" s="68"/>
      <c r="BE129" s="68"/>
      <c r="BF129" s="68"/>
      <c r="BG129" s="68"/>
      <c r="BI129" s="68"/>
      <c r="BJ129" s="68"/>
      <c r="BK129" s="68"/>
      <c r="BL129" s="68"/>
      <c r="BN129" s="68"/>
      <c r="BO129" s="68"/>
      <c r="BP129" s="68"/>
      <c r="BQ129" s="68"/>
      <c r="BS129" s="68"/>
      <c r="BT129" s="68"/>
      <c r="BU129" s="68"/>
      <c r="BV129" s="68"/>
      <c r="BX129" s="68"/>
      <c r="BY129" s="68"/>
      <c r="BZ129" s="68"/>
      <c r="CA129" s="68"/>
      <c r="CC129" s="68"/>
      <c r="CD129" s="68"/>
      <c r="CE129" s="68"/>
      <c r="CF129" s="68"/>
      <c r="CH129" s="68"/>
      <c r="CI129" s="68"/>
      <c r="CJ129" s="68"/>
      <c r="CK129" s="68"/>
      <c r="CM129" s="68"/>
      <c r="CN129" s="68"/>
      <c r="CO129" s="68"/>
      <c r="CP129" s="68"/>
      <c r="CR129" s="68"/>
      <c r="CS129" s="68"/>
      <c r="CT129" s="68"/>
      <c r="CU129" s="68"/>
      <c r="CV129" s="10"/>
      <c r="CW129" s="68"/>
      <c r="CX129" s="68"/>
      <c r="CY129" s="68"/>
      <c r="CZ129" s="68"/>
      <c r="DA129" s="10"/>
      <c r="DB129" s="68"/>
      <c r="DC129" s="68"/>
      <c r="DD129" s="68"/>
      <c r="DE129" s="68"/>
      <c r="DF129" s="10"/>
    </row>
    <row r="130" spans="1:110" ht="12" thickBot="1" x14ac:dyDescent="0.25">
      <c r="B130" s="877" t="s">
        <v>273</v>
      </c>
      <c r="C130" s="866"/>
      <c r="D130" s="866"/>
      <c r="E130" s="878"/>
      <c r="F130" s="878"/>
      <c r="G130" s="878"/>
      <c r="H130" s="819"/>
      <c r="I130" s="878"/>
      <c r="J130" s="878"/>
      <c r="K130" s="878"/>
      <c r="L130" s="878"/>
      <c r="M130" s="878"/>
      <c r="N130" s="878"/>
      <c r="O130" s="878"/>
      <c r="P130" s="878"/>
      <c r="Q130" s="878"/>
      <c r="R130" s="878"/>
      <c r="S130" s="878"/>
      <c r="T130" s="878"/>
      <c r="U130" s="878"/>
      <c r="V130" s="878"/>
      <c r="W130" s="878"/>
      <c r="X130" s="878"/>
      <c r="Y130" s="878"/>
      <c r="Z130" s="878"/>
      <c r="AA130" s="878"/>
      <c r="AB130" s="878"/>
      <c r="AC130" s="878"/>
      <c r="AD130" s="878"/>
      <c r="AE130" s="878"/>
      <c r="AF130" s="878"/>
      <c r="AG130" s="878"/>
      <c r="AH130" s="878"/>
      <c r="AI130" s="819"/>
      <c r="AJ130" s="878"/>
      <c r="AK130" s="878"/>
      <c r="AL130" s="878"/>
      <c r="AM130" s="878"/>
      <c r="AN130" s="819"/>
      <c r="AO130" s="878"/>
      <c r="AP130" s="878"/>
      <c r="AQ130" s="878"/>
      <c r="AR130" s="878"/>
      <c r="AS130" s="819"/>
      <c r="AT130" s="878"/>
      <c r="AU130" s="878"/>
      <c r="AV130" s="878"/>
      <c r="AW130" s="878"/>
      <c r="AX130" s="819"/>
      <c r="AY130" s="878"/>
      <c r="AZ130" s="878"/>
      <c r="BA130" s="878"/>
      <c r="BB130" s="878"/>
      <c r="BC130" s="819"/>
      <c r="BD130" s="878"/>
      <c r="BE130" s="878"/>
      <c r="BF130" s="878"/>
      <c r="BG130" s="878"/>
      <c r="BH130" s="819"/>
      <c r="BI130" s="878"/>
      <c r="BJ130" s="878"/>
      <c r="BK130" s="878"/>
      <c r="BL130" s="878"/>
      <c r="BM130" s="819"/>
      <c r="BN130" s="821"/>
      <c r="BO130" s="821"/>
      <c r="BP130" s="821"/>
      <c r="BQ130" s="821"/>
      <c r="BR130" s="819"/>
      <c r="BS130" s="878"/>
      <c r="BT130" s="878"/>
      <c r="BU130" s="878"/>
      <c r="BV130" s="878"/>
      <c r="BW130" s="819"/>
      <c r="BX130" s="878"/>
      <c r="BY130" s="878"/>
      <c r="BZ130" s="878"/>
      <c r="CA130" s="878"/>
      <c r="CB130" s="872"/>
      <c r="CC130" s="878"/>
      <c r="CD130" s="878"/>
      <c r="CE130" s="878"/>
      <c r="CF130" s="878"/>
      <c r="CG130" s="872"/>
      <c r="CH130" s="878"/>
      <c r="CI130" s="878"/>
      <c r="CJ130" s="878"/>
      <c r="CK130" s="878"/>
      <c r="CL130" s="872"/>
      <c r="CM130" s="878"/>
      <c r="CN130" s="878"/>
      <c r="CO130" s="878"/>
      <c r="CP130" s="878"/>
      <c r="CQ130" s="872"/>
      <c r="CR130" s="878"/>
      <c r="CS130" s="878"/>
      <c r="CT130" s="878"/>
      <c r="CU130" s="878"/>
      <c r="CV130" s="872"/>
      <c r="CW130" s="878"/>
      <c r="CX130" s="878"/>
      <c r="CY130" s="878"/>
      <c r="CZ130" s="878"/>
      <c r="DA130" s="872"/>
      <c r="DB130" s="878"/>
      <c r="DC130" s="878"/>
      <c r="DD130" s="878"/>
      <c r="DE130" s="878"/>
      <c r="DF130" s="872"/>
    </row>
    <row r="131" spans="1:110" x14ac:dyDescent="0.2">
      <c r="A131" s="77"/>
      <c r="B131" s="774" t="s">
        <v>255</v>
      </c>
      <c r="C131" s="91"/>
      <c r="D131" s="91"/>
      <c r="E131" s="91"/>
      <c r="F131" s="91"/>
      <c r="G131" s="91"/>
      <c r="H131" s="91"/>
      <c r="I131" s="91"/>
      <c r="J131" s="91"/>
      <c r="K131" s="91"/>
      <c r="L131" s="91"/>
      <c r="M131" s="91"/>
      <c r="N131" s="91"/>
      <c r="O131" s="91"/>
      <c r="P131" s="91"/>
      <c r="Q131" s="91"/>
      <c r="R131" s="91"/>
      <c r="S131" s="91"/>
      <c r="T131" s="90"/>
      <c r="U131" s="91"/>
      <c r="V131" s="91"/>
      <c r="W131" s="91"/>
      <c r="X131" s="91"/>
      <c r="Y131" s="90"/>
      <c r="Z131" s="91"/>
      <c r="AA131" s="91"/>
      <c r="AB131" s="91"/>
      <c r="AC131" s="91"/>
      <c r="AD131" s="90"/>
      <c r="AE131" s="91"/>
      <c r="AF131" s="91"/>
      <c r="AG131" s="91"/>
      <c r="AH131" s="91"/>
      <c r="AI131" s="90"/>
      <c r="AJ131" s="91"/>
      <c r="AK131" s="91"/>
      <c r="AL131" s="91"/>
      <c r="AM131" s="91"/>
      <c r="AN131" s="90"/>
      <c r="AO131" s="91"/>
      <c r="AP131" s="91"/>
      <c r="AQ131" s="91"/>
      <c r="AR131" s="91"/>
      <c r="AS131" s="90"/>
      <c r="AT131" s="91"/>
      <c r="AU131" s="91"/>
      <c r="AV131" s="91"/>
      <c r="AW131" s="91"/>
      <c r="AX131" s="90"/>
      <c r="AY131" s="91"/>
      <c r="AZ131" s="91"/>
      <c r="BA131" s="91"/>
      <c r="BB131" s="91"/>
      <c r="BC131" s="90"/>
      <c r="BD131" s="91"/>
      <c r="BE131" s="91"/>
      <c r="BF131" s="1439"/>
      <c r="BG131" s="91"/>
      <c r="BH131" s="90"/>
      <c r="BI131" s="91"/>
      <c r="BJ131" s="91"/>
      <c r="BK131" s="1439"/>
      <c r="BL131" s="91"/>
      <c r="BM131" s="90"/>
      <c r="BN131" s="91"/>
      <c r="BO131" s="91"/>
      <c r="BP131" s="91"/>
      <c r="BQ131" s="91"/>
      <c r="BR131" s="90"/>
      <c r="BS131" s="91"/>
      <c r="BT131" s="91"/>
      <c r="BU131" s="91"/>
      <c r="BV131" s="91"/>
      <c r="BW131" s="90"/>
      <c r="BX131" s="91"/>
      <c r="BY131" s="91"/>
      <c r="BZ131" s="91"/>
      <c r="CA131" s="91"/>
      <c r="CB131" s="90"/>
      <c r="CC131" s="91"/>
      <c r="CD131" s="91"/>
      <c r="CE131" s="91"/>
      <c r="CF131" s="91"/>
      <c r="CG131" s="90"/>
      <c r="CH131" s="91"/>
      <c r="CI131" s="91"/>
      <c r="CJ131" s="91"/>
      <c r="CK131" s="91"/>
      <c r="CL131" s="90"/>
      <c r="CM131" s="91"/>
      <c r="CN131" s="91"/>
      <c r="CO131" s="91"/>
      <c r="CP131" s="91"/>
      <c r="CQ131" s="90"/>
      <c r="CR131" s="91"/>
      <c r="CS131" s="91"/>
      <c r="CT131" s="91"/>
      <c r="CU131" s="91"/>
      <c r="CV131" s="90"/>
      <c r="CW131" s="91"/>
      <c r="CX131" s="91"/>
      <c r="CY131" s="91"/>
      <c r="CZ131" s="91"/>
      <c r="DA131" s="90"/>
      <c r="DB131" s="91"/>
      <c r="DC131" s="91"/>
      <c r="DD131" s="91"/>
      <c r="DE131" s="91"/>
      <c r="DF131" s="90"/>
    </row>
    <row r="132" spans="1:110" x14ac:dyDescent="0.2">
      <c r="B132" s="13" t="s">
        <v>283</v>
      </c>
      <c r="C132" s="19"/>
      <c r="D132" s="19"/>
      <c r="E132" s="19"/>
      <c r="F132" s="19"/>
      <c r="G132" s="19"/>
      <c r="H132" s="19"/>
      <c r="I132" s="19"/>
      <c r="J132" s="19"/>
      <c r="K132" s="19"/>
      <c r="L132" s="19"/>
      <c r="M132" s="19"/>
      <c r="N132" s="19"/>
      <c r="O132" s="19"/>
      <c r="P132" s="19">
        <v>46.303492999999996</v>
      </c>
      <c r="Q132" s="19">
        <v>45.707900000000002</v>
      </c>
      <c r="R132" s="19">
        <v>43.404960000000003</v>
      </c>
      <c r="S132" s="19">
        <v>46.945920000000001</v>
      </c>
      <c r="T132" s="27">
        <v>182.36227300000002</v>
      </c>
      <c r="U132" s="19">
        <v>47.132567999999999</v>
      </c>
      <c r="V132" s="19">
        <v>46.920873999999998</v>
      </c>
      <c r="W132" s="19">
        <v>48.804384000000006</v>
      </c>
      <c r="X132" s="19">
        <v>52.47</v>
      </c>
      <c r="Y132" s="27">
        <v>195.32782599999999</v>
      </c>
      <c r="Z132" s="19">
        <v>55.309800000000003</v>
      </c>
      <c r="AA132" s="19">
        <v>54.515700000000002</v>
      </c>
      <c r="AB132" s="19">
        <v>53.042400000000001</v>
      </c>
      <c r="AC132" s="19">
        <v>56.857149999999997</v>
      </c>
      <c r="AD132" s="27">
        <v>219.72505000000001</v>
      </c>
      <c r="AE132" s="19">
        <v>54.947570000000006</v>
      </c>
      <c r="AF132" s="19">
        <v>51.768570000000004</v>
      </c>
      <c r="AG132" s="19">
        <v>51.201704999999997</v>
      </c>
      <c r="AH132" s="19">
        <v>55.274115000000002</v>
      </c>
      <c r="AI132" s="27">
        <v>213.19195999999999</v>
      </c>
      <c r="AJ132" s="19">
        <v>53.006571360000002</v>
      </c>
      <c r="AK132" s="19">
        <v>52.029020160000002</v>
      </c>
      <c r="AL132" s="19">
        <v>51.69397824</v>
      </c>
      <c r="AM132" s="19">
        <v>55.951896000000005</v>
      </c>
      <c r="AN132" s="27">
        <v>212.68146576000001</v>
      </c>
      <c r="AO132" s="19">
        <f>(AO$67)*AO121</f>
        <v>65.204800000000006</v>
      </c>
      <c r="AP132" s="19">
        <f>(AP$67)*AP121</f>
        <v>64.387</v>
      </c>
      <c r="AQ132" s="19">
        <f>(AQ$67)*AQ121</f>
        <v>61.579500000000003</v>
      </c>
      <c r="AR132" s="19">
        <f>(AR$67)*AR121</f>
        <v>64.440600000000003</v>
      </c>
      <c r="AS132" s="27">
        <f>SUM(AO132:AR132)</f>
        <v>255.61189999999999</v>
      </c>
      <c r="AT132" s="19">
        <f>(AT$67)*AT121</f>
        <v>64.99799999999999</v>
      </c>
      <c r="AU132" s="19">
        <f>(AU$67)*AU121</f>
        <v>65.532399999999996</v>
      </c>
      <c r="AV132" s="19">
        <f>(AV$67)*AV121</f>
        <v>66.259199999999993</v>
      </c>
      <c r="AW132" s="19">
        <f>(AW$67)*AW121</f>
        <v>84.620800000000003</v>
      </c>
      <c r="AX132" s="27">
        <f>SUM(AT132:AW132)</f>
        <v>281.41039999999998</v>
      </c>
      <c r="AY132" s="19">
        <f>(AY$67)*AY121</f>
        <v>106.23699999999999</v>
      </c>
      <c r="AZ132" s="19">
        <f>(AZ$67)*AZ121</f>
        <v>109.47499999999999</v>
      </c>
      <c r="BA132" s="19">
        <f>(BA$67)*BA121</f>
        <v>109.1437</v>
      </c>
      <c r="BB132" s="19">
        <f>(BB$67)*BB121</f>
        <v>113.14089999999999</v>
      </c>
      <c r="BC132" s="27">
        <f>SUM(AY132:BB132)</f>
        <v>437.99659999999994</v>
      </c>
      <c r="BD132" s="19">
        <f>(BD$67)*BD121</f>
        <v>128.02990619719631</v>
      </c>
      <c r="BE132" s="19">
        <f>(BE$67)*BE121</f>
        <v>128.14671505145503</v>
      </c>
      <c r="BF132" s="19">
        <f>(BF$67)*BF121</f>
        <v>127.9036835807146</v>
      </c>
      <c r="BG132" s="19">
        <f>(BG$67)*BG121</f>
        <v>136.41538395000001</v>
      </c>
      <c r="BH132" s="27">
        <f>SUM(BD132:BG132)</f>
        <v>520.49568877936599</v>
      </c>
      <c r="BI132" s="19">
        <f>(BI$67)*BI121</f>
        <v>136.30211022057935</v>
      </c>
      <c r="BJ132" s="19">
        <f>(BJ$67)*BJ121</f>
        <v>258.73274652250564</v>
      </c>
      <c r="BK132" s="19">
        <f>(BK$67)*BK121</f>
        <v>260.20982450885919</v>
      </c>
      <c r="BL132" s="19">
        <f>(BL$67)*BL121</f>
        <v>277.47920200000004</v>
      </c>
      <c r="BM132" s="27">
        <f>SUM(BI132:BL132)</f>
        <v>932.72388325194424</v>
      </c>
      <c r="BN132" s="19">
        <f>(BN$67)*BN121</f>
        <v>263.92111298605658</v>
      </c>
      <c r="BO132" s="19">
        <f>(BO$67)*BO121</f>
        <v>250.47677364337983</v>
      </c>
      <c r="BP132" s="19">
        <f>(BP$67)*BP121</f>
        <v>241.87020225773031</v>
      </c>
      <c r="BQ132" s="19">
        <f>(BQ$67)*BQ121</f>
        <v>243.87821734999997</v>
      </c>
      <c r="BR132" s="27">
        <f>SUM(BN132:BQ132)</f>
        <v>1000.1463062371668</v>
      </c>
      <c r="BS132" s="19">
        <f>(BS$67)*BS121</f>
        <v>220.0736586095226</v>
      </c>
      <c r="BT132" s="19">
        <f>(BT$67)*BT121</f>
        <v>222.98384706458839</v>
      </c>
      <c r="BU132" s="19">
        <f>(BU$67)*BU121</f>
        <v>224.28055954576058</v>
      </c>
      <c r="BV132" s="19">
        <f>(BV$67)*BV121</f>
        <v>231.13660050000001</v>
      </c>
      <c r="BW132" s="27">
        <f>SUM(BS132:BV132)</f>
        <v>898.47466571987161</v>
      </c>
      <c r="BX132" s="19">
        <f>(BX$67)*BX121</f>
        <v>214.53709999999998</v>
      </c>
      <c r="BY132" s="19">
        <f>(BY$67)*BY121</f>
        <v>229.5675</v>
      </c>
      <c r="BZ132" s="19">
        <f>(BZ$67)*BZ121</f>
        <v>236.3227</v>
      </c>
      <c r="CA132" s="19">
        <f>(CA$67)*CA121</f>
        <v>243.79999999999998</v>
      </c>
      <c r="CB132" s="27">
        <f>SUM(BX132:CA132)</f>
        <v>924.22730000000001</v>
      </c>
      <c r="CC132" s="19">
        <f>(CC$67)*CC121</f>
        <v>229.7825</v>
      </c>
      <c r="CD132" s="19">
        <f>(CD$67)*CD121</f>
        <v>225.47039999999998</v>
      </c>
      <c r="CE132" s="19">
        <f>(CE$67)*CE121</f>
        <v>223.08399999999997</v>
      </c>
      <c r="CF132" s="19">
        <f>(CF$67)*CF121</f>
        <v>228.39959999999999</v>
      </c>
      <c r="CG132" s="27">
        <f>SUM(CC132:CF132)</f>
        <v>906.73649999999986</v>
      </c>
      <c r="CH132" s="19">
        <f>(CH$67)*CH121</f>
        <v>232.64410000000001</v>
      </c>
      <c r="CI132" s="19">
        <f>(CI$67)*CI121</f>
        <v>230.29520000000002</v>
      </c>
      <c r="CJ132" s="19">
        <f>(CJ$67)*CJ121</f>
        <v>224.4675</v>
      </c>
      <c r="CK132" s="19">
        <f>(CK$67)*CK121</f>
        <v>232.458</v>
      </c>
      <c r="CL132" s="27">
        <f>SUM(CH132:CK132)</f>
        <v>919.86479999999995</v>
      </c>
      <c r="CM132" s="19">
        <f>(CM$67)*CM121</f>
        <v>223.78818650260291</v>
      </c>
      <c r="CN132" s="19">
        <f>(CN$67)*CN121</f>
        <v>221.52818989493611</v>
      </c>
      <c r="CO132" s="19">
        <f>(CO$67)*CO121</f>
        <v>222.67353339327966</v>
      </c>
      <c r="CP132" s="19">
        <f>(CP$67)*CP121</f>
        <v>230.60288619924279</v>
      </c>
      <c r="CQ132" s="27">
        <f>SUM(CM132:CP132)</f>
        <v>898.5927959900614</v>
      </c>
      <c r="CR132" s="19">
        <f>(CR$67)*CR121</f>
        <v>219.70936372057167</v>
      </c>
      <c r="CS132" s="19">
        <f>(CS$67)*CS121</f>
        <v>217.49213699219686</v>
      </c>
      <c r="CT132" s="19">
        <f>(CT$67)*CT121</f>
        <v>218.60542922256028</v>
      </c>
      <c r="CU132" s="19">
        <f>(CU$67)*CU121</f>
        <v>226.38152946685187</v>
      </c>
      <c r="CV132" s="27">
        <f>SUM(CR132:CU132)</f>
        <v>882.18845940218057</v>
      </c>
      <c r="CW132" s="19">
        <f>(CW$67)*CW121</f>
        <v>195.39281926303164</v>
      </c>
      <c r="CX132" s="19">
        <f>(CX$67)*CX121</f>
        <v>193.42240801953616</v>
      </c>
      <c r="CY132" s="19">
        <f>(CY$67)*CY121</f>
        <v>194.40241967004141</v>
      </c>
      <c r="CZ132" s="19">
        <f>(CZ$67)*CZ121</f>
        <v>201.31002959512242</v>
      </c>
      <c r="DA132" s="27">
        <f>SUM(CW132:CZ132)</f>
        <v>784.52767654773152</v>
      </c>
      <c r="DB132" s="19">
        <f>(DB$67)*DB121</f>
        <v>171.8189958265942</v>
      </c>
      <c r="DC132" s="19">
        <f>(DC$67)*DC121</f>
        <v>170.08757778648467</v>
      </c>
      <c r="DD132" s="19">
        <f>(DD$67)*DD121</f>
        <v>170.94038746451389</v>
      </c>
      <c r="DE132" s="19">
        <f>(DE$67)*DE121</f>
        <v>177.00760243090997</v>
      </c>
      <c r="DF132" s="27">
        <f>SUM(DB132:DE132)</f>
        <v>689.85456350850279</v>
      </c>
    </row>
    <row r="133" spans="1:110" x14ac:dyDescent="0.2">
      <c r="B133" s="13" t="s">
        <v>284</v>
      </c>
      <c r="C133" s="19"/>
      <c r="D133" s="19"/>
      <c r="E133" s="19"/>
      <c r="F133" s="19"/>
      <c r="G133" s="19"/>
      <c r="H133" s="19"/>
      <c r="I133" s="19"/>
      <c r="J133" s="19"/>
      <c r="K133" s="19"/>
      <c r="L133" s="19"/>
      <c r="M133" s="19"/>
      <c r="N133" s="19"/>
      <c r="O133" s="19"/>
      <c r="P133" s="19">
        <v>50.363507000000006</v>
      </c>
      <c r="Q133" s="19">
        <v>50.317100000000003</v>
      </c>
      <c r="R133" s="19">
        <v>47.022040000000004</v>
      </c>
      <c r="S133" s="19">
        <v>48.862080000000006</v>
      </c>
      <c r="T133" s="27">
        <v>196.564727</v>
      </c>
      <c r="U133" s="19">
        <v>46.384431999999997</v>
      </c>
      <c r="V133" s="19">
        <v>45.808126000000001</v>
      </c>
      <c r="W133" s="19">
        <v>43.979616</v>
      </c>
      <c r="X133" s="19">
        <v>46.53</v>
      </c>
      <c r="Y133" s="27">
        <v>182.70217399999999</v>
      </c>
      <c r="Z133" s="19">
        <v>45.990199999999994</v>
      </c>
      <c r="AA133" s="19">
        <v>44.784299999999995</v>
      </c>
      <c r="AB133" s="19">
        <v>42.357599999999991</v>
      </c>
      <c r="AC133" s="19">
        <v>44.042849999999994</v>
      </c>
      <c r="AD133" s="27">
        <v>177.17494999999997</v>
      </c>
      <c r="AE133" s="19">
        <v>40.117430000000006</v>
      </c>
      <c r="AF133" s="19">
        <v>37.796430000000008</v>
      </c>
      <c r="AG133" s="19">
        <v>34.563295000000004</v>
      </c>
      <c r="AH133" s="19">
        <v>35.190885000000002</v>
      </c>
      <c r="AI133" s="27">
        <v>147.66804000000002</v>
      </c>
      <c r="AJ133" s="19">
        <v>32.973268639999993</v>
      </c>
      <c r="AK133" s="19">
        <v>31.35081984</v>
      </c>
      <c r="AL133" s="19">
        <v>29.585861759999997</v>
      </c>
      <c r="AM133" s="19">
        <v>30.127943999999999</v>
      </c>
      <c r="AN133" s="27">
        <v>124.03789424</v>
      </c>
      <c r="AO133" s="19">
        <f>(AO$67)*(1-AO121)</f>
        <v>32.995199999999997</v>
      </c>
      <c r="AP133" s="19">
        <f>(AP$67)*(1-AP121)</f>
        <v>31.712999999999994</v>
      </c>
      <c r="AQ133" s="19">
        <f>(AQ$67)*(1-AQ121)</f>
        <v>29.920499999999997</v>
      </c>
      <c r="AR133" s="19">
        <f>(AR$67)*(1-AR121)</f>
        <v>29.359399999999994</v>
      </c>
      <c r="AS133" s="27">
        <f>SUM(AO133:AR133)</f>
        <v>123.98809999999997</v>
      </c>
      <c r="AT133" s="19">
        <f>(AT$67)*(1-AT121)</f>
        <v>29.202000000000005</v>
      </c>
      <c r="AU133" s="19">
        <f>(AU$67)*(1-AU121)</f>
        <v>29.167600000000007</v>
      </c>
      <c r="AV133" s="19">
        <f>(AV$67)*(1-AV121)</f>
        <v>28.940800000000007</v>
      </c>
      <c r="AW133" s="19">
        <f>(AW$67)*(1-AW121)</f>
        <v>35.579200000000007</v>
      </c>
      <c r="AX133" s="27">
        <f>SUM(AT133:AW133)</f>
        <v>122.88960000000003</v>
      </c>
      <c r="AY133" s="19">
        <f>(AY$67)*(1-AY121)</f>
        <v>42.763000000000005</v>
      </c>
      <c r="AZ133" s="19">
        <f>(AZ$67)*(1-AZ121)</f>
        <v>41.525000000000006</v>
      </c>
      <c r="BA133" s="19">
        <f>(BA$67)*(1-BA121)</f>
        <v>39.756300000000003</v>
      </c>
      <c r="BB133" s="19">
        <f>(BB$67)*(1-BB121)</f>
        <v>39.959099999999999</v>
      </c>
      <c r="BC133" s="27">
        <f>SUM(AY133:BB133)</f>
        <v>164.00340000000003</v>
      </c>
      <c r="BD133" s="19">
        <f>(BD$67)*(1-BD121)</f>
        <v>42.676635399065439</v>
      </c>
      <c r="BE133" s="19">
        <f>(BE$67)*(1-BE121)</f>
        <v>42.261150708458572</v>
      </c>
      <c r="BF133" s="19">
        <f>(BF$67)*(1-BF121)</f>
        <v>41.955125955426965</v>
      </c>
      <c r="BG133" s="19">
        <f>(BG$67)*(1-BG121)</f>
        <v>43.552141050000003</v>
      </c>
      <c r="BH133" s="27">
        <f>SUM(BD133:BG133)</f>
        <v>170.44505311295097</v>
      </c>
      <c r="BI133" s="19">
        <f>(BI$67)*(1-BI121)</f>
        <v>39.118881054297539</v>
      </c>
      <c r="BJ133" s="19">
        <f>(BJ$67)*(1-BJ121)</f>
        <v>70.025508271021195</v>
      </c>
      <c r="BK133" s="19">
        <f>(BK$67)*(1-BK121)</f>
        <v>66.276780897488592</v>
      </c>
      <c r="BL133" s="19">
        <f>(BL$67)*(1-BL121)</f>
        <v>66.787797999999995</v>
      </c>
      <c r="BM133" s="27">
        <f>SUM(BI133:BL133)</f>
        <v>242.20896822280736</v>
      </c>
      <c r="BN133" s="19">
        <f>(BN$67)*(1-BN121)</f>
        <v>60.70510224894538</v>
      </c>
      <c r="BO133" s="19">
        <f>(BO$67)*(1-BO121)</f>
        <v>56.104344647170777</v>
      </c>
      <c r="BP133" s="19">
        <f>(BP$67)*(1-BP121)</f>
        <v>54.53935933262548</v>
      </c>
      <c r="BQ133" s="19">
        <f>(BQ$67)*(1-BQ121)</f>
        <v>54.626332650000016</v>
      </c>
      <c r="BR133" s="27">
        <f>SUM(BN133:BQ133)</f>
        <v>225.97513887874166</v>
      </c>
      <c r="BS133" s="19">
        <f>(BS$67)*(1-BS121)</f>
        <v>44.120409349087971</v>
      </c>
      <c r="BT133" s="19">
        <f>(BT$67)*(1-BT121)</f>
        <v>42.789510580928173</v>
      </c>
      <c r="BU133" s="19">
        <f>(BU$67)*(1-BU121)</f>
        <v>42.720106580144886</v>
      </c>
      <c r="BV133" s="19">
        <f>(BV$67)*(1-BV121)</f>
        <v>45.673699500000019</v>
      </c>
      <c r="BW133" s="27">
        <f>SUM(BS133:BV133)</f>
        <v>175.30372601016106</v>
      </c>
      <c r="BX133" s="19">
        <f>(BX$67)*(1-BX121)</f>
        <v>37.562900000000006</v>
      </c>
      <c r="BY133" s="19">
        <f>(BY$67)*(1-BY121)</f>
        <v>38.932500000000005</v>
      </c>
      <c r="BZ133" s="19">
        <f>(BZ$67)*(1-BZ121)</f>
        <v>41.377300000000005</v>
      </c>
      <c r="CA133" s="19">
        <f>(CA$67)*(1-CA121)</f>
        <v>43.70000000000001</v>
      </c>
      <c r="CB133" s="27">
        <f>SUM(BX133:CA133)</f>
        <v>161.57270000000003</v>
      </c>
      <c r="CC133" s="19">
        <f>(CC$67)*(1-CC121)</f>
        <v>37.717500000000001</v>
      </c>
      <c r="CD133" s="19">
        <f>(CD$67)*(1-CD121)</f>
        <v>37.929600000000001</v>
      </c>
      <c r="CE133" s="19">
        <f>(CE$67)*(1-CE121)</f>
        <v>36.316000000000003</v>
      </c>
      <c r="CF133" s="19">
        <f>(CF$67)*(1-CF121)</f>
        <v>37.800400000000003</v>
      </c>
      <c r="CG133" s="27">
        <f>SUM(CC133:CF133)</f>
        <v>149.76349999999999</v>
      </c>
      <c r="CH133" s="19">
        <f>(CH$67)*(1-CH121)</f>
        <v>34.455900000000007</v>
      </c>
      <c r="CI133" s="19">
        <f>(CI$67)*(1-CI121)</f>
        <v>33.8048</v>
      </c>
      <c r="CJ133" s="19">
        <f>(CJ$67)*(1-CJ121)</f>
        <v>35.032499999999999</v>
      </c>
      <c r="CK133" s="19">
        <f>(CK$67)*(1-CK121)</f>
        <v>37.842000000000006</v>
      </c>
      <c r="CL133" s="27">
        <f>SUM(CH133:CK133)</f>
        <v>141.13520000000003</v>
      </c>
      <c r="CM133" s="19">
        <f>(CM$67)*(1-CM121)</f>
        <v>32.627813497397085</v>
      </c>
      <c r="CN133" s="19">
        <f>(CN$67)*(1-CN121)</f>
        <v>32.007810105063911</v>
      </c>
      <c r="CO133" s="19">
        <f>(CO$67)*(1-CO121)</f>
        <v>34.231466606720318</v>
      </c>
      <c r="CP133" s="19">
        <f>(CP$67)*(1-CP121)</f>
        <v>36.994113800757248</v>
      </c>
      <c r="CQ133" s="27">
        <f>SUM(CM133:CP133)</f>
        <v>135.86120400993855</v>
      </c>
      <c r="CR133" s="19">
        <f>(CR$67)*(1-CR121)</f>
        <v>33.629644279428334</v>
      </c>
      <c r="CS133" s="19">
        <f>(CS$67)*(1-CS121)</f>
        <v>33.001431007803156</v>
      </c>
      <c r="CT133" s="19">
        <f>(CT$67)*(1-CT121)</f>
        <v>35.216710777439687</v>
      </c>
      <c r="CU133" s="19">
        <f>(CU$67)*(1-CU121)</f>
        <v>38.004306533148174</v>
      </c>
      <c r="CV133" s="27">
        <f>SUM(CR133:CU133)</f>
        <v>139.85209259781934</v>
      </c>
      <c r="CW133" s="19">
        <f>(CW$67)*(1-CW121)</f>
        <v>31.345592896968377</v>
      </c>
      <c r="CX133" s="19">
        <f>(CX$67)*(1-CX121)</f>
        <v>30.76933534046384</v>
      </c>
      <c r="CY133" s="19">
        <f>(CY$67)*(1-CY121)</f>
        <v>32.768395629958533</v>
      </c>
      <c r="CZ133" s="19">
        <f>(CZ$67)*(1-CZ121)</f>
        <v>35.315293624877633</v>
      </c>
      <c r="DA133" s="27">
        <f>SUM(CW133:CZ133)</f>
        <v>130.19861749226837</v>
      </c>
      <c r="DB133" s="19">
        <f>(DB$67)*(1-DB121)</f>
        <v>28.844498935005824</v>
      </c>
      <c r="DC133" s="19">
        <f>(DC$67)*(1-DC121)</f>
        <v>28.322115087115307</v>
      </c>
      <c r="DD133" s="19">
        <f>(DD$67)*(1-DD121)</f>
        <v>30.105784075986062</v>
      </c>
      <c r="DE133" s="19">
        <f>(DE$67)*(1-DE121)</f>
        <v>32.405808618790068</v>
      </c>
      <c r="DF133" s="27">
        <f>SUM(DB133:DE133)</f>
        <v>119.67820671689725</v>
      </c>
    </row>
    <row r="134" spans="1:110" x14ac:dyDescent="0.2">
      <c r="B134" s="13" t="s">
        <v>285</v>
      </c>
      <c r="C134" s="19"/>
      <c r="D134" s="19"/>
      <c r="E134" s="19"/>
      <c r="F134" s="19"/>
      <c r="G134" s="19"/>
      <c r="H134" s="19"/>
      <c r="I134" s="19"/>
      <c r="J134" s="19"/>
      <c r="K134" s="19"/>
      <c r="L134" s="19"/>
      <c r="M134" s="19"/>
      <c r="N134" s="19"/>
      <c r="O134" s="19"/>
      <c r="P134" s="19">
        <v>96.667000000000002</v>
      </c>
      <c r="Q134" s="19">
        <v>96.025000000000006</v>
      </c>
      <c r="R134" s="19">
        <v>90.427000000000007</v>
      </c>
      <c r="S134" s="19">
        <v>95.808000000000007</v>
      </c>
      <c r="T134" s="27">
        <v>378.92700000000002</v>
      </c>
      <c r="U134" s="19">
        <v>93.516999999999996</v>
      </c>
      <c r="V134" s="19">
        <v>95.728999999999999</v>
      </c>
      <c r="W134" s="19">
        <v>101.78400000000001</v>
      </c>
      <c r="X134" s="19">
        <v>108</v>
      </c>
      <c r="Y134" s="27">
        <v>399.03</v>
      </c>
      <c r="Z134" s="19">
        <v>111.5</v>
      </c>
      <c r="AA134" s="19">
        <v>109.5</v>
      </c>
      <c r="AB134" s="19">
        <v>105.6</v>
      </c>
      <c r="AC134" s="19">
        <v>111.1</v>
      </c>
      <c r="AD134" s="27">
        <v>437.7</v>
      </c>
      <c r="AE134" s="19">
        <v>105.46900000000002</v>
      </c>
      <c r="AF134" s="19">
        <v>99.969000000000023</v>
      </c>
      <c r="AG134" s="19">
        <v>96.169000000000011</v>
      </c>
      <c r="AH134" s="19">
        <v>100.869</v>
      </c>
      <c r="AI134" s="27">
        <v>402.476</v>
      </c>
      <c r="AJ134" s="19">
        <v>96.8</v>
      </c>
      <c r="AK134" s="19">
        <v>94.2</v>
      </c>
      <c r="AL134" s="19">
        <v>92.1</v>
      </c>
      <c r="AM134" s="19">
        <v>96.9</v>
      </c>
      <c r="AN134" s="27">
        <v>380</v>
      </c>
      <c r="AO134" s="19">
        <f>SUM(AO132:AO133)</f>
        <v>98.2</v>
      </c>
      <c r="AP134" s="19">
        <f>SUM(AP132:AP133)</f>
        <v>96.1</v>
      </c>
      <c r="AQ134" s="19">
        <f>SUM(AQ132:AQ133)</f>
        <v>91.5</v>
      </c>
      <c r="AR134" s="19">
        <f>SUM(AR132:AR133)</f>
        <v>93.8</v>
      </c>
      <c r="AS134" s="27">
        <f>SUM(AO134:AR134)</f>
        <v>379.6</v>
      </c>
      <c r="AT134" s="19">
        <f>SUM(AT132:AT133)</f>
        <v>94.199999999999989</v>
      </c>
      <c r="AU134" s="19">
        <f>SUM(AU132:AU133)</f>
        <v>94.7</v>
      </c>
      <c r="AV134" s="19">
        <f>SUM(AV132:AV133)</f>
        <v>95.2</v>
      </c>
      <c r="AW134" s="19">
        <f>SUM(AW132:AW133)</f>
        <v>120.20000000000002</v>
      </c>
      <c r="AX134" s="27">
        <f>SUM(AT134:AW134)</f>
        <v>404.29999999999995</v>
      </c>
      <c r="AY134" s="19">
        <f>SUM(AY132:AY133)</f>
        <v>149</v>
      </c>
      <c r="AZ134" s="19">
        <f>SUM(AZ132:AZ133)</f>
        <v>151</v>
      </c>
      <c r="BA134" s="19">
        <f>SUM(BA132:BA133)</f>
        <v>148.9</v>
      </c>
      <c r="BB134" s="19">
        <f>SUM(BB132:BB133)</f>
        <v>153.1</v>
      </c>
      <c r="BC134" s="27">
        <f>SUM(AY134:BB134)</f>
        <v>602</v>
      </c>
      <c r="BD134" s="19">
        <f>SUM(BD132:BD133)</f>
        <v>170.70654159626176</v>
      </c>
      <c r="BE134" s="19">
        <f>SUM(BE132:BE133)</f>
        <v>170.40786575991359</v>
      </c>
      <c r="BF134" s="19">
        <f>SUM(BF132:BF133)</f>
        <v>169.85880953614156</v>
      </c>
      <c r="BG134" s="19">
        <f>SUM(BG132:BG133)</f>
        <v>179.96752500000002</v>
      </c>
      <c r="BH134" s="27">
        <f>SUM(BD134:BG134)</f>
        <v>690.94074189231696</v>
      </c>
      <c r="BI134" s="19">
        <f>SUM(BI132:BI133)</f>
        <v>175.42099127487688</v>
      </c>
      <c r="BJ134" s="19">
        <f>SUM(BJ132:BJ133)</f>
        <v>328.75825479352682</v>
      </c>
      <c r="BK134" s="19">
        <f>SUM(BK132:BK133)</f>
        <v>326.48660540634779</v>
      </c>
      <c r="BL134" s="19">
        <f>SUM(BL132:BL133)</f>
        <v>344.26700000000005</v>
      </c>
      <c r="BM134" s="27">
        <f>SUM(BI134:BL134)</f>
        <v>1174.9328514747515</v>
      </c>
      <c r="BN134" s="19">
        <f>SUM(BN132:BN133)</f>
        <v>324.62621523500195</v>
      </c>
      <c r="BO134" s="19">
        <f>SUM(BO132:BO133)</f>
        <v>306.58111829055059</v>
      </c>
      <c r="BP134" s="19">
        <f>SUM(BP132:BP133)</f>
        <v>296.40956159035579</v>
      </c>
      <c r="BQ134" s="19">
        <f>SUM(BQ132:BQ133)</f>
        <v>298.50454999999999</v>
      </c>
      <c r="BR134" s="27">
        <f>SUM(BN134:BQ134)</f>
        <v>1226.1214451159083</v>
      </c>
      <c r="BS134" s="19">
        <f>SUM(BS132:BS133)</f>
        <v>264.19406795861056</v>
      </c>
      <c r="BT134" s="19">
        <f>SUM(BT132:BT133)</f>
        <v>265.77335764551657</v>
      </c>
      <c r="BU134" s="19">
        <f>SUM(BU132:BU133)</f>
        <v>267.00066612590547</v>
      </c>
      <c r="BV134" s="19">
        <f>SUM(BV132:BV133)</f>
        <v>276.81030000000004</v>
      </c>
      <c r="BW134" s="27">
        <f>SUM(BS134:BV134)</f>
        <v>1073.7783917300326</v>
      </c>
      <c r="BX134" s="19">
        <f>SUM(BX132:BX133)</f>
        <v>252.1</v>
      </c>
      <c r="BY134" s="19">
        <f>SUM(BY132:BY133)</f>
        <v>268.5</v>
      </c>
      <c r="BZ134" s="19">
        <f>SUM(BZ132:BZ133)</f>
        <v>277.7</v>
      </c>
      <c r="CA134" s="19">
        <f>SUM(CA132:CA133)</f>
        <v>287.5</v>
      </c>
      <c r="CB134" s="27">
        <f>SUM(BX134:CA134)</f>
        <v>1085.8</v>
      </c>
      <c r="CC134" s="19">
        <f>SUM(CC132:CC133)</f>
        <v>267.5</v>
      </c>
      <c r="CD134" s="19">
        <f>SUM(CD132:CD133)</f>
        <v>263.39999999999998</v>
      </c>
      <c r="CE134" s="19">
        <f>SUM(CE132:CE133)</f>
        <v>259.39999999999998</v>
      </c>
      <c r="CF134" s="19">
        <f>SUM(CF132:CF133)</f>
        <v>266.2</v>
      </c>
      <c r="CG134" s="27">
        <f>SUM(CC134:CF134)</f>
        <v>1056.5</v>
      </c>
      <c r="CH134" s="19">
        <f>SUM(CH132:CH133)</f>
        <v>267.10000000000002</v>
      </c>
      <c r="CI134" s="19">
        <f>SUM(CI132:CI133)</f>
        <v>264.10000000000002</v>
      </c>
      <c r="CJ134" s="19">
        <f>SUM(CJ132:CJ133)</f>
        <v>259.5</v>
      </c>
      <c r="CK134" s="19">
        <f>SUM(CK132:CK133)</f>
        <v>270.3</v>
      </c>
      <c r="CL134" s="27">
        <f>SUM(CH134:CK134)</f>
        <v>1061</v>
      </c>
      <c r="CM134" s="19">
        <f>SUM(CM132:CM133)</f>
        <v>256.416</v>
      </c>
      <c r="CN134" s="19">
        <f>SUM(CN132:CN133)</f>
        <v>253.536</v>
      </c>
      <c r="CO134" s="19">
        <f>SUM(CO132:CO133)</f>
        <v>256.90499999999997</v>
      </c>
      <c r="CP134" s="19">
        <f>SUM(CP132:CP133)</f>
        <v>267.59700000000004</v>
      </c>
      <c r="CQ134" s="27">
        <f>SUM(CM134:CP134)</f>
        <v>1034.454</v>
      </c>
      <c r="CR134" s="19">
        <f>SUM(CR132:CR133)</f>
        <v>253.33900800000001</v>
      </c>
      <c r="CS134" s="19">
        <f>SUM(CS132:CS133)</f>
        <v>250.49356800000001</v>
      </c>
      <c r="CT134" s="19">
        <f>SUM(CT132:CT133)</f>
        <v>253.82213999999996</v>
      </c>
      <c r="CU134" s="19">
        <f>SUM(CU132:CU133)</f>
        <v>264.38583600000004</v>
      </c>
      <c r="CV134" s="27">
        <f>SUM(CR134:CU134)</f>
        <v>1022.040552</v>
      </c>
      <c r="CW134" s="19">
        <f>SUM(CW132:CW133)</f>
        <v>226.73841216000002</v>
      </c>
      <c r="CX134" s="19">
        <f>SUM(CX132:CX133)</f>
        <v>224.19174336</v>
      </c>
      <c r="CY134" s="19">
        <f>SUM(CY132:CY133)</f>
        <v>227.17081529999996</v>
      </c>
      <c r="CZ134" s="19">
        <f>SUM(CZ132:CZ133)</f>
        <v>236.62532322000004</v>
      </c>
      <c r="DA134" s="27">
        <f>SUM(CW134:CZ134)</f>
        <v>914.72629403999997</v>
      </c>
      <c r="DB134" s="19">
        <f>SUM(DB132:DB133)</f>
        <v>200.66349476160002</v>
      </c>
      <c r="DC134" s="19">
        <f>SUM(DC132:DC133)</f>
        <v>198.40969287359997</v>
      </c>
      <c r="DD134" s="19">
        <f>SUM(DD132:DD133)</f>
        <v>201.04617154049996</v>
      </c>
      <c r="DE134" s="19">
        <f>SUM(DE132:DE133)</f>
        <v>209.41341104970004</v>
      </c>
      <c r="DF134" s="27">
        <f>SUM(DB134:DE134)</f>
        <v>809.53277022539999</v>
      </c>
    </row>
    <row r="135" spans="1:110" ht="4.5" customHeight="1" x14ac:dyDescent="0.2">
      <c r="B135" s="13"/>
      <c r="C135" s="19"/>
      <c r="D135" s="19"/>
      <c r="E135" s="19"/>
      <c r="F135" s="19"/>
      <c r="G135" s="19"/>
      <c r="H135" s="19"/>
      <c r="I135" s="19"/>
      <c r="J135" s="19"/>
      <c r="K135" s="19"/>
      <c r="L135" s="19"/>
      <c r="M135" s="19"/>
      <c r="N135" s="19"/>
      <c r="O135" s="19"/>
      <c r="P135" s="19"/>
      <c r="Q135" s="19"/>
      <c r="R135" s="19"/>
      <c r="S135" s="19"/>
      <c r="T135" s="27"/>
      <c r="U135" s="19"/>
      <c r="V135" s="19"/>
      <c r="W135" s="19"/>
      <c r="X135" s="19"/>
      <c r="Y135" s="27"/>
      <c r="Z135" s="19"/>
      <c r="AA135" s="19"/>
      <c r="AB135" s="19"/>
      <c r="AC135" s="19"/>
      <c r="AD135" s="27"/>
      <c r="AE135" s="19"/>
      <c r="AF135" s="19"/>
      <c r="AG135" s="19"/>
      <c r="AH135" s="19"/>
      <c r="AI135" s="27"/>
      <c r="AJ135" s="19"/>
      <c r="AK135" s="19"/>
      <c r="AL135" s="19"/>
      <c r="AM135" s="19"/>
      <c r="AN135" s="27"/>
      <c r="AO135" s="19"/>
      <c r="AP135" s="19"/>
      <c r="AQ135" s="19"/>
      <c r="AR135" s="19"/>
      <c r="AS135" s="27"/>
      <c r="AT135" s="19"/>
      <c r="AU135" s="19"/>
      <c r="AV135" s="19"/>
      <c r="AW135" s="19"/>
      <c r="AX135" s="27"/>
      <c r="AY135" s="19"/>
      <c r="AZ135" s="19"/>
      <c r="BA135" s="19"/>
      <c r="BB135" s="19"/>
      <c r="BC135" s="27"/>
      <c r="BD135" s="19"/>
      <c r="BE135" s="19"/>
      <c r="BF135" s="19"/>
      <c r="BG135" s="19"/>
      <c r="BH135" s="27"/>
      <c r="BI135" s="19"/>
      <c r="BJ135" s="19"/>
      <c r="BK135" s="19"/>
      <c r="BL135" s="19"/>
      <c r="BM135" s="27"/>
      <c r="BN135" s="19"/>
      <c r="BO135" s="19"/>
      <c r="BP135" s="19"/>
      <c r="BQ135" s="19"/>
      <c r="BR135" s="27"/>
      <c r="BS135" s="19"/>
      <c r="BT135" s="19"/>
      <c r="BU135" s="19"/>
      <c r="BV135" s="19"/>
      <c r="BW135" s="27"/>
      <c r="BX135" s="19"/>
      <c r="BY135" s="19"/>
      <c r="BZ135" s="19"/>
      <c r="CA135" s="19"/>
      <c r="CB135" s="27"/>
      <c r="CC135" s="19"/>
      <c r="CD135" s="19"/>
      <c r="CE135" s="19"/>
      <c r="CF135" s="19"/>
      <c r="CG135" s="27"/>
      <c r="CH135" s="19"/>
      <c r="CI135" s="19"/>
      <c r="CJ135" s="19"/>
      <c r="CK135" s="19"/>
      <c r="CL135" s="27"/>
      <c r="CM135" s="19"/>
      <c r="CN135" s="19"/>
      <c r="CO135" s="19"/>
      <c r="CP135" s="19"/>
      <c r="CQ135" s="27"/>
      <c r="CR135" s="19"/>
      <c r="CS135" s="19"/>
      <c r="CT135" s="19"/>
      <c r="CU135" s="19"/>
      <c r="CV135" s="27"/>
      <c r="CW135" s="19"/>
      <c r="CX135" s="19"/>
      <c r="CY135" s="19"/>
      <c r="CZ135" s="19"/>
      <c r="DA135" s="27"/>
      <c r="DB135" s="19"/>
      <c r="DC135" s="19"/>
      <c r="DD135" s="19"/>
      <c r="DE135" s="19"/>
      <c r="DF135" s="27"/>
    </row>
    <row r="136" spans="1:110" x14ac:dyDescent="0.2">
      <c r="B136" s="479" t="s">
        <v>156</v>
      </c>
      <c r="C136" s="19"/>
      <c r="D136" s="19"/>
      <c r="E136" s="19"/>
      <c r="F136" s="19"/>
      <c r="G136" s="19"/>
      <c r="H136" s="19"/>
      <c r="I136" s="19"/>
      <c r="J136" s="19"/>
      <c r="K136" s="19"/>
      <c r="L136" s="19"/>
      <c r="M136" s="19"/>
      <c r="N136" s="19"/>
      <c r="O136" s="19"/>
      <c r="P136" s="19"/>
      <c r="Q136" s="19"/>
      <c r="R136" s="19"/>
      <c r="S136" s="19"/>
      <c r="T136" s="27"/>
      <c r="U136" s="19"/>
      <c r="V136" s="19"/>
      <c r="W136" s="19"/>
      <c r="X136" s="19"/>
      <c r="Y136" s="27"/>
      <c r="Z136" s="19"/>
      <c r="AA136" s="19"/>
      <c r="AB136" s="19"/>
      <c r="AC136" s="19"/>
      <c r="AD136" s="27"/>
      <c r="AE136" s="19"/>
      <c r="AF136" s="19"/>
      <c r="AG136" s="19"/>
      <c r="AH136" s="19"/>
      <c r="AI136" s="27"/>
      <c r="AJ136" s="19"/>
      <c r="AK136" s="19"/>
      <c r="AL136" s="19"/>
      <c r="AM136" s="19"/>
      <c r="AN136" s="27"/>
      <c r="AO136" s="19"/>
      <c r="AP136" s="19"/>
      <c r="AQ136" s="19"/>
      <c r="AR136" s="19"/>
      <c r="AS136" s="27"/>
      <c r="AT136" s="19"/>
      <c r="AU136" s="19"/>
      <c r="AV136" s="19"/>
      <c r="AW136" s="19"/>
      <c r="AX136" s="27"/>
      <c r="AY136" s="19"/>
      <c r="AZ136" s="19"/>
      <c r="BA136" s="19"/>
      <c r="BB136" s="19"/>
      <c r="BC136" s="27"/>
      <c r="BD136" s="19"/>
      <c r="BE136" s="19"/>
      <c r="BF136" s="19"/>
      <c r="BG136" s="19"/>
      <c r="BH136" s="27"/>
      <c r="BI136" s="19"/>
      <c r="BJ136" s="19"/>
      <c r="BK136" s="19"/>
      <c r="BL136" s="19"/>
      <c r="BM136" s="27"/>
      <c r="BN136" s="19"/>
      <c r="BO136" s="19"/>
      <c r="BP136" s="19"/>
      <c r="BQ136" s="19"/>
      <c r="BR136" s="27"/>
      <c r="BS136" s="19"/>
      <c r="BT136" s="19"/>
      <c r="BU136" s="19"/>
      <c r="BV136" s="19"/>
      <c r="BW136" s="27"/>
      <c r="BX136" s="19"/>
      <c r="BY136" s="19"/>
      <c r="BZ136" s="19"/>
      <c r="CA136" s="19"/>
      <c r="CB136" s="27"/>
      <c r="CC136" s="19"/>
      <c r="CD136" s="19"/>
      <c r="CE136" s="19"/>
      <c r="CF136" s="19"/>
      <c r="CG136" s="27"/>
      <c r="CH136" s="19"/>
      <c r="CI136" s="19"/>
      <c r="CJ136" s="19"/>
      <c r="CK136" s="19"/>
      <c r="CL136" s="27"/>
      <c r="CM136" s="19"/>
      <c r="CN136" s="19"/>
      <c r="CO136" s="19"/>
      <c r="CP136" s="19"/>
      <c r="CQ136" s="27"/>
      <c r="CR136" s="19"/>
      <c r="CS136" s="19"/>
      <c r="CT136" s="19"/>
      <c r="CU136" s="19"/>
      <c r="CV136" s="27"/>
      <c r="CW136" s="19"/>
      <c r="CX136" s="19"/>
      <c r="CY136" s="19"/>
      <c r="CZ136" s="19"/>
      <c r="DA136" s="27"/>
      <c r="DB136" s="19"/>
      <c r="DC136" s="19"/>
      <c r="DD136" s="19"/>
      <c r="DE136" s="19"/>
      <c r="DF136" s="27"/>
    </row>
    <row r="137" spans="1:110" x14ac:dyDescent="0.2">
      <c r="B137" s="13" t="s">
        <v>269</v>
      </c>
      <c r="C137" s="19"/>
      <c r="D137" s="19"/>
      <c r="E137" s="19"/>
      <c r="F137" s="19"/>
      <c r="G137" s="19"/>
      <c r="H137" s="19"/>
      <c r="I137" s="19"/>
      <c r="J137" s="19"/>
      <c r="K137" s="19"/>
      <c r="L137" s="19"/>
      <c r="M137" s="19"/>
      <c r="N137" s="19"/>
      <c r="O137" s="19"/>
      <c r="P137" s="19">
        <f>P$71*P124</f>
        <v>8.2707029999999992</v>
      </c>
      <c r="Q137" s="19">
        <f t="shared" ref="Q137:S137" si="305">Q$71*Q124</f>
        <v>9.0686160000000005</v>
      </c>
      <c r="R137" s="19">
        <f t="shared" si="305"/>
        <v>9.0531600000000019</v>
      </c>
      <c r="S137" s="19">
        <f t="shared" si="305"/>
        <v>9.8313600000000001</v>
      </c>
      <c r="T137" s="27">
        <f>SUM(P137:S137)</f>
        <v>36.223838999999998</v>
      </c>
      <c r="U137" s="19">
        <f>U$71*U124</f>
        <v>10.732176000000001</v>
      </c>
      <c r="V137" s="19">
        <f t="shared" ref="V137:X137" si="306">V$71*V124</f>
        <v>11.060328</v>
      </c>
      <c r="W137" s="19">
        <f t="shared" si="306"/>
        <v>11.899727999999998</v>
      </c>
      <c r="X137" s="19">
        <f t="shared" si="306"/>
        <v>12.66</v>
      </c>
      <c r="Y137" s="27">
        <f>SUM(U137:X137)</f>
        <v>46.352232000000001</v>
      </c>
      <c r="Z137" s="19">
        <f>Z$71*Z124</f>
        <v>12.571200000000001</v>
      </c>
      <c r="AA137" s="19">
        <f t="shared" ref="AA137:AC137" si="307">AA$71*AA124</f>
        <v>13.1502</v>
      </c>
      <c r="AB137" s="19">
        <f t="shared" si="307"/>
        <v>13.02</v>
      </c>
      <c r="AC137" s="19">
        <f t="shared" si="307"/>
        <v>13.688699999999999</v>
      </c>
      <c r="AD137" s="27">
        <f>SUM(Z137:AC137)</f>
        <v>52.430099999999996</v>
      </c>
      <c r="AE137" s="19">
        <f>AE$71*AE124</f>
        <v>13.348799999999999</v>
      </c>
      <c r="AF137" s="19">
        <f t="shared" ref="AF137:AH137" si="308">AF$71*AF124</f>
        <v>13.7592</v>
      </c>
      <c r="AG137" s="19">
        <f t="shared" si="308"/>
        <v>14.412599999999999</v>
      </c>
      <c r="AH137" s="19">
        <f t="shared" si="308"/>
        <v>14.909249999999998</v>
      </c>
      <c r="AI137" s="27">
        <f>SUM(AE137:AH137)</f>
        <v>56.429849999999995</v>
      </c>
      <c r="AJ137" s="19">
        <f>AJ$71*AJ124</f>
        <v>14.447999999999999</v>
      </c>
      <c r="AK137" s="19">
        <f t="shared" ref="AK137:AM137" si="309">AK$71*AK124</f>
        <v>15.269400000000001</v>
      </c>
      <c r="AL137" s="19">
        <f t="shared" si="309"/>
        <v>15.636600000000001</v>
      </c>
      <c r="AM137" s="19">
        <f t="shared" si="309"/>
        <v>16.284299999999998</v>
      </c>
      <c r="AN137" s="27">
        <f>SUM(AJ137:AM137)</f>
        <v>61.638300000000001</v>
      </c>
      <c r="AO137" s="19">
        <f>AO$71*AO124</f>
        <v>16.317615213469679</v>
      </c>
      <c r="AP137" s="19">
        <f t="shared" ref="AP137:AR137" si="310">AP$71*AP124</f>
        <v>17.530914244288869</v>
      </c>
      <c r="AQ137" s="19">
        <f t="shared" si="310"/>
        <v>17.63430520805127</v>
      </c>
      <c r="AR137" s="19">
        <f t="shared" si="310"/>
        <v>17.498173595063736</v>
      </c>
      <c r="AS137" s="27">
        <f>SUM(AO137:AR137)</f>
        <v>68.981008260873551</v>
      </c>
      <c r="AT137" s="19">
        <f>AT$71*AT124</f>
        <v>17.013099999999994</v>
      </c>
      <c r="AU137" s="19">
        <f t="shared" ref="AU137:AW137" si="311">AU$71*AU124</f>
        <v>17.674799999999994</v>
      </c>
      <c r="AV137" s="19">
        <f t="shared" si="311"/>
        <v>18.131299999999996</v>
      </c>
      <c r="AW137" s="19">
        <f t="shared" si="311"/>
        <v>20.055199999999992</v>
      </c>
      <c r="AX137" s="27">
        <f>SUM(AT137:AW137)</f>
        <v>72.87439999999998</v>
      </c>
      <c r="AY137" s="19">
        <f>AY$71*AY124</f>
        <v>22.334399999999995</v>
      </c>
      <c r="AZ137" s="19">
        <f t="shared" ref="AZ137:BB137" si="312">AZ$71*AZ124</f>
        <v>22.859999999999996</v>
      </c>
      <c r="BA137" s="19">
        <f t="shared" si="312"/>
        <v>22.99</v>
      </c>
      <c r="BB137" s="19">
        <f t="shared" si="312"/>
        <v>23.26380000000001</v>
      </c>
      <c r="BC137" s="27">
        <f>SUM(AY137:BB137)</f>
        <v>91.448199999999986</v>
      </c>
      <c r="BD137" s="19">
        <f>BD$71*BD124</f>
        <v>23.05139999999999</v>
      </c>
      <c r="BE137" s="19">
        <f t="shared" ref="BE137:BG137" si="313">BE$71*BE124</f>
        <v>23.637899999999991</v>
      </c>
      <c r="BF137" s="19">
        <f t="shared" si="313"/>
        <v>23.688000000000013</v>
      </c>
      <c r="BG137" s="19">
        <f t="shared" si="313"/>
        <v>24.909500000000001</v>
      </c>
      <c r="BH137" s="27">
        <f>SUM(BD137:BG137)</f>
        <v>95.286799999999999</v>
      </c>
      <c r="BI137" s="19">
        <f>BI$71*BI124</f>
        <v>26.347600000000011</v>
      </c>
      <c r="BJ137" s="19">
        <f t="shared" ref="BJ137:BL137" si="314">BJ$71*BJ124</f>
        <v>79.453499999999991</v>
      </c>
      <c r="BK137" s="19">
        <f t="shared" si="314"/>
        <v>80.069799999999987</v>
      </c>
      <c r="BL137" s="19">
        <f t="shared" si="314"/>
        <v>82.249200000000016</v>
      </c>
      <c r="BM137" s="27">
        <f>SUM(BI137:BL137)</f>
        <v>268.12010000000004</v>
      </c>
      <c r="BN137" s="19">
        <f>BN$71*BN124</f>
        <v>79.327999999999989</v>
      </c>
      <c r="BO137" s="19">
        <f t="shared" ref="BO137:BQ137" si="315">BO$71*BO124</f>
        <v>76.987199999999987</v>
      </c>
      <c r="BP137" s="19">
        <f t="shared" si="315"/>
        <v>75.697600000000037</v>
      </c>
      <c r="BQ137" s="19">
        <f t="shared" si="315"/>
        <v>76.076300000000003</v>
      </c>
      <c r="BR137" s="27">
        <f>SUM(BN137:BQ137)</f>
        <v>308.08910000000003</v>
      </c>
      <c r="BS137" s="19">
        <f>BS$71*BS124</f>
        <v>68.297647170841444</v>
      </c>
      <c r="BT137" s="19">
        <f t="shared" ref="BT137:BV137" si="316">BT$71*BT124</f>
        <v>71.684928779275481</v>
      </c>
      <c r="BU137" s="19">
        <f t="shared" si="316"/>
        <v>75.204574919407207</v>
      </c>
      <c r="BV137" s="19">
        <f t="shared" si="316"/>
        <v>75.155557239286651</v>
      </c>
      <c r="BW137" s="27">
        <f>SUM(BS137:BV137)</f>
        <v>290.34270810881083</v>
      </c>
      <c r="BX137" s="19">
        <f>BX$71*BX124</f>
        <v>69.738</v>
      </c>
      <c r="BY137" s="19">
        <f t="shared" ref="BY137:CA137" si="317">BY$71*BY124</f>
        <v>70.286799999999999</v>
      </c>
      <c r="BZ137" s="19">
        <f t="shared" si="317"/>
        <v>70.262500000000003</v>
      </c>
      <c r="CA137" s="19">
        <f t="shared" si="317"/>
        <v>72.65100000000001</v>
      </c>
      <c r="CB137" s="27">
        <f>SUM(BX137:CA137)</f>
        <v>282.93830000000003</v>
      </c>
      <c r="CC137" s="19">
        <f>CC$71*CC124</f>
        <v>70.862400000000008</v>
      </c>
      <c r="CD137" s="19">
        <f t="shared" ref="CD137:CF137" si="318">CD$71*CD124</f>
        <v>69.493100000000013</v>
      </c>
      <c r="CE137" s="19">
        <f t="shared" si="318"/>
        <v>71.3001</v>
      </c>
      <c r="CF137" s="19">
        <f t="shared" si="318"/>
        <v>72.201799999999992</v>
      </c>
      <c r="CG137" s="27">
        <f>SUM(CC137:CF137)</f>
        <v>283.85739999999998</v>
      </c>
      <c r="CH137" s="19">
        <f t="shared" ref="CH137:CI137" si="319">CH$71*CH124</f>
        <v>69.456599999999995</v>
      </c>
      <c r="CI137" s="19">
        <f t="shared" si="319"/>
        <v>70.959599999999995</v>
      </c>
      <c r="CJ137" s="19">
        <f t="shared" ref="CJ137:CK137" si="320">CJ$71*CJ124</f>
        <v>70.223499999999987</v>
      </c>
      <c r="CK137" s="19">
        <f t="shared" si="320"/>
        <v>71.392499999999998</v>
      </c>
      <c r="CL137" s="27">
        <f>SUM(CH137:CK137)</f>
        <v>282.03219999999999</v>
      </c>
      <c r="CM137" s="19">
        <f>CM$71*CM124</f>
        <v>67.419691222212506</v>
      </c>
      <c r="CN137" s="19">
        <f t="shared" ref="CN137:CP137" si="321">CN$71*CN124</f>
        <v>68.646514067370987</v>
      </c>
      <c r="CO137" s="19">
        <f t="shared" si="321"/>
        <v>70.106460043265926</v>
      </c>
      <c r="CP137" s="19">
        <f t="shared" si="321"/>
        <v>71.573774910143158</v>
      </c>
      <c r="CQ137" s="27">
        <f>SUM(CM137:CP137)</f>
        <v>277.74644024299255</v>
      </c>
      <c r="CR137" s="19">
        <f>CR$71*CR124</f>
        <v>68.577281439448058</v>
      </c>
      <c r="CS137" s="19">
        <f t="shared" ref="CS137:CU137" si="322">CS$71*CS124</f>
        <v>69.331849154994117</v>
      </c>
      <c r="CT137" s="19">
        <f t="shared" si="322"/>
        <v>70.796109272205484</v>
      </c>
      <c r="CU137" s="19">
        <f t="shared" si="322"/>
        <v>72.112900547865422</v>
      </c>
      <c r="CV137" s="27">
        <f>SUM(CR137:CU137)</f>
        <v>280.8181404145131</v>
      </c>
      <c r="CW137" s="19">
        <f>CW$71*CW124</f>
        <v>62.139858458180285</v>
      </c>
      <c r="CX137" s="19">
        <f t="shared" ref="CX137:CZ137" si="323">CX$71*CX124</f>
        <v>62.821387943172361</v>
      </c>
      <c r="CY137" s="19">
        <f t="shared" si="323"/>
        <v>64.140068072552523</v>
      </c>
      <c r="CZ137" s="19">
        <f t="shared" si="323"/>
        <v>65.335255910339214</v>
      </c>
      <c r="DA137" s="27">
        <f>SUM(CW137:CZ137)</f>
        <v>254.43657038424439</v>
      </c>
      <c r="DB137" s="19">
        <f>DB$71*DB124</f>
        <v>55.65199827202499</v>
      </c>
      <c r="DC137" s="19">
        <f t="shared" ref="DC137:DE137" si="324">DC$71*DC124</f>
        <v>56.260018474788261</v>
      </c>
      <c r="DD137" s="19">
        <f t="shared" si="324"/>
        <v>57.433452446180958</v>
      </c>
      <c r="DE137" s="19">
        <f t="shared" si="324"/>
        <v>58.505673192840192</v>
      </c>
      <c r="DF137" s="27">
        <f>SUM(DB137:DE137)</f>
        <v>227.85114238583441</v>
      </c>
    </row>
    <row r="138" spans="1:110" x14ac:dyDescent="0.2">
      <c r="B138" s="13" t="s">
        <v>270</v>
      </c>
      <c r="C138" s="19"/>
      <c r="D138" s="19"/>
      <c r="E138" s="19"/>
      <c r="F138" s="19"/>
      <c r="G138" s="19"/>
      <c r="H138" s="19"/>
      <c r="I138" s="19"/>
      <c r="J138" s="19"/>
      <c r="K138" s="19"/>
      <c r="L138" s="19"/>
      <c r="M138" s="19"/>
      <c r="N138" s="19"/>
      <c r="O138" s="19"/>
      <c r="P138" s="19">
        <f>P$71*(1-P124)</f>
        <v>14.022297</v>
      </c>
      <c r="Q138" s="19">
        <f t="shared" ref="Q138:S138" si="325">Q$71*(1-Q124)</f>
        <v>15.309384</v>
      </c>
      <c r="R138" s="19">
        <f t="shared" si="325"/>
        <v>15.414840000000002</v>
      </c>
      <c r="S138" s="19">
        <f t="shared" si="325"/>
        <v>16.04064</v>
      </c>
      <c r="T138" s="27">
        <f>SUM(P138:S138)</f>
        <v>60.787160999999998</v>
      </c>
      <c r="U138" s="19">
        <f>U$71*(1-U124)</f>
        <v>16.645824000000001</v>
      </c>
      <c r="V138" s="19">
        <f t="shared" ref="V138:X138" si="326">V$71*(1-V124)</f>
        <v>17.445671999999998</v>
      </c>
      <c r="W138" s="19">
        <f t="shared" si="326"/>
        <v>17.266272000000001</v>
      </c>
      <c r="X138" s="19">
        <f t="shared" si="326"/>
        <v>17.340000000000003</v>
      </c>
      <c r="Y138" s="27">
        <f>SUM(U138:X138)</f>
        <v>68.697767999999996</v>
      </c>
      <c r="Z138" s="19">
        <f>Z$71*(1-Z124)</f>
        <v>16.528800000000004</v>
      </c>
      <c r="AA138" s="19">
        <f t="shared" ref="AA138:AC138" si="327">AA$71*(1-AA124)</f>
        <v>17.149800000000003</v>
      </c>
      <c r="AB138" s="19">
        <f t="shared" si="327"/>
        <v>16.98</v>
      </c>
      <c r="AC138" s="19">
        <f t="shared" si="327"/>
        <v>17.211299999999998</v>
      </c>
      <c r="AD138" s="27">
        <f>SUM(Z138:AC138)</f>
        <v>67.869900000000001</v>
      </c>
      <c r="AE138" s="19">
        <f>AE$71*(1-AE124)</f>
        <v>17.551200000000001</v>
      </c>
      <c r="AF138" s="19">
        <f t="shared" ref="AF138:AH138" si="328">AF$71*(1-AF124)</f>
        <v>17.440799999999999</v>
      </c>
      <c r="AG138" s="19">
        <f t="shared" si="328"/>
        <v>16.1874</v>
      </c>
      <c r="AH138" s="19">
        <f t="shared" si="328"/>
        <v>15.990750000000002</v>
      </c>
      <c r="AI138" s="27">
        <f>SUM(AE138:AH138)</f>
        <v>67.170150000000007</v>
      </c>
      <c r="AJ138" s="19">
        <f>AJ$71*(1-AJ124)</f>
        <v>15.552</v>
      </c>
      <c r="AK138" s="19">
        <f t="shared" ref="AK138:AM138" si="329">AK$71*(1-AK124)</f>
        <v>15.3306</v>
      </c>
      <c r="AL138" s="19">
        <f t="shared" si="329"/>
        <v>14.9634</v>
      </c>
      <c r="AM138" s="19">
        <f t="shared" si="329"/>
        <v>14.615699999999999</v>
      </c>
      <c r="AN138" s="27">
        <f>SUM(AJ138:AM138)</f>
        <v>60.4617</v>
      </c>
      <c r="AO138" s="19">
        <f>AO$71*(1-AO124)</f>
        <v>13.956253457160523</v>
      </c>
      <c r="AP138" s="19">
        <f t="shared" ref="AP138:AR138" si="330">AP$71*(1-AP124)</f>
        <v>13.333371397064775</v>
      </c>
      <c r="AQ138" s="19">
        <f t="shared" si="330"/>
        <v>13.194899701129275</v>
      </c>
      <c r="AR138" s="19">
        <f t="shared" si="330"/>
        <v>12.413234259746071</v>
      </c>
      <c r="AS138" s="27">
        <f>SUM(AO138:AR138)</f>
        <v>52.897758815100644</v>
      </c>
      <c r="AT138" s="19">
        <f>AT$71*(1-AT124)</f>
        <v>12.886899999999997</v>
      </c>
      <c r="AU138" s="19">
        <f t="shared" ref="AU138:AW138" si="331">AU$71*(1-AU124)</f>
        <v>13.225199999999997</v>
      </c>
      <c r="AV138" s="19">
        <f t="shared" si="331"/>
        <v>12.968699999999998</v>
      </c>
      <c r="AW138" s="19">
        <f t="shared" si="331"/>
        <v>14.344799999999998</v>
      </c>
      <c r="AX138" s="27">
        <f>SUM(AT138:AW138)</f>
        <v>53.425599999999996</v>
      </c>
      <c r="AY138" s="19">
        <f>AY$71*(1-AY124)</f>
        <v>15.265599999999999</v>
      </c>
      <c r="AZ138" s="19">
        <f t="shared" ref="AZ138:BB138" si="332">AZ$71*(1-AZ124)</f>
        <v>15.239999999999998</v>
      </c>
      <c r="BA138" s="19">
        <f t="shared" si="332"/>
        <v>15.010000000000002</v>
      </c>
      <c r="BB138" s="19">
        <f t="shared" si="332"/>
        <v>14.936200000000007</v>
      </c>
      <c r="BC138" s="27">
        <f>SUM(AY138:BB138)</f>
        <v>60.451800000000006</v>
      </c>
      <c r="BD138" s="19">
        <f>BD$71*(1-BD124)</f>
        <v>14.248599999999994</v>
      </c>
      <c r="BE138" s="19">
        <f t="shared" ref="BE138:BG138" si="333">BE$71*(1-BE124)</f>
        <v>14.062099999999996</v>
      </c>
      <c r="BF138" s="19">
        <f t="shared" si="333"/>
        <v>13.912000000000008</v>
      </c>
      <c r="BG138" s="19">
        <f t="shared" si="333"/>
        <v>13.590499999999999</v>
      </c>
      <c r="BH138" s="27">
        <f>SUM(BD138:BG138)</f>
        <v>55.813199999999995</v>
      </c>
      <c r="BI138" s="19">
        <f>BI$71*(1-BI124)</f>
        <v>13.452400000000003</v>
      </c>
      <c r="BJ138" s="19">
        <f t="shared" ref="BJ138:BL138" si="334">BJ$71*(1-BJ124)</f>
        <v>33.246500000000005</v>
      </c>
      <c r="BK138" s="19">
        <f t="shared" si="334"/>
        <v>30.830199999999998</v>
      </c>
      <c r="BL138" s="19">
        <f t="shared" si="334"/>
        <v>29.350800000000007</v>
      </c>
      <c r="BM138" s="27">
        <f>SUM(BI138:BL138)</f>
        <v>106.87990000000001</v>
      </c>
      <c r="BN138" s="19">
        <f>BN$71*(1-BN124)</f>
        <v>27.871999999999996</v>
      </c>
      <c r="BO138" s="19">
        <f t="shared" ref="BO138:BQ138" si="335">BO$71*(1-BO124)</f>
        <v>26.212799999999998</v>
      </c>
      <c r="BP138" s="19">
        <f t="shared" si="335"/>
        <v>25.502400000000012</v>
      </c>
      <c r="BQ138" s="19">
        <f t="shared" si="335"/>
        <v>25.223700000000004</v>
      </c>
      <c r="BR138" s="27">
        <f>SUM(BN138:BQ138)</f>
        <v>104.81090000000002</v>
      </c>
      <c r="BS138" s="19">
        <f>BS$71*(1-BS124)</f>
        <v>21.097178969003377</v>
      </c>
      <c r="BT138" s="19">
        <f t="shared" ref="BT138:BV138" si="336">BT$71*(1-BT124)</f>
        <v>21.533444145660123</v>
      </c>
      <c r="BU138" s="19">
        <f t="shared" si="336"/>
        <v>21.833586266924669</v>
      </c>
      <c r="BV138" s="19">
        <f t="shared" si="336"/>
        <v>21.197721272619308</v>
      </c>
      <c r="BW138" s="27">
        <f>SUM(BS138:BV138)</f>
        <v>85.661930654207481</v>
      </c>
      <c r="BX138" s="19">
        <f>BX$71*(1-BX124)</f>
        <v>18.761999999999997</v>
      </c>
      <c r="BY138" s="19">
        <f t="shared" ref="BY138:CA138" si="337">BY$71*(1-BY124)</f>
        <v>18.013199999999994</v>
      </c>
      <c r="BZ138" s="19">
        <f t="shared" si="337"/>
        <v>17.237499999999997</v>
      </c>
      <c r="CA138" s="19">
        <f t="shared" si="337"/>
        <v>18.848999999999997</v>
      </c>
      <c r="CB138" s="27">
        <f>SUM(BX138:CA138)</f>
        <v>72.861699999999985</v>
      </c>
      <c r="CC138" s="19">
        <f>CC$71*(1-CC124)</f>
        <v>17.937599999999996</v>
      </c>
      <c r="CD138" s="19">
        <f t="shared" ref="CD138:CF138" si="338">CD$71*(1-CD124)</f>
        <v>16.406899999999997</v>
      </c>
      <c r="CE138" s="19">
        <f t="shared" si="338"/>
        <v>16.399900000000006</v>
      </c>
      <c r="CF138" s="19">
        <f t="shared" si="338"/>
        <v>16.498200000000004</v>
      </c>
      <c r="CG138" s="27">
        <f>SUM(CC138:CF138)</f>
        <v>67.24260000000001</v>
      </c>
      <c r="CH138" s="19">
        <f t="shared" ref="CH138:CI138" si="339">CH$71*(1-CH124)</f>
        <v>15.143400000000003</v>
      </c>
      <c r="CI138" s="19">
        <f t="shared" si="339"/>
        <v>14.740400000000005</v>
      </c>
      <c r="CJ138" s="19">
        <f t="shared" ref="CJ138:CK138" si="340">CJ$71*(1-CJ124)</f>
        <v>13.876500000000002</v>
      </c>
      <c r="CK138" s="19">
        <f t="shared" si="340"/>
        <v>14.107500000000003</v>
      </c>
      <c r="CL138" s="27">
        <f>SUM(CH138:CK138)</f>
        <v>57.86780000000001</v>
      </c>
      <c r="CM138" s="19">
        <f>CM$71*(1-CM124)</f>
        <v>12.1297088337042</v>
      </c>
      <c r="CN138" s="19">
        <f t="shared" ref="CN138:CP138" si="341">CN$71*(1-CN124)</f>
        <v>11.686925221740751</v>
      </c>
      <c r="CO138" s="19">
        <f t="shared" si="341"/>
        <v>11.268872776503294</v>
      </c>
      <c r="CP138" s="19">
        <f t="shared" si="341"/>
        <v>11.50472813915756</v>
      </c>
      <c r="CQ138" s="27">
        <f>SUM(CM138:CP138)</f>
        <v>46.590234971105801</v>
      </c>
      <c r="CR138" s="19">
        <f>CR$71*(1-CR124)</f>
        <v>10.518123118146145</v>
      </c>
      <c r="CS138" s="19">
        <f t="shared" ref="CS138:CU138" si="342">CS$71*(1-CS124)</f>
        <v>10.541731562790956</v>
      </c>
      <c r="CT138" s="19">
        <f t="shared" si="342"/>
        <v>10.111899532156823</v>
      </c>
      <c r="CU138" s="19">
        <f t="shared" si="342"/>
        <v>10.488778092914337</v>
      </c>
      <c r="CV138" s="27">
        <f>SUM(CR138:CU138)</f>
        <v>41.660532306008264</v>
      </c>
      <c r="CW138" s="19">
        <f>CW$71*(1-CW124)</f>
        <v>8.5925926678823306</v>
      </c>
      <c r="CX138" s="19">
        <f t="shared" ref="CX138:CZ138" si="343">CX$71*(1-CX124)</f>
        <v>8.6055296831177728</v>
      </c>
      <c r="CY138" s="19">
        <f t="shared" si="343"/>
        <v>8.2103390355044237</v>
      </c>
      <c r="CZ138" s="19">
        <f t="shared" si="343"/>
        <v>8.5299716230859524</v>
      </c>
      <c r="DA138" s="27">
        <f>SUM(CW138:CZ138)</f>
        <v>33.938433009590483</v>
      </c>
      <c r="DB138" s="19">
        <f>DB$71*(1-DB124)</f>
        <v>6.8769461279007542</v>
      </c>
      <c r="DC138" s="19">
        <f t="shared" ref="DC138:DE138" si="344">DC$71*(1-DC124)</f>
        <v>6.8811359584803071</v>
      </c>
      <c r="DD138" s="19">
        <f t="shared" si="344"/>
        <v>6.5222117501119916</v>
      </c>
      <c r="DE138" s="19">
        <f t="shared" si="344"/>
        <v>6.7893945320827083</v>
      </c>
      <c r="DF138" s="27">
        <f>SUM(DB138:DE138)</f>
        <v>27.069688368575761</v>
      </c>
    </row>
    <row r="139" spans="1:110" x14ac:dyDescent="0.2">
      <c r="B139" s="13" t="s">
        <v>167</v>
      </c>
      <c r="C139" s="19"/>
      <c r="D139" s="19"/>
      <c r="E139" s="19"/>
      <c r="F139" s="19"/>
      <c r="G139" s="19"/>
      <c r="H139" s="19"/>
      <c r="I139" s="19"/>
      <c r="J139" s="19"/>
      <c r="K139" s="19"/>
      <c r="L139" s="19"/>
      <c r="M139" s="19"/>
      <c r="N139" s="19"/>
      <c r="O139" s="19"/>
      <c r="P139" s="19">
        <f>SUM(P137:P138)</f>
        <v>22.292999999999999</v>
      </c>
      <c r="Q139" s="19">
        <f>SUM(Q137:Q138)</f>
        <v>24.378</v>
      </c>
      <c r="R139" s="19">
        <f>SUM(R137:R138)</f>
        <v>24.468000000000004</v>
      </c>
      <c r="S139" s="19">
        <f>SUM(S137:S138)</f>
        <v>25.872</v>
      </c>
      <c r="T139" s="27">
        <f>SUM(P139:S139)</f>
        <v>97.01100000000001</v>
      </c>
      <c r="U139" s="19">
        <f>SUM(U137:U138)</f>
        <v>27.378</v>
      </c>
      <c r="V139" s="19">
        <f>SUM(V137:V138)</f>
        <v>28.506</v>
      </c>
      <c r="W139" s="19">
        <f>SUM(W137:W138)</f>
        <v>29.165999999999997</v>
      </c>
      <c r="X139" s="19">
        <f>SUM(X137:X138)</f>
        <v>30.000000000000004</v>
      </c>
      <c r="Y139" s="27">
        <f>SUM(U139:X139)</f>
        <v>115.05</v>
      </c>
      <c r="Z139" s="19">
        <f>SUM(Z137:Z138)</f>
        <v>29.100000000000005</v>
      </c>
      <c r="AA139" s="19">
        <f>SUM(AA137:AA138)</f>
        <v>30.300000000000004</v>
      </c>
      <c r="AB139" s="19">
        <f>SUM(AB137:AB138)</f>
        <v>30</v>
      </c>
      <c r="AC139" s="19">
        <f>SUM(AC137:AC138)</f>
        <v>30.9</v>
      </c>
      <c r="AD139" s="27">
        <f>SUM(Z139:AC139)</f>
        <v>120.30000000000001</v>
      </c>
      <c r="AE139" s="19">
        <f>SUM(AE137:AE138)</f>
        <v>30.9</v>
      </c>
      <c r="AF139" s="19">
        <f>SUM(AF137:AF138)</f>
        <v>31.2</v>
      </c>
      <c r="AG139" s="19">
        <f>SUM(AG137:AG138)</f>
        <v>30.6</v>
      </c>
      <c r="AH139" s="19">
        <f>SUM(AH137:AH138)</f>
        <v>30.9</v>
      </c>
      <c r="AI139" s="27">
        <f>SUM(AE139:AH139)</f>
        <v>123.6</v>
      </c>
      <c r="AJ139" s="19">
        <f>SUM(AJ137:AJ138)</f>
        <v>30</v>
      </c>
      <c r="AK139" s="19">
        <f>SUM(AK137:AK138)</f>
        <v>30.6</v>
      </c>
      <c r="AL139" s="19">
        <f>SUM(AL137:AL138)</f>
        <v>30.6</v>
      </c>
      <c r="AM139" s="19">
        <f>SUM(AM137:AM138)</f>
        <v>30.9</v>
      </c>
      <c r="AN139" s="27">
        <f>SUM(AJ139:AM139)</f>
        <v>122.1</v>
      </c>
      <c r="AO139" s="19">
        <f>SUM(AO137:AO138)</f>
        <v>30.2738686706302</v>
      </c>
      <c r="AP139" s="19">
        <f>SUM(AP137:AP138)</f>
        <v>30.864285641353646</v>
      </c>
      <c r="AQ139" s="19">
        <f>SUM(AQ137:AQ138)</f>
        <v>30.829204909180547</v>
      </c>
      <c r="AR139" s="19">
        <f>SUM(AR137:AR138)</f>
        <v>29.911407854809809</v>
      </c>
      <c r="AS139" s="27">
        <f>SUM(AO139:AR139)</f>
        <v>121.87876707597421</v>
      </c>
      <c r="AT139" s="19">
        <f>SUM(AT137:AT138)</f>
        <v>29.899999999999991</v>
      </c>
      <c r="AU139" s="19">
        <f>SUM(AU137:AU138)</f>
        <v>30.899999999999991</v>
      </c>
      <c r="AV139" s="19">
        <f>SUM(AV137:AV138)</f>
        <v>31.099999999999994</v>
      </c>
      <c r="AW139" s="19">
        <f>SUM(AW137:AW138)</f>
        <v>34.399999999999991</v>
      </c>
      <c r="AX139" s="27">
        <f>SUM(AT139:AW139)</f>
        <v>126.29999999999997</v>
      </c>
      <c r="AY139" s="19">
        <f>SUM(AY137:AY138)</f>
        <v>37.599999999999994</v>
      </c>
      <c r="AZ139" s="19">
        <f>SUM(AZ137:AZ138)</f>
        <v>38.099999999999994</v>
      </c>
      <c r="BA139" s="19">
        <f>SUM(BA137:BA138)</f>
        <v>38</v>
      </c>
      <c r="BB139" s="19">
        <f>SUM(BB137:BB138)</f>
        <v>38.200000000000017</v>
      </c>
      <c r="BC139" s="27">
        <f>SUM(AY139:BB139)</f>
        <v>151.9</v>
      </c>
      <c r="BD139" s="19">
        <f>SUM(BD137:BD138)</f>
        <v>37.299999999999983</v>
      </c>
      <c r="BE139" s="19">
        <f>SUM(BE137:BE138)</f>
        <v>37.699999999999989</v>
      </c>
      <c r="BF139" s="19">
        <f>SUM(BF137:BF138)</f>
        <v>37.600000000000023</v>
      </c>
      <c r="BG139" s="19">
        <f>SUM(BG137:BG138)</f>
        <v>38.5</v>
      </c>
      <c r="BH139" s="27">
        <f>SUM(BD139:BG139)</f>
        <v>151.1</v>
      </c>
      <c r="BI139" s="19">
        <f>SUM(BI137:BI138)</f>
        <v>39.800000000000011</v>
      </c>
      <c r="BJ139" s="19">
        <f>SUM(BJ137:BJ138)</f>
        <v>112.69999999999999</v>
      </c>
      <c r="BK139" s="19">
        <f>SUM(BK137:BK138)</f>
        <v>110.89999999999998</v>
      </c>
      <c r="BL139" s="19">
        <f>SUM(BL137:BL138)</f>
        <v>111.60000000000002</v>
      </c>
      <c r="BM139" s="27">
        <f>SUM(BI139:BL139)</f>
        <v>375</v>
      </c>
      <c r="BN139" s="19">
        <f>SUM(BN137:BN138)</f>
        <v>107.19999999999999</v>
      </c>
      <c r="BO139" s="19">
        <f>SUM(BO137:BO138)</f>
        <v>103.19999999999999</v>
      </c>
      <c r="BP139" s="19">
        <f>SUM(BP137:BP138)</f>
        <v>101.20000000000005</v>
      </c>
      <c r="BQ139" s="19">
        <f>SUM(BQ137:BQ138)</f>
        <v>101.30000000000001</v>
      </c>
      <c r="BR139" s="27">
        <f>SUM(BN139:BQ139)</f>
        <v>412.90000000000003</v>
      </c>
      <c r="BS139" s="19">
        <f>SUM(BS137:BS138)</f>
        <v>89.394826139844824</v>
      </c>
      <c r="BT139" s="19">
        <f>SUM(BT137:BT138)</f>
        <v>93.218372924935608</v>
      </c>
      <c r="BU139" s="19">
        <f>SUM(BU137:BU138)</f>
        <v>97.038161186331877</v>
      </c>
      <c r="BV139" s="19">
        <f>SUM(BV137:BV138)</f>
        <v>96.353278511905955</v>
      </c>
      <c r="BW139" s="27">
        <f>SUM(BS139:BV139)</f>
        <v>376.00463876301825</v>
      </c>
      <c r="BX139" s="19">
        <f>SUM(BX137:BX138)</f>
        <v>88.5</v>
      </c>
      <c r="BY139" s="19">
        <f>SUM(BY137:BY138)</f>
        <v>88.3</v>
      </c>
      <c r="BZ139" s="19">
        <f>SUM(BZ137:BZ138)</f>
        <v>87.5</v>
      </c>
      <c r="CA139" s="19">
        <f>SUM(CA137:CA138)</f>
        <v>91.5</v>
      </c>
      <c r="CB139" s="27">
        <f>SUM(BX139:CA139)</f>
        <v>355.8</v>
      </c>
      <c r="CC139" s="19">
        <f>SUM(CC137:CC138)</f>
        <v>88.800000000000011</v>
      </c>
      <c r="CD139" s="19">
        <f>SUM(CD137:CD138)</f>
        <v>85.9</v>
      </c>
      <c r="CE139" s="19">
        <f>SUM(CE137:CE138)</f>
        <v>87.7</v>
      </c>
      <c r="CF139" s="19">
        <f>SUM(CF137:CF138)</f>
        <v>88.699999999999989</v>
      </c>
      <c r="CG139" s="27">
        <f>SUM(CC139:CF139)</f>
        <v>351.1</v>
      </c>
      <c r="CH139" s="19">
        <f>SUM(CH137:CH138)</f>
        <v>84.6</v>
      </c>
      <c r="CI139" s="19">
        <f>SUM(CI137:CI138)</f>
        <v>85.7</v>
      </c>
      <c r="CJ139" s="19">
        <f>SUM(CJ137:CJ138)</f>
        <v>84.1</v>
      </c>
      <c r="CK139" s="19">
        <f>SUM(CK137:CK138)</f>
        <v>85.5</v>
      </c>
      <c r="CL139" s="27">
        <f>SUM(CH139:CK139)</f>
        <v>339.9</v>
      </c>
      <c r="CM139" s="19">
        <f>SUM(CM137:CM138)</f>
        <v>79.549400055916706</v>
      </c>
      <c r="CN139" s="19">
        <f t="shared" ref="CN139" si="345">SUM(CN137:CN138)</f>
        <v>80.333439289111737</v>
      </c>
      <c r="CO139" s="19">
        <f t="shared" ref="CO139" si="346">SUM(CO137:CO138)</f>
        <v>81.375332819769227</v>
      </c>
      <c r="CP139" s="19">
        <f t="shared" ref="CP139" si="347">SUM(CP137:CP138)</f>
        <v>83.078503049300721</v>
      </c>
      <c r="CQ139" s="27">
        <f>SUM(CM139:CP139)</f>
        <v>324.33667521409842</v>
      </c>
      <c r="CR139" s="19">
        <f>SUM(CR137:CR138)</f>
        <v>79.095404557594208</v>
      </c>
      <c r="CS139" s="19">
        <f t="shared" ref="CS139:CU139" si="348">SUM(CS137:CS138)</f>
        <v>79.873580717785075</v>
      </c>
      <c r="CT139" s="19">
        <f t="shared" si="348"/>
        <v>80.908008804362311</v>
      </c>
      <c r="CU139" s="19">
        <f t="shared" si="348"/>
        <v>82.601678640779767</v>
      </c>
      <c r="CV139" s="27">
        <f>SUM(CR139:CU139)</f>
        <v>322.47867272052133</v>
      </c>
      <c r="CW139" s="19">
        <f>SUM(CW137:CW138)</f>
        <v>70.732451126062614</v>
      </c>
      <c r="CX139" s="19">
        <f t="shared" ref="CX139:CZ139" si="349">SUM(CX137:CX138)</f>
        <v>71.426917626290134</v>
      </c>
      <c r="CY139" s="19">
        <f t="shared" si="349"/>
        <v>72.350407108056942</v>
      </c>
      <c r="CZ139" s="19">
        <f t="shared" si="349"/>
        <v>73.86522753342517</v>
      </c>
      <c r="DA139" s="27">
        <f>SUM(CW139:CZ139)</f>
        <v>288.37500339383485</v>
      </c>
      <c r="DB139" s="19">
        <f>SUM(DB137:DB138)</f>
        <v>62.528944399925741</v>
      </c>
      <c r="DC139" s="19">
        <f t="shared" ref="DC139:DE139" si="350">SUM(DC137:DC138)</f>
        <v>63.141154433268568</v>
      </c>
      <c r="DD139" s="19">
        <f t="shared" si="350"/>
        <v>63.95566419629295</v>
      </c>
      <c r="DE139" s="19">
        <f t="shared" si="350"/>
        <v>65.295067724922902</v>
      </c>
      <c r="DF139" s="27">
        <f>SUM(DB139:DE139)</f>
        <v>254.92083075441019</v>
      </c>
    </row>
    <row r="140" spans="1:110" x14ac:dyDescent="0.2">
      <c r="B140" s="13"/>
      <c r="C140" s="19"/>
      <c r="D140" s="19"/>
      <c r="E140" s="19"/>
      <c r="F140" s="19"/>
      <c r="G140" s="19"/>
      <c r="H140" s="19"/>
      <c r="I140" s="19"/>
      <c r="J140" s="19"/>
      <c r="K140" s="19"/>
      <c r="L140" s="19"/>
      <c r="M140" s="19"/>
      <c r="N140" s="19"/>
      <c r="O140" s="19"/>
      <c r="P140" s="19"/>
      <c r="Q140" s="19"/>
      <c r="R140" s="19"/>
      <c r="S140" s="19"/>
      <c r="T140" s="27"/>
      <c r="U140" s="19"/>
      <c r="V140" s="19"/>
      <c r="W140" s="19"/>
      <c r="X140" s="19"/>
      <c r="Y140" s="27"/>
      <c r="Z140" s="19"/>
      <c r="AA140" s="19"/>
      <c r="AB140" s="19"/>
      <c r="AC140" s="19"/>
      <c r="AD140" s="27"/>
      <c r="AE140" s="19"/>
      <c r="AF140" s="19"/>
      <c r="AG140" s="19"/>
      <c r="AH140" s="19"/>
      <c r="AI140" s="27"/>
      <c r="AJ140" s="19"/>
      <c r="AK140" s="19"/>
      <c r="AL140" s="19"/>
      <c r="AM140" s="19"/>
      <c r="AN140" s="27"/>
      <c r="AO140" s="19"/>
      <c r="AP140" s="19"/>
      <c r="AQ140" s="19"/>
      <c r="AR140" s="19"/>
      <c r="AS140" s="27"/>
      <c r="AT140" s="19"/>
      <c r="AU140" s="19"/>
      <c r="AV140" s="19"/>
      <c r="AW140" s="19"/>
      <c r="AX140" s="27"/>
      <c r="AY140" s="19"/>
      <c r="AZ140" s="19"/>
      <c r="BA140" s="19"/>
      <c r="BB140" s="19"/>
      <c r="BC140" s="27"/>
      <c r="BD140" s="19"/>
      <c r="BE140" s="19"/>
      <c r="BF140" s="19"/>
      <c r="BG140" s="19"/>
      <c r="BH140" s="27"/>
      <c r="BI140" s="19"/>
      <c r="BJ140" s="19"/>
      <c r="BK140" s="19"/>
      <c r="BL140" s="19"/>
      <c r="BM140" s="27"/>
      <c r="BN140" s="19"/>
      <c r="BO140" s="19"/>
      <c r="BP140" s="19"/>
      <c r="BQ140" s="19"/>
      <c r="BR140" s="27"/>
      <c r="BS140" s="19"/>
      <c r="BT140" s="19"/>
      <c r="BU140" s="19"/>
      <c r="BV140" s="19"/>
      <c r="BW140" s="27"/>
      <c r="BX140" s="19"/>
      <c r="BY140" s="19"/>
      <c r="BZ140" s="19"/>
      <c r="CA140" s="19"/>
      <c r="CB140" s="27"/>
      <c r="CC140" s="19"/>
      <c r="CD140" s="19"/>
      <c r="CE140" s="19"/>
      <c r="CF140" s="19"/>
      <c r="CG140" s="27"/>
      <c r="CH140" s="19"/>
      <c r="CI140" s="19"/>
      <c r="CJ140" s="19"/>
      <c r="CK140" s="19"/>
      <c r="CL140" s="27"/>
      <c r="CM140" s="19"/>
      <c r="CN140" s="19"/>
      <c r="CO140" s="19"/>
      <c r="CP140" s="19"/>
      <c r="CQ140" s="27"/>
      <c r="CR140" s="19"/>
      <c r="CS140" s="19"/>
      <c r="CT140" s="19"/>
      <c r="CU140" s="19"/>
      <c r="CV140" s="27"/>
      <c r="CW140" s="19"/>
      <c r="CX140" s="19"/>
      <c r="CY140" s="19"/>
      <c r="CZ140" s="19"/>
      <c r="DA140" s="27"/>
      <c r="DB140" s="19"/>
      <c r="DC140" s="19"/>
      <c r="DD140" s="19"/>
      <c r="DE140" s="19"/>
      <c r="DF140" s="27"/>
    </row>
    <row r="141" spans="1:110" x14ac:dyDescent="0.2">
      <c r="B141" s="13" t="s">
        <v>161</v>
      </c>
      <c r="C141" s="19"/>
      <c r="D141" s="19"/>
      <c r="E141" s="19"/>
      <c r="F141" s="19"/>
      <c r="G141" s="19"/>
      <c r="H141" s="19"/>
      <c r="I141" s="19"/>
      <c r="J141" s="19"/>
      <c r="K141" s="19"/>
      <c r="L141" s="19"/>
      <c r="M141" s="19"/>
      <c r="N141" s="19"/>
      <c r="O141" s="19"/>
      <c r="P141" s="19">
        <f>P73</f>
        <v>0</v>
      </c>
      <c r="Q141" s="19">
        <f>Q73</f>
        <v>0</v>
      </c>
      <c r="R141" s="19">
        <f>R73</f>
        <v>0</v>
      </c>
      <c r="S141" s="19">
        <f>S73</f>
        <v>0</v>
      </c>
      <c r="T141" s="27">
        <f>SUM(P141:S141)</f>
        <v>0</v>
      </c>
      <c r="U141" s="19">
        <f>U73</f>
        <v>0</v>
      </c>
      <c r="V141" s="19">
        <f>V73</f>
        <v>0</v>
      </c>
      <c r="W141" s="19">
        <f>W73</f>
        <v>0</v>
      </c>
      <c r="X141" s="19">
        <f>X73</f>
        <v>0</v>
      </c>
      <c r="Y141" s="27">
        <f>SUM(U141:X141)</f>
        <v>0</v>
      </c>
      <c r="Z141" s="19">
        <f>Z73</f>
        <v>0</v>
      </c>
      <c r="AA141" s="19">
        <f>AA73</f>
        <v>0</v>
      </c>
      <c r="AB141" s="19">
        <f>AB73</f>
        <v>0</v>
      </c>
      <c r="AC141" s="19">
        <f>AC73</f>
        <v>0</v>
      </c>
      <c r="AD141" s="27">
        <f>SUM(Z141:AC141)</f>
        <v>0</v>
      </c>
      <c r="AE141" s="19">
        <f>AE73</f>
        <v>0</v>
      </c>
      <c r="AF141" s="19">
        <f>AF73</f>
        <v>0</v>
      </c>
      <c r="AG141" s="19">
        <f>AG73</f>
        <v>0</v>
      </c>
      <c r="AH141" s="19">
        <f>AH73</f>
        <v>0</v>
      </c>
      <c r="AI141" s="27">
        <f>SUM(AE141:AH141)</f>
        <v>0</v>
      </c>
      <c r="AJ141" s="19">
        <f>AJ73</f>
        <v>0</v>
      </c>
      <c r="AK141" s="19">
        <f>AK73</f>
        <v>0</v>
      </c>
      <c r="AL141" s="19">
        <f>AL73</f>
        <v>0</v>
      </c>
      <c r="AM141" s="19">
        <f>AM73</f>
        <v>0</v>
      </c>
      <c r="AN141" s="27">
        <f>SUM(AJ141:AM141)</f>
        <v>0</v>
      </c>
      <c r="AO141" s="19">
        <f ca="1">AO73</f>
        <v>0.30871044312326656</v>
      </c>
      <c r="AP141" s="19">
        <f ca="1">AP73</f>
        <v>0.31190478621545137</v>
      </c>
      <c r="AQ141" s="19">
        <f ca="1">AQ73</f>
        <v>0.32359836360648409</v>
      </c>
      <c r="AR141" s="19">
        <f ca="1">AR73</f>
        <v>0.32953071506339832</v>
      </c>
      <c r="AS141" s="27">
        <f ca="1">SUM(AO141:AR141)</f>
        <v>1.2737443080086004</v>
      </c>
      <c r="AT141" s="19">
        <f>AT73</f>
        <v>0.3232198339500601</v>
      </c>
      <c r="AU141" s="19">
        <f>AU73</f>
        <v>0.32438097766406943</v>
      </c>
      <c r="AV141" s="19">
        <f>AV73</f>
        <v>0.33880748669598881</v>
      </c>
      <c r="AW141" s="19">
        <f>AW73</f>
        <v>0.41401865867137799</v>
      </c>
      <c r="AX141" s="27">
        <f>SUM(AT141:AW141)</f>
        <v>1.4004269569814962</v>
      </c>
      <c r="AY141" s="19">
        <f>AY73</f>
        <v>0.5</v>
      </c>
      <c r="AZ141" s="19">
        <f>AZ73</f>
        <v>0.51638097766406998</v>
      </c>
      <c r="BA141" s="19">
        <f>BA73</f>
        <v>0.53080748669598887</v>
      </c>
      <c r="BB141" s="19">
        <f>BB73</f>
        <v>0.54373865867137794</v>
      </c>
      <c r="BC141" s="27">
        <f>SUM(AY141:BB141)</f>
        <v>2.0909271230314368</v>
      </c>
      <c r="BD141" s="19">
        <f>BD73</f>
        <v>0.52797023756990802</v>
      </c>
      <c r="BE141" s="19">
        <f>BE73</f>
        <v>0.55436874944840342</v>
      </c>
      <c r="BF141" s="19">
        <f>BF73</f>
        <v>0.56265593589774821</v>
      </c>
      <c r="BG141" s="19">
        <f>BG73</f>
        <v>0.58180036477837438</v>
      </c>
      <c r="BH141" s="27">
        <f>SUM(BD141:BG141)</f>
        <v>2.2267952876944341</v>
      </c>
      <c r="BI141" s="19">
        <f>BI73</f>
        <v>0.55750514351925018</v>
      </c>
      <c r="BJ141" s="19">
        <f>BJ73</f>
        <v>1.2284393170539767</v>
      </c>
      <c r="BK141" s="19">
        <f>BK73</f>
        <v>1.2764686874852091</v>
      </c>
      <c r="BL141" s="19">
        <f>BL73</f>
        <v>1.2969532263874792</v>
      </c>
      <c r="BM141" s="27">
        <f>SUM(BI141:BL141)</f>
        <v>4.3593663744459157</v>
      </c>
      <c r="BN141" s="19">
        <f>BN73</f>
        <v>1.258640459129357</v>
      </c>
      <c r="BO141" s="19">
        <f>BO73</f>
        <v>1.3080774216963134</v>
      </c>
      <c r="BP141" s="19">
        <f>BP73</f>
        <v>1.3590772272484277</v>
      </c>
      <c r="BQ141" s="19">
        <f>BQ73</f>
        <v>1.3809956838738566</v>
      </c>
      <c r="BR141" s="27">
        <f>SUM(BN141:BQ141)</f>
        <v>5.3067907919479547</v>
      </c>
      <c r="BS141" s="19">
        <f>BS73</f>
        <v>1.3336619445857008</v>
      </c>
      <c r="BT141" s="19">
        <f>BT73</f>
        <v>1.3861752284059987</v>
      </c>
      <c r="BU141" s="19">
        <f>BU73</f>
        <v>1.4399147842310358</v>
      </c>
      <c r="BV141" s="19">
        <f>BV73</f>
        <v>1.4633675328202447</v>
      </c>
      <c r="BW141" s="27">
        <f>SUM(BS141:BV141)</f>
        <v>5.6231194900429795</v>
      </c>
      <c r="BX141" s="19">
        <f>BX73</f>
        <v>1.4336865904296283</v>
      </c>
      <c r="BY141" s="19">
        <f>BY73</f>
        <v>1.4901383705364486</v>
      </c>
      <c r="BZ141" s="19">
        <f>BZ73</f>
        <v>1.5479083930483635</v>
      </c>
      <c r="CA141" s="19">
        <f>CA73</f>
        <v>1.573120097781763</v>
      </c>
      <c r="CB141" s="27">
        <f>SUM(BX141:CA141)</f>
        <v>6.0448534517962038</v>
      </c>
      <c r="CC141" s="19">
        <f>CC73</f>
        <v>1.5412130847118504</v>
      </c>
      <c r="CD141" s="19">
        <f>CD73</f>
        <v>1.6018987483266822</v>
      </c>
      <c r="CE141" s="19">
        <f>CE73</f>
        <v>1.6640015225269909</v>
      </c>
      <c r="CF141" s="19">
        <f>CF73</f>
        <v>1.6911041051153952</v>
      </c>
      <c r="CG141" s="27">
        <f>SUM(CC141:CF141)</f>
        <v>6.4982174606809178</v>
      </c>
      <c r="CH141" s="19">
        <f>CH73</f>
        <v>1.656804066065239</v>
      </c>
      <c r="CI141" s="19">
        <f>CI73</f>
        <v>1.71403166070955</v>
      </c>
      <c r="CJ141" s="19">
        <f>CJ73</f>
        <v>1.7804816291038801</v>
      </c>
      <c r="CK141" s="19">
        <f>CK73</f>
        <v>1.8094813924734732</v>
      </c>
      <c r="CL141" s="27">
        <f>SUM(CH141:CK141)</f>
        <v>6.9607987483521425</v>
      </c>
      <c r="CM141" s="19">
        <f>CM73</f>
        <v>1.6070999440832818</v>
      </c>
      <c r="CN141" s="19">
        <f>CN73</f>
        <v>1.6626107108882633</v>
      </c>
      <c r="CO141" s="19">
        <f>CO73</f>
        <v>1.7270671802307638</v>
      </c>
      <c r="CP141" s="19">
        <f>CP73</f>
        <v>1.7551969506992688</v>
      </c>
      <c r="CQ141" s="27">
        <f>SUM(CM141:CP141)</f>
        <v>6.7519747859015773</v>
      </c>
      <c r="CR141" s="19">
        <f>CR73</f>
        <v>1.6553129424057804</v>
      </c>
      <c r="CS141" s="19">
        <f>CS73</f>
        <v>1.7124890322149113</v>
      </c>
      <c r="CT141" s="19">
        <f>CT73</f>
        <v>1.7788791956376868</v>
      </c>
      <c r="CU141" s="19">
        <f>CU73</f>
        <v>1.807852859220247</v>
      </c>
      <c r="CV141" s="27">
        <f>SUM(CR141:CU141)</f>
        <v>6.9545340294786264</v>
      </c>
      <c r="CW141" s="19">
        <f>CW73</f>
        <v>1.5394410364373756</v>
      </c>
      <c r="CX141" s="19">
        <f>CX73</f>
        <v>1.5926147999598674</v>
      </c>
      <c r="CY141" s="19">
        <f>CY73</f>
        <v>1.6543576519430485</v>
      </c>
      <c r="CZ141" s="19">
        <f>CZ73</f>
        <v>1.6813031590748295</v>
      </c>
      <c r="DA141" s="27">
        <f>SUM(CW141:CZ141)</f>
        <v>6.4677166474151218</v>
      </c>
      <c r="DB141" s="19">
        <f>DB73</f>
        <v>1.4316801638867593</v>
      </c>
      <c r="DC141" s="19">
        <f>DC73</f>
        <v>1.4811317639626767</v>
      </c>
      <c r="DD141" s="19">
        <f>DD73</f>
        <v>1.5385526163070349</v>
      </c>
      <c r="DE141" s="19">
        <f>DE73</f>
        <v>1.5636119379395912</v>
      </c>
      <c r="DF141" s="27">
        <f>SUM(DB141:DE141)</f>
        <v>6.0149764820960616</v>
      </c>
    </row>
    <row r="142" spans="1:110" ht="4.5" customHeight="1" x14ac:dyDescent="0.2">
      <c r="B142" s="13"/>
      <c r="C142" s="19"/>
      <c r="D142" s="19"/>
      <c r="E142" s="19"/>
      <c r="F142" s="19"/>
      <c r="G142" s="19"/>
      <c r="H142" s="19"/>
      <c r="I142" s="19"/>
      <c r="J142" s="19"/>
      <c r="K142" s="19"/>
      <c r="L142" s="19"/>
      <c r="M142" s="19"/>
      <c r="N142" s="19"/>
      <c r="O142" s="19"/>
      <c r="P142" s="19"/>
      <c r="Q142" s="19"/>
      <c r="R142" s="19"/>
      <c r="S142" s="19"/>
      <c r="T142" s="27"/>
      <c r="U142" s="19"/>
      <c r="V142" s="19"/>
      <c r="W142" s="19"/>
      <c r="X142" s="19"/>
      <c r="Y142" s="27"/>
      <c r="Z142" s="19"/>
      <c r="AA142" s="19"/>
      <c r="AB142" s="19"/>
      <c r="AC142" s="19"/>
      <c r="AD142" s="27"/>
      <c r="AE142" s="19"/>
      <c r="AF142" s="19"/>
      <c r="AG142" s="19"/>
      <c r="AH142" s="19"/>
      <c r="AI142" s="27"/>
      <c r="AJ142" s="19"/>
      <c r="AK142" s="19"/>
      <c r="AL142" s="19"/>
      <c r="AM142" s="19"/>
      <c r="AN142" s="27"/>
      <c r="AO142" s="19"/>
      <c r="AP142" s="19"/>
      <c r="AQ142" s="19"/>
      <c r="AR142" s="19"/>
      <c r="AS142" s="27"/>
      <c r="AT142" s="19"/>
      <c r="AU142" s="19"/>
      <c r="AV142" s="19"/>
      <c r="AW142" s="19"/>
      <c r="AX142" s="27"/>
      <c r="AY142" s="19"/>
      <c r="AZ142" s="19"/>
      <c r="BA142" s="19"/>
      <c r="BB142" s="19"/>
      <c r="BC142" s="27"/>
      <c r="BD142" s="19"/>
      <c r="BE142" s="19"/>
      <c r="BF142" s="19"/>
      <c r="BG142" s="19"/>
      <c r="BH142" s="27"/>
      <c r="BI142" s="19"/>
      <c r="BJ142" s="19"/>
      <c r="BK142" s="19"/>
      <c r="BL142" s="19"/>
      <c r="BM142" s="27"/>
      <c r="BN142" s="19"/>
      <c r="BO142" s="19"/>
      <c r="BP142" s="19"/>
      <c r="BQ142" s="19"/>
      <c r="BR142" s="27"/>
      <c r="BS142" s="19"/>
      <c r="BT142" s="19"/>
      <c r="BU142" s="19"/>
      <c r="BV142" s="19"/>
      <c r="BW142" s="27"/>
      <c r="BX142" s="19"/>
      <c r="BY142" s="19"/>
      <c r="BZ142" s="19"/>
      <c r="CA142" s="19"/>
      <c r="CB142" s="27"/>
      <c r="CC142" s="19"/>
      <c r="CD142" s="19"/>
      <c r="CE142" s="19"/>
      <c r="CF142" s="19"/>
      <c r="CG142" s="27"/>
      <c r="CH142" s="19"/>
      <c r="CI142" s="19"/>
      <c r="CJ142" s="19"/>
      <c r="CK142" s="19"/>
      <c r="CL142" s="27"/>
      <c r="CM142" s="19"/>
      <c r="CN142" s="19"/>
      <c r="CO142" s="19"/>
      <c r="CP142" s="19"/>
      <c r="CQ142" s="27"/>
      <c r="CR142" s="19"/>
      <c r="CS142" s="19"/>
      <c r="CT142" s="19"/>
      <c r="CU142" s="19"/>
      <c r="CV142" s="27"/>
      <c r="CW142" s="19"/>
      <c r="CX142" s="19"/>
      <c r="CY142" s="19"/>
      <c r="CZ142" s="19"/>
      <c r="DA142" s="27"/>
      <c r="DB142" s="19"/>
      <c r="DC142" s="19"/>
      <c r="DD142" s="19"/>
      <c r="DE142" s="19"/>
      <c r="DF142" s="27"/>
    </row>
    <row r="143" spans="1:110" ht="12" thickBot="1" x14ac:dyDescent="0.25">
      <c r="B143" s="523" t="s">
        <v>164</v>
      </c>
      <c r="C143" s="107"/>
      <c r="D143" s="107"/>
      <c r="E143" s="107"/>
      <c r="F143" s="107"/>
      <c r="G143" s="107"/>
      <c r="H143" s="107"/>
      <c r="I143" s="107"/>
      <c r="J143" s="107"/>
      <c r="K143" s="107"/>
      <c r="L143" s="107"/>
      <c r="M143" s="107"/>
      <c r="N143" s="107"/>
      <c r="O143" s="107"/>
      <c r="P143" s="107">
        <f>+P139+P134</f>
        <v>118.96000000000001</v>
      </c>
      <c r="Q143" s="107">
        <f t="shared" ref="Q143:T143" si="351">+Q139+Q134</f>
        <v>120.40300000000001</v>
      </c>
      <c r="R143" s="107">
        <f t="shared" si="351"/>
        <v>114.89500000000001</v>
      </c>
      <c r="S143" s="107">
        <f t="shared" si="351"/>
        <v>121.68</v>
      </c>
      <c r="T143" s="106">
        <f t="shared" si="351"/>
        <v>475.93800000000005</v>
      </c>
      <c r="U143" s="107">
        <f>+U139+U134</f>
        <v>120.895</v>
      </c>
      <c r="V143" s="107">
        <f t="shared" ref="V143:Y143" si="352">+V139+V134</f>
        <v>124.235</v>
      </c>
      <c r="W143" s="107">
        <f t="shared" si="352"/>
        <v>130.94999999999999</v>
      </c>
      <c r="X143" s="107">
        <f t="shared" si="352"/>
        <v>138</v>
      </c>
      <c r="Y143" s="106">
        <f t="shared" si="352"/>
        <v>514.07999999999993</v>
      </c>
      <c r="Z143" s="107">
        <f>+Z139+Z134</f>
        <v>140.6</v>
      </c>
      <c r="AA143" s="107">
        <f t="shared" ref="AA143:AD143" si="353">+AA139+AA134</f>
        <v>139.80000000000001</v>
      </c>
      <c r="AB143" s="107">
        <f t="shared" si="353"/>
        <v>135.6</v>
      </c>
      <c r="AC143" s="107">
        <f t="shared" si="353"/>
        <v>142</v>
      </c>
      <c r="AD143" s="106">
        <f t="shared" si="353"/>
        <v>558</v>
      </c>
      <c r="AE143" s="107">
        <f>+AE139+AE134</f>
        <v>136.36900000000003</v>
      </c>
      <c r="AF143" s="107">
        <f t="shared" ref="AF143:AI143" si="354">+AF139+AF134</f>
        <v>131.16900000000001</v>
      </c>
      <c r="AG143" s="107">
        <f t="shared" si="354"/>
        <v>126.76900000000001</v>
      </c>
      <c r="AH143" s="107">
        <f t="shared" si="354"/>
        <v>131.76900000000001</v>
      </c>
      <c r="AI143" s="106">
        <f t="shared" si="354"/>
        <v>526.07600000000002</v>
      </c>
      <c r="AJ143" s="107">
        <f>+AJ139+AJ134</f>
        <v>126.8</v>
      </c>
      <c r="AK143" s="107">
        <f t="shared" ref="AK143:AN143" si="355">+AK139+AK134</f>
        <v>124.80000000000001</v>
      </c>
      <c r="AL143" s="107">
        <f t="shared" si="355"/>
        <v>122.69999999999999</v>
      </c>
      <c r="AM143" s="107">
        <f t="shared" si="355"/>
        <v>127.80000000000001</v>
      </c>
      <c r="AN143" s="106">
        <f t="shared" si="355"/>
        <v>502.1</v>
      </c>
      <c r="AO143" s="107">
        <f>+AO139+AO134</f>
        <v>128.4738686706302</v>
      </c>
      <c r="AP143" s="107">
        <f t="shared" ref="AP143:AS143" si="356">+AP139+AP134</f>
        <v>126.96428564135364</v>
      </c>
      <c r="AQ143" s="107">
        <f t="shared" si="356"/>
        <v>122.32920490918055</v>
      </c>
      <c r="AR143" s="107">
        <f t="shared" si="356"/>
        <v>123.71140785480981</v>
      </c>
      <c r="AS143" s="106">
        <f t="shared" si="356"/>
        <v>501.47876707597425</v>
      </c>
      <c r="AT143" s="107">
        <f>+AT139+AT134</f>
        <v>124.09999999999998</v>
      </c>
      <c r="AU143" s="107">
        <f t="shared" ref="AU143:AX143" si="357">+AU139+AU134</f>
        <v>125.6</v>
      </c>
      <c r="AV143" s="107">
        <f t="shared" si="357"/>
        <v>126.3</v>
      </c>
      <c r="AW143" s="107">
        <f t="shared" si="357"/>
        <v>154.60000000000002</v>
      </c>
      <c r="AX143" s="106">
        <f t="shared" si="357"/>
        <v>530.59999999999991</v>
      </c>
      <c r="AY143" s="107">
        <f>+AY139+AY134</f>
        <v>186.6</v>
      </c>
      <c r="AZ143" s="107">
        <f t="shared" ref="AZ143:BC143" si="358">+AZ139+AZ134</f>
        <v>189.1</v>
      </c>
      <c r="BA143" s="107">
        <f t="shared" si="358"/>
        <v>186.9</v>
      </c>
      <c r="BB143" s="107">
        <f t="shared" si="358"/>
        <v>191.3</v>
      </c>
      <c r="BC143" s="106">
        <f t="shared" si="358"/>
        <v>753.9</v>
      </c>
      <c r="BD143" s="107">
        <f>+BD139+BD134</f>
        <v>208.00654159626174</v>
      </c>
      <c r="BE143" s="107">
        <f t="shared" ref="BE143:BH143" si="359">+BE139+BE134</f>
        <v>208.10786575991358</v>
      </c>
      <c r="BF143" s="107">
        <f t="shared" si="359"/>
        <v>207.45880953614159</v>
      </c>
      <c r="BG143" s="107">
        <f t="shared" si="359"/>
        <v>218.46752500000002</v>
      </c>
      <c r="BH143" s="106">
        <f t="shared" si="359"/>
        <v>842.04074189231699</v>
      </c>
      <c r="BI143" s="107">
        <f>+BI139+BI134</f>
        <v>215.22099127487689</v>
      </c>
      <c r="BJ143" s="107">
        <f t="shared" ref="BJ143:BM143" si="360">+BJ139+BJ134</f>
        <v>441.45825479352681</v>
      </c>
      <c r="BK143" s="107">
        <f t="shared" si="360"/>
        <v>437.38660540634777</v>
      </c>
      <c r="BL143" s="107">
        <f t="shared" si="360"/>
        <v>455.86700000000008</v>
      </c>
      <c r="BM143" s="106">
        <f t="shared" si="360"/>
        <v>1549.9328514747515</v>
      </c>
      <c r="BN143" s="107">
        <f>+BN139+BN134</f>
        <v>431.82621523500194</v>
      </c>
      <c r="BO143" s="107">
        <f t="shared" ref="BO143:BR143" si="361">+BO139+BO134</f>
        <v>409.78111829055058</v>
      </c>
      <c r="BP143" s="107">
        <f t="shared" si="361"/>
        <v>397.60956159035584</v>
      </c>
      <c r="BQ143" s="107">
        <f t="shared" si="361"/>
        <v>399.80455000000001</v>
      </c>
      <c r="BR143" s="106">
        <f t="shared" si="361"/>
        <v>1639.0214451159084</v>
      </c>
      <c r="BS143" s="107">
        <f>+BS139+BS134</f>
        <v>353.5888940984554</v>
      </c>
      <c r="BT143" s="107">
        <f t="shared" ref="BT143:BW143" si="362">+BT139+BT134</f>
        <v>358.99173057045221</v>
      </c>
      <c r="BU143" s="107">
        <f t="shared" si="362"/>
        <v>364.03882731223734</v>
      </c>
      <c r="BV143" s="107">
        <f t="shared" si="362"/>
        <v>373.163578511906</v>
      </c>
      <c r="BW143" s="106">
        <f t="shared" si="362"/>
        <v>1449.7830304930508</v>
      </c>
      <c r="BX143" s="107">
        <f>+BX139+BX134</f>
        <v>340.6</v>
      </c>
      <c r="BY143" s="107">
        <f t="shared" ref="BY143:CB143" si="363">+BY139+BY134</f>
        <v>356.8</v>
      </c>
      <c r="BZ143" s="107">
        <f t="shared" si="363"/>
        <v>365.2</v>
      </c>
      <c r="CA143" s="107">
        <f t="shared" si="363"/>
        <v>379</v>
      </c>
      <c r="CB143" s="106">
        <f t="shared" si="363"/>
        <v>1441.6</v>
      </c>
      <c r="CC143" s="107">
        <f>+CC139+CC134</f>
        <v>356.3</v>
      </c>
      <c r="CD143" s="107">
        <f t="shared" ref="CD143:CG143" si="364">+CD139+CD134</f>
        <v>349.29999999999995</v>
      </c>
      <c r="CE143" s="107">
        <f t="shared" si="364"/>
        <v>347.09999999999997</v>
      </c>
      <c r="CF143" s="107">
        <f t="shared" si="364"/>
        <v>354.9</v>
      </c>
      <c r="CG143" s="106">
        <f t="shared" si="364"/>
        <v>1407.6</v>
      </c>
      <c r="CH143" s="107">
        <f t="shared" ref="CH143:CI143" si="365">+CH139+CH134</f>
        <v>351.70000000000005</v>
      </c>
      <c r="CI143" s="107">
        <f t="shared" si="365"/>
        <v>349.8</v>
      </c>
      <c r="CJ143" s="107">
        <f t="shared" ref="CJ143:CK143" si="366">+CJ139+CJ134</f>
        <v>343.6</v>
      </c>
      <c r="CK143" s="107">
        <f t="shared" si="366"/>
        <v>355.8</v>
      </c>
      <c r="CL143" s="106">
        <f t="shared" ref="CL143" si="367">+CL139+CL134+CL141</f>
        <v>1407.8607987483522</v>
      </c>
      <c r="CM143" s="107">
        <f>+CM139+CM134+CM141</f>
        <v>337.57249999999999</v>
      </c>
      <c r="CN143" s="107">
        <f t="shared" ref="CN143:CQ143" si="368">+CN139+CN134+CN141</f>
        <v>335.53204999999997</v>
      </c>
      <c r="CO143" s="107">
        <f t="shared" si="368"/>
        <v>340.00740000000002</v>
      </c>
      <c r="CP143" s="107">
        <f t="shared" si="368"/>
        <v>352.4307</v>
      </c>
      <c r="CQ143" s="106">
        <f t="shared" si="368"/>
        <v>1365.5426500000001</v>
      </c>
      <c r="CR143" s="107">
        <f>+CR139+CR134+CR141</f>
        <v>334.08972549999999</v>
      </c>
      <c r="CS143" s="107">
        <f t="shared" ref="CS143:CV143" si="369">+CS139+CS134+CS141</f>
        <v>332.07963775000002</v>
      </c>
      <c r="CT143" s="107">
        <f t="shared" si="369"/>
        <v>336.50902799999994</v>
      </c>
      <c r="CU143" s="107">
        <f t="shared" si="369"/>
        <v>348.79536750000005</v>
      </c>
      <c r="CV143" s="106">
        <f t="shared" si="369"/>
        <v>1351.4737587500001</v>
      </c>
      <c r="CW143" s="107">
        <f>+CW139+CW134+CW141</f>
        <v>299.01030432250002</v>
      </c>
      <c r="CX143" s="107">
        <f t="shared" ref="CX143:DA143" si="370">+CX139+CX134+CX141</f>
        <v>297.21127578624998</v>
      </c>
      <c r="CY143" s="107">
        <f t="shared" si="370"/>
        <v>301.17558005999996</v>
      </c>
      <c r="CZ143" s="107">
        <f t="shared" si="370"/>
        <v>312.17185391250007</v>
      </c>
      <c r="DA143" s="106">
        <f t="shared" si="370"/>
        <v>1209.5690140812499</v>
      </c>
      <c r="DB143" s="107">
        <f>+DB139+DB134+DB141</f>
        <v>264.62411932541255</v>
      </c>
      <c r="DC143" s="107">
        <f t="shared" ref="DC143:DF143" si="371">+DC139+DC134+DC141</f>
        <v>263.0319790708312</v>
      </c>
      <c r="DD143" s="107">
        <f t="shared" si="371"/>
        <v>266.5403883530999</v>
      </c>
      <c r="DE143" s="107">
        <f t="shared" si="371"/>
        <v>276.27209071256254</v>
      </c>
      <c r="DF143" s="106">
        <f t="shared" si="371"/>
        <v>1070.4685774619063</v>
      </c>
    </row>
    <row r="144" spans="1:110" ht="12" thickBot="1" x14ac:dyDescent="0.25">
      <c r="C144" s="182"/>
      <c r="D144" s="182"/>
      <c r="E144" s="68"/>
      <c r="F144" s="68"/>
      <c r="G144" s="68"/>
      <c r="I144" s="68"/>
      <c r="J144" s="68"/>
      <c r="K144" s="66"/>
      <c r="L144" s="66"/>
      <c r="M144" s="66"/>
      <c r="N144" s="66"/>
      <c r="O144" s="66"/>
      <c r="P144" s="66"/>
      <c r="Q144" s="66"/>
      <c r="R144" s="66"/>
      <c r="S144" s="66"/>
      <c r="T144" s="66"/>
      <c r="U144" s="66"/>
      <c r="V144" s="66"/>
      <c r="W144" s="66"/>
      <c r="X144" s="68"/>
      <c r="Y144" s="68"/>
      <c r="Z144" s="68"/>
      <c r="AA144" s="68"/>
      <c r="AB144" s="68"/>
      <c r="AC144" s="68"/>
      <c r="AD144" s="68"/>
      <c r="CF144" s="204"/>
      <c r="CG144" s="204"/>
      <c r="CH144" s="204"/>
      <c r="CI144" s="204"/>
      <c r="CJ144" s="204"/>
      <c r="CK144" s="204"/>
      <c r="CL144" s="204"/>
      <c r="CM144" s="204"/>
      <c r="CN144" s="204"/>
      <c r="CO144" s="204"/>
      <c r="CP144" s="204"/>
      <c r="CQ144" s="204"/>
      <c r="CR144" s="204"/>
      <c r="CS144" s="204"/>
      <c r="CT144" s="204"/>
      <c r="CU144" s="204"/>
      <c r="CV144" s="204"/>
      <c r="CW144" s="204"/>
      <c r="CX144" s="204"/>
      <c r="CY144" s="204"/>
      <c r="CZ144" s="204"/>
      <c r="DA144" s="204"/>
      <c r="DB144" s="204"/>
      <c r="DC144" s="204"/>
      <c r="DD144" s="204"/>
      <c r="DE144" s="204"/>
      <c r="DF144" s="204"/>
    </row>
    <row r="145" spans="2:110" ht="12" thickBot="1" x14ac:dyDescent="0.25">
      <c r="B145" s="855" t="s">
        <v>274</v>
      </c>
      <c r="C145" s="866"/>
      <c r="D145" s="866"/>
      <c r="E145" s="878"/>
      <c r="F145" s="878"/>
      <c r="G145" s="878"/>
      <c r="H145" s="819"/>
      <c r="I145" s="878"/>
      <c r="J145" s="878"/>
      <c r="K145" s="878"/>
      <c r="L145" s="878"/>
      <c r="M145" s="878"/>
      <c r="N145" s="878"/>
      <c r="O145" s="878"/>
      <c r="P145" s="878"/>
      <c r="Q145" s="878"/>
      <c r="R145" s="878"/>
      <c r="S145" s="878"/>
      <c r="T145" s="878"/>
      <c r="U145" s="878"/>
      <c r="V145" s="878"/>
      <c r="W145" s="878"/>
      <c r="X145" s="878"/>
      <c r="Y145" s="878"/>
      <c r="Z145" s="878"/>
      <c r="AA145" s="878"/>
      <c r="AB145" s="878"/>
      <c r="AC145" s="878"/>
      <c r="AD145" s="878"/>
      <c r="AE145" s="819"/>
      <c r="AF145" s="819"/>
      <c r="AG145" s="819"/>
      <c r="AH145" s="819"/>
      <c r="AI145" s="819"/>
      <c r="AJ145" s="819"/>
      <c r="AK145" s="819"/>
      <c r="AL145" s="819"/>
      <c r="AM145" s="819"/>
      <c r="AN145" s="819"/>
      <c r="AO145" s="819"/>
      <c r="AP145" s="819"/>
      <c r="AQ145" s="819"/>
      <c r="AR145" s="819"/>
      <c r="AS145" s="819"/>
      <c r="AT145" s="819"/>
      <c r="AU145" s="819"/>
      <c r="AV145" s="819"/>
      <c r="AW145" s="819"/>
      <c r="AX145" s="819"/>
      <c r="AY145" s="819"/>
      <c r="AZ145" s="819"/>
      <c r="BA145" s="819"/>
      <c r="BB145" s="819"/>
      <c r="BC145" s="819"/>
      <c r="BD145" s="819"/>
      <c r="BE145" s="819"/>
      <c r="BF145" s="819"/>
      <c r="BG145" s="819"/>
      <c r="BH145" s="819"/>
      <c r="BI145" s="819"/>
      <c r="BJ145" s="819"/>
      <c r="BK145" s="819"/>
      <c r="BL145" s="819"/>
      <c r="BM145" s="819"/>
      <c r="BN145" s="819"/>
      <c r="BO145" s="819"/>
      <c r="BP145" s="819"/>
      <c r="BQ145" s="819"/>
      <c r="BR145" s="819"/>
      <c r="BS145" s="819"/>
      <c r="BT145" s="819"/>
      <c r="BU145" s="819"/>
      <c r="BV145" s="819"/>
      <c r="BW145" s="819"/>
      <c r="BX145" s="819"/>
      <c r="BY145" s="819"/>
      <c r="BZ145" s="819"/>
      <c r="CA145" s="819"/>
      <c r="CB145" s="872"/>
      <c r="CC145" s="819"/>
      <c r="CD145" s="819"/>
      <c r="CE145" s="819"/>
      <c r="CF145" s="819"/>
      <c r="CG145" s="872"/>
      <c r="CH145" s="819"/>
      <c r="CI145" s="819"/>
      <c r="CJ145" s="819"/>
      <c r="CK145" s="819"/>
      <c r="CL145" s="872"/>
      <c r="CM145" s="819"/>
      <c r="CN145" s="819"/>
      <c r="CO145" s="819"/>
      <c r="CP145" s="819"/>
      <c r="CQ145" s="872"/>
      <c r="CR145" s="819"/>
      <c r="CS145" s="819"/>
      <c r="CT145" s="819"/>
      <c r="CU145" s="819"/>
      <c r="CV145" s="872"/>
      <c r="CW145" s="819"/>
      <c r="CX145" s="819"/>
      <c r="CY145" s="819"/>
      <c r="CZ145" s="819"/>
      <c r="DA145" s="872"/>
      <c r="DB145" s="819"/>
      <c r="DC145" s="819"/>
      <c r="DD145" s="819"/>
      <c r="DE145" s="819"/>
      <c r="DF145" s="872"/>
    </row>
    <row r="146" spans="2:110" x14ac:dyDescent="0.2">
      <c r="B146" s="487" t="s">
        <v>286</v>
      </c>
      <c r="C146" s="206"/>
      <c r="D146" s="206"/>
      <c r="E146" s="207"/>
      <c r="F146" s="207"/>
      <c r="G146" s="207"/>
      <c r="H146" s="53"/>
      <c r="I146" s="207"/>
      <c r="J146" s="207"/>
      <c r="K146" s="166"/>
      <c r="L146" s="166"/>
      <c r="M146" s="166"/>
      <c r="N146" s="166"/>
      <c r="O146" s="166"/>
      <c r="P146" s="222">
        <v>0.16087969263826762</v>
      </c>
      <c r="Q146" s="222">
        <v>0.15895667933742297</v>
      </c>
      <c r="R146" s="222">
        <v>0.15867268570330817</v>
      </c>
      <c r="S146" s="222">
        <v>0.16141952090870432</v>
      </c>
      <c r="T146" s="214">
        <v>0.15998214464692578</v>
      </c>
      <c r="U146" s="222">
        <v>0.16087969263826762</v>
      </c>
      <c r="V146" s="222">
        <v>0.15895667933742297</v>
      </c>
      <c r="W146" s="222">
        <v>0.15867268570330817</v>
      </c>
      <c r="X146" s="222">
        <v>0.16141952090870432</v>
      </c>
      <c r="Y146" s="214">
        <v>0.15998214464692578</v>
      </c>
      <c r="Z146" s="222">
        <v>0.16087969263826762</v>
      </c>
      <c r="AA146" s="222">
        <v>0.15895667933742297</v>
      </c>
      <c r="AB146" s="222">
        <v>0.15867268570330817</v>
      </c>
      <c r="AC146" s="222">
        <v>0.16141952090870432</v>
      </c>
      <c r="AD146" s="214">
        <v>0.15998214464692578</v>
      </c>
      <c r="AE146" s="222">
        <v>0.16141952090870432</v>
      </c>
      <c r="AF146" s="222">
        <v>0.16350000000000001</v>
      </c>
      <c r="AG146" s="222">
        <v>0.16700000000000001</v>
      </c>
      <c r="AH146" s="222">
        <v>0.17399999999999999</v>
      </c>
      <c r="AI146" s="214">
        <v>0.16657521472415315</v>
      </c>
      <c r="AJ146" s="222">
        <v>0.23303932586754406</v>
      </c>
      <c r="AK146" s="222">
        <v>0.23552694837416754</v>
      </c>
      <c r="AL146" s="222">
        <v>0.23110514581629626</v>
      </c>
      <c r="AM146" s="222">
        <v>0.23433723748041924</v>
      </c>
      <c r="AN146" s="214">
        <v>0.17992374112026879</v>
      </c>
      <c r="AO146" s="222">
        <v>0.24139431202011807</v>
      </c>
      <c r="AP146" s="222">
        <v>0.24393748669638393</v>
      </c>
      <c r="AQ146" s="222">
        <v>0.26071824142707978</v>
      </c>
      <c r="AR146" s="222">
        <v>0.2646408895191722</v>
      </c>
      <c r="AS146" s="619">
        <f>AS180/(AS180+AS181)</f>
        <v>0.2526010969364863</v>
      </c>
      <c r="AT146" s="222">
        <v>0.26600000000000001</v>
      </c>
      <c r="AU146" s="222">
        <v>0.26354955808030189</v>
      </c>
      <c r="AV146" s="222">
        <v>0.26419007114733761</v>
      </c>
      <c r="AW146" s="1020">
        <v>0.2813838361294097</v>
      </c>
      <c r="AX146" s="214">
        <f>AX180/(AX180+AX181)</f>
        <v>0.27045616454429772</v>
      </c>
      <c r="AY146" s="222">
        <v>0.28522132271482598</v>
      </c>
      <c r="AZ146" s="222">
        <v>0.29264408606775127</v>
      </c>
      <c r="BA146" s="222">
        <v>0.30036223145886398</v>
      </c>
      <c r="BB146" s="222">
        <v>0.307</v>
      </c>
      <c r="BC146" s="214">
        <f>BC180/(BC180+BC181)</f>
        <v>0.29630561538526429</v>
      </c>
      <c r="BD146" s="222">
        <v>0.33808201358298928</v>
      </c>
      <c r="BE146" s="1020">
        <v>0.3302198643011296</v>
      </c>
      <c r="BF146" s="222">
        <v>0.32411789662250912</v>
      </c>
      <c r="BG146" s="222">
        <v>0.34746301138737457</v>
      </c>
      <c r="BH146" s="214">
        <f>BH180/(BH180+BH181)</f>
        <v>0.33512963503394355</v>
      </c>
      <c r="BI146" s="222">
        <v>0.35860852457239678</v>
      </c>
      <c r="BJ146" s="222">
        <v>0.37392407290716279</v>
      </c>
      <c r="BK146" s="222">
        <v>0.38496021729219332</v>
      </c>
      <c r="BL146" s="222">
        <v>0.38803613538125448</v>
      </c>
      <c r="BM146" s="214">
        <f>BM180/(BM180+BM181)</f>
        <v>0.37913445740651047</v>
      </c>
      <c r="BN146" s="222">
        <v>0.39200448069737193</v>
      </c>
      <c r="BO146" s="222">
        <v>0.39153946248925953</v>
      </c>
      <c r="BP146" s="222">
        <v>0.39277199973326016</v>
      </c>
      <c r="BQ146" s="222">
        <v>0.39364470412924568</v>
      </c>
      <c r="BR146" s="214">
        <f>BR180/(BR180+BR181)</f>
        <v>0.39247149136890924</v>
      </c>
      <c r="BS146" s="222">
        <v>0.39883779357060345</v>
      </c>
      <c r="BT146" s="222">
        <v>0.38440707471044289</v>
      </c>
      <c r="BU146" s="222">
        <v>0.38174055679792873</v>
      </c>
      <c r="BV146" s="222">
        <v>0.37645960645147158</v>
      </c>
      <c r="BW146" s="214">
        <f t="shared" ref="BW146:CB146" si="372">BW180/(BW180+BW181)</f>
        <v>0.38509990699389091</v>
      </c>
      <c r="BX146" s="1882">
        <v>0.37651778015881987</v>
      </c>
      <c r="BY146" s="1882">
        <v>0.3749368235210323</v>
      </c>
      <c r="BZ146" s="1882">
        <v>0.37747495155899213</v>
      </c>
      <c r="CA146" s="1882">
        <v>0.3717115073156958</v>
      </c>
      <c r="CB146" s="214">
        <f t="shared" si="372"/>
        <v>0.37514205025084807</v>
      </c>
      <c r="CC146" s="1882">
        <v>0.36583646494012134</v>
      </c>
      <c r="CD146" s="1882">
        <v>0.36686220078622989</v>
      </c>
      <c r="CE146" s="1882">
        <v>0.36119919067462192</v>
      </c>
      <c r="CF146" s="1882">
        <v>0.35586785727558978</v>
      </c>
      <c r="CG146" s="214">
        <f t="shared" ref="CG146" si="373">CG180/(CG180+CG181)</f>
        <v>0.36253458393315702</v>
      </c>
      <c r="CH146" s="1882">
        <v>0.35586785727558978</v>
      </c>
      <c r="CI146" s="1882">
        <v>0.35586785727558978</v>
      </c>
      <c r="CJ146" s="1882">
        <v>0.331395013609874</v>
      </c>
      <c r="CK146" s="1882">
        <v>0.33248922386925395</v>
      </c>
      <c r="CL146" s="214">
        <f t="shared" ref="CL146" si="374">CL180/(CL180+CL181)</f>
        <v>0.34394909695097758</v>
      </c>
      <c r="CM146" s="166">
        <f>+(CM153*CM132)/CM12</f>
        <v>0.33513304893321794</v>
      </c>
      <c r="CN146" s="166">
        <f>+(CN153*CN132)/CN12</f>
        <v>0.33515653759395747</v>
      </c>
      <c r="CO146" s="166">
        <f>+(CO153*CO132)/CO12</f>
        <v>0.31126843380072583</v>
      </c>
      <c r="CP146" s="166">
        <f>+(CP153*CP132)/CP12</f>
        <v>0.312228796373067</v>
      </c>
      <c r="CQ146" s="214">
        <f t="shared" ref="CQ146" si="375">CQ180/(CQ180+CQ181)</f>
        <v>0.32329332742911993</v>
      </c>
      <c r="CR146" s="166">
        <f>+(CR153*CR132)/CR12</f>
        <v>0.3012996167165517</v>
      </c>
      <c r="CS146" s="166">
        <f>+(CS153*CS132)/CS12</f>
        <v>0.30125425946244905</v>
      </c>
      <c r="CT146" s="166">
        <f>+(CT153*CT132)/CT12</f>
        <v>0.27920069229461125</v>
      </c>
      <c r="CU146" s="166">
        <f>+(CU153*CU132)/CU12</f>
        <v>0.28038427694322071</v>
      </c>
      <c r="CV146" s="214">
        <f t="shared" ref="CV146" si="376">CV180/(CV180+CV181)</f>
        <v>0.29038622351659837</v>
      </c>
      <c r="CW146" s="166">
        <f>+(CW153*CW132)/CW12</f>
        <v>0.27541389720662568</v>
      </c>
      <c r="CX146" s="166">
        <f>+(CX153*CX132)/CX12</f>
        <v>0.27531212351987017</v>
      </c>
      <c r="CY146" s="166">
        <f>+(CY153*CY132)/CY12</f>
        <v>0.25484036614110556</v>
      </c>
      <c r="CZ146" s="166">
        <f>+(CZ153*CZ132)/CZ12</f>
        <v>0.25620303198604388</v>
      </c>
      <c r="DA146" s="214">
        <f t="shared" ref="DA146" si="377">DA180/(DA180+DA181)</f>
        <v>0.26530210437921847</v>
      </c>
      <c r="DB146" s="166">
        <f>+(DB153*DB132)/DB12</f>
        <v>0.2477106966897645</v>
      </c>
      <c r="DC146" s="166">
        <f>+(DC153*DC132)/DC12</f>
        <v>0.24756512125636859</v>
      </c>
      <c r="DD146" s="166">
        <f>+(DD153*DD132)/DD12</f>
        <v>0.22882686148686027</v>
      </c>
      <c r="DE146" s="166">
        <f>+(DE153*DE132)/DE12</f>
        <v>0.23030482942396874</v>
      </c>
      <c r="DF146" s="214">
        <f t="shared" ref="DF146" si="378">DF180/(DF180+DF181)</f>
        <v>0.2384703249657131</v>
      </c>
    </row>
    <row r="147" spans="2:110" x14ac:dyDescent="0.2">
      <c r="B147" s="487" t="s">
        <v>287</v>
      </c>
      <c r="C147" s="182"/>
      <c r="D147" s="182"/>
      <c r="E147" s="68"/>
      <c r="F147" s="68"/>
      <c r="G147" s="68"/>
      <c r="I147" s="68"/>
      <c r="J147" s="68"/>
      <c r="K147" s="66"/>
      <c r="L147" s="66"/>
      <c r="M147" s="66"/>
      <c r="N147" s="66"/>
      <c r="O147" s="66"/>
      <c r="P147" s="66">
        <v>0.83912030736173238</v>
      </c>
      <c r="Q147" s="66">
        <v>0.84104332066257703</v>
      </c>
      <c r="R147" s="66">
        <v>0.84132731429669183</v>
      </c>
      <c r="S147" s="66">
        <v>0.83858047909129563</v>
      </c>
      <c r="T147" s="136">
        <v>0.84001785535307416</v>
      </c>
      <c r="U147" s="66">
        <v>0.83912030736173238</v>
      </c>
      <c r="V147" s="66">
        <v>0.84104332066257703</v>
      </c>
      <c r="W147" s="66">
        <v>0.84132731429669183</v>
      </c>
      <c r="X147" s="66">
        <v>0.83858047909129563</v>
      </c>
      <c r="Y147" s="136">
        <v>0.84001785535307416</v>
      </c>
      <c r="Z147" s="66">
        <v>0.83912030736173238</v>
      </c>
      <c r="AA147" s="66">
        <v>0.84104332066257703</v>
      </c>
      <c r="AB147" s="66">
        <v>0.84132731429669183</v>
      </c>
      <c r="AC147" s="66">
        <v>0.83858047909129563</v>
      </c>
      <c r="AD147" s="136">
        <v>0.84001785535307416</v>
      </c>
      <c r="AE147" s="66">
        <v>0.83858047909129563</v>
      </c>
      <c r="AF147" s="66">
        <v>0.83650000000000002</v>
      </c>
      <c r="AG147" s="66">
        <v>0.83299999999999996</v>
      </c>
      <c r="AH147" s="66">
        <v>0.82600000000000007</v>
      </c>
      <c r="AI147" s="136">
        <v>0.83342478527584685</v>
      </c>
      <c r="AJ147" s="66">
        <v>0.82600000000000007</v>
      </c>
      <c r="AK147" s="66">
        <v>0.81912146018599785</v>
      </c>
      <c r="AL147" s="66">
        <v>0.83164014266173891</v>
      </c>
      <c r="AM147" s="66">
        <v>0.80400000000000005</v>
      </c>
      <c r="AN147" s="136">
        <v>0.82007625887973123</v>
      </c>
      <c r="AO147" s="66">
        <f t="shared" ref="AO147:AY147" si="379">1-AO146</f>
        <v>0.75860568797988193</v>
      </c>
      <c r="AP147" s="66">
        <f t="shared" si="379"/>
        <v>0.75606251330361607</v>
      </c>
      <c r="AQ147" s="66">
        <f t="shared" si="379"/>
        <v>0.73928175857292022</v>
      </c>
      <c r="AR147" s="66">
        <f t="shared" si="379"/>
        <v>0.7353591104808278</v>
      </c>
      <c r="AS147" s="136">
        <f t="shared" si="379"/>
        <v>0.74739890306351375</v>
      </c>
      <c r="AT147" s="66">
        <f t="shared" si="379"/>
        <v>0.73399999999999999</v>
      </c>
      <c r="AU147" s="66">
        <f t="shared" si="379"/>
        <v>0.73645044191969811</v>
      </c>
      <c r="AV147" s="66">
        <f t="shared" si="379"/>
        <v>0.73580992885266239</v>
      </c>
      <c r="AW147" s="66">
        <f t="shared" si="379"/>
        <v>0.71861616387059035</v>
      </c>
      <c r="AX147" s="136">
        <f t="shared" si="379"/>
        <v>0.72954383545570223</v>
      </c>
      <c r="AY147" s="66">
        <f t="shared" si="379"/>
        <v>0.71477867728517408</v>
      </c>
      <c r="AZ147" s="66">
        <f>100%-AZ146</f>
        <v>0.70735591393224873</v>
      </c>
      <c r="BA147" s="66">
        <f>100%-BA146</f>
        <v>0.69963776854113602</v>
      </c>
      <c r="BB147" s="66">
        <f t="shared" ref="BB147:CC147" si="380">1-BB146</f>
        <v>0.69300000000000006</v>
      </c>
      <c r="BC147" s="136">
        <f t="shared" si="380"/>
        <v>0.70369438461473566</v>
      </c>
      <c r="BD147" s="66">
        <f t="shared" si="380"/>
        <v>0.66191798641701072</v>
      </c>
      <c r="BE147" s="66">
        <f t="shared" si="380"/>
        <v>0.6697801356988704</v>
      </c>
      <c r="BF147" s="66">
        <f t="shared" si="380"/>
        <v>0.67588210337749088</v>
      </c>
      <c r="BG147" s="66">
        <f t="shared" si="380"/>
        <v>0.65253698861262543</v>
      </c>
      <c r="BH147" s="136">
        <f t="shared" si="380"/>
        <v>0.66487036496605645</v>
      </c>
      <c r="BI147" s="66">
        <f t="shared" si="380"/>
        <v>0.64139147542760322</v>
      </c>
      <c r="BJ147" s="66">
        <f t="shared" si="380"/>
        <v>0.62607592709283721</v>
      </c>
      <c r="BK147" s="66">
        <f t="shared" si="380"/>
        <v>0.61503978270780668</v>
      </c>
      <c r="BL147" s="66">
        <f t="shared" si="380"/>
        <v>0.61196386461874552</v>
      </c>
      <c r="BM147" s="136">
        <f t="shared" si="380"/>
        <v>0.62086554259348947</v>
      </c>
      <c r="BN147" s="66">
        <f t="shared" si="380"/>
        <v>0.60799551930262807</v>
      </c>
      <c r="BO147" s="66">
        <f t="shared" si="380"/>
        <v>0.60846053751074047</v>
      </c>
      <c r="BP147" s="66">
        <f t="shared" si="380"/>
        <v>0.60722800026673984</v>
      </c>
      <c r="BQ147" s="66">
        <f t="shared" si="380"/>
        <v>0.60635529587075432</v>
      </c>
      <c r="BR147" s="136">
        <f t="shared" si="380"/>
        <v>0.60752850863109076</v>
      </c>
      <c r="BS147" s="66">
        <f t="shared" si="380"/>
        <v>0.60116220642939655</v>
      </c>
      <c r="BT147" s="66">
        <f t="shared" si="380"/>
        <v>0.61559292528955711</v>
      </c>
      <c r="BU147" s="66">
        <f t="shared" si="380"/>
        <v>0.61825944320207127</v>
      </c>
      <c r="BV147" s="66">
        <f t="shared" si="380"/>
        <v>0.62354039354852842</v>
      </c>
      <c r="BW147" s="136">
        <f t="shared" si="380"/>
        <v>0.61490009300610904</v>
      </c>
      <c r="BX147" s="66">
        <f t="shared" ref="BX147:CA147" si="381">1-BX146</f>
        <v>0.62348221984118013</v>
      </c>
      <c r="BY147" s="66">
        <f t="shared" si="381"/>
        <v>0.6250631764789677</v>
      </c>
      <c r="BZ147" s="66">
        <f t="shared" si="381"/>
        <v>0.62252504844100787</v>
      </c>
      <c r="CA147" s="66">
        <f t="shared" si="381"/>
        <v>0.6282884926843042</v>
      </c>
      <c r="CB147" s="136">
        <f t="shared" si="380"/>
        <v>0.62485794974915199</v>
      </c>
      <c r="CC147" s="66">
        <f t="shared" si="380"/>
        <v>0.63416353505987866</v>
      </c>
      <c r="CD147" s="66">
        <f t="shared" ref="CD147:CE147" si="382">1-CD146</f>
        <v>0.63313779921377011</v>
      </c>
      <c r="CE147" s="66">
        <f t="shared" si="382"/>
        <v>0.63880080932537808</v>
      </c>
      <c r="CF147" s="66">
        <f t="shared" ref="CF147:CL147" si="383">1-CF146</f>
        <v>0.64413214272441022</v>
      </c>
      <c r="CG147" s="136">
        <f t="shared" si="383"/>
        <v>0.63746541606684293</v>
      </c>
      <c r="CH147" s="66">
        <f t="shared" ref="CH147:CI147" si="384">1-CH146</f>
        <v>0.64413214272441022</v>
      </c>
      <c r="CI147" s="66">
        <f t="shared" si="384"/>
        <v>0.64413214272441022</v>
      </c>
      <c r="CJ147" s="66">
        <f t="shared" ref="CJ147:CK147" si="385">1-CJ146</f>
        <v>0.668604986390126</v>
      </c>
      <c r="CK147" s="66">
        <f t="shared" si="385"/>
        <v>0.66751077613074605</v>
      </c>
      <c r="CL147" s="136">
        <f t="shared" si="383"/>
        <v>0.65605090304902247</v>
      </c>
      <c r="CM147" s="66">
        <f t="shared" ref="CM147:CV147" si="386">1-CM146</f>
        <v>0.66486695106678206</v>
      </c>
      <c r="CN147" s="66">
        <f t="shared" si="386"/>
        <v>0.66484346240604253</v>
      </c>
      <c r="CO147" s="66">
        <f t="shared" si="386"/>
        <v>0.68873156619927411</v>
      </c>
      <c r="CP147" s="66">
        <f t="shared" si="386"/>
        <v>0.687771203626933</v>
      </c>
      <c r="CQ147" s="136">
        <f t="shared" si="386"/>
        <v>0.67670667257088013</v>
      </c>
      <c r="CR147" s="66">
        <f t="shared" si="386"/>
        <v>0.6987003832834483</v>
      </c>
      <c r="CS147" s="66">
        <f t="shared" si="386"/>
        <v>0.69874574053755101</v>
      </c>
      <c r="CT147" s="66">
        <f t="shared" si="386"/>
        <v>0.72079930770538869</v>
      </c>
      <c r="CU147" s="66">
        <f t="shared" si="386"/>
        <v>0.71961572305677923</v>
      </c>
      <c r="CV147" s="136">
        <f t="shared" si="386"/>
        <v>0.70961377648340163</v>
      </c>
      <c r="CW147" s="66">
        <f t="shared" ref="CW147:DF147" si="387">1-CW146</f>
        <v>0.72458610279337432</v>
      </c>
      <c r="CX147" s="66">
        <f t="shared" si="387"/>
        <v>0.72468787648012989</v>
      </c>
      <c r="CY147" s="66">
        <f t="shared" si="387"/>
        <v>0.74515963385889439</v>
      </c>
      <c r="CZ147" s="66">
        <f t="shared" si="387"/>
        <v>0.74379696801395612</v>
      </c>
      <c r="DA147" s="136">
        <f t="shared" si="387"/>
        <v>0.73469789562078147</v>
      </c>
      <c r="DB147" s="66">
        <f t="shared" si="387"/>
        <v>0.75228930331023547</v>
      </c>
      <c r="DC147" s="66">
        <f t="shared" si="387"/>
        <v>0.75243487874363146</v>
      </c>
      <c r="DD147" s="66">
        <f t="shared" si="387"/>
        <v>0.77117313851313973</v>
      </c>
      <c r="DE147" s="66">
        <f t="shared" si="387"/>
        <v>0.76969517057603132</v>
      </c>
      <c r="DF147" s="136">
        <f t="shared" si="387"/>
        <v>0.76152967503428692</v>
      </c>
    </row>
    <row r="148" spans="2:110" x14ac:dyDescent="0.2">
      <c r="B148" s="487" t="s">
        <v>275</v>
      </c>
      <c r="C148" s="182"/>
      <c r="D148" s="182"/>
      <c r="E148" s="68"/>
      <c r="F148" s="68"/>
      <c r="G148" s="68"/>
      <c r="I148" s="68"/>
      <c r="J148" s="68"/>
      <c r="K148" s="66"/>
      <c r="L148" s="66"/>
      <c r="M148" s="66"/>
      <c r="N148" s="66"/>
      <c r="O148" s="66"/>
      <c r="P148" s="196">
        <v>0.1293689287645087</v>
      </c>
      <c r="Q148" s="196">
        <v>0.11755559036509114</v>
      </c>
      <c r="R148" s="196">
        <v>0.12330174108178341</v>
      </c>
      <c r="S148" s="196">
        <v>0.12476704902324665</v>
      </c>
      <c r="T148" s="136">
        <v>0.12374832730865748</v>
      </c>
      <c r="U148" s="196">
        <v>0.13062139501053277</v>
      </c>
      <c r="V148" s="196">
        <v>0.13254181047349434</v>
      </c>
      <c r="W148" s="196">
        <v>0.1281102692385552</v>
      </c>
      <c r="X148" s="196">
        <v>0.1372210540764027</v>
      </c>
      <c r="Y148" s="136">
        <v>0.13212363219974627</v>
      </c>
      <c r="Z148" s="196">
        <v>0.13187386125655684</v>
      </c>
      <c r="AA148" s="196">
        <v>0.13200000000000001</v>
      </c>
      <c r="AB148" s="196">
        <v>0.132918797395327</v>
      </c>
      <c r="AC148" s="196">
        <v>0.13200000000000001</v>
      </c>
      <c r="AD148" s="136">
        <v>0.13219816466297096</v>
      </c>
      <c r="AE148" s="196">
        <v>0.13200000000000001</v>
      </c>
      <c r="AF148" s="196">
        <v>0.14000000000000001</v>
      </c>
      <c r="AG148" s="196">
        <v>0.14299999999999999</v>
      </c>
      <c r="AH148" s="196">
        <v>0.155</v>
      </c>
      <c r="AI148" s="136">
        <v>0.14235038535645475</v>
      </c>
      <c r="AJ148" s="196">
        <v>0.18304059216888857</v>
      </c>
      <c r="AK148" s="196">
        <v>0.17308043407698859</v>
      </c>
      <c r="AL148" s="196">
        <v>0.17177662149185147</v>
      </c>
      <c r="AM148" s="196">
        <v>0.1633950158662042</v>
      </c>
      <c r="AN148" s="136">
        <v>0.16450987044845702</v>
      </c>
      <c r="AO148" s="196">
        <v>0.15824891244015094</v>
      </c>
      <c r="AP148" s="196">
        <v>0.16470461011986315</v>
      </c>
      <c r="AQ148" s="196">
        <v>0.17529812847851256</v>
      </c>
      <c r="AR148" s="196">
        <v>0.17242117771555354</v>
      </c>
      <c r="AS148" s="136">
        <f>AS183/(AS$183+AS$184)</f>
        <v>0.16772154814740356</v>
      </c>
      <c r="AT148" s="196">
        <v>0.17257944133192005</v>
      </c>
      <c r="AU148" s="196">
        <v>0.17594120218899933</v>
      </c>
      <c r="AV148" s="196">
        <v>0.17331523755328782</v>
      </c>
      <c r="AW148" s="660">
        <v>0.17561161902357272</v>
      </c>
      <c r="AX148" s="136">
        <f ca="1">AX183/(AX$183+AX$184)</f>
        <v>0.17451047412554294</v>
      </c>
      <c r="AY148" s="196">
        <v>0.182</v>
      </c>
      <c r="AZ148" s="196">
        <v>0.18367823672847874</v>
      </c>
      <c r="BA148" s="196">
        <v>0.18561277343422999</v>
      </c>
      <c r="BB148" s="196">
        <v>0.1851644664296222</v>
      </c>
      <c r="BC148" s="136">
        <f ca="1">BC183/(BC$183+BC$184)</f>
        <v>0.18412017209449777</v>
      </c>
      <c r="BD148" s="196">
        <v>0.20134088225986879</v>
      </c>
      <c r="BE148" s="660">
        <v>0.19941727179111557</v>
      </c>
      <c r="BF148" s="196">
        <v>0.19410860466302915</v>
      </c>
      <c r="BG148" s="196">
        <v>0.20144295596007056</v>
      </c>
      <c r="BH148" s="136">
        <f ca="1">BH183/(BH$183+BH$184)</f>
        <v>0.19907062517504223</v>
      </c>
      <c r="BI148" s="196">
        <v>0.20737780316385279</v>
      </c>
      <c r="BJ148" s="196">
        <v>0.21874190345122824</v>
      </c>
      <c r="BK148" s="196">
        <v>0.21914176991299927</v>
      </c>
      <c r="BL148" s="196">
        <v>0.2226232755980565</v>
      </c>
      <c r="BM148" s="136">
        <f ca="1">BM183/(BM$183+BM$184)</f>
        <v>0.21865170675825141</v>
      </c>
      <c r="BN148" s="196">
        <v>0.22123030293473578</v>
      </c>
      <c r="BO148" s="196">
        <v>0.22031740283931578</v>
      </c>
      <c r="BP148" s="196">
        <v>0.20742407640646043</v>
      </c>
      <c r="BQ148" s="196">
        <v>0.19358132013502838</v>
      </c>
      <c r="BR148" s="136">
        <f ca="1">BR183/(BR$183+BR$184)</f>
        <v>0.21059180741043729</v>
      </c>
      <c r="BS148" s="1859">
        <f>+BQ148+(BS124-BQ124)</f>
        <v>0.20658132013502839</v>
      </c>
      <c r="BT148" s="1859">
        <f>+BS148+(BT124-BS124)</f>
        <v>0.21158132013502839</v>
      </c>
      <c r="BU148" s="1859">
        <f t="shared" ref="BU148:BV148" si="388">+BT148+(BU124-BT124)</f>
        <v>0.2175813201350284</v>
      </c>
      <c r="BV148" s="1859">
        <f t="shared" si="388"/>
        <v>0.2225813201350284</v>
      </c>
      <c r="BW148" s="136">
        <f ca="1">BW183/(BW$183+BW$184)</f>
        <v>0.21488326730308091</v>
      </c>
      <c r="BX148" s="1859">
        <f>+BV148+(BX124-BV124)</f>
        <v>0.23058132013502841</v>
      </c>
      <c r="BY148" s="1859">
        <f>+BX148+(BY124-BX124)</f>
        <v>0.23858132013502842</v>
      </c>
      <c r="BZ148" s="1859">
        <f t="shared" ref="BZ148:CA148" si="389">+BY148+(BZ124-BY124)</f>
        <v>0.24558132013502842</v>
      </c>
      <c r="CA148" s="1859">
        <f t="shared" si="389"/>
        <v>0.23658132013502842</v>
      </c>
      <c r="CB148" s="136">
        <f ca="1">CB183/(CB$183+CB$184)</f>
        <v>0.23788340903173966</v>
      </c>
      <c r="CC148" s="1859">
        <f>+CA148+(CC124-CA124)</f>
        <v>0.24058132013502842</v>
      </c>
      <c r="CD148" s="1859">
        <f>+CC148+(CD124-CC124)</f>
        <v>0.25158132013502843</v>
      </c>
      <c r="CE148" s="1859">
        <f t="shared" ref="CE148:CF148" si="390">+CD148+(CE124-CD124)</f>
        <v>0.25558132013502832</v>
      </c>
      <c r="CF148" s="1859">
        <f t="shared" si="390"/>
        <v>0.25658132013502832</v>
      </c>
      <c r="CG148" s="136">
        <f ca="1">CG183/(CG$183+CG$184)</f>
        <v>0.25108047839801145</v>
      </c>
      <c r="CH148" s="1859">
        <f ca="1">+CG148+(CH124-CG124)</f>
        <v>0.26360027332823083</v>
      </c>
      <c r="CI148" s="1859">
        <f ca="1">+CH148+(CI124-CH124)</f>
        <v>0.27060027332823083</v>
      </c>
      <c r="CJ148" s="1859">
        <f ca="1">+CI148+(CJ124-CI124)</f>
        <v>0.27760027332823084</v>
      </c>
      <c r="CK148" s="1859">
        <f ca="1">+CJ148+(CK124-CJ124)</f>
        <v>0.27760027332823084</v>
      </c>
      <c r="CL148" s="136">
        <f t="shared" ref="CL148:DF148" ca="1" si="391">CL183/(CL$183+CL$184)</f>
        <v>0.2721601915402731</v>
      </c>
      <c r="CM148" s="66">
        <f t="shared" ca="1" si="391"/>
        <v>0.28037194736752324</v>
      </c>
      <c r="CN148" s="66">
        <f t="shared" ca="1" si="391"/>
        <v>0.28904670263243321</v>
      </c>
      <c r="CO148" s="66">
        <f t="shared" ca="1" si="391"/>
        <v>0.29789701232446475</v>
      </c>
      <c r="CP148" s="66">
        <f t="shared" ca="1" si="391"/>
        <v>0.29789701232446475</v>
      </c>
      <c r="CQ148" s="136">
        <f t="shared" ca="1" si="391"/>
        <v>0.29113838551860299</v>
      </c>
      <c r="CR148" s="66">
        <f t="shared" ca="1" si="391"/>
        <v>0.29101583416627003</v>
      </c>
      <c r="CS148" s="66">
        <f t="shared" ca="1" si="391"/>
        <v>0.29020764556492451</v>
      </c>
      <c r="CT148" s="66">
        <f t="shared" ca="1" si="391"/>
        <v>0.30013984612189193</v>
      </c>
      <c r="CU148" s="66">
        <f t="shared" ca="1" si="391"/>
        <v>0.29633827008941133</v>
      </c>
      <c r="CV148" s="136">
        <f t="shared" ca="1" si="391"/>
        <v>0.29430098382492081</v>
      </c>
      <c r="CW148" s="66">
        <f t="shared" ca="1" si="391"/>
        <v>0.29607077261261266</v>
      </c>
      <c r="CX148" s="66">
        <f t="shared" ca="1" si="391"/>
        <v>0.2954005778584885</v>
      </c>
      <c r="CY148" s="66">
        <f t="shared" ca="1" si="391"/>
        <v>0.30655016412696579</v>
      </c>
      <c r="CZ148" s="66">
        <f t="shared" ca="1" si="391"/>
        <v>0.30237225190506201</v>
      </c>
      <c r="DA148" s="136">
        <f t="shared" ca="1" si="391"/>
        <v>0.29995187507236049</v>
      </c>
      <c r="DB148" s="66">
        <f t="shared" ca="1" si="391"/>
        <v>0.29906777924867439</v>
      </c>
      <c r="DC148" s="66">
        <f t="shared" ca="1" si="391"/>
        <v>0.29857240836626847</v>
      </c>
      <c r="DD148" s="66">
        <f t="shared" ca="1" si="391"/>
        <v>0.31116530979187451</v>
      </c>
      <c r="DE148" s="66">
        <f t="shared" ca="1" si="391"/>
        <v>0.30654358844023094</v>
      </c>
      <c r="DF148" s="136">
        <f t="shared" ca="1" si="391"/>
        <v>0.30366152874025654</v>
      </c>
    </row>
    <row r="149" spans="2:110" ht="12" thickBot="1" x14ac:dyDescent="0.25">
      <c r="B149" s="488" t="s">
        <v>276</v>
      </c>
      <c r="C149" s="211"/>
      <c r="D149" s="211"/>
      <c r="E149" s="120"/>
      <c r="F149" s="120"/>
      <c r="G149" s="120"/>
      <c r="H149" s="55"/>
      <c r="I149" s="120"/>
      <c r="J149" s="120"/>
      <c r="K149" s="140"/>
      <c r="L149" s="140"/>
      <c r="M149" s="140"/>
      <c r="N149" s="140"/>
      <c r="O149" s="140"/>
      <c r="P149" s="120">
        <v>0.87063107123549133</v>
      </c>
      <c r="Q149" s="120">
        <v>0.88244440963490889</v>
      </c>
      <c r="R149" s="120">
        <v>0.87669825891821662</v>
      </c>
      <c r="S149" s="120">
        <v>0.87523295097675335</v>
      </c>
      <c r="T149" s="121">
        <v>0.87625167269134263</v>
      </c>
      <c r="U149" s="120">
        <v>0.86937860498946717</v>
      </c>
      <c r="V149" s="120">
        <v>0.86745818952650566</v>
      </c>
      <c r="W149" s="120">
        <v>0.87188973076144483</v>
      </c>
      <c r="X149" s="120">
        <v>0.86277894592359727</v>
      </c>
      <c r="Y149" s="121">
        <v>0.86787636780025379</v>
      </c>
      <c r="Z149" s="120">
        <v>0.86812613874344313</v>
      </c>
      <c r="AA149" s="120">
        <v>0.86799999999999999</v>
      </c>
      <c r="AB149" s="120">
        <v>0.86708120260467303</v>
      </c>
      <c r="AC149" s="120">
        <v>0.86799999999999999</v>
      </c>
      <c r="AD149" s="121">
        <v>0.86780183533702904</v>
      </c>
      <c r="AE149" s="120">
        <v>0.86799999999999999</v>
      </c>
      <c r="AF149" s="140">
        <v>0.86</v>
      </c>
      <c r="AG149" s="140">
        <v>0.85699999999999998</v>
      </c>
      <c r="AH149" s="140">
        <v>0.84499999999999997</v>
      </c>
      <c r="AI149" s="141">
        <v>0.85764961464354528</v>
      </c>
      <c r="AJ149" s="140">
        <v>0.84499999999999997</v>
      </c>
      <c r="AK149" s="140">
        <v>0.83128610468484965</v>
      </c>
      <c r="AL149" s="140">
        <v>0.83794818642691749</v>
      </c>
      <c r="AM149" s="140">
        <v>0.82800000000000007</v>
      </c>
      <c r="AN149" s="141">
        <v>0.835490129551543</v>
      </c>
      <c r="AO149" s="140">
        <f>1-AO148</f>
        <v>0.84175108755984906</v>
      </c>
      <c r="AP149" s="140">
        <f>1-AP148</f>
        <v>0.83529538988013685</v>
      </c>
      <c r="AQ149" s="140">
        <f>1-AQ148</f>
        <v>0.82470187152148744</v>
      </c>
      <c r="AR149" s="140">
        <f>1-AR148</f>
        <v>0.82757882228444646</v>
      </c>
      <c r="AS149" s="141">
        <f>AS184/(AS$183+AS$184)</f>
        <v>0.83227845185259641</v>
      </c>
      <c r="AT149" s="140">
        <f>1-AT148</f>
        <v>0.82742055866807995</v>
      </c>
      <c r="AU149" s="140">
        <f>1-AU148</f>
        <v>0.82405879781100067</v>
      </c>
      <c r="AV149" s="140">
        <f>1-AV148</f>
        <v>0.82668476244671218</v>
      </c>
      <c r="AW149" s="140">
        <f>1-AW148</f>
        <v>0.8243883809764273</v>
      </c>
      <c r="AX149" s="141">
        <f ca="1">AX184/(AX$183+AX$184)</f>
        <v>0.82548952587445712</v>
      </c>
      <c r="AY149" s="140">
        <f>1-AY148</f>
        <v>0.81800000000000006</v>
      </c>
      <c r="AZ149" s="140">
        <f>100%-AZ148</f>
        <v>0.81632176327152128</v>
      </c>
      <c r="BA149" s="140">
        <f>100%-BA148</f>
        <v>0.81438722656577001</v>
      </c>
      <c r="BB149" s="140">
        <f>100%-BB148</f>
        <v>0.81483553357037786</v>
      </c>
      <c r="BC149" s="141">
        <f ca="1">BC184/(BC$183+BC$184)</f>
        <v>0.81587982790550229</v>
      </c>
      <c r="BD149" s="140">
        <f>1-BD148</f>
        <v>0.79865911774013121</v>
      </c>
      <c r="BE149" s="140">
        <f>1-BE148</f>
        <v>0.80058272820888443</v>
      </c>
      <c r="BF149" s="140">
        <f>1-BF148</f>
        <v>0.80589139533697085</v>
      </c>
      <c r="BG149" s="140">
        <f>1-BG148</f>
        <v>0.79855704403992944</v>
      </c>
      <c r="BH149" s="141">
        <f ca="1">BH184/(BH$183+BH$184)</f>
        <v>0.80092937482495774</v>
      </c>
      <c r="BI149" s="140">
        <f>1-BI148</f>
        <v>0.79262219683614721</v>
      </c>
      <c r="BJ149" s="140">
        <f>1-BJ148</f>
        <v>0.78125809654877176</v>
      </c>
      <c r="BK149" s="140">
        <f>1-BK148</f>
        <v>0.78085823008700073</v>
      </c>
      <c r="BL149" s="140">
        <f>1-BL148</f>
        <v>0.7773767244019435</v>
      </c>
      <c r="BM149" s="141">
        <f ca="1">BM184/(BM$183+BM$184)</f>
        <v>0.78134829324174859</v>
      </c>
      <c r="BN149" s="140">
        <f>1-BN148</f>
        <v>0.77876969706526422</v>
      </c>
      <c r="BO149" s="140">
        <f>1-BO148</f>
        <v>0.77968259716068422</v>
      </c>
      <c r="BP149" s="140">
        <f>1-BP148</f>
        <v>0.79257592359353957</v>
      </c>
      <c r="BQ149" s="140">
        <f>1-BQ148</f>
        <v>0.80641867986497162</v>
      </c>
      <c r="BR149" s="141">
        <f ca="1">BR184/(BR$183+BR$184)</f>
        <v>0.78940819258956274</v>
      </c>
      <c r="BS149" s="140">
        <f>1-BS148</f>
        <v>0.79341867986497161</v>
      </c>
      <c r="BT149" s="140">
        <f>1-BT148</f>
        <v>0.78841867986497161</v>
      </c>
      <c r="BU149" s="140">
        <f>1-BU148</f>
        <v>0.7824186798649716</v>
      </c>
      <c r="BV149" s="140">
        <f>1-BV148</f>
        <v>0.7774186798649716</v>
      </c>
      <c r="BW149" s="141">
        <f ca="1">BW184/(BW$183+BW$184)</f>
        <v>0.78511673269691906</v>
      </c>
      <c r="BX149" s="140">
        <f>1-BX148</f>
        <v>0.76941867986497159</v>
      </c>
      <c r="BY149" s="140">
        <f t="shared" ref="BY149:CA149" si="392">1-BY148</f>
        <v>0.76141867986497158</v>
      </c>
      <c r="BZ149" s="140">
        <f t="shared" si="392"/>
        <v>0.75441867986497158</v>
      </c>
      <c r="CA149" s="140">
        <f t="shared" si="392"/>
        <v>0.76341867986497158</v>
      </c>
      <c r="CB149" s="141">
        <f ca="1">CB184/(CB$183+CB$184)</f>
        <v>0.76211659096826034</v>
      </c>
      <c r="CC149" s="140">
        <f>1-CC148</f>
        <v>0.75941867986497158</v>
      </c>
      <c r="CD149" s="140">
        <f>1-CD148</f>
        <v>0.74841867986497157</v>
      </c>
      <c r="CE149" s="140">
        <f>1-CE148</f>
        <v>0.74441867986497168</v>
      </c>
      <c r="CF149" s="140">
        <f>1-CF148</f>
        <v>0.74341867986497168</v>
      </c>
      <c r="CG149" s="141">
        <f ca="1">CG184/(CG$183+CG$184)</f>
        <v>0.74891952160198849</v>
      </c>
      <c r="CH149" s="140">
        <f ca="1">1-CH148</f>
        <v>0.73639972667176923</v>
      </c>
      <c r="CI149" s="140">
        <f ca="1">1-CI148</f>
        <v>0.72939972667176911</v>
      </c>
      <c r="CJ149" s="140">
        <f ca="1">1-CJ148</f>
        <v>0.72239972667176922</v>
      </c>
      <c r="CK149" s="140">
        <f ca="1">1-CK148</f>
        <v>0.72239972667176922</v>
      </c>
      <c r="CL149" s="141">
        <f ca="1">CL184/(CL$183+CL$184)</f>
        <v>0.72783980845972684</v>
      </c>
      <c r="CM149" s="140">
        <f ca="1">1-CM148</f>
        <v>0.71962805263247676</v>
      </c>
      <c r="CN149" s="140">
        <f ca="1">1-CN148</f>
        <v>0.71095329736756674</v>
      </c>
      <c r="CO149" s="140">
        <f ca="1">1-CO148</f>
        <v>0.70210298767553525</v>
      </c>
      <c r="CP149" s="140">
        <f ca="1">1-CP148</f>
        <v>0.70210298767553525</v>
      </c>
      <c r="CQ149" s="141">
        <f ca="1">CQ184/(CQ$183+CQ$184)</f>
        <v>0.70886161448139695</v>
      </c>
      <c r="CR149" s="140">
        <f ca="1">1-CR148</f>
        <v>0.70898416583372992</v>
      </c>
      <c r="CS149" s="140">
        <f ca="1">1-CS148</f>
        <v>0.70979235443507549</v>
      </c>
      <c r="CT149" s="140">
        <f ca="1">1-CT148</f>
        <v>0.69986015387810807</v>
      </c>
      <c r="CU149" s="140">
        <f ca="1">1-CU148</f>
        <v>0.70366172991058873</v>
      </c>
      <c r="CV149" s="141">
        <f ca="1">CV184/(CV$183+CV$184)</f>
        <v>0.70569901617507924</v>
      </c>
      <c r="CW149" s="140">
        <f ca="1">1-CW148</f>
        <v>0.70392922738738739</v>
      </c>
      <c r="CX149" s="140">
        <f ca="1">1-CX148</f>
        <v>0.7045994221415115</v>
      </c>
      <c r="CY149" s="140">
        <f ca="1">1-CY148</f>
        <v>0.69344983587303421</v>
      </c>
      <c r="CZ149" s="140">
        <f ca="1">1-CZ148</f>
        <v>0.69762774809493799</v>
      </c>
      <c r="DA149" s="141">
        <f ca="1">DA184/(DA$183+DA$184)</f>
        <v>0.70004812492763957</v>
      </c>
      <c r="DB149" s="140">
        <f ca="1">1-DB148</f>
        <v>0.70093222075132555</v>
      </c>
      <c r="DC149" s="140">
        <f ca="1">1-DC148</f>
        <v>0.70142759163373158</v>
      </c>
      <c r="DD149" s="140">
        <f ca="1">1-DD148</f>
        <v>0.68883469020812549</v>
      </c>
      <c r="DE149" s="140">
        <f ca="1">1-DE148</f>
        <v>0.693456411559769</v>
      </c>
      <c r="DF149" s="141">
        <f ca="1">DF184/(DF$183+DF$184)</f>
        <v>0.69633847125974346</v>
      </c>
    </row>
    <row r="150" spans="2:110" ht="12" thickBot="1" x14ac:dyDescent="0.25">
      <c r="B150" s="238"/>
      <c r="C150" s="182"/>
      <c r="D150" s="182"/>
      <c r="E150" s="68"/>
      <c r="F150" s="68"/>
      <c r="G150" s="68"/>
      <c r="I150" s="68"/>
      <c r="J150" s="68"/>
      <c r="K150" s="66"/>
      <c r="L150" s="66"/>
      <c r="M150" s="66"/>
      <c r="N150" s="66"/>
      <c r="O150" s="66"/>
      <c r="P150" s="68"/>
      <c r="Q150" s="68"/>
      <c r="R150" s="68"/>
      <c r="S150" s="68"/>
      <c r="T150" s="68"/>
      <c r="U150" s="68"/>
      <c r="V150" s="68"/>
      <c r="W150" s="68"/>
      <c r="X150" s="68"/>
      <c r="Y150" s="68"/>
      <c r="Z150" s="68"/>
      <c r="AA150" s="68"/>
      <c r="AB150" s="68"/>
      <c r="AC150" s="68"/>
      <c r="AD150" s="68"/>
      <c r="AE150" s="68"/>
      <c r="AF150" s="66"/>
      <c r="AG150" s="66"/>
      <c r="AH150" s="66"/>
      <c r="AI150" s="66"/>
      <c r="AJ150" s="66"/>
      <c r="AK150" s="66"/>
      <c r="AL150" s="66"/>
      <c r="AM150" s="66"/>
      <c r="AN150" s="66"/>
      <c r="AO150" s="66"/>
      <c r="AP150" s="66"/>
      <c r="AQ150" s="66"/>
      <c r="AR150" s="66"/>
      <c r="AS150" s="79"/>
      <c r="AT150" s="66"/>
      <c r="AU150" s="66"/>
      <c r="AV150" s="66"/>
      <c r="AW150" s="66"/>
      <c r="AX150" s="66"/>
      <c r="AY150" s="66"/>
      <c r="AZ150" s="66"/>
      <c r="BA150" s="66"/>
      <c r="BB150" s="66"/>
      <c r="BC150" s="66"/>
      <c r="BD150" s="66"/>
      <c r="BE150" s="66"/>
      <c r="BF150" s="66"/>
      <c r="BG150" s="66"/>
      <c r="BH150" s="66"/>
      <c r="BI150" s="66"/>
      <c r="BJ150" s="66"/>
      <c r="BK150" s="66"/>
      <c r="BL150" s="66"/>
      <c r="BM150" s="66"/>
      <c r="BN150" s="66"/>
      <c r="BO150" s="66"/>
      <c r="BP150" s="66"/>
      <c r="BQ150" s="66"/>
      <c r="BR150" s="66"/>
      <c r="BS150" s="66"/>
      <c r="BT150" s="66"/>
      <c r="BU150" s="66"/>
      <c r="BV150" s="66"/>
      <c r="BW150" s="66"/>
      <c r="BX150" s="66"/>
      <c r="BY150" s="66"/>
      <c r="BZ150" s="66"/>
      <c r="CA150" s="66"/>
      <c r="CB150" s="66"/>
      <c r="CC150" s="66"/>
      <c r="CD150" s="66"/>
      <c r="CE150" s="66"/>
      <c r="CF150" s="66"/>
      <c r="CG150" s="66"/>
      <c r="CH150" s="66"/>
      <c r="CI150" s="66"/>
      <c r="CJ150" s="66"/>
      <c r="CK150" s="66"/>
      <c r="CL150" s="66"/>
      <c r="CM150" s="66"/>
      <c r="CN150" s="66"/>
      <c r="CO150" s="66"/>
      <c r="CP150" s="66"/>
      <c r="CQ150" s="66"/>
      <c r="CR150" s="66"/>
      <c r="CS150" s="66"/>
      <c r="CT150" s="66"/>
      <c r="CU150" s="66"/>
      <c r="CV150" s="66"/>
      <c r="CW150" s="66"/>
      <c r="CX150" s="66"/>
      <c r="CY150" s="66"/>
      <c r="CZ150" s="66"/>
      <c r="DA150" s="66"/>
      <c r="DB150" s="66"/>
      <c r="DC150" s="66"/>
      <c r="DD150" s="66"/>
      <c r="DE150" s="66"/>
      <c r="DF150" s="66"/>
    </row>
    <row r="151" spans="2:110" ht="12" thickBot="1" x14ac:dyDescent="0.25">
      <c r="B151" s="855" t="s">
        <v>302</v>
      </c>
      <c r="C151" s="866"/>
      <c r="D151" s="866"/>
      <c r="E151" s="878"/>
      <c r="F151" s="878"/>
      <c r="G151" s="878"/>
      <c r="H151" s="819"/>
      <c r="I151" s="878"/>
      <c r="J151" s="878"/>
      <c r="K151" s="878"/>
      <c r="L151" s="878"/>
      <c r="M151" s="878"/>
      <c r="N151" s="878"/>
      <c r="O151" s="878"/>
      <c r="P151" s="878"/>
      <c r="Q151" s="878"/>
      <c r="R151" s="878"/>
      <c r="S151" s="878"/>
      <c r="T151" s="878"/>
      <c r="U151" s="878"/>
      <c r="V151" s="878"/>
      <c r="W151" s="878"/>
      <c r="X151" s="878"/>
      <c r="Y151" s="878"/>
      <c r="Z151" s="878"/>
      <c r="AA151" s="878"/>
      <c r="AB151" s="878"/>
      <c r="AC151" s="878"/>
      <c r="AD151" s="878"/>
      <c r="AE151" s="819"/>
      <c r="AF151" s="819"/>
      <c r="AG151" s="819"/>
      <c r="AH151" s="819"/>
      <c r="AI151" s="819"/>
      <c r="AJ151" s="819"/>
      <c r="AK151" s="819"/>
      <c r="AL151" s="819"/>
      <c r="AM151" s="819"/>
      <c r="AN151" s="819"/>
      <c r="AO151" s="819"/>
      <c r="AP151" s="819"/>
      <c r="AQ151" s="819"/>
      <c r="AR151" s="819"/>
      <c r="AS151" s="819"/>
      <c r="AT151" s="819"/>
      <c r="AU151" s="819"/>
      <c r="AV151" s="819"/>
      <c r="AW151" s="819"/>
      <c r="AX151" s="819"/>
      <c r="AY151" s="819"/>
      <c r="AZ151" s="819"/>
      <c r="BA151" s="819"/>
      <c r="BB151" s="819"/>
      <c r="BC151" s="864"/>
      <c r="BD151" s="819"/>
      <c r="BE151" s="819"/>
      <c r="BF151" s="819"/>
      <c r="BG151" s="819"/>
      <c r="BH151" s="819"/>
      <c r="BI151" s="819"/>
      <c r="BJ151" s="819"/>
      <c r="BK151" s="819"/>
      <c r="BL151" s="819"/>
      <c r="BM151" s="819"/>
      <c r="BN151" s="819"/>
      <c r="BO151" s="819"/>
      <c r="BP151" s="819"/>
      <c r="BQ151" s="819"/>
      <c r="BR151" s="819"/>
      <c r="BS151" s="819"/>
      <c r="BT151" s="819"/>
      <c r="BU151" s="819"/>
      <c r="BV151" s="819"/>
      <c r="BW151" s="819"/>
      <c r="BX151" s="819"/>
      <c r="BY151" s="819"/>
      <c r="BZ151" s="819"/>
      <c r="CA151" s="819"/>
      <c r="CB151" s="872"/>
      <c r="CC151" s="819"/>
      <c r="CD151" s="819"/>
      <c r="CE151" s="819"/>
      <c r="CF151" s="819"/>
      <c r="CG151" s="872"/>
      <c r="CH151" s="819"/>
      <c r="CI151" s="819"/>
      <c r="CJ151" s="819"/>
      <c r="CK151" s="819"/>
      <c r="CL151" s="872"/>
      <c r="CM151" s="819"/>
      <c r="CN151" s="819"/>
      <c r="CO151" s="819"/>
      <c r="CP151" s="819"/>
      <c r="CQ151" s="872"/>
      <c r="CR151" s="819"/>
      <c r="CS151" s="819"/>
      <c r="CT151" s="819"/>
      <c r="CU151" s="819"/>
      <c r="CV151" s="872"/>
      <c r="CW151" s="819"/>
      <c r="CX151" s="819"/>
      <c r="CY151" s="819"/>
      <c r="CZ151" s="819"/>
      <c r="DA151" s="872"/>
      <c r="DB151" s="819"/>
      <c r="DC151" s="819"/>
      <c r="DD151" s="819"/>
      <c r="DE151" s="819"/>
      <c r="DF151" s="872"/>
    </row>
    <row r="152" spans="2:110" x14ac:dyDescent="0.2">
      <c r="B152" s="776" t="s">
        <v>255</v>
      </c>
      <c r="C152" s="772"/>
      <c r="D152" s="772"/>
      <c r="E152" s="772"/>
      <c r="F152" s="772"/>
      <c r="G152" s="772"/>
      <c r="H152" s="772"/>
      <c r="I152" s="772"/>
      <c r="J152" s="772"/>
      <c r="K152" s="91"/>
      <c r="L152" s="91"/>
      <c r="M152" s="91"/>
      <c r="N152" s="91"/>
      <c r="O152" s="91"/>
      <c r="P152" s="91"/>
      <c r="Q152" s="91"/>
      <c r="R152" s="91"/>
      <c r="S152" s="91"/>
      <c r="T152" s="91"/>
      <c r="U152" s="91"/>
      <c r="V152" s="91"/>
      <c r="W152" s="91"/>
      <c r="X152" s="772"/>
      <c r="Y152" s="92"/>
      <c r="Z152" s="772"/>
      <c r="AA152" s="772"/>
      <c r="AB152" s="772"/>
      <c r="AC152" s="772"/>
      <c r="AD152" s="92"/>
      <c r="AE152" s="91"/>
      <c r="AF152" s="91"/>
      <c r="AG152" s="91"/>
      <c r="AH152" s="91"/>
      <c r="AI152" s="90"/>
      <c r="AJ152" s="91"/>
      <c r="AK152" s="91"/>
      <c r="AL152" s="91"/>
      <c r="AM152" s="91"/>
      <c r="AN152" s="90"/>
      <c r="AO152" s="91"/>
      <c r="AP152" s="91"/>
      <c r="AQ152" s="91"/>
      <c r="AR152" s="91"/>
      <c r="AS152" s="90"/>
      <c r="AT152" s="91"/>
      <c r="AU152" s="91"/>
      <c r="AV152" s="91"/>
      <c r="AW152" s="91"/>
      <c r="AX152" s="90"/>
      <c r="AY152" s="91"/>
      <c r="AZ152" s="91"/>
      <c r="BA152" s="91"/>
      <c r="BB152" s="91"/>
      <c r="BC152" s="90"/>
      <c r="BD152" s="91"/>
      <c r="BE152" s="91"/>
      <c r="BF152" s="91"/>
      <c r="BG152" s="91"/>
      <c r="BH152" s="90"/>
      <c r="BI152" s="91"/>
      <c r="BJ152" s="91"/>
      <c r="BK152" s="1439"/>
      <c r="BL152" s="91"/>
      <c r="BM152" s="90"/>
      <c r="BN152" s="91"/>
      <c r="BO152" s="91"/>
      <c r="BP152" s="91"/>
      <c r="BQ152" s="91"/>
      <c r="BR152" s="90"/>
      <c r="BS152" s="91"/>
      <c r="BT152" s="91"/>
      <c r="BU152" s="91"/>
      <c r="BV152" s="91"/>
      <c r="BW152" s="90"/>
      <c r="BX152" s="91"/>
      <c r="BY152" s="91"/>
      <c r="BZ152" s="91"/>
      <c r="CA152" s="91"/>
      <c r="CB152" s="90"/>
      <c r="CC152" s="91"/>
      <c r="CD152" s="91"/>
      <c r="CE152" s="91"/>
      <c r="CF152" s="91"/>
      <c r="CG152" s="90"/>
      <c r="CH152" s="91"/>
      <c r="CI152" s="91"/>
      <c r="CJ152" s="91"/>
      <c r="CK152" s="91"/>
      <c r="CL152" s="90"/>
      <c r="CM152" s="91"/>
      <c r="CN152" s="91"/>
      <c r="CO152" s="91"/>
      <c r="CP152" s="91"/>
      <c r="CQ152" s="90"/>
      <c r="CR152" s="91"/>
      <c r="CS152" s="91"/>
      <c r="CT152" s="91"/>
      <c r="CU152" s="91"/>
      <c r="CV152" s="90"/>
      <c r="CW152" s="91"/>
      <c r="CX152" s="91"/>
      <c r="CY152" s="91"/>
      <c r="CZ152" s="91"/>
      <c r="DA152" s="90"/>
      <c r="DB152" s="91"/>
      <c r="DC152" s="91"/>
      <c r="DD152" s="91"/>
      <c r="DE152" s="91"/>
      <c r="DF152" s="90"/>
    </row>
    <row r="153" spans="2:110" x14ac:dyDescent="0.2">
      <c r="B153" s="777" t="s">
        <v>170</v>
      </c>
      <c r="C153" s="26"/>
      <c r="D153" s="26"/>
      <c r="E153" s="26"/>
      <c r="F153" s="26"/>
      <c r="G153" s="26"/>
      <c r="H153" s="26"/>
      <c r="I153" s="26"/>
      <c r="J153" s="26"/>
      <c r="K153" s="19" t="s">
        <v>263</v>
      </c>
      <c r="L153" s="19" t="s">
        <v>263</v>
      </c>
      <c r="M153" s="19" t="s">
        <v>263</v>
      </c>
      <c r="N153" s="19" t="s">
        <v>263</v>
      </c>
      <c r="O153" s="19"/>
      <c r="P153" s="19">
        <v>7.6028439251569715</v>
      </c>
      <c r="Q153" s="19">
        <v>8.0101397798052201</v>
      </c>
      <c r="R153" s="19">
        <v>8.0471527150670799</v>
      </c>
      <c r="S153" s="19">
        <v>8.0602619465923055</v>
      </c>
      <c r="T153" s="19">
        <v>7.9279481297881622</v>
      </c>
      <c r="U153" s="19">
        <v>7.9778531298689588</v>
      </c>
      <c r="V153" s="19">
        <v>8.0136659434854085</v>
      </c>
      <c r="W153" s="19">
        <v>7.4225161450149555</v>
      </c>
      <c r="X153" s="19">
        <v>7.3872734663090389</v>
      </c>
      <c r="Y153" s="27">
        <v>7.6883689464740801</v>
      </c>
      <c r="Z153" s="19">
        <v>6.6955397503521654</v>
      </c>
      <c r="AA153" s="19">
        <v>6.7766023081076581</v>
      </c>
      <c r="AB153" s="19">
        <v>6.6020884678521545</v>
      </c>
      <c r="AC153" s="19">
        <v>6.6376672042927005</v>
      </c>
      <c r="AD153" s="27">
        <v>6.6774191133735377</v>
      </c>
      <c r="AE153" s="19">
        <v>6.4544224501377272</v>
      </c>
      <c r="AF153" s="19">
        <v>6.9466521868384614</v>
      </c>
      <c r="AG153" s="19">
        <v>7.0427947663071002</v>
      </c>
      <c r="AH153" s="19">
        <v>7.2815168546796247</v>
      </c>
      <c r="AI153" s="27">
        <v>6.9296965016340879</v>
      </c>
      <c r="AJ153" s="19">
        <v>10.726590786988037</v>
      </c>
      <c r="AK153" s="19">
        <v>11.370914274462443</v>
      </c>
      <c r="AL153" s="19">
        <v>10.371133117650313</v>
      </c>
      <c r="AM153" s="19">
        <v>11.561331183486615</v>
      </c>
      <c r="AN153" s="27">
        <v>11.017419168888825</v>
      </c>
      <c r="AO153" s="19">
        <f t="shared" ref="AO153:CG153" si="393">AO12*AO146/AO132</f>
        <v>12.137315841133736</v>
      </c>
      <c r="AP153" s="19">
        <f t="shared" si="393"/>
        <v>12.499395159095933</v>
      </c>
      <c r="AQ153" s="19">
        <f t="shared" si="393"/>
        <v>13.469140565479892</v>
      </c>
      <c r="AR153" s="19">
        <f t="shared" si="393"/>
        <v>13.473808351000022</v>
      </c>
      <c r="AS153" s="27">
        <f t="shared" si="393"/>
        <v>12.886305543451178</v>
      </c>
      <c r="AT153" s="19">
        <f t="shared" si="393"/>
        <v>13.302864703529343</v>
      </c>
      <c r="AU153" s="19">
        <f t="shared" si="393"/>
        <v>13.001650577696042</v>
      </c>
      <c r="AV153" s="19">
        <f t="shared" si="393"/>
        <v>13.113172298931531</v>
      </c>
      <c r="AW153" s="19">
        <f t="shared" si="393"/>
        <v>17.473059341986882</v>
      </c>
      <c r="AX153" s="27">
        <f t="shared" si="393"/>
        <v>14.442044545168107</v>
      </c>
      <c r="AY153" s="19">
        <f t="shared" si="393"/>
        <v>20.255377144350369</v>
      </c>
      <c r="AZ153" s="19">
        <f t="shared" si="393"/>
        <v>20.287636097391918</v>
      </c>
      <c r="BA153" s="19">
        <f t="shared" si="393"/>
        <v>20.678343974844186</v>
      </c>
      <c r="BB153" s="19">
        <f t="shared" si="393"/>
        <v>20.534874874077953</v>
      </c>
      <c r="BC153" s="27">
        <f t="shared" si="393"/>
        <v>20.441036892464687</v>
      </c>
      <c r="BD153" s="19">
        <f t="shared" si="393"/>
        <v>19.226996517766992</v>
      </c>
      <c r="BE153" s="19">
        <f t="shared" si="393"/>
        <v>19.100066218336341</v>
      </c>
      <c r="BF153" s="19">
        <f t="shared" si="393"/>
        <v>19.041223254278595</v>
      </c>
      <c r="BG153" s="19">
        <f t="shared" si="393"/>
        <v>20.164187884115922</v>
      </c>
      <c r="BH153" s="27">
        <f t="shared" si="393"/>
        <v>19.39572132441727</v>
      </c>
      <c r="BI153" s="19">
        <f t="shared" si="393"/>
        <v>20.276627385747894</v>
      </c>
      <c r="BJ153" s="19">
        <f t="shared" si="393"/>
        <v>24.36321348444033</v>
      </c>
      <c r="BK153" s="19">
        <f t="shared" si="393"/>
        <v>24.210692582489546</v>
      </c>
      <c r="BL153" s="19">
        <f t="shared" si="393"/>
        <v>23.672767029656935</v>
      </c>
      <c r="BM153" s="27">
        <f t="shared" si="393"/>
        <v>23.518073468802381</v>
      </c>
      <c r="BN153" s="19">
        <f t="shared" si="393"/>
        <v>23.944468933864545</v>
      </c>
      <c r="BO153" s="19">
        <f t="shared" si="393"/>
        <v>25.474722044156987</v>
      </c>
      <c r="BP153" s="19">
        <f t="shared" si="393"/>
        <v>25.024824879263196</v>
      </c>
      <c r="BQ153" s="19">
        <f t="shared" si="393"/>
        <v>24.883679738576134</v>
      </c>
      <c r="BR153" s="27">
        <f t="shared" si="393"/>
        <v>24.817992961567612</v>
      </c>
      <c r="BS153" s="19">
        <f t="shared" si="393"/>
        <v>25.254952524224599</v>
      </c>
      <c r="BT153" s="19">
        <f t="shared" si="393"/>
        <v>25.217661887585443</v>
      </c>
      <c r="BU153" s="19">
        <f t="shared" si="393"/>
        <v>25.097087878391179</v>
      </c>
      <c r="BV153" s="19">
        <f t="shared" si="393"/>
        <v>24.839906192330798</v>
      </c>
      <c r="BW153" s="27">
        <f t="shared" si="393"/>
        <v>25.099518448841589</v>
      </c>
      <c r="BX153" s="19">
        <f t="shared" si="393"/>
        <v>25.028855652148408</v>
      </c>
      <c r="BY153" s="19">
        <f t="shared" si="393"/>
        <v>23.349099774409591</v>
      </c>
      <c r="BZ153" s="19">
        <f t="shared" si="393"/>
        <v>21.988975128009546</v>
      </c>
      <c r="CA153" s="19">
        <f t="shared" si="393"/>
        <v>21.689136950611605</v>
      </c>
      <c r="CB153" s="27">
        <f t="shared" si="393"/>
        <v>22.9533558805669</v>
      </c>
      <c r="CC153" s="19">
        <f t="shared" si="393"/>
        <v>20.74243382794381</v>
      </c>
      <c r="CD153" s="19">
        <f t="shared" si="393"/>
        <v>21.362046928299609</v>
      </c>
      <c r="CE153" s="19">
        <f t="shared" si="393"/>
        <v>21.122087880850927</v>
      </c>
      <c r="CF153" s="19">
        <f t="shared" si="393"/>
        <v>19.261199259221058</v>
      </c>
      <c r="CG153" s="27">
        <f t="shared" si="393"/>
        <v>20.61680281531638</v>
      </c>
      <c r="CH153" s="19">
        <f t="shared" ref="CH153:CI153" si="394">CH12*CH146/CH132</f>
        <v>19.046232503619773</v>
      </c>
      <c r="CI153" s="19">
        <f t="shared" si="394"/>
        <v>19.219633770578582</v>
      </c>
      <c r="CJ153" s="19">
        <f t="shared" ref="CJ153" si="395">CJ12*CJ146/CJ132</f>
        <v>18.052545487607411</v>
      </c>
      <c r="CK153" s="19">
        <f>CK12*CK146/CK132</f>
        <v>17.865168920349486</v>
      </c>
      <c r="CL153" s="27">
        <f>CL12*CL146/CL132</f>
        <v>18.548697823249281</v>
      </c>
      <c r="CM153" s="19">
        <f t="shared" ref="CM153:CP154" si="396">CH153*(1+CM167)</f>
        <v>18.474845528511178</v>
      </c>
      <c r="CN153" s="19">
        <f t="shared" si="396"/>
        <v>18.643044757461226</v>
      </c>
      <c r="CO153" s="19">
        <f t="shared" si="396"/>
        <v>17.510969122979187</v>
      </c>
      <c r="CP153" s="19">
        <f t="shared" si="396"/>
        <v>17.329213852739002</v>
      </c>
      <c r="CQ153" s="27">
        <f>CQ12*CQ146/CQ132</f>
        <v>17.983460701960201</v>
      </c>
      <c r="CR153" s="19">
        <f t="shared" ref="CR153:CR154" si="397">CM153*(1+CR167)</f>
        <v>17.920600162655841</v>
      </c>
      <c r="CS153" s="19">
        <f t="shared" ref="CS153:CS154" si="398">CN153*(1+CS167)</f>
        <v>18.083753414737387</v>
      </c>
      <c r="CT153" s="19">
        <f t="shared" ref="CT153:CT154" si="399">CO153*(1+CT167)</f>
        <v>16.98564004928981</v>
      </c>
      <c r="CU153" s="19">
        <f t="shared" ref="CU153:CU154" si="400">CP153*(1+CU167)</f>
        <v>16.809337437156831</v>
      </c>
      <c r="CV153" s="27">
        <f>CV12*CV146/CV132</f>
        <v>17.443976195982312</v>
      </c>
      <c r="CW153" s="19">
        <f t="shared" ref="CW153:CW154" si="401">CR153*(1+CW167)</f>
        <v>17.382982157776166</v>
      </c>
      <c r="CX153" s="19">
        <f t="shared" ref="CX153:CX154" si="402">CS153*(1+CX167)</f>
        <v>17.541240812295264</v>
      </c>
      <c r="CY153" s="19">
        <f t="shared" ref="CY153:CY154" si="403">CT153*(1+CY167)</f>
        <v>16.476070847811116</v>
      </c>
      <c r="CZ153" s="19">
        <f t="shared" ref="CZ153:CZ154" si="404">CU153*(1+CZ167)</f>
        <v>16.305057314042127</v>
      </c>
      <c r="DA153" s="27">
        <f>DA12*DA146/DA132</f>
        <v>16.920675886025837</v>
      </c>
      <c r="DB153" s="19">
        <f t="shared" ref="DB153:DB154" si="405">CW153*(1+DB167)</f>
        <v>16.86149269304288</v>
      </c>
      <c r="DC153" s="19">
        <f t="shared" ref="DC153:DC154" si="406">CX153*(1+DC167)</f>
        <v>17.015003587926405</v>
      </c>
      <c r="DD153" s="19">
        <f t="shared" ref="DD153:DD154" si="407">CY153*(1+DD167)</f>
        <v>15.981788722376782</v>
      </c>
      <c r="DE153" s="19">
        <f t="shared" ref="DE153:DE154" si="408">CZ153*(1+DE167)</f>
        <v>15.815905594620864</v>
      </c>
      <c r="DF153" s="27">
        <f>DF12*DF146/DF132</f>
        <v>16.413074253689146</v>
      </c>
    </row>
    <row r="154" spans="2:110" x14ac:dyDescent="0.2">
      <c r="B154" s="777" t="s">
        <v>171</v>
      </c>
      <c r="C154" s="26"/>
      <c r="D154" s="26"/>
      <c r="E154" s="26"/>
      <c r="F154" s="26"/>
      <c r="G154" s="26"/>
      <c r="H154" s="26"/>
      <c r="I154" s="26"/>
      <c r="J154" s="26"/>
      <c r="K154" s="19" t="s">
        <v>263</v>
      </c>
      <c r="L154" s="19" t="s">
        <v>263</v>
      </c>
      <c r="M154" s="19" t="s">
        <v>263</v>
      </c>
      <c r="N154" s="19" t="s">
        <v>263</v>
      </c>
      <c r="O154" s="19"/>
      <c r="P154" s="19">
        <v>36.458338167979477</v>
      </c>
      <c r="Q154" s="19">
        <v>38.499522666422365</v>
      </c>
      <c r="R154" s="19">
        <v>39.38609763184715</v>
      </c>
      <c r="S154" s="19">
        <v>40.23127110995344</v>
      </c>
      <c r="T154" s="19">
        <v>38.619550285976445</v>
      </c>
      <c r="U154" s="19">
        <v>42.28223156559163</v>
      </c>
      <c r="V154" s="19">
        <v>43.430455766464448</v>
      </c>
      <c r="W154" s="19">
        <v>43.673839076095859</v>
      </c>
      <c r="X154" s="19">
        <v>43.276375697888781</v>
      </c>
      <c r="Y154" s="27">
        <v>43.159024523700019</v>
      </c>
      <c r="Z154" s="19">
        <v>41.999622430778125</v>
      </c>
      <c r="AA154" s="19">
        <v>43.646295276511978</v>
      </c>
      <c r="AB154" s="19">
        <v>43.836510629799591</v>
      </c>
      <c r="AC154" s="19">
        <v>44.515764990581886</v>
      </c>
      <c r="AD154" s="27">
        <v>43.481337240072847</v>
      </c>
      <c r="AE154" s="19">
        <v>45.926301126754275</v>
      </c>
      <c r="AF154" s="19">
        <v>48.678717804829702</v>
      </c>
      <c r="AG154" s="19">
        <v>52.040666261709134</v>
      </c>
      <c r="AH154" s="19">
        <v>54.293053442674136</v>
      </c>
      <c r="AI154" s="27">
        <v>50.055817227691819</v>
      </c>
      <c r="AJ154" s="19">
        <v>81.857829427492291</v>
      </c>
      <c r="AK154" s="19">
        <v>85.458131099909437</v>
      </c>
      <c r="AL154" s="19">
        <v>89.511500181228527</v>
      </c>
      <c r="AM154" s="19">
        <v>88.075097324928649</v>
      </c>
      <c r="AN154" s="27">
        <v>86.103518668283414</v>
      </c>
      <c r="AO154" s="19">
        <f t="shared" ref="AO154:CG154" si="409">AO12*AO147/AO133</f>
        <v>75.377289667649933</v>
      </c>
      <c r="AP154" s="19">
        <f t="shared" si="409"/>
        <v>78.655486516295852</v>
      </c>
      <c r="AQ154" s="19">
        <f t="shared" si="409"/>
        <v>78.604203089788982</v>
      </c>
      <c r="AR154" s="19">
        <f t="shared" si="409"/>
        <v>82.176056240132581</v>
      </c>
      <c r="AS154" s="27">
        <f t="shared" si="409"/>
        <v>78.60437377504708</v>
      </c>
      <c r="AT154" s="19">
        <f t="shared" si="409"/>
        <v>81.704691459489055</v>
      </c>
      <c r="AU154" s="19">
        <f t="shared" si="409"/>
        <v>81.627238226051901</v>
      </c>
      <c r="AV154" s="19">
        <f t="shared" si="409"/>
        <v>83.616613708350698</v>
      </c>
      <c r="AW154" s="19">
        <f t="shared" si="409"/>
        <v>106.13233896969227</v>
      </c>
      <c r="AX154" s="27">
        <f t="shared" si="409"/>
        <v>89.208903295016839</v>
      </c>
      <c r="AY154" s="19">
        <f t="shared" si="409"/>
        <v>126.10652719000747</v>
      </c>
      <c r="AZ154" s="19">
        <f t="shared" si="409"/>
        <v>129.28108723674609</v>
      </c>
      <c r="BA154" s="19">
        <f t="shared" si="409"/>
        <v>132.2319469523934</v>
      </c>
      <c r="BB154" s="19">
        <f t="shared" si="409"/>
        <v>131.24744299221138</v>
      </c>
      <c r="BC154" s="27">
        <f t="shared" si="409"/>
        <v>129.64775865394057</v>
      </c>
      <c r="BD154" s="19">
        <f t="shared" si="409"/>
        <v>112.93142765871961</v>
      </c>
      <c r="BE154" s="19">
        <f t="shared" si="409"/>
        <v>117.47084728035895</v>
      </c>
      <c r="BF154" s="19">
        <f t="shared" si="409"/>
        <v>121.04888769017549</v>
      </c>
      <c r="BG154" s="19">
        <f t="shared" si="409"/>
        <v>118.61268313700515</v>
      </c>
      <c r="BH154" s="27">
        <f t="shared" si="409"/>
        <v>117.50674962028748</v>
      </c>
      <c r="BI154" s="19">
        <f t="shared" si="409"/>
        <v>126.36140630443134</v>
      </c>
      <c r="BJ154" s="19">
        <f t="shared" si="409"/>
        <v>150.72083081666051</v>
      </c>
      <c r="BK154" s="19">
        <f t="shared" si="409"/>
        <v>151.86470615329009</v>
      </c>
      <c r="BL154" s="19">
        <f t="shared" si="409"/>
        <v>155.10862357506562</v>
      </c>
      <c r="BM154" s="27">
        <f t="shared" si="409"/>
        <v>148.30948311613395</v>
      </c>
      <c r="BN154" s="19">
        <f t="shared" si="409"/>
        <v>161.45946007685586</v>
      </c>
      <c r="BO154" s="19">
        <f t="shared" si="409"/>
        <v>176.74099571410557</v>
      </c>
      <c r="BP154" s="19">
        <f t="shared" si="409"/>
        <v>171.57525470419748</v>
      </c>
      <c r="BQ154" s="19">
        <f t="shared" si="409"/>
        <v>171.12297895611755</v>
      </c>
      <c r="BR154" s="27">
        <f t="shared" si="409"/>
        <v>170.03098748790165</v>
      </c>
      <c r="BS154" s="19">
        <f t="shared" si="409"/>
        <v>189.87616496509011</v>
      </c>
      <c r="BT154" s="19">
        <f t="shared" si="409"/>
        <v>210.44719932497662</v>
      </c>
      <c r="BU154" s="19">
        <f t="shared" si="409"/>
        <v>213.39541825518126</v>
      </c>
      <c r="BV154" s="19">
        <f t="shared" si="409"/>
        <v>208.20861321066073</v>
      </c>
      <c r="BW154" s="27">
        <f t="shared" si="409"/>
        <v>205.40510033837941</v>
      </c>
      <c r="BX154" s="19">
        <f t="shared" si="409"/>
        <v>236.71341381219432</v>
      </c>
      <c r="BY154" s="19">
        <f t="shared" si="409"/>
        <v>229.52715436087661</v>
      </c>
      <c r="BZ154" s="19">
        <f t="shared" si="409"/>
        <v>207.11758445168107</v>
      </c>
      <c r="CA154" s="19">
        <f t="shared" si="409"/>
        <v>204.52558089264733</v>
      </c>
      <c r="CB154" s="27">
        <f t="shared" si="409"/>
        <v>218.69686240919498</v>
      </c>
      <c r="CC154" s="19">
        <f t="shared" si="409"/>
        <v>219.05241157743956</v>
      </c>
      <c r="CD154" s="19">
        <f t="shared" si="409"/>
        <v>219.15400545478593</v>
      </c>
      <c r="CE154" s="19">
        <f t="shared" si="409"/>
        <v>229.47001812502984</v>
      </c>
      <c r="CF154" s="19">
        <f t="shared" si="409"/>
        <v>210.65340114691753</v>
      </c>
      <c r="CG154" s="27">
        <f t="shared" si="409"/>
        <v>219.4843810535441</v>
      </c>
      <c r="CH154" s="19">
        <f t="shared" ref="CH154:CI154" si="410">CH12*CH147/CH133</f>
        <v>232.76824613041481</v>
      </c>
      <c r="CI154" s="19">
        <f t="shared" si="410"/>
        <v>236.99426199587577</v>
      </c>
      <c r="CJ154" s="19">
        <f t="shared" ref="CJ154:CK154" si="411">CJ12*CJ147/CJ133</f>
        <v>233.36967892102518</v>
      </c>
      <c r="CK154" s="19">
        <f t="shared" si="411"/>
        <v>220.32219494299272</v>
      </c>
      <c r="CL154" s="27">
        <f>CL12*CL147/CL133</f>
        <v>230.59264320734081</v>
      </c>
      <c r="CM154" s="19">
        <f t="shared" si="396"/>
        <v>251.38970582084801</v>
      </c>
      <c r="CN154" s="19">
        <f t="shared" si="396"/>
        <v>255.95380295554585</v>
      </c>
      <c r="CO154" s="19">
        <f t="shared" si="396"/>
        <v>252.03925323470722</v>
      </c>
      <c r="CP154" s="19">
        <f t="shared" si="396"/>
        <v>237.94797053843214</v>
      </c>
      <c r="CQ154" s="27">
        <f>CQ12*CQ147/CQ133</f>
        <v>248.96853362442175</v>
      </c>
      <c r="CR154" s="19">
        <f t="shared" si="397"/>
        <v>271.50088228651589</v>
      </c>
      <c r="CS154" s="19">
        <f t="shared" si="398"/>
        <v>276.43010719198952</v>
      </c>
      <c r="CT154" s="19">
        <f t="shared" si="399"/>
        <v>272.20239349348384</v>
      </c>
      <c r="CU154" s="19">
        <f t="shared" si="400"/>
        <v>256.98380818150673</v>
      </c>
      <c r="CV154" s="27">
        <f>CV12*CV147/CV133</f>
        <v>268.89573756139492</v>
      </c>
      <c r="CW154" s="19">
        <f t="shared" si="401"/>
        <v>285.07592640084169</v>
      </c>
      <c r="CX154" s="19">
        <f t="shared" si="402"/>
        <v>290.25161255158901</v>
      </c>
      <c r="CY154" s="19">
        <f t="shared" si="403"/>
        <v>285.81251316815803</v>
      </c>
      <c r="CZ154" s="19">
        <f t="shared" si="404"/>
        <v>269.83299859058206</v>
      </c>
      <c r="DA154" s="27">
        <f>DA12*DA147/DA133</f>
        <v>282.34994290914562</v>
      </c>
      <c r="DB154" s="19">
        <f t="shared" si="405"/>
        <v>305.03124124890064</v>
      </c>
      <c r="DC154" s="19">
        <f t="shared" si="406"/>
        <v>310.56922543020028</v>
      </c>
      <c r="DD154" s="19">
        <f t="shared" si="407"/>
        <v>305.81938908992913</v>
      </c>
      <c r="DE154" s="19">
        <f t="shared" si="408"/>
        <v>288.7213084919228</v>
      </c>
      <c r="DF154" s="27">
        <f>DF12*DF147/DF133</f>
        <v>302.12376682228489</v>
      </c>
    </row>
    <row r="155" spans="2:110" x14ac:dyDescent="0.2">
      <c r="B155" s="777" t="s">
        <v>157</v>
      </c>
      <c r="C155" s="26"/>
      <c r="D155" s="26"/>
      <c r="E155" s="26"/>
      <c r="F155" s="26"/>
      <c r="G155" s="26"/>
      <c r="H155" s="26"/>
      <c r="I155" s="26"/>
      <c r="J155" s="26"/>
      <c r="K155" s="19">
        <v>22.533453165568204</v>
      </c>
      <c r="L155" s="19">
        <v>25.508044973256197</v>
      </c>
      <c r="M155" s="19">
        <v>26.36496416073096</v>
      </c>
      <c r="N155" s="19">
        <v>20.471804770439814</v>
      </c>
      <c r="O155" s="19"/>
      <c r="P155" s="19">
        <v>22.636556425667496</v>
      </c>
      <c r="Q155" s="19">
        <v>23.986576412392605</v>
      </c>
      <c r="R155" s="19">
        <v>24.343404071792715</v>
      </c>
      <c r="S155" s="19">
        <v>24.467476619906485</v>
      </c>
      <c r="T155" s="19">
        <v>23.848920768380189</v>
      </c>
      <c r="U155" s="19">
        <v>24.992824833987402</v>
      </c>
      <c r="V155" s="19">
        <v>24.710129636787183</v>
      </c>
      <c r="W155" s="19">
        <v>22.429949697398413</v>
      </c>
      <c r="X155" s="19">
        <v>22.233888888888892</v>
      </c>
      <c r="Y155" s="27">
        <v>23.524547026539359</v>
      </c>
      <c r="Z155" s="19">
        <v>20.644843049327356</v>
      </c>
      <c r="AA155" s="19">
        <v>21.224657534246575</v>
      </c>
      <c r="AB155" s="19">
        <v>20.899621212121215</v>
      </c>
      <c r="AC155" s="19">
        <v>21.044104410441044</v>
      </c>
      <c r="AD155" s="27">
        <v>20.952707333790265</v>
      </c>
      <c r="AE155" s="19">
        <v>21.456054687500004</v>
      </c>
      <c r="AF155" s="19">
        <v>22.698658410732712</v>
      </c>
      <c r="AG155" s="19">
        <v>23.193340494092379</v>
      </c>
      <c r="AH155" s="19">
        <v>23.651329243353779</v>
      </c>
      <c r="AI155" s="27">
        <v>22.729369554074832</v>
      </c>
      <c r="AJ155" s="19">
        <v>33.757231404958674</v>
      </c>
      <c r="AK155" s="19">
        <v>34.72186836518047</v>
      </c>
      <c r="AL155" s="19">
        <v>34.575461454940289</v>
      </c>
      <c r="AM155" s="19">
        <v>34.059855521155832</v>
      </c>
      <c r="AN155" s="27">
        <v>34.271842105263154</v>
      </c>
      <c r="AO155" s="19">
        <f t="shared" ref="AO155:BT155" si="412">AO12/AO67</f>
        <v>33.385947046843178</v>
      </c>
      <c r="AP155" s="19">
        <f t="shared" si="412"/>
        <v>34.330905306971907</v>
      </c>
      <c r="AQ155" s="19">
        <f t="shared" si="412"/>
        <v>34.768306010928967</v>
      </c>
      <c r="AR155" s="19">
        <f t="shared" si="412"/>
        <v>34.977611940298509</v>
      </c>
      <c r="AS155" s="27">
        <f t="shared" si="412"/>
        <v>34.351685985247627</v>
      </c>
      <c r="AT155" s="19">
        <f t="shared" si="412"/>
        <v>34.507430997876853</v>
      </c>
      <c r="AU155" s="19">
        <f t="shared" si="412"/>
        <v>34.13833157338965</v>
      </c>
      <c r="AV155" s="19">
        <f t="shared" si="412"/>
        <v>34.54621848739496</v>
      </c>
      <c r="AW155" s="19">
        <f t="shared" si="412"/>
        <v>43.716206111787685</v>
      </c>
      <c r="AX155" s="27">
        <f t="shared" si="412"/>
        <v>37.167914851933908</v>
      </c>
      <c r="AY155" s="19">
        <f t="shared" si="412"/>
        <v>50.634657207453955</v>
      </c>
      <c r="AZ155" s="19">
        <f t="shared" si="412"/>
        <v>50.260835160714315</v>
      </c>
      <c r="BA155" s="19">
        <f t="shared" si="412"/>
        <v>50.463155969849822</v>
      </c>
      <c r="BB155" s="19">
        <f t="shared" si="412"/>
        <v>49.430855152910773</v>
      </c>
      <c r="BC155" s="27">
        <f t="shared" si="412"/>
        <v>50.192322061461425</v>
      </c>
      <c r="BD155" s="19">
        <f t="shared" si="412"/>
        <v>42.653104303005151</v>
      </c>
      <c r="BE155" s="19">
        <f t="shared" si="412"/>
        <v>43.496019921717952</v>
      </c>
      <c r="BF155" s="19">
        <f t="shared" si="412"/>
        <v>44.237116369945127</v>
      </c>
      <c r="BG155" s="19">
        <f t="shared" si="412"/>
        <v>43.988723735315112</v>
      </c>
      <c r="BH155" s="27">
        <f t="shared" si="412"/>
        <v>43.59828807863255</v>
      </c>
      <c r="BI155" s="19">
        <f t="shared" si="412"/>
        <v>43.933533084614297</v>
      </c>
      <c r="BJ155" s="19">
        <f t="shared" si="412"/>
        <v>51.27738597620322</v>
      </c>
      <c r="BK155" s="19">
        <f t="shared" si="412"/>
        <v>50.124457337362053</v>
      </c>
      <c r="BL155" s="19">
        <f t="shared" si="412"/>
        <v>49.171323199466215</v>
      </c>
      <c r="BM155" s="27">
        <f t="shared" si="412"/>
        <v>49.243457294619596</v>
      </c>
      <c r="BN155" s="19">
        <f t="shared" si="412"/>
        <v>49.659772277603935</v>
      </c>
      <c r="BO155" s="19">
        <f t="shared" si="412"/>
        <v>53.156450125757587</v>
      </c>
      <c r="BP155" s="19">
        <f t="shared" si="412"/>
        <v>51.990103967051112</v>
      </c>
      <c r="BQ155" s="19">
        <f t="shared" si="412"/>
        <v>51.645471495386218</v>
      </c>
      <c r="BR155" s="27">
        <f t="shared" si="412"/>
        <v>51.580861138939923</v>
      </c>
      <c r="BS155" s="19">
        <f t="shared" si="412"/>
        <v>52.746695001849147</v>
      </c>
      <c r="BT155" s="19">
        <f t="shared" si="412"/>
        <v>55.039617415005424</v>
      </c>
      <c r="BU155" s="19">
        <f t="shared" ref="BU155:CQ155" si="413">BU12/BU67</f>
        <v>55.2248207386776</v>
      </c>
      <c r="BV155" s="19">
        <f t="shared" si="413"/>
        <v>55.095742850355244</v>
      </c>
      <c r="BW155" s="27">
        <f t="shared" si="413"/>
        <v>54.535983709369098</v>
      </c>
      <c r="BX155" s="19">
        <f t="shared" si="413"/>
        <v>56.569854817995257</v>
      </c>
      <c r="BY155" s="19">
        <f t="shared" si="413"/>
        <v>53.244917689447313</v>
      </c>
      <c r="BZ155" s="19">
        <f t="shared" si="413"/>
        <v>49.5731379172366</v>
      </c>
      <c r="CA155" s="19">
        <f t="shared" si="413"/>
        <v>49.480276429801037</v>
      </c>
      <c r="CB155" s="27">
        <f t="shared" si="413"/>
        <v>52.08101001327833</v>
      </c>
      <c r="CC155" s="19">
        <f t="shared" si="413"/>
        <v>48.704140690622715</v>
      </c>
      <c r="CD155" s="19">
        <f t="shared" si="413"/>
        <v>49.844088956113637</v>
      </c>
      <c r="CE155" s="19">
        <f t="shared" si="413"/>
        <v>50.290798115035976</v>
      </c>
      <c r="CF155" s="19">
        <f>CF12/CF67</f>
        <v>46.438891927273964</v>
      </c>
      <c r="CG155" s="27">
        <f t="shared" si="413"/>
        <v>48.807152605643701</v>
      </c>
      <c r="CH155" s="19">
        <f>CH12/CH67</f>
        <v>46.616372261476336</v>
      </c>
      <c r="CI155" s="19">
        <f>CI12/CI67</f>
        <v>47.094786183416623</v>
      </c>
      <c r="CJ155" s="19">
        <f>CJ12/CJ67</f>
        <v>47.120358501118808</v>
      </c>
      <c r="CK155" s="19">
        <f>CK12/CK67</f>
        <v>46.209152563519545</v>
      </c>
      <c r="CL155" s="27">
        <f t="shared" si="413"/>
        <v>46.75497929410021</v>
      </c>
      <c r="CM155" s="19">
        <f t="shared" si="413"/>
        <v>48.112241878156539</v>
      </c>
      <c r="CN155" s="19">
        <f t="shared" si="413"/>
        <v>48.602489113659288</v>
      </c>
      <c r="CO155" s="19">
        <f t="shared" si="413"/>
        <v>48.760836295288151</v>
      </c>
      <c r="CP155" s="19">
        <f t="shared" si="413"/>
        <v>47.828791170168216</v>
      </c>
      <c r="CQ155" s="27">
        <f t="shared" si="413"/>
        <v>48.320150506986892</v>
      </c>
      <c r="CR155" s="19">
        <f t="shared" ref="CR155:CV155" si="414">CR12/CR67</f>
        <v>51.582272525810012</v>
      </c>
      <c r="CS155" s="19">
        <f t="shared" si="414"/>
        <v>52.119754571850898</v>
      </c>
      <c r="CT155" s="19">
        <f t="shared" si="414"/>
        <v>52.395847336965019</v>
      </c>
      <c r="CU155" s="19">
        <f t="shared" si="414"/>
        <v>51.333366203981164</v>
      </c>
      <c r="CV155" s="27">
        <f t="shared" si="414"/>
        <v>51.851666718188177</v>
      </c>
      <c r="CW155" s="19">
        <f t="shared" ref="CW155:DF155" si="415">CW12/CW67</f>
        <v>54.390359830125774</v>
      </c>
      <c r="CX155" s="19">
        <f t="shared" si="415"/>
        <v>54.969545499656974</v>
      </c>
      <c r="CY155" s="19">
        <f t="shared" si="415"/>
        <v>55.326673588587724</v>
      </c>
      <c r="CZ155" s="19">
        <f t="shared" si="415"/>
        <v>54.142992689908027</v>
      </c>
      <c r="DA155" s="27">
        <f t="shared" si="415"/>
        <v>54.700855414663202</v>
      </c>
      <c r="DB155" s="19">
        <f t="shared" si="415"/>
        <v>58.284632538163244</v>
      </c>
      <c r="DC155" s="19">
        <f t="shared" si="415"/>
        <v>58.918583674722214</v>
      </c>
      <c r="DD155" s="19">
        <f t="shared" si="415"/>
        <v>59.383700566341908</v>
      </c>
      <c r="DE155" s="19">
        <f t="shared" si="415"/>
        <v>58.046822005341497</v>
      </c>
      <c r="DF155" s="27">
        <f t="shared" si="415"/>
        <v>58.651442586736067</v>
      </c>
    </row>
    <row r="156" spans="2:110" x14ac:dyDescent="0.2">
      <c r="B156" s="778" t="s">
        <v>156</v>
      </c>
      <c r="C156" s="26"/>
      <c r="D156" s="26"/>
      <c r="E156" s="26"/>
      <c r="F156" s="26"/>
      <c r="G156" s="26"/>
      <c r="H156" s="26"/>
      <c r="I156" s="26"/>
      <c r="J156" s="26"/>
      <c r="K156" s="19"/>
      <c r="L156" s="19"/>
      <c r="M156" s="19"/>
      <c r="N156" s="19"/>
      <c r="O156" s="19"/>
      <c r="P156" s="19"/>
      <c r="Q156" s="19"/>
      <c r="R156" s="19"/>
      <c r="S156" s="19"/>
      <c r="T156" s="19"/>
      <c r="U156" s="19"/>
      <c r="V156" s="19"/>
      <c r="W156" s="19"/>
      <c r="X156" s="19"/>
      <c r="Y156" s="96"/>
      <c r="Z156" s="19"/>
      <c r="AA156" s="19"/>
      <c r="AB156" s="19"/>
      <c r="AC156" s="19"/>
      <c r="AD156" s="96"/>
      <c r="AE156" s="19"/>
      <c r="AF156" s="19"/>
      <c r="AG156" s="19"/>
      <c r="AH156" s="19"/>
      <c r="AI156" s="27"/>
      <c r="AJ156" s="19"/>
      <c r="AK156" s="19"/>
      <c r="AL156" s="19"/>
      <c r="AM156" s="19"/>
      <c r="AN156" s="27"/>
      <c r="AO156" s="19"/>
      <c r="AP156" s="19"/>
      <c r="AQ156" s="19"/>
      <c r="AR156" s="19"/>
      <c r="AS156" s="27"/>
      <c r="AT156" s="19"/>
      <c r="AU156" s="19"/>
      <c r="AV156" s="19"/>
      <c r="AW156" s="19"/>
      <c r="AX156" s="27"/>
      <c r="AY156" s="19"/>
      <c r="AZ156" s="19"/>
      <c r="BA156" s="19"/>
      <c r="BB156" s="19"/>
      <c r="BC156" s="27"/>
      <c r="BD156" s="19"/>
      <c r="BE156" s="19"/>
      <c r="BF156" s="19"/>
      <c r="BG156" s="19"/>
      <c r="BH156" s="27"/>
      <c r="BI156" s="19"/>
      <c r="BJ156" s="19"/>
      <c r="BK156" s="19"/>
      <c r="BL156" s="19"/>
      <c r="BM156" s="27"/>
      <c r="BN156" s="19"/>
      <c r="BO156" s="19"/>
      <c r="BP156" s="19"/>
      <c r="BQ156" s="19"/>
      <c r="BR156" s="27"/>
      <c r="BS156" s="19"/>
      <c r="BT156" s="19"/>
      <c r="BU156" s="19"/>
      <c r="BV156" s="66">
        <f>+BV155/BU155-1</f>
        <v>-2.3373165651935368E-3</v>
      </c>
      <c r="BW156" s="27"/>
      <c r="BX156" s="19"/>
      <c r="BY156" s="19"/>
      <c r="BZ156" s="19"/>
      <c r="CA156" s="66"/>
      <c r="CB156" s="27"/>
      <c r="CC156" s="19"/>
      <c r="CD156" s="19"/>
      <c r="CE156" s="19"/>
      <c r="CF156" s="66"/>
      <c r="CG156" s="27"/>
      <c r="CH156" s="66"/>
      <c r="CI156" s="66"/>
      <c r="CJ156" s="66"/>
      <c r="CK156" s="66"/>
      <c r="CL156" s="27"/>
      <c r="CM156" s="19"/>
      <c r="CN156" s="19"/>
      <c r="CO156" s="19"/>
      <c r="CP156" s="19"/>
      <c r="CQ156" s="27"/>
      <c r="CR156" s="19"/>
      <c r="CS156" s="19"/>
      <c r="CT156" s="19"/>
      <c r="CU156" s="19"/>
      <c r="CV156" s="27"/>
      <c r="CW156" s="19"/>
      <c r="CX156" s="19"/>
      <c r="CY156" s="19"/>
      <c r="CZ156" s="19"/>
      <c r="DA156" s="27"/>
      <c r="DB156" s="19"/>
      <c r="DC156" s="19"/>
      <c r="DD156" s="19"/>
      <c r="DE156" s="19"/>
      <c r="DF156" s="27"/>
    </row>
    <row r="157" spans="2:110" x14ac:dyDescent="0.2">
      <c r="B157" s="777" t="s">
        <v>277</v>
      </c>
      <c r="C157" s="26"/>
      <c r="D157" s="26"/>
      <c r="E157" s="26"/>
      <c r="F157" s="26"/>
      <c r="G157" s="26"/>
      <c r="H157" s="26"/>
      <c r="I157" s="26"/>
      <c r="J157" s="26"/>
      <c r="K157" s="19" t="s">
        <v>263</v>
      </c>
      <c r="L157" s="19" t="s">
        <v>263</v>
      </c>
      <c r="M157" s="19" t="s">
        <v>263</v>
      </c>
      <c r="N157" s="19" t="s">
        <v>263</v>
      </c>
      <c r="O157" s="19"/>
      <c r="P157" s="19">
        <v>45.623541736151353</v>
      </c>
      <c r="Q157" s="19">
        <v>37.49334349162033</v>
      </c>
      <c r="R157" s="19">
        <v>40.22461276702316</v>
      </c>
      <c r="S157" s="19">
        <v>40.629014043291008</v>
      </c>
      <c r="T157" s="19">
        <v>40.871564936029507</v>
      </c>
      <c r="U157" s="19">
        <v>41.609510315364631</v>
      </c>
      <c r="V157" s="19">
        <v>42.462584219174609</v>
      </c>
      <c r="W157" s="19">
        <v>39.03585444257476</v>
      </c>
      <c r="X157" s="19">
        <v>40.374433680285108</v>
      </c>
      <c r="Y157" s="27">
        <v>40.798155041918335</v>
      </c>
      <c r="Z157" s="19">
        <v>38.183122342158363</v>
      </c>
      <c r="AA157" s="19">
        <v>37.83474015604326</v>
      </c>
      <c r="AB157" s="19">
        <v>38.1483073814791</v>
      </c>
      <c r="AC157" s="19">
        <v>37.627912073462063</v>
      </c>
      <c r="AD157" s="27">
        <v>37.94228852984044</v>
      </c>
      <c r="AE157" s="19">
        <v>39.582793959007553</v>
      </c>
      <c r="AF157" s="19">
        <v>40.250305250305253</v>
      </c>
      <c r="AG157" s="19">
        <v>37.662441197285709</v>
      </c>
      <c r="AH157" s="19">
        <v>39.665777956637662</v>
      </c>
      <c r="AI157" s="27">
        <v>39.277004989380622</v>
      </c>
      <c r="AJ157" s="19">
        <v>39.776681893687709</v>
      </c>
      <c r="AK157" s="19">
        <v>41.450887282721432</v>
      </c>
      <c r="AL157" s="19">
        <v>38.900891973186134</v>
      </c>
      <c r="AM157" s="19">
        <v>40.492769108896276</v>
      </c>
      <c r="AN157" s="27">
        <v>40.158436649010582</v>
      </c>
      <c r="AO157" s="19">
        <f t="shared" ref="AO157:BG157" si="416">AO14*AO148/AO137</f>
        <v>11.98096069008802</v>
      </c>
      <c r="AP157" s="19">
        <f t="shared" si="416"/>
        <v>11.679042974424588</v>
      </c>
      <c r="AQ157" s="19">
        <f t="shared" si="416"/>
        <v>12.567089624906489</v>
      </c>
      <c r="AR157" s="19">
        <f t="shared" si="416"/>
        <v>12.31708389298654</v>
      </c>
      <c r="AS157" s="27">
        <f t="shared" si="416"/>
        <v>12.139332180659219</v>
      </c>
      <c r="AT157" s="19">
        <f t="shared" ref="AT157:BD157" ca="1" si="417">AT14*AT148/AT137</f>
        <v>11.690188511783024</v>
      </c>
      <c r="AU157" s="19">
        <f t="shared" ca="1" si="417"/>
        <v>12.303322555821989</v>
      </c>
      <c r="AV157" s="19">
        <f t="shared" ca="1" si="417"/>
        <v>11.789953296649333</v>
      </c>
      <c r="AW157" s="19">
        <f t="shared" ca="1" si="417"/>
        <v>15.357492789197732</v>
      </c>
      <c r="AX157" s="27">
        <f t="shared" ca="1" si="417"/>
        <v>12.872968851515958</v>
      </c>
      <c r="AY157" s="19">
        <f t="shared" ca="1" si="417"/>
        <v>17.727844811101875</v>
      </c>
      <c r="AZ157" s="19">
        <f t="shared" ca="1" si="417"/>
        <v>17.673858324772716</v>
      </c>
      <c r="BA157" s="19">
        <f t="shared" ca="1" si="417"/>
        <v>17.726898257779013</v>
      </c>
      <c r="BB157" s="19">
        <f t="shared" ca="1" si="417"/>
        <v>17.585568678488357</v>
      </c>
      <c r="BC157" s="27">
        <f t="shared" ca="1" si="417"/>
        <v>17.677917356736764</v>
      </c>
      <c r="BD157" s="19">
        <f t="shared" ca="1" si="417"/>
        <v>19.529188545684459</v>
      </c>
      <c r="BE157" s="19">
        <f t="shared" si="416"/>
        <v>19.292997006516675</v>
      </c>
      <c r="BF157" s="19">
        <f t="shared" si="416"/>
        <v>19.429357979127854</v>
      </c>
      <c r="BG157" s="19">
        <f t="shared" si="416"/>
        <v>20.100319231991993</v>
      </c>
      <c r="BH157" s="27">
        <f t="shared" ref="BH157:CL157" ca="1" si="418">BH14*BH148/BH137</f>
        <v>19.595081422623242</v>
      </c>
      <c r="BI157" s="19">
        <f t="shared" ca="1" si="418"/>
        <v>20.317116826062705</v>
      </c>
      <c r="BJ157" s="19">
        <f t="shared" ca="1" si="418"/>
        <v>18.449962689475825</v>
      </c>
      <c r="BK157" s="19">
        <f t="shared" ca="1" si="418"/>
        <v>17.432155610708708</v>
      </c>
      <c r="BL157" s="19">
        <f t="shared" ca="1" si="418"/>
        <v>17.293938980652516</v>
      </c>
      <c r="BM157" s="27">
        <f t="shared" ca="1" si="418"/>
        <v>17.974867371601178</v>
      </c>
      <c r="BN157" s="19">
        <f t="shared" ca="1" si="418"/>
        <v>16.730403449673926</v>
      </c>
      <c r="BO157" s="19">
        <f t="shared" ca="1" si="418"/>
        <v>17.042698525649964</v>
      </c>
      <c r="BP157" s="19">
        <f t="shared" ca="1" si="418"/>
        <v>17.029915565605286</v>
      </c>
      <c r="BQ157" s="19">
        <f t="shared" ca="1" si="418"/>
        <v>15.266067670970255</v>
      </c>
      <c r="BR157" s="27">
        <f t="shared" ca="1" si="418"/>
        <v>16.516753009131556</v>
      </c>
      <c r="BS157" s="19">
        <f t="shared" ca="1" si="418"/>
        <v>16.094457899791866</v>
      </c>
      <c r="BT157" s="19">
        <f t="shared" ca="1" si="418"/>
        <v>16.953773083544089</v>
      </c>
      <c r="BU157" s="19">
        <f t="shared" ca="1" si="418"/>
        <v>17.684254164960599</v>
      </c>
      <c r="BV157" s="19">
        <f t="shared" ca="1" si="418"/>
        <v>17.947053708827717</v>
      </c>
      <c r="BW157" s="27">
        <f t="shared" ca="1" si="418"/>
        <v>17.213823634716693</v>
      </c>
      <c r="BX157" s="19">
        <f t="shared" ca="1" si="418"/>
        <v>17.519496961632015</v>
      </c>
      <c r="BY157" s="19">
        <f t="shared" ca="1" si="418"/>
        <v>18.62787876946771</v>
      </c>
      <c r="BZ157" s="19">
        <f t="shared" ca="1" si="418"/>
        <v>19.441252509201796</v>
      </c>
      <c r="CA157" s="19">
        <f t="shared" ca="1" si="418"/>
        <v>19.898625951489436</v>
      </c>
      <c r="CB157" s="27">
        <f t="shared" ca="1" si="418"/>
        <v>18.882967583510492</v>
      </c>
      <c r="CC157" s="19">
        <f t="shared" ca="1" si="418"/>
        <v>19.288464385482694</v>
      </c>
      <c r="CD157" s="19">
        <f t="shared" ca="1" si="418"/>
        <v>19.968448978548867</v>
      </c>
      <c r="CE157" s="19">
        <f t="shared" ca="1" si="418"/>
        <v>19.8060525229014</v>
      </c>
      <c r="CF157" s="19">
        <f t="shared" ca="1" si="418"/>
        <v>20.684478955826378</v>
      </c>
      <c r="CG157" s="27">
        <f t="shared" ca="1" si="418"/>
        <v>19.940034815163994</v>
      </c>
      <c r="CH157" s="19">
        <f t="shared" ca="1" si="418"/>
        <v>19.485778551838479</v>
      </c>
      <c r="CI157" s="19">
        <f t="shared" ca="1" si="418"/>
        <v>20.062411642917361</v>
      </c>
      <c r="CJ157" s="19">
        <f t="shared" ca="1" si="418"/>
        <v>18.235262453500898</v>
      </c>
      <c r="CK157" s="19">
        <f t="shared" ca="1" si="418"/>
        <v>19.342702877184077</v>
      </c>
      <c r="CL157" s="27">
        <f t="shared" ca="1" si="418"/>
        <v>19.283275100655764</v>
      </c>
      <c r="CM157" s="19">
        <f t="shared" ref="CM157:CP158" ca="1" si="419">CH157*(1+CM171)</f>
        <v>18.901205195283325</v>
      </c>
      <c r="CN157" s="19">
        <f t="shared" ca="1" si="419"/>
        <v>19.460539293629839</v>
      </c>
      <c r="CO157" s="19">
        <f t="shared" ca="1" si="419"/>
        <v>17.688204579895871</v>
      </c>
      <c r="CP157" s="19">
        <f t="shared" ca="1" si="419"/>
        <v>18.762421790868554</v>
      </c>
      <c r="CQ157" s="27">
        <f ca="1">CQ14*CQ148/CQ137</f>
        <v>18.697508272204988</v>
      </c>
      <c r="CR157" s="19">
        <f t="shared" ref="CR157:CU158" ca="1" si="420">CM157*(1+CR171)</f>
        <v>18.334169039424825</v>
      </c>
      <c r="CS157" s="19">
        <f t="shared" ca="1" si="420"/>
        <v>18.876723114820944</v>
      </c>
      <c r="CT157" s="19">
        <f t="shared" ca="1" si="420"/>
        <v>17.157558442498996</v>
      </c>
      <c r="CU157" s="19">
        <f t="shared" ca="1" si="420"/>
        <v>18.199549137142498</v>
      </c>
      <c r="CV157" s="27">
        <f ca="1">CV14*CV148/CV137</f>
        <v>18.136920362326219</v>
      </c>
      <c r="CW157" s="19">
        <f t="shared" ref="CW157:CZ158" ca="1" si="421">CR157*(1+CW171)</f>
        <v>17.784143968242081</v>
      </c>
      <c r="CX157" s="19">
        <f t="shared" ca="1" si="421"/>
        <v>18.310421421376315</v>
      </c>
      <c r="CY157" s="19">
        <f t="shared" ca="1" si="421"/>
        <v>16.642831689224025</v>
      </c>
      <c r="CZ157" s="19">
        <f t="shared" ca="1" si="421"/>
        <v>17.653562663028222</v>
      </c>
      <c r="DA157" s="27">
        <f ca="1">DA14*DA148/DA137</f>
        <v>17.592843125997131</v>
      </c>
      <c r="DB157" s="19">
        <f t="shared" ref="DB157:DE158" ca="1" si="422">CW157*(1+DB171)</f>
        <v>17.250619649194817</v>
      </c>
      <c r="DC157" s="19">
        <f t="shared" ca="1" si="422"/>
        <v>17.761108778735025</v>
      </c>
      <c r="DD157" s="19">
        <f t="shared" ca="1" si="422"/>
        <v>16.143546738547304</v>
      </c>
      <c r="DE157" s="19">
        <f t="shared" ca="1" si="422"/>
        <v>17.123955783137376</v>
      </c>
      <c r="DF157" s="27">
        <f ca="1">DF14*DF148/DF137</f>
        <v>17.065088666908441</v>
      </c>
    </row>
    <row r="158" spans="2:110" x14ac:dyDescent="0.2">
      <c r="B158" s="777" t="s">
        <v>278</v>
      </c>
      <c r="C158" s="26"/>
      <c r="D158" s="26"/>
      <c r="E158" s="26"/>
      <c r="F158" s="26"/>
      <c r="G158" s="26"/>
      <c r="H158" s="26"/>
      <c r="I158" s="26"/>
      <c r="J158" s="26"/>
      <c r="K158" s="19" t="s">
        <v>263</v>
      </c>
      <c r="L158" s="19" t="s">
        <v>263</v>
      </c>
      <c r="M158" s="19" t="s">
        <v>263</v>
      </c>
      <c r="N158" s="19" t="s">
        <v>263</v>
      </c>
      <c r="O158" s="19"/>
      <c r="P158" s="19">
        <v>181.09916203402253</v>
      </c>
      <c r="Q158" s="19">
        <v>166.71763314045791</v>
      </c>
      <c r="R158" s="19">
        <v>167.97087382561844</v>
      </c>
      <c r="S158" s="19">
        <v>174.68352487776983</v>
      </c>
      <c r="T158" s="19">
        <v>172.4619942701259</v>
      </c>
      <c r="U158" s="19">
        <v>178.55405728317751</v>
      </c>
      <c r="V158" s="19">
        <v>176.19045519188398</v>
      </c>
      <c r="W158" s="19">
        <v>183.09638293001342</v>
      </c>
      <c r="X158" s="19">
        <v>185.3402923649129</v>
      </c>
      <c r="Y158" s="27">
        <v>180.81976771537953</v>
      </c>
      <c r="Z158" s="19">
        <v>191.17493904047831</v>
      </c>
      <c r="AA158" s="19">
        <v>190.76989819123253</v>
      </c>
      <c r="AB158" s="19">
        <v>190.81914239653366</v>
      </c>
      <c r="AC158" s="19">
        <v>196.79064335639961</v>
      </c>
      <c r="AD158" s="27">
        <v>192.40756238261162</v>
      </c>
      <c r="AE158" s="19">
        <v>197.96465198960752</v>
      </c>
      <c r="AF158" s="19">
        <v>195.05917159763314</v>
      </c>
      <c r="AG158" s="19">
        <v>200.96410170873642</v>
      </c>
      <c r="AH158" s="19">
        <v>201.61737254350166</v>
      </c>
      <c r="AI158" s="27">
        <v>198.80266011018287</v>
      </c>
      <c r="AJ158" s="19">
        <v>201.45360725308649</v>
      </c>
      <c r="AK158" s="19">
        <v>203.42125042237183</v>
      </c>
      <c r="AL158" s="19">
        <v>210.20104472059012</v>
      </c>
      <c r="AM158" s="19">
        <v>217.18450707116315</v>
      </c>
      <c r="AN158" s="27">
        <v>207.92009212935284</v>
      </c>
      <c r="AO158" s="19">
        <f t="shared" ref="AO158:BG158" si="423">AO14*AO149/AO138</f>
        <v>74.511350539990175</v>
      </c>
      <c r="AP158" s="19">
        <f t="shared" si="423"/>
        <v>77.876455116864364</v>
      </c>
      <c r="AQ158" s="19">
        <f t="shared" si="423"/>
        <v>79.014477532423783</v>
      </c>
      <c r="AR158" s="19">
        <f t="shared" si="423"/>
        <v>83.336341376410928</v>
      </c>
      <c r="AS158" s="27">
        <f t="shared" si="423"/>
        <v>78.553736862255221</v>
      </c>
      <c r="AT158" s="19">
        <f t="shared" ref="AT158:BD158" ca="1" si="424">AT14*AT149/AT138</f>
        <v>73.993532178428083</v>
      </c>
      <c r="AU158" s="19">
        <f t="shared" ca="1" si="424"/>
        <v>77.013225848407401</v>
      </c>
      <c r="AV158" s="19">
        <f t="shared" ca="1" si="424"/>
        <v>78.622666789459402</v>
      </c>
      <c r="AW158" s="19">
        <f t="shared" ca="1" si="424"/>
        <v>100.79324681474833</v>
      </c>
      <c r="AX158" s="27">
        <f t="shared" ca="1" si="424"/>
        <v>83.060467454201842</v>
      </c>
      <c r="AY158" s="19">
        <f t="shared" ca="1" si="424"/>
        <v>116.57307923666852</v>
      </c>
      <c r="AZ158" s="19">
        <f t="shared" ca="1" si="424"/>
        <v>117.82197593297593</v>
      </c>
      <c r="BA158" s="19">
        <f t="shared" ca="1" si="424"/>
        <v>119.12807508619194</v>
      </c>
      <c r="BB158" s="19">
        <f t="shared" ca="1" si="424"/>
        <v>120.53391524806432</v>
      </c>
      <c r="BC158" s="27">
        <f t="shared" ca="1" si="424"/>
        <v>118.50095420790977</v>
      </c>
      <c r="BD158" s="19">
        <f t="shared" ca="1" si="424"/>
        <v>125.32531280984004</v>
      </c>
      <c r="BE158" s="19">
        <f t="shared" si="423"/>
        <v>130.19726219033305</v>
      </c>
      <c r="BF158" s="19">
        <f t="shared" si="423"/>
        <v>137.35010839678102</v>
      </c>
      <c r="BG158" s="19">
        <f t="shared" si="423"/>
        <v>146.04489792408964</v>
      </c>
      <c r="BH158" s="27">
        <f t="shared" ref="BH158:CF158" ca="1" si="425">BH14*BH149/BH138</f>
        <v>134.59531196925326</v>
      </c>
      <c r="BI158" s="19">
        <f t="shared" ca="1" si="425"/>
        <v>152.09233511692176</v>
      </c>
      <c r="BJ158" s="19">
        <f t="shared" ca="1" si="425"/>
        <v>157.47990259105325</v>
      </c>
      <c r="BK158" s="19">
        <f t="shared" ca="1" si="425"/>
        <v>161.32085785958233</v>
      </c>
      <c r="BL158" s="19">
        <f t="shared" ca="1" si="425"/>
        <v>169.22581966756368</v>
      </c>
      <c r="BM158" s="27">
        <f t="shared" ca="1" si="425"/>
        <v>161.13534921254188</v>
      </c>
      <c r="BN158" s="19">
        <f t="shared" ca="1" si="425"/>
        <v>167.62130440451446</v>
      </c>
      <c r="BO158" s="19">
        <f t="shared" ca="1" si="425"/>
        <v>177.13831526773993</v>
      </c>
      <c r="BP158" s="19">
        <f t="shared" ca="1" si="425"/>
        <v>193.15024452030053</v>
      </c>
      <c r="BQ158" s="19">
        <f t="shared" ca="1" si="425"/>
        <v>191.80719978713157</v>
      </c>
      <c r="BR158" s="27">
        <f t="shared" ca="1" si="425"/>
        <v>181.99301297573092</v>
      </c>
      <c r="BS158" s="19">
        <f t="shared" ca="1" si="425"/>
        <v>200.1101333884429</v>
      </c>
      <c r="BT158" s="19">
        <f t="shared" ca="1" si="425"/>
        <v>210.3101866655183</v>
      </c>
      <c r="BU158" s="19">
        <f t="shared" ca="1" si="425"/>
        <v>219.04005284415467</v>
      </c>
      <c r="BV158" s="19">
        <f t="shared" ca="1" si="425"/>
        <v>222.24466379683702</v>
      </c>
      <c r="BW158" s="27">
        <f t="shared" ca="1" si="425"/>
        <v>213.17292706211592</v>
      </c>
      <c r="BX158" s="19">
        <f t="shared" ca="1" si="425"/>
        <v>217.29543027735861</v>
      </c>
      <c r="BY158" s="19">
        <f t="shared" ca="1" si="425"/>
        <v>231.97083886285586</v>
      </c>
      <c r="BZ158" s="19">
        <f t="shared" ca="1" si="425"/>
        <v>243.43928501722235</v>
      </c>
      <c r="CA158" s="19">
        <f t="shared" ca="1" si="425"/>
        <v>247.49059623406146</v>
      </c>
      <c r="CB158" s="27">
        <f t="shared" ca="1" si="425"/>
        <v>234.91997718099344</v>
      </c>
      <c r="CC158" s="19">
        <f t="shared" ca="1" si="425"/>
        <v>240.52961009450519</v>
      </c>
      <c r="CD158" s="19">
        <f t="shared" ca="1" si="425"/>
        <v>251.60873496692949</v>
      </c>
      <c r="CE158" s="19">
        <f t="shared" ca="1" si="425"/>
        <v>250.80432352495893</v>
      </c>
      <c r="CF158" s="19">
        <f t="shared" ca="1" si="425"/>
        <v>262.27958041770427</v>
      </c>
      <c r="CG158" s="27">
        <f ca="1">CG184/CG138</f>
        <v>251.07521254062829</v>
      </c>
      <c r="CH158" s="19">
        <f ca="1">CH14*CH149/CH138</f>
        <v>249.67534070762841</v>
      </c>
      <c r="CI158" s="19">
        <f ca="1">CI14*CI149/CI138</f>
        <v>260.32890536532489</v>
      </c>
      <c r="CJ158" s="19">
        <f ca="1">CJ14*CJ149/CJ138</f>
        <v>240.14427257182777</v>
      </c>
      <c r="CK158" s="19">
        <f ca="1">CK14*CK149/CK138</f>
        <v>254.72840458748607</v>
      </c>
      <c r="CL158" s="27">
        <f ca="1">CL14*CL149/CL138</f>
        <v>251.3354355475733</v>
      </c>
      <c r="CM158" s="19">
        <f t="shared" ca="1" si="419"/>
        <v>269.64936796423871</v>
      </c>
      <c r="CN158" s="19">
        <f t="shared" ca="1" si="419"/>
        <v>281.15521779455088</v>
      </c>
      <c r="CO158" s="19">
        <f t="shared" ca="1" si="419"/>
        <v>259.35581437757401</v>
      </c>
      <c r="CP158" s="19">
        <f t="shared" ca="1" si="419"/>
        <v>275.10667695448495</v>
      </c>
      <c r="CQ158" s="27">
        <f ca="1">CQ14*CQ149/CQ138</f>
        <v>271.39342693169726</v>
      </c>
      <c r="CR158" s="19">
        <f t="shared" ca="1" si="420"/>
        <v>291.2213174013778</v>
      </c>
      <c r="CS158" s="19">
        <f t="shared" ca="1" si="420"/>
        <v>303.64763521811494</v>
      </c>
      <c r="CT158" s="19">
        <f t="shared" ca="1" si="420"/>
        <v>280.10427952777997</v>
      </c>
      <c r="CU158" s="19">
        <f t="shared" ca="1" si="420"/>
        <v>297.11521111084375</v>
      </c>
      <c r="CV158" s="27">
        <f ca="1">CV14*CV149/CV138</f>
        <v>293.15120824617583</v>
      </c>
      <c r="CW158" s="19">
        <f t="shared" ca="1" si="421"/>
        <v>305.78238327144669</v>
      </c>
      <c r="CX158" s="19">
        <f t="shared" ca="1" si="421"/>
        <v>318.83001697902068</v>
      </c>
      <c r="CY158" s="19">
        <f t="shared" ca="1" si="421"/>
        <v>294.109493504169</v>
      </c>
      <c r="CZ158" s="19">
        <f t="shared" ca="1" si="421"/>
        <v>311.97097166638594</v>
      </c>
      <c r="DA158" s="27">
        <f ca="1">DA14*DA149/DA138</f>
        <v>307.82230951164115</v>
      </c>
      <c r="DB158" s="19">
        <f t="shared" ca="1" si="422"/>
        <v>327.18715010044798</v>
      </c>
      <c r="DC158" s="19">
        <f t="shared" ca="1" si="422"/>
        <v>341.14811816755213</v>
      </c>
      <c r="DD158" s="19">
        <f t="shared" ca="1" si="422"/>
        <v>314.69715804946082</v>
      </c>
      <c r="DE158" s="19">
        <f t="shared" ca="1" si="422"/>
        <v>333.80893968303297</v>
      </c>
      <c r="DF158" s="27">
        <f ca="1">DF14*DF149/DF138</f>
        <v>329.38750378171687</v>
      </c>
    </row>
    <row r="159" spans="2:110" x14ac:dyDescent="0.2">
      <c r="B159" s="777" t="s">
        <v>157</v>
      </c>
      <c r="C159" s="26"/>
      <c r="D159" s="26"/>
      <c r="E159" s="26"/>
      <c r="F159" s="26"/>
      <c r="G159" s="26"/>
      <c r="H159" s="26"/>
      <c r="I159" s="26"/>
      <c r="J159" s="26"/>
      <c r="K159" s="19">
        <v>0</v>
      </c>
      <c r="L159" s="19">
        <v>0</v>
      </c>
      <c r="M159" s="19">
        <v>0</v>
      </c>
      <c r="N159" s="19">
        <v>0</v>
      </c>
      <c r="O159" s="19"/>
      <c r="P159" s="19">
        <v>130.8377069035123</v>
      </c>
      <c r="Q159" s="19">
        <v>118.64619739109034</v>
      </c>
      <c r="R159" s="19">
        <v>120.7047572339382</v>
      </c>
      <c r="S159" s="19">
        <v>123.74281076066788</v>
      </c>
      <c r="T159" s="19">
        <v>123.32622073785446</v>
      </c>
      <c r="U159" s="19">
        <v>124.87179487179488</v>
      </c>
      <c r="V159" s="19">
        <v>124.30404125447275</v>
      </c>
      <c r="W159" s="19">
        <v>124.31968730713845</v>
      </c>
      <c r="X159" s="19">
        <v>124.1647</v>
      </c>
      <c r="Y159" s="27">
        <v>124.40677966101694</v>
      </c>
      <c r="Z159" s="19">
        <v>125.08247422680411</v>
      </c>
      <c r="AA159" s="19">
        <v>124.3960396039604</v>
      </c>
      <c r="AB159" s="19">
        <v>124.56</v>
      </c>
      <c r="AC159" s="19">
        <v>126.28155339805826</v>
      </c>
      <c r="AD159" s="27">
        <v>125.08728179551125</v>
      </c>
      <c r="AE159" s="19">
        <v>129.54368932038835</v>
      </c>
      <c r="AF159" s="19">
        <v>126.78846153846152</v>
      </c>
      <c r="AG159" s="19">
        <v>124.04901960784314</v>
      </c>
      <c r="AH159" s="19">
        <v>123.47572815533981</v>
      </c>
      <c r="AI159" s="27">
        <v>125.97087378640776</v>
      </c>
      <c r="AJ159" s="19">
        <v>123.59</v>
      </c>
      <c r="AK159" s="19">
        <v>122.59803921568628</v>
      </c>
      <c r="AL159" s="19">
        <v>122.66666666666669</v>
      </c>
      <c r="AM159" s="19">
        <v>124.0679611650485</v>
      </c>
      <c r="AN159" s="27">
        <v>123.23095823095822</v>
      </c>
      <c r="AO159" s="19">
        <f t="shared" ref="AO159:BG159" si="426">AO14/AO69</f>
        <v>122.42241123267874</v>
      </c>
      <c r="AP159" s="19">
        <f t="shared" si="426"/>
        <v>120.82897505987573</v>
      </c>
      <c r="AQ159" s="19">
        <f t="shared" si="426"/>
        <v>123.01971494797168</v>
      </c>
      <c r="AR159" s="19">
        <f t="shared" si="426"/>
        <v>125.37022724582299</v>
      </c>
      <c r="AS159" s="27">
        <f t="shared" si="426"/>
        <v>122.89343221418763</v>
      </c>
      <c r="AT159" s="19">
        <f t="shared" ref="AT159:BD159" ca="1" si="427">AT14/AT69</f>
        <v>120.33622741862892</v>
      </c>
      <c r="AU159" s="19">
        <f t="shared" ca="1" si="427"/>
        <v>125.15408676707423</v>
      </c>
      <c r="AV159" s="19">
        <f t="shared" ca="1" si="427"/>
        <v>123.82061257752918</v>
      </c>
      <c r="AW159" s="19">
        <f t="shared" ca="1" si="427"/>
        <v>159.6449604093367</v>
      </c>
      <c r="AX159" s="27">
        <f t="shared" ca="1" si="427"/>
        <v>133.06242582242078</v>
      </c>
      <c r="AY159" s="19">
        <f t="shared" ca="1" si="427"/>
        <v>179.79328723507112</v>
      </c>
      <c r="AZ159" s="19">
        <f t="shared" ca="1" si="427"/>
        <v>180.54006042788495</v>
      </c>
      <c r="BA159" s="19">
        <f t="shared" ca="1" si="427"/>
        <v>178.95666692076432</v>
      </c>
      <c r="BB159" s="19">
        <f t="shared" ca="1" si="427"/>
        <v>180.26915027509094</v>
      </c>
      <c r="BC159" s="27">
        <f t="shared" ca="1" si="427"/>
        <v>179.88888516157732</v>
      </c>
      <c r="BD159" s="19">
        <f t="shared" ca="1" si="427"/>
        <v>185.21205074416537</v>
      </c>
      <c r="BE159" s="19">
        <f t="shared" si="426"/>
        <v>186.7517327441989</v>
      </c>
      <c r="BF159" s="19">
        <f t="shared" si="426"/>
        <v>195.35223911451146</v>
      </c>
      <c r="BG159" s="19">
        <f t="shared" si="426"/>
        <v>200.15075938198075</v>
      </c>
      <c r="BH159" s="27">
        <f t="shared" ref="BH159:CM159" ca="1" si="428">BH14/BH69</f>
        <v>191.91186102314177</v>
      </c>
      <c r="BI159" s="19">
        <f t="shared" ca="1" si="428"/>
        <v>192.02642245898079</v>
      </c>
      <c r="BJ159" s="19">
        <f t="shared" ca="1" si="428"/>
        <v>180.28755233611537</v>
      </c>
      <c r="BK159" s="19">
        <f t="shared" ca="1" si="428"/>
        <v>174.39013415218048</v>
      </c>
      <c r="BL159" s="19">
        <f t="shared" ca="1" si="428"/>
        <v>179.46008594527689</v>
      </c>
      <c r="BM159" s="27">
        <f t="shared" ca="1" si="428"/>
        <v>179.5782912014644</v>
      </c>
      <c r="BN159" s="19">
        <f t="shared" ca="1" si="428"/>
        <v>168.79293641875699</v>
      </c>
      <c r="BO159" s="19">
        <f t="shared" ca="1" si="428"/>
        <v>175.71623022048698</v>
      </c>
      <c r="BP159" s="19">
        <f t="shared" ca="1" si="428"/>
        <v>186.96588463747474</v>
      </c>
      <c r="BQ159" s="19">
        <f t="shared" ca="1" si="428"/>
        <v>180.60364338841021</v>
      </c>
      <c r="BR159" s="27">
        <f t="shared" ca="1" si="428"/>
        <v>177.81229241712484</v>
      </c>
      <c r="BS159" s="19">
        <f t="shared" ca="1" si="428"/>
        <v>182.43541217082287</v>
      </c>
      <c r="BT159" s="19">
        <f t="shared" ca="1" si="428"/>
        <v>188.86255566330408</v>
      </c>
      <c r="BU159" s="19">
        <f t="shared" ca="1" si="428"/>
        <v>193.06223167974343</v>
      </c>
      <c r="BV159" s="19">
        <f t="shared" ca="1" si="428"/>
        <v>192.76559809990161</v>
      </c>
      <c r="BW159" s="27">
        <f t="shared" ca="1" si="428"/>
        <v>189.59328415978689</v>
      </c>
      <c r="BX159" s="19">
        <f t="shared" ca="1" si="428"/>
        <v>175.4527000653674</v>
      </c>
      <c r="BY159" s="19">
        <f t="shared" ca="1" si="428"/>
        <v>181.71626172510653</v>
      </c>
      <c r="BZ159" s="19">
        <f t="shared" ca="1" si="428"/>
        <v>185.40918933040535</v>
      </c>
      <c r="CA159" s="19">
        <f t="shared" ca="1" si="428"/>
        <v>195.85273469286804</v>
      </c>
      <c r="CB159" s="27">
        <f t="shared" ca="1" si="428"/>
        <v>184.69887868751607</v>
      </c>
      <c r="CC159" s="19">
        <f t="shared" ca="1" si="428"/>
        <v>187.50332715184899</v>
      </c>
      <c r="CD159" s="19">
        <f t="shared" ca="1" si="428"/>
        <v>186.97589069288506</v>
      </c>
      <c r="CE159" s="19">
        <f t="shared" ca="1" si="428"/>
        <v>184.17797836216994</v>
      </c>
      <c r="CF159" s="19">
        <f t="shared" ca="1" si="428"/>
        <v>191.46702586579457</v>
      </c>
      <c r="CG159" s="27">
        <f t="shared" ca="1" si="428"/>
        <v>187.5463937215174</v>
      </c>
      <c r="CH159" s="19">
        <f t="shared" ca="1" si="428"/>
        <v>177.04653382881122</v>
      </c>
      <c r="CI159" s="19">
        <f t="shared" ca="1" si="428"/>
        <v>179.55538914210905</v>
      </c>
      <c r="CJ159" s="19">
        <f t="shared" ca="1" si="428"/>
        <v>160.17034552938847</v>
      </c>
      <c r="CK159" s="19">
        <f t="shared" ca="1" si="428"/>
        <v>169.20084635637158</v>
      </c>
      <c r="CL159" s="27">
        <f t="shared" ca="1" si="428"/>
        <v>171.52560701307326</v>
      </c>
      <c r="CM159" s="19">
        <f t="shared" ca="1" si="428"/>
        <v>162.41135388930718</v>
      </c>
      <c r="CN159" s="19">
        <f t="shared" ref="CN159:DF159" ca="1" si="429">CN14/CN69</f>
        <v>163.4595904594577</v>
      </c>
      <c r="CO159" s="19">
        <f t="shared" ca="1" si="429"/>
        <v>145.2646944334474</v>
      </c>
      <c r="CP159" s="19">
        <f t="shared" ca="1" si="429"/>
        <v>154.10128471121536</v>
      </c>
      <c r="CQ159" s="27">
        <f t="shared" ca="1" si="429"/>
        <v>156.2379281008356</v>
      </c>
      <c r="CR159" s="19">
        <f t="shared" ca="1" si="429"/>
        <v>155.15882579707397</v>
      </c>
      <c r="CS159" s="19">
        <f t="shared" ca="1" si="429"/>
        <v>160.29963180179644</v>
      </c>
      <c r="CT159" s="19">
        <f t="shared" ca="1" si="429"/>
        <v>141.93927185661323</v>
      </c>
      <c r="CU159" s="19">
        <f t="shared" ca="1" si="429"/>
        <v>152.15714831339835</v>
      </c>
      <c r="CV159" s="27">
        <f t="shared" ca="1" si="429"/>
        <v>152.34479311934516</v>
      </c>
      <c r="CW159" s="19">
        <f t="shared" ca="1" si="429"/>
        <v>149.77394213885185</v>
      </c>
      <c r="CX159" s="19">
        <f t="shared" ca="1" si="429"/>
        <v>154.65126502483835</v>
      </c>
      <c r="CY159" s="19">
        <f t="shared" ca="1" si="429"/>
        <v>136.45623994035481</v>
      </c>
      <c r="CZ159" s="19">
        <f t="shared" ca="1" si="429"/>
        <v>146.42711255156618</v>
      </c>
      <c r="DA159" s="27">
        <f t="shared" ca="1" si="429"/>
        <v>146.78158422771898</v>
      </c>
      <c r="DB159" s="19">
        <f t="shared" ca="1" si="429"/>
        <v>145.54628972384097</v>
      </c>
      <c r="DC159" s="19">
        <f t="shared" ca="1" si="429"/>
        <v>150.18824859602847</v>
      </c>
      <c r="DD159" s="19">
        <f t="shared" ca="1" si="429"/>
        <v>131.93734783899393</v>
      </c>
      <c r="DE159" s="19">
        <f t="shared" ca="1" si="429"/>
        <v>141.75880506031029</v>
      </c>
      <c r="DF159" s="27">
        <f t="shared" ca="1" si="429"/>
        <v>142.30963459232245</v>
      </c>
    </row>
    <row r="160" spans="2:110" x14ac:dyDescent="0.2">
      <c r="B160" s="777"/>
      <c r="C160" s="26"/>
      <c r="D160" s="26"/>
      <c r="E160" s="26"/>
      <c r="F160" s="26"/>
      <c r="G160" s="26"/>
      <c r="H160" s="26"/>
      <c r="I160" s="26"/>
      <c r="J160" s="26"/>
      <c r="K160" s="19"/>
      <c r="L160" s="19"/>
      <c r="M160" s="19"/>
      <c r="N160" s="19"/>
      <c r="O160" s="19"/>
      <c r="P160" s="19"/>
      <c r="Q160" s="19"/>
      <c r="R160" s="19"/>
      <c r="S160" s="19"/>
      <c r="T160" s="19"/>
      <c r="U160" s="19"/>
      <c r="V160" s="19"/>
      <c r="W160" s="19"/>
      <c r="X160" s="19"/>
      <c r="Y160" s="27"/>
      <c r="Z160" s="19"/>
      <c r="AA160" s="19"/>
      <c r="AB160" s="19"/>
      <c r="AC160" s="19"/>
      <c r="AD160" s="27"/>
      <c r="AE160" s="19"/>
      <c r="AF160" s="19"/>
      <c r="AG160" s="19"/>
      <c r="AH160" s="19"/>
      <c r="AI160" s="27"/>
      <c r="AJ160" s="19"/>
      <c r="AK160" s="19"/>
      <c r="AL160" s="19"/>
      <c r="AM160" s="19"/>
      <c r="AN160" s="27"/>
      <c r="AO160" s="19"/>
      <c r="AP160" s="19"/>
      <c r="AQ160" s="19"/>
      <c r="AR160" s="19"/>
      <c r="AS160" s="27"/>
      <c r="AT160" s="19"/>
      <c r="AU160" s="19"/>
      <c r="AV160" s="19"/>
      <c r="AW160" s="19"/>
      <c r="AX160" s="27"/>
      <c r="AY160" s="19"/>
      <c r="AZ160" s="19"/>
      <c r="BA160" s="19"/>
      <c r="BB160" s="19"/>
      <c r="BC160" s="27"/>
      <c r="BD160" s="19"/>
      <c r="BE160" s="19"/>
      <c r="BF160" s="19"/>
      <c r="BG160" s="19"/>
      <c r="BH160" s="27"/>
      <c r="BI160" s="19"/>
      <c r="BJ160" s="19"/>
      <c r="BK160" s="19"/>
      <c r="BL160" s="19"/>
      <c r="BM160" s="27"/>
      <c r="BN160" s="19"/>
      <c r="BO160" s="19"/>
      <c r="BP160" s="19"/>
      <c r="BQ160" s="19"/>
      <c r="BR160" s="27"/>
      <c r="BS160" s="19"/>
      <c r="BT160" s="19"/>
      <c r="BU160" s="19"/>
      <c r="BV160" s="19"/>
      <c r="BW160" s="27"/>
      <c r="BX160" s="19"/>
      <c r="BY160" s="19"/>
      <c r="BZ160" s="19"/>
      <c r="CA160" s="19"/>
      <c r="CB160" s="27"/>
      <c r="CC160" s="19"/>
      <c r="CD160" s="19"/>
      <c r="CE160" s="19"/>
      <c r="CF160" s="19"/>
      <c r="CG160" s="27"/>
      <c r="CH160" s="19"/>
      <c r="CI160" s="19"/>
      <c r="CJ160" s="19"/>
      <c r="CK160" s="19"/>
      <c r="CL160" s="27"/>
      <c r="CM160" s="19"/>
      <c r="CN160" s="19"/>
      <c r="CO160" s="19"/>
      <c r="CP160" s="19"/>
      <c r="CQ160" s="27"/>
      <c r="CR160" s="19"/>
      <c r="CS160" s="19"/>
      <c r="CT160" s="19"/>
      <c r="CU160" s="19"/>
      <c r="CV160" s="27"/>
      <c r="CW160" s="19"/>
      <c r="CX160" s="19"/>
      <c r="CY160" s="19"/>
      <c r="CZ160" s="19"/>
      <c r="DA160" s="27"/>
      <c r="DB160" s="19"/>
      <c r="DC160" s="19"/>
      <c r="DD160" s="19"/>
      <c r="DE160" s="19"/>
      <c r="DF160" s="27"/>
    </row>
    <row r="161" spans="2:110" x14ac:dyDescent="0.2">
      <c r="B161" s="777" t="s">
        <v>161</v>
      </c>
      <c r="C161" s="26"/>
      <c r="D161" s="26"/>
      <c r="E161" s="26"/>
      <c r="F161" s="26"/>
      <c r="G161" s="26"/>
      <c r="H161" s="26"/>
      <c r="I161" s="26"/>
      <c r="J161" s="26"/>
      <c r="K161" s="19"/>
      <c r="L161" s="19"/>
      <c r="M161" s="19"/>
      <c r="N161" s="19"/>
      <c r="O161" s="19"/>
      <c r="P161" s="19"/>
      <c r="Q161" s="19"/>
      <c r="R161" s="19"/>
      <c r="S161" s="19"/>
      <c r="T161" s="19"/>
      <c r="U161" s="19"/>
      <c r="V161" s="19"/>
      <c r="W161" s="19"/>
      <c r="X161" s="19"/>
      <c r="Y161" s="27"/>
      <c r="Z161" s="19"/>
      <c r="AA161" s="19"/>
      <c r="AB161" s="19"/>
      <c r="AC161" s="19"/>
      <c r="AD161" s="27"/>
      <c r="AE161" s="501">
        <v>1404.01</v>
      </c>
      <c r="AF161" s="478">
        <v>1404.01</v>
      </c>
      <c r="AG161" s="478">
        <v>1404.01</v>
      </c>
      <c r="AH161" s="502">
        <v>1404.01</v>
      </c>
      <c r="AI161" s="27">
        <f>AH161</f>
        <v>1404.01</v>
      </c>
      <c r="AJ161" s="145">
        <v>1519.15</v>
      </c>
      <c r="AK161" s="145">
        <v>1519.15</v>
      </c>
      <c r="AL161" s="145">
        <v>1519.15</v>
      </c>
      <c r="AM161" s="145">
        <v>1519.15</v>
      </c>
      <c r="AN161" s="27">
        <v>1519.15</v>
      </c>
      <c r="AO161" s="19">
        <f>AJ161*(1+AO173)</f>
        <v>1753.0990999999999</v>
      </c>
      <c r="AP161" s="19">
        <f>AK161*(1+AP173)</f>
        <v>1753.0990999999999</v>
      </c>
      <c r="AQ161" s="19">
        <f>AL161*(1+AQ173)</f>
        <v>1753.0990999999999</v>
      </c>
      <c r="AR161" s="19">
        <f>AM161*(1+AR173)</f>
        <v>1753.0990999999999</v>
      </c>
      <c r="AS161" s="27">
        <f>AVERAGE(AO161:AR161)</f>
        <v>1753.0990999999999</v>
      </c>
      <c r="AT161" s="19">
        <f>AO161*(1+AT173)</f>
        <v>1945.9400010000002</v>
      </c>
      <c r="AU161" s="19">
        <f>AP161*(1+AU173)</f>
        <v>1945.9400010000002</v>
      </c>
      <c r="AV161" s="19">
        <f>AQ161*(1+AV173)</f>
        <v>1945.9400010000002</v>
      </c>
      <c r="AW161" s="19">
        <f>AR161*(1+AW173)</f>
        <v>1945.9400010000002</v>
      </c>
      <c r="AX161" s="27">
        <f>AVERAGE(AT161:AW161)</f>
        <v>1945.9400010000002</v>
      </c>
      <c r="AY161" s="19">
        <f>AT161*(1+AY173)</f>
        <v>2121.0746010900002</v>
      </c>
      <c r="AZ161" s="19">
        <f>AU161*(1+AZ173)</f>
        <v>2121.0746010900002</v>
      </c>
      <c r="BA161" s="19">
        <f>AV161*(1+BA173)</f>
        <v>2121.0746010900002</v>
      </c>
      <c r="BB161" s="19">
        <f>AW161*(1+BB173)</f>
        <v>2121.0746010900002</v>
      </c>
      <c r="BC161" s="27">
        <f>AVERAGE(AY161:BB161)</f>
        <v>2121.0746010900002</v>
      </c>
      <c r="BD161" s="1266">
        <f ca="1">Specialty!AR23</f>
        <v>2333.1820611990006</v>
      </c>
      <c r="BE161" s="1266">
        <f ca="1">Specialty!AS23</f>
        <v>2333.1820611990006</v>
      </c>
      <c r="BF161" s="1266">
        <f ca="1">Specialty!AT23</f>
        <v>2333.1820611990006</v>
      </c>
      <c r="BG161" s="1266">
        <f ca="1">Specialty!AU23</f>
        <v>2333.1820611990006</v>
      </c>
      <c r="BH161" s="27">
        <f ca="1">AVERAGE(BD161:BG161)</f>
        <v>2333.1820611990006</v>
      </c>
      <c r="BI161" s="1266">
        <f ca="1">Specialty!AW23</f>
        <v>2519.836626094921</v>
      </c>
      <c r="BJ161" s="1266">
        <f ca="1">Specialty!AX23</f>
        <v>2519.836626094921</v>
      </c>
      <c r="BK161" s="1266">
        <f ca="1">Specialty!AY23</f>
        <v>2519.836626094921</v>
      </c>
      <c r="BL161" s="1266">
        <f ca="1">Specialty!AZ23</f>
        <v>2519.836626094921</v>
      </c>
      <c r="BM161" s="27">
        <f ca="1">AVERAGE(BI161:BL161)</f>
        <v>2519.836626094921</v>
      </c>
      <c r="BN161" s="1266">
        <f ca="1">+Specialty!BB24</f>
        <v>2568.2518080715704</v>
      </c>
      <c r="BO161" s="1266">
        <f ca="1">+Specialty!BC24</f>
        <v>2575.1344299919156</v>
      </c>
      <c r="BP161" s="1266">
        <f ca="1">+Specialty!BD24</f>
        <v>2572.4936549737395</v>
      </c>
      <c r="BQ161" s="1266">
        <f ca="1">+Specialty!BE24</f>
        <v>2574.4574585638738</v>
      </c>
      <c r="BR161" s="27">
        <f ca="1">AVERAGE(BN161:BQ161)</f>
        <v>2572.5843379002745</v>
      </c>
      <c r="BS161" s="1266">
        <f ca="1">+Specialty!BG24</f>
        <v>2697.8824626761225</v>
      </c>
      <c r="BT161" s="1266">
        <f ca="1">+Specialty!BH24</f>
        <v>2756.5803542920085</v>
      </c>
      <c r="BU161" s="1266">
        <f ca="1">+Specialty!BI24</f>
        <v>2753.7528002253907</v>
      </c>
      <c r="BV161" s="1266">
        <f ca="1">+Specialty!BJ24</f>
        <v>2755.8556156534569</v>
      </c>
      <c r="BW161" s="27">
        <f ca="1">AVERAGE(BS161:BV161)</f>
        <v>2741.0178082117445</v>
      </c>
      <c r="BX161" s="1266">
        <f ca="1">+Specialty!BL24</f>
        <v>3021.6283581972575</v>
      </c>
      <c r="BY161" s="1266">
        <f ca="1">+Specialty!BM24</f>
        <v>3087.36999680705</v>
      </c>
      <c r="BZ161" s="1266">
        <f ca="1">+Specialty!BN24</f>
        <v>3084.2031362524381</v>
      </c>
      <c r="CA161" s="1266">
        <f ca="1">+Specialty!BO24</f>
        <v>2976.3240649057338</v>
      </c>
      <c r="CB161" s="27">
        <f ca="1">AVERAGE(BX161:CA161)</f>
        <v>3042.3813890406195</v>
      </c>
      <c r="CC161" s="1266">
        <f ca="1">+Specialty!BQ24</f>
        <v>3202.9260596890931</v>
      </c>
      <c r="CD161" s="1266">
        <f ca="1">+Specialty!BR24</f>
        <v>3318.922746567579</v>
      </c>
      <c r="CE161" s="1266">
        <f ca="1">+Specialty!BS24</f>
        <v>3315.5183714713708</v>
      </c>
      <c r="CF161" s="1266">
        <f ca="1">+Specialty!BT24</f>
        <v>3199.548369773664</v>
      </c>
      <c r="CG161" s="27">
        <f ca="1">AVERAGE(CC161:CF161)</f>
        <v>3259.2288868754267</v>
      </c>
      <c r="CH161" s="1266">
        <f ca="1">+Specialty!BV24</f>
        <v>3443.1455141657748</v>
      </c>
      <c r="CI161" s="1266">
        <f ca="1">+Specialty!BW24</f>
        <v>3567.8419525601471</v>
      </c>
      <c r="CJ161" s="1266">
        <f ca="1">+Specialty!BX24</f>
        <v>3564.1822493317241</v>
      </c>
      <c r="CK161" s="1266">
        <f ca="1">+Specialty!BY24</f>
        <v>3439.5144975066878</v>
      </c>
      <c r="CL161" s="27">
        <f ca="1">AVERAGE(CH161:CK161)</f>
        <v>3503.6710533910837</v>
      </c>
      <c r="CM161" s="1266">
        <f ca="1">+Specialty!CA24</f>
        <v>3787.4600655823529</v>
      </c>
      <c r="CN161" s="1266">
        <f ca="1">+Specialty!CB24</f>
        <v>3924.6261478161632</v>
      </c>
      <c r="CO161" s="1266">
        <f ca="1">+Specialty!CC24</f>
        <v>3920.600474264897</v>
      </c>
      <c r="CP161" s="1266">
        <f ca="1">+Specialty!CD24</f>
        <v>3783.4659472573571</v>
      </c>
      <c r="CQ161" s="27">
        <f ca="1">AVERAGE(CM161:CP161)</f>
        <v>3854.0381587301922</v>
      </c>
      <c r="CR161" s="1266">
        <f ca="1">+Specialty!CF24</f>
        <v>4014.7076695172937</v>
      </c>
      <c r="CS161" s="1266">
        <f ca="1">+Specialty!CG24</f>
        <v>4160.1037166851329</v>
      </c>
      <c r="CT161" s="1266">
        <f ca="1">+Specialty!CH24</f>
        <v>4155.8365027207901</v>
      </c>
      <c r="CU161" s="1266">
        <f ca="1">+Specialty!CI24</f>
        <v>4010.4739040927989</v>
      </c>
      <c r="CV161" s="27">
        <f ca="1">AVERAGE(CR161:CU161)</f>
        <v>4085.2804482540041</v>
      </c>
      <c r="CW161" s="1266">
        <f ca="1">+Specialty!CK24</f>
        <v>4215.4430529931578</v>
      </c>
      <c r="CX161" s="1266">
        <f ca="1">+Specialty!CL24</f>
        <v>4368.1089025193896</v>
      </c>
      <c r="CY161" s="1266">
        <f ca="1">+Specialty!CM24</f>
        <v>4363.6283278568299</v>
      </c>
      <c r="CZ161" s="1266">
        <f ca="1">+Specialty!CN24</f>
        <v>4210.9975992974387</v>
      </c>
      <c r="DA161" s="27">
        <f ca="1">AVERAGE(CW161:CZ161)</f>
        <v>4289.544470666704</v>
      </c>
      <c r="DB161" s="1266">
        <f ca="1">+Specialty!CP24</f>
        <v>4426.2152056428167</v>
      </c>
      <c r="DC161" s="1266">
        <f ca="1">+Specialty!CQ24</f>
        <v>4586.5143476453586</v>
      </c>
      <c r="DD161" s="1266">
        <f ca="1">+Specialty!CR24</f>
        <v>4581.8097442496719</v>
      </c>
      <c r="DE161" s="1266">
        <f ca="1">+Specialty!CS24</f>
        <v>4421.5474792623118</v>
      </c>
      <c r="DF161" s="27">
        <f ca="1">AVERAGE(DB161:DE161)</f>
        <v>4504.0216942000407</v>
      </c>
    </row>
    <row r="162" spans="2:110" ht="8.25" customHeight="1" x14ac:dyDescent="0.2">
      <c r="B162" s="777"/>
      <c r="C162" s="26"/>
      <c r="D162" s="26"/>
      <c r="E162" s="26"/>
      <c r="F162" s="26"/>
      <c r="G162" s="26"/>
      <c r="H162" s="26"/>
      <c r="I162" s="26"/>
      <c r="J162" s="26"/>
      <c r="K162" s="19"/>
      <c r="L162" s="19"/>
      <c r="M162" s="19"/>
      <c r="N162" s="19"/>
      <c r="O162" s="19"/>
      <c r="P162" s="19"/>
      <c r="Q162" s="19"/>
      <c r="R162" s="19"/>
      <c r="S162" s="19"/>
      <c r="T162" s="19"/>
      <c r="U162" s="19"/>
      <c r="V162" s="19"/>
      <c r="W162" s="19"/>
      <c r="X162" s="19"/>
      <c r="Y162" s="27"/>
      <c r="Z162" s="19"/>
      <c r="AA162" s="19"/>
      <c r="AB162" s="19"/>
      <c r="AC162" s="19"/>
      <c r="AD162" s="27"/>
      <c r="AE162" s="472"/>
      <c r="AF162" s="472"/>
      <c r="AG162" s="472"/>
      <c r="AH162" s="472"/>
      <c r="AI162" s="27"/>
      <c r="AJ162" s="476"/>
      <c r="AK162" s="476"/>
      <c r="AL162" s="476"/>
      <c r="AM162" s="476"/>
      <c r="AN162" s="27"/>
      <c r="AO162" s="19"/>
      <c r="AP162" s="19"/>
      <c r="AQ162" s="19"/>
      <c r="AR162" s="19"/>
      <c r="AS162" s="27"/>
      <c r="AT162" s="19"/>
      <c r="AU162" s="19"/>
      <c r="AV162" s="19"/>
      <c r="AW162" s="19"/>
      <c r="AX162" s="27"/>
      <c r="AY162" s="19"/>
      <c r="AZ162" s="19"/>
      <c r="BA162" s="19"/>
      <c r="BB162" s="19"/>
      <c r="BC162" s="27"/>
      <c r="BD162" s="19"/>
      <c r="BE162" s="19"/>
      <c r="BF162" s="19"/>
      <c r="BG162" s="19"/>
      <c r="BH162" s="27"/>
      <c r="BI162" s="19"/>
      <c r="BJ162" s="19"/>
      <c r="BK162" s="19"/>
      <c r="BL162" s="19"/>
      <c r="BM162" s="27"/>
      <c r="BN162" s="19"/>
      <c r="BO162" s="19"/>
      <c r="BP162" s="19"/>
      <c r="BQ162" s="19"/>
      <c r="BR162" s="27"/>
      <c r="BS162" s="19"/>
      <c r="BT162" s="19"/>
      <c r="BU162" s="19"/>
      <c r="BV162" s="19"/>
      <c r="BW162" s="27"/>
      <c r="BX162" s="19"/>
      <c r="BY162" s="19"/>
      <c r="BZ162" s="19"/>
      <c r="CA162" s="19"/>
      <c r="CB162" s="27"/>
      <c r="CC162" s="19"/>
      <c r="CD162" s="19"/>
      <c r="CE162" s="19"/>
      <c r="CF162" s="19"/>
      <c r="CG162" s="27"/>
      <c r="CH162" s="19"/>
      <c r="CI162" s="19"/>
      <c r="CJ162" s="19"/>
      <c r="CK162" s="19"/>
      <c r="CL162" s="27"/>
      <c r="CM162" s="19"/>
      <c r="CN162" s="19"/>
      <c r="CO162" s="19"/>
      <c r="CP162" s="19"/>
      <c r="CQ162" s="27"/>
      <c r="CR162" s="19"/>
      <c r="CS162" s="19"/>
      <c r="CT162" s="19"/>
      <c r="CU162" s="19"/>
      <c r="CV162" s="27"/>
      <c r="CW162" s="19"/>
      <c r="CX162" s="19"/>
      <c r="CY162" s="19"/>
      <c r="CZ162" s="19"/>
      <c r="DA162" s="27"/>
      <c r="DB162" s="19"/>
      <c r="DC162" s="19"/>
      <c r="DD162" s="19"/>
      <c r="DE162" s="19"/>
      <c r="DF162" s="27"/>
    </row>
    <row r="163" spans="2:110" ht="12" thickBot="1" x14ac:dyDescent="0.25">
      <c r="B163" s="779" t="s">
        <v>157</v>
      </c>
      <c r="C163" s="108"/>
      <c r="D163" s="108"/>
      <c r="E163" s="108"/>
      <c r="F163" s="108"/>
      <c r="G163" s="108"/>
      <c r="H163" s="108"/>
      <c r="I163" s="108"/>
      <c r="J163" s="108"/>
      <c r="K163" s="107">
        <v>31.574793095843344</v>
      </c>
      <c r="L163" s="107">
        <v>33.052081114255863</v>
      </c>
      <c r="M163" s="107">
        <v>34.24521140712163</v>
      </c>
      <c r="N163" s="107">
        <v>27.092233057574166</v>
      </c>
      <c r="O163" s="107"/>
      <c r="P163" s="107">
        <v>30.360458414186635</v>
      </c>
      <c r="Q163" s="107">
        <v>31.372046355771907</v>
      </c>
      <c r="R163" s="107">
        <v>32.315602081494774</v>
      </c>
      <c r="S163" s="107">
        <v>32.665638884633069</v>
      </c>
      <c r="T163" s="107">
        <v>31.670654372860255</v>
      </c>
      <c r="U163" s="107">
        <v>33.873074637335229</v>
      </c>
      <c r="V163" s="107">
        <v>33.703119803099852</v>
      </c>
      <c r="W163" s="107">
        <v>31.313525729557156</v>
      </c>
      <c r="X163" s="107">
        <v>30.872093220338986</v>
      </c>
      <c r="Y163" s="106">
        <v>32.37002149160913</v>
      </c>
      <c r="Z163" s="107">
        <v>29.003300330032999</v>
      </c>
      <c r="AA163" s="107">
        <v>29.937290969899667</v>
      </c>
      <c r="AB163" s="107">
        <v>29.866782006920417</v>
      </c>
      <c r="AC163" s="107">
        <v>29.972817133443169</v>
      </c>
      <c r="AD163" s="106">
        <v>29.692339891167848</v>
      </c>
      <c r="AE163" s="107">
        <v>31.33451641526176</v>
      </c>
      <c r="AF163" s="107">
        <v>32.787511649580608</v>
      </c>
      <c r="AG163" s="107">
        <v>33.151984511132625</v>
      </c>
      <c r="AH163" s="107">
        <v>33.162812210915817</v>
      </c>
      <c r="AI163" s="106">
        <v>32.589244320815951</v>
      </c>
      <c r="AJ163" s="107">
        <v>42.168539325842701</v>
      </c>
      <c r="AK163" s="107">
        <v>43.307471264367813</v>
      </c>
      <c r="AL163" s="107">
        <v>43.358748778103624</v>
      </c>
      <c r="AM163" s="107">
        <v>42.708022388059696</v>
      </c>
      <c r="AN163" s="106">
        <v>42.878060375564537</v>
      </c>
      <c r="AO163" s="107">
        <f ca="1">(AO12+AO14+AO16)/AO76</f>
        <v>46.207495429616088</v>
      </c>
      <c r="AP163" s="107">
        <f ca="1">(AP12+AP14+AP16)/AP76</f>
        <v>47.34046511627907</v>
      </c>
      <c r="AQ163" s="107">
        <f ca="1">(AQ12+AQ14+AQ16)/AQ76</f>
        <v>48.715257531584065</v>
      </c>
      <c r="AR163" s="107">
        <f ca="1">(AR12+AR14+AR16)/AR76</f>
        <v>48.699714013346039</v>
      </c>
      <c r="AS163" s="106">
        <f ca="1">(AS12+AS14+AS16)/AS76</f>
        <v>47.717447610077706</v>
      </c>
      <c r="AT163" s="107">
        <f ca="1">(AT12+AT14+AT16)/AT77</f>
        <v>40.547945205479451</v>
      </c>
      <c r="AU163" s="107">
        <f ca="1">(AU12+AU14+AU16)/AU77</f>
        <v>40.60589171974523</v>
      </c>
      <c r="AV163" s="107">
        <f ca="1">(AV12+AV14+AV16)/AV77</f>
        <v>41.025336500395881</v>
      </c>
      <c r="AW163" s="107">
        <f ca="1">(AW12+AW14+AW16)/AW77</f>
        <v>50.544631306597672</v>
      </c>
      <c r="AX163" s="106">
        <f ca="1">(AX12+AX14+AX16)/AX77</f>
        <v>43.588013569543911</v>
      </c>
      <c r="AY163" s="107">
        <f ca="1">(AY12+AY14+AY16)/AY76</f>
        <v>66.38300492610837</v>
      </c>
      <c r="AZ163" s="107">
        <f ca="1">(AZ12+AZ14+AZ16)/AZ76</f>
        <v>66.16595744680852</v>
      </c>
      <c r="BA163" s="107">
        <f ca="1">(BA12+BA14+BA16)/BA76</f>
        <v>66.680000000000007</v>
      </c>
      <c r="BB163" s="107">
        <f ca="1">(BB12+BB14+BB16)/BB76</f>
        <v>65.570485902819428</v>
      </c>
      <c r="BC163" s="106">
        <f ca="1">(BC12+BC14+BC16)/BC76</f>
        <v>66.195701874714231</v>
      </c>
      <c r="BD163" s="107">
        <f ca="1">(BD12+BD14+BD16)/BD77</f>
        <v>51.675778643844239</v>
      </c>
      <c r="BE163" s="107">
        <f t="shared" ref="BE163:BG163" si="430">(BE12+BE14+BE16)/BE77</f>
        <v>52.820684887910623</v>
      </c>
      <c r="BF163" s="107">
        <f t="shared" si="430"/>
        <v>53.976497913187934</v>
      </c>
      <c r="BG163" s="107">
        <f t="shared" si="430"/>
        <v>53.827222146632543</v>
      </c>
      <c r="BH163" s="106">
        <f t="shared" ref="BH163:CM163" ca="1" si="431">(BH12+BH14+BH16)/BH77</f>
        <v>53.083773475792484</v>
      </c>
      <c r="BI163" s="107">
        <f t="shared" ca="1" si="431"/>
        <v>54.330202322439277</v>
      </c>
      <c r="BJ163" s="107">
        <f t="shared" ca="1" si="431"/>
        <v>60.37920847683931</v>
      </c>
      <c r="BK163" s="107">
        <f t="shared" ca="1" si="431"/>
        <v>59.331492275331065</v>
      </c>
      <c r="BL163" s="107">
        <f t="shared" ca="1" si="431"/>
        <v>58.31854466324608</v>
      </c>
      <c r="BM163" s="106">
        <f t="shared" ca="1" si="431"/>
        <v>58.637508014314449</v>
      </c>
      <c r="BN163" s="107">
        <f t="shared" ca="1" si="431"/>
        <v>58.709960408964626</v>
      </c>
      <c r="BO163" s="107">
        <f t="shared" ca="1" si="431"/>
        <v>62.522646496937938</v>
      </c>
      <c r="BP163" s="107">
        <f t="shared" ca="1" si="431"/>
        <v>63.181327681153356</v>
      </c>
      <c r="BQ163" s="107">
        <f t="shared" ca="1" si="431"/>
        <v>62.458508979173359</v>
      </c>
      <c r="BR163" s="106">
        <f t="shared" ca="1" si="431"/>
        <v>61.658983399660507</v>
      </c>
      <c r="BS163" s="107">
        <f t="shared" ca="1" si="431"/>
        <v>64.635514241112688</v>
      </c>
      <c r="BT163" s="107">
        <f t="shared" ca="1" si="431"/>
        <v>67.39208159908317</v>
      </c>
      <c r="BU163" s="107">
        <f t="shared" ca="1" si="431"/>
        <v>68.186682676871641</v>
      </c>
      <c r="BV163" s="107">
        <f t="shared" ca="1" si="431"/>
        <v>67.916060032078917</v>
      </c>
      <c r="BW163" s="106">
        <f t="shared" ca="1" si="431"/>
        <v>67.068959338053489</v>
      </c>
      <c r="BX163" s="107">
        <f t="shared" ca="1" si="431"/>
        <v>70.146799765120377</v>
      </c>
      <c r="BY163" s="107">
        <f t="shared" ca="1" si="431"/>
        <v>68.342769058295957</v>
      </c>
      <c r="BZ163" s="107">
        <f t="shared" ca="1" si="431"/>
        <v>65.998904709748089</v>
      </c>
      <c r="CA163" s="107">
        <f t="shared" ca="1" si="431"/>
        <v>66.011345646438002</v>
      </c>
      <c r="CB163" s="106">
        <f t="shared" ca="1" si="431"/>
        <v>67.562291897891242</v>
      </c>
      <c r="CC163" s="107">
        <f t="shared" ca="1" si="431"/>
        <v>66.365703059219754</v>
      </c>
      <c r="CD163" s="107">
        <f t="shared" ca="1" si="431"/>
        <v>68.598053249355857</v>
      </c>
      <c r="CE163" s="107">
        <f t="shared" ca="1" si="431"/>
        <v>69.397291846730056</v>
      </c>
      <c r="CF163" s="107">
        <f t="shared" ca="1" si="431"/>
        <v>66.479008171315854</v>
      </c>
      <c r="CG163" s="106">
        <f t="shared" ca="1" si="431"/>
        <v>67.695794259732892</v>
      </c>
      <c r="CH163" s="107">
        <f t="shared" ca="1" si="431"/>
        <v>66.221779926073353</v>
      </c>
      <c r="CI163" s="107">
        <f t="shared" ca="1" si="431"/>
        <v>68.079188107489983</v>
      </c>
      <c r="CJ163" s="107">
        <f t="shared" ca="1" si="431"/>
        <v>67.481373690337591</v>
      </c>
      <c r="CK163" s="107">
        <f t="shared" ca="1" si="431"/>
        <v>66.57834823827362</v>
      </c>
      <c r="CL163" s="106">
        <f t="shared" ca="1" si="431"/>
        <v>67.085071242185563</v>
      </c>
      <c r="CM163" s="107">
        <f t="shared" ca="1" si="431"/>
        <v>68.040664484330662</v>
      </c>
      <c r="CN163" s="107">
        <f t="shared" ref="CN163:DF163" ca="1" si="432">(CN12+CN14+CN16)/CN77</f>
        <v>69.946654395483108</v>
      </c>
      <c r="CO163" s="107">
        <f t="shared" ca="1" si="432"/>
        <v>69.000698626047381</v>
      </c>
      <c r="CP163" s="107">
        <f t="shared" ca="1" si="432"/>
        <v>67.949511226239153</v>
      </c>
      <c r="CQ163" s="106">
        <f t="shared" ca="1" si="432"/>
        <v>68.724505599105186</v>
      </c>
      <c r="CR163" s="107">
        <f t="shared" ca="1" si="432"/>
        <v>71.938184937188524</v>
      </c>
      <c r="CS163" s="107">
        <f t="shared" ca="1" si="432"/>
        <v>74.348205811875374</v>
      </c>
      <c r="CT163" s="107">
        <f t="shared" ca="1" si="432"/>
        <v>73.516695988301848</v>
      </c>
      <c r="CU163" s="107">
        <f t="shared" ca="1" si="432"/>
        <v>72.394767247560537</v>
      </c>
      <c r="CV163" s="106">
        <f t="shared" ca="1" si="432"/>
        <v>73.04124436666082</v>
      </c>
      <c r="CW163" s="107">
        <f t="shared" ca="1" si="432"/>
        <v>75.430101152508641</v>
      </c>
      <c r="CX163" s="107">
        <f t="shared" ca="1" si="432"/>
        <v>77.972884186357859</v>
      </c>
      <c r="CY163" s="107">
        <f t="shared" ca="1" si="432"/>
        <v>77.263297606806717</v>
      </c>
      <c r="CZ163" s="107">
        <f t="shared" ca="1" si="432"/>
        <v>75.939166150470896</v>
      </c>
      <c r="DA163" s="106">
        <f t="shared" ca="1" si="432"/>
        <v>76.642742632346057</v>
      </c>
      <c r="DB163" s="107">
        <f t="shared" ca="1" si="432"/>
        <v>80.274626821844663</v>
      </c>
      <c r="DC163" s="107">
        <f t="shared" ca="1" si="432"/>
        <v>82.993623611270806</v>
      </c>
      <c r="DD163" s="107">
        <f t="shared" ca="1" si="432"/>
        <v>82.418736919460443</v>
      </c>
      <c r="DE163" s="107">
        <f t="shared" ca="1" si="432"/>
        <v>80.8535401188104</v>
      </c>
      <c r="DF163" s="106">
        <f t="shared" ca="1" si="432"/>
        <v>81.62600944255108</v>
      </c>
    </row>
    <row r="164" spans="2:110" ht="12" thickBot="1" x14ac:dyDescent="0.25">
      <c r="B164" s="238"/>
      <c r="C164" s="182"/>
      <c r="D164" s="182"/>
      <c r="E164" s="68"/>
      <c r="F164" s="68"/>
      <c r="G164" s="68"/>
      <c r="I164" s="68"/>
      <c r="J164" s="68"/>
      <c r="K164" s="66"/>
      <c r="L164" s="66"/>
      <c r="M164" s="66"/>
      <c r="N164" s="66"/>
      <c r="O164" s="66"/>
      <c r="P164" s="79"/>
      <c r="Q164" s="79"/>
      <c r="R164" s="79"/>
      <c r="S164" s="79"/>
      <c r="T164" s="66"/>
      <c r="U164" s="79"/>
      <c r="V164" s="79"/>
      <c r="W164" s="79"/>
      <c r="X164" s="79"/>
      <c r="Y164" s="68"/>
      <c r="Z164" s="79"/>
      <c r="AA164" s="79"/>
      <c r="AB164" s="79"/>
      <c r="AC164" s="79"/>
      <c r="AD164" s="68"/>
      <c r="AE164" s="79"/>
      <c r="AF164" s="79"/>
      <c r="AG164" s="79"/>
      <c r="AH164" s="79"/>
      <c r="AI164" s="68"/>
      <c r="AN164" s="68"/>
      <c r="AS164" s="68"/>
      <c r="AX164" s="68"/>
      <c r="BM164" s="68"/>
      <c r="BR164" s="68"/>
      <c r="BW164" s="68"/>
      <c r="CB164" s="68"/>
      <c r="CG164" s="68"/>
      <c r="CL164" s="68"/>
      <c r="CQ164" s="68"/>
      <c r="CR164" s="10"/>
      <c r="CS164" s="10"/>
      <c r="CT164" s="10"/>
      <c r="CU164" s="10"/>
      <c r="CV164" s="68"/>
      <c r="CW164" s="10"/>
      <c r="CX164" s="10"/>
      <c r="CY164" s="10"/>
      <c r="CZ164" s="10"/>
      <c r="DA164" s="68"/>
      <c r="DB164" s="10"/>
      <c r="DC164" s="10"/>
      <c r="DD164" s="10"/>
      <c r="DE164" s="10"/>
      <c r="DF164" s="68"/>
    </row>
    <row r="165" spans="2:110" ht="12" thickBot="1" x14ac:dyDescent="0.25">
      <c r="B165" s="855" t="s">
        <v>279</v>
      </c>
      <c r="C165" s="866"/>
      <c r="D165" s="866"/>
      <c r="E165" s="878"/>
      <c r="F165" s="878"/>
      <c r="G165" s="878"/>
      <c r="H165" s="819"/>
      <c r="I165" s="878"/>
      <c r="J165" s="878"/>
      <c r="K165" s="878"/>
      <c r="L165" s="878"/>
      <c r="M165" s="878"/>
      <c r="N165" s="878"/>
      <c r="O165" s="878"/>
      <c r="P165" s="821"/>
      <c r="Q165" s="821"/>
      <c r="R165" s="821"/>
      <c r="S165" s="821"/>
      <c r="T165" s="878"/>
      <c r="U165" s="821"/>
      <c r="V165" s="821"/>
      <c r="W165" s="821"/>
      <c r="X165" s="821"/>
      <c r="Y165" s="878"/>
      <c r="Z165" s="821"/>
      <c r="AA165" s="821"/>
      <c r="AB165" s="821"/>
      <c r="AC165" s="821"/>
      <c r="AD165" s="878"/>
      <c r="AE165" s="821"/>
      <c r="AF165" s="821"/>
      <c r="AG165" s="821"/>
      <c r="AH165" s="821"/>
      <c r="AI165" s="878"/>
      <c r="AJ165" s="819"/>
      <c r="AK165" s="819"/>
      <c r="AL165" s="819"/>
      <c r="AM165" s="819"/>
      <c r="AN165" s="878"/>
      <c r="AO165" s="819"/>
      <c r="AP165" s="819"/>
      <c r="AQ165" s="819"/>
      <c r="AR165" s="819"/>
      <c r="AS165" s="878"/>
      <c r="AT165" s="819"/>
      <c r="AU165" s="819"/>
      <c r="AV165" s="819"/>
      <c r="AW165" s="819"/>
      <c r="AX165" s="878"/>
      <c r="AY165" s="819"/>
      <c r="AZ165" s="819"/>
      <c r="BA165" s="819"/>
      <c r="BB165" s="819"/>
      <c r="BC165" s="819"/>
      <c r="BD165" s="819"/>
      <c r="BE165" s="819"/>
      <c r="BF165" s="819"/>
      <c r="BG165" s="819"/>
      <c r="BH165" s="819"/>
      <c r="BI165" s="819"/>
      <c r="BJ165" s="819"/>
      <c r="BK165" s="819"/>
      <c r="BL165" s="819"/>
      <c r="BM165" s="878"/>
      <c r="BN165" s="819"/>
      <c r="BO165" s="819"/>
      <c r="BP165" s="819"/>
      <c r="BQ165" s="819"/>
      <c r="BR165" s="878"/>
      <c r="BS165" s="819"/>
      <c r="BT165" s="819"/>
      <c r="BU165" s="819"/>
      <c r="BV165" s="819"/>
      <c r="BW165" s="878"/>
      <c r="BX165" s="819"/>
      <c r="BY165" s="819"/>
      <c r="BZ165" s="819"/>
      <c r="CA165" s="819"/>
      <c r="CB165" s="879"/>
      <c r="CC165" s="819"/>
      <c r="CD165" s="819"/>
      <c r="CE165" s="819"/>
      <c r="CF165" s="819"/>
      <c r="CG165" s="879"/>
      <c r="CH165" s="819"/>
      <c r="CI165" s="819"/>
      <c r="CJ165" s="819"/>
      <c r="CK165" s="819"/>
      <c r="CL165" s="879"/>
      <c r="CM165" s="819"/>
      <c r="CN165" s="819"/>
      <c r="CO165" s="819"/>
      <c r="CP165" s="819"/>
      <c r="CQ165" s="879"/>
      <c r="CR165" s="819"/>
      <c r="CS165" s="819"/>
      <c r="CT165" s="819"/>
      <c r="CU165" s="819"/>
      <c r="CV165" s="879"/>
      <c r="CW165" s="819"/>
      <c r="CX165" s="819"/>
      <c r="CY165" s="819"/>
      <c r="CZ165" s="819"/>
      <c r="DA165" s="879"/>
      <c r="DB165" s="819"/>
      <c r="DC165" s="819"/>
      <c r="DD165" s="819"/>
      <c r="DE165" s="819"/>
      <c r="DF165" s="879"/>
    </row>
    <row r="166" spans="2:110" x14ac:dyDescent="0.2">
      <c r="B166" s="489" t="s">
        <v>255</v>
      </c>
      <c r="C166" s="206"/>
      <c r="D166" s="206"/>
      <c r="E166" s="207"/>
      <c r="F166" s="207"/>
      <c r="G166" s="207"/>
      <c r="H166" s="53"/>
      <c r="I166" s="207"/>
      <c r="J166" s="207"/>
      <c r="K166" s="166"/>
      <c r="L166" s="166"/>
      <c r="M166" s="166"/>
      <c r="N166" s="166"/>
      <c r="O166" s="166"/>
      <c r="P166" s="166"/>
      <c r="Q166" s="166"/>
      <c r="R166" s="166"/>
      <c r="S166" s="166"/>
      <c r="T166" s="166"/>
      <c r="U166" s="166"/>
      <c r="V166" s="166"/>
      <c r="W166" s="166"/>
      <c r="X166" s="166"/>
      <c r="Y166" s="214"/>
      <c r="Z166" s="166"/>
      <c r="AA166" s="166"/>
      <c r="AB166" s="166"/>
      <c r="AC166" s="166"/>
      <c r="AD166" s="214"/>
      <c r="AE166" s="166"/>
      <c r="AF166" s="166"/>
      <c r="AG166" s="166"/>
      <c r="AH166" s="166"/>
      <c r="AI166" s="214"/>
      <c r="AJ166" s="166"/>
      <c r="AK166" s="166"/>
      <c r="AL166" s="166"/>
      <c r="AM166" s="166"/>
      <c r="AN166" s="214"/>
      <c r="AO166" s="166"/>
      <c r="AP166" s="166"/>
      <c r="AQ166" s="166"/>
      <c r="AR166" s="166"/>
      <c r="AS166" s="214"/>
      <c r="AT166" s="166"/>
      <c r="AU166" s="166"/>
      <c r="AV166" s="222"/>
      <c r="AW166" s="222"/>
      <c r="AX166" s="214"/>
      <c r="AY166" s="222"/>
      <c r="AZ166" s="222"/>
      <c r="BA166" s="222"/>
      <c r="BB166" s="222"/>
      <c r="BC166" s="214"/>
      <c r="BD166" s="222"/>
      <c r="BE166" s="222"/>
      <c r="BF166" s="222"/>
      <c r="BG166" s="222"/>
      <c r="BH166" s="214"/>
      <c r="BI166" s="222"/>
      <c r="BJ166" s="222"/>
      <c r="BK166" s="222"/>
      <c r="BL166" s="222"/>
      <c r="BM166" s="214"/>
      <c r="BN166" s="222"/>
      <c r="BO166" s="222"/>
      <c r="BP166" s="222"/>
      <c r="BQ166" s="222"/>
      <c r="BR166" s="214"/>
      <c r="BS166" s="222"/>
      <c r="BT166" s="222"/>
      <c r="BU166" s="222"/>
      <c r="BV166" s="222"/>
      <c r="BW166" s="214"/>
      <c r="BX166" s="222"/>
      <c r="BY166" s="222"/>
      <c r="BZ166" s="222"/>
      <c r="CA166" s="222"/>
      <c r="CB166" s="214"/>
      <c r="CC166" s="222"/>
      <c r="CD166" s="222"/>
      <c r="CE166" s="222"/>
      <c r="CF166" s="222"/>
      <c r="CG166" s="214"/>
      <c r="CH166" s="222"/>
      <c r="CI166" s="222"/>
      <c r="CJ166" s="222"/>
      <c r="CK166" s="222"/>
      <c r="CL166" s="214"/>
      <c r="CM166" s="222"/>
      <c r="CN166" s="222"/>
      <c r="CO166" s="222"/>
      <c r="CP166" s="222"/>
      <c r="CQ166" s="214"/>
      <c r="CR166" s="222"/>
      <c r="CS166" s="222"/>
      <c r="CT166" s="222"/>
      <c r="CU166" s="222"/>
      <c r="CV166" s="214"/>
      <c r="CW166" s="222"/>
      <c r="CX166" s="222"/>
      <c r="CY166" s="222"/>
      <c r="CZ166" s="222"/>
      <c r="DA166" s="214"/>
      <c r="DB166" s="222"/>
      <c r="DC166" s="222"/>
      <c r="DD166" s="222"/>
      <c r="DE166" s="222"/>
      <c r="DF166" s="214"/>
    </row>
    <row r="167" spans="2:110" x14ac:dyDescent="0.2">
      <c r="B167" s="487" t="s">
        <v>170</v>
      </c>
      <c r="C167" s="182"/>
      <c r="D167" s="182"/>
      <c r="E167" s="68"/>
      <c r="F167" s="68"/>
      <c r="G167" s="68"/>
      <c r="I167" s="68"/>
      <c r="J167" s="68"/>
      <c r="K167" s="66"/>
      <c r="L167" s="66"/>
      <c r="M167" s="66"/>
      <c r="N167" s="66"/>
      <c r="O167" s="66"/>
      <c r="P167" s="66"/>
      <c r="Q167" s="66"/>
      <c r="R167" s="66"/>
      <c r="S167" s="66"/>
      <c r="T167" s="66"/>
      <c r="U167" s="66">
        <v>4.9324859013759825E-2</v>
      </c>
      <c r="V167" s="66">
        <v>4.402125027929138E-4</v>
      </c>
      <c r="W167" s="66">
        <v>-7.7622059897358042E-2</v>
      </c>
      <c r="X167" s="66">
        <v>-8.3494616520222498E-2</v>
      </c>
      <c r="Y167" s="136">
        <v>-3.0219569981026595E-2</v>
      </c>
      <c r="Z167" s="66">
        <v>-0.16073414221124627</v>
      </c>
      <c r="AA167" s="66">
        <v>-0.15436925423418768</v>
      </c>
      <c r="AB167" s="66">
        <v>-0.11053228597068254</v>
      </c>
      <c r="AC167" s="66">
        <v>-0.10147265637789771</v>
      </c>
      <c r="AD167" s="136">
        <v>-0.13149080645566169</v>
      </c>
      <c r="AE167" s="66">
        <v>-3.6011630011121398E-2</v>
      </c>
      <c r="AF167" s="66">
        <v>2.5093678365536221E-2</v>
      </c>
      <c r="AG167" s="66">
        <v>6.6752558769985759E-2</v>
      </c>
      <c r="AH167" s="66">
        <v>9.6999387069381049E-2</v>
      </c>
      <c r="AI167" s="136">
        <v>3.7780673038073864E-2</v>
      </c>
      <c r="AJ167" s="66">
        <v>0.66189784908782179</v>
      </c>
      <c r="AK167" s="66">
        <v>0.63689126339252322</v>
      </c>
      <c r="AL167" s="66">
        <v>0.47258772430315066</v>
      </c>
      <c r="AM167" s="66">
        <v>0.58776411758993241</v>
      </c>
      <c r="AN167" s="136">
        <v>0.58988480466508353</v>
      </c>
      <c r="AO167" s="66">
        <f t="shared" ref="AO167:AX169" si="433">AO153/AJ153-1</f>
        <v>0.13151662836406408</v>
      </c>
      <c r="AP167" s="66">
        <f t="shared" si="433"/>
        <v>9.9242757213279464E-2</v>
      </c>
      <c r="AQ167" s="66">
        <f t="shared" si="433"/>
        <v>0.29871446183225392</v>
      </c>
      <c r="AR167" s="66">
        <f t="shared" si="433"/>
        <v>0.16542015250329078</v>
      </c>
      <c r="AS167" s="136">
        <f t="shared" si="433"/>
        <v>0.16963014167961821</v>
      </c>
      <c r="AT167" s="66">
        <f t="shared" si="433"/>
        <v>9.603019956401937E-2</v>
      </c>
      <c r="AU167" s="66">
        <f t="shared" si="433"/>
        <v>4.0182377803666292E-2</v>
      </c>
      <c r="AV167" s="66">
        <f t="shared" si="433"/>
        <v>-2.6428432075367381E-2</v>
      </c>
      <c r="AW167" s="66">
        <f t="shared" si="433"/>
        <v>0.29681667475179996</v>
      </c>
      <c r="AX167" s="136">
        <f t="shared" si="433"/>
        <v>0.12072808583275885</v>
      </c>
      <c r="AY167" s="66">
        <f t="shared" ref="AY167:BS169" si="434">AY153/AT153-1</f>
        <v>0.52263272578999298</v>
      </c>
      <c r="AZ167" s="66">
        <f t="shared" si="434"/>
        <v>0.56038927335847455</v>
      </c>
      <c r="BA167" s="66">
        <f t="shared" si="434"/>
        <v>0.57691392314955481</v>
      </c>
      <c r="BB167" s="66">
        <f t="shared" si="434"/>
        <v>0.17523064920484077</v>
      </c>
      <c r="BC167" s="136">
        <f t="shared" si="434"/>
        <v>0.41538386954385009</v>
      </c>
      <c r="BD167" s="66">
        <f t="shared" si="434"/>
        <v>-5.0770746911035114E-2</v>
      </c>
      <c r="BE167" s="66">
        <f t="shared" si="434"/>
        <v>-5.8536631540243578E-2</v>
      </c>
      <c r="BF167" s="66">
        <f t="shared" si="434"/>
        <v>-7.917078478611228E-2</v>
      </c>
      <c r="BG167" s="66">
        <f t="shared" si="434"/>
        <v>-1.8051582599607929E-2</v>
      </c>
      <c r="BH167" s="136">
        <f t="shared" si="434"/>
        <v>-5.1138089204895376E-2</v>
      </c>
      <c r="BI167" s="66">
        <f t="shared" si="434"/>
        <v>5.4591514957158083E-2</v>
      </c>
      <c r="BJ167" s="66">
        <f t="shared" si="434"/>
        <v>0.27555649315243169</v>
      </c>
      <c r="BK167" s="66">
        <f t="shared" si="434"/>
        <v>0.27148829984173228</v>
      </c>
      <c r="BL167" s="66">
        <f t="shared" si="434"/>
        <v>0.17400051842925213</v>
      </c>
      <c r="BM167" s="136">
        <v>8.0441358222901771E-2</v>
      </c>
      <c r="BN167" s="66">
        <f t="shared" si="434"/>
        <v>0.18089011936446187</v>
      </c>
      <c r="BO167" s="66">
        <f t="shared" si="434"/>
        <v>4.5622411855748224E-2</v>
      </c>
      <c r="BP167" s="66">
        <f t="shared" si="434"/>
        <v>3.3626972627890606E-2</v>
      </c>
      <c r="BQ167" s="66">
        <f t="shared" si="434"/>
        <v>5.1152140660286394E-2</v>
      </c>
      <c r="BR167" s="136">
        <v>-4.6056423462158547E-3</v>
      </c>
      <c r="BS167" s="66">
        <f t="shared" si="434"/>
        <v>5.473011717151266E-2</v>
      </c>
      <c r="BT167" s="66">
        <v>0.1</v>
      </c>
      <c r="BU167" s="66">
        <v>0.12</v>
      </c>
      <c r="BV167" s="66">
        <v>0.08</v>
      </c>
      <c r="BW167" s="136">
        <v>2.4966642064726541E-2</v>
      </c>
      <c r="BX167" s="66">
        <f t="shared" ref="BX167:CK169" si="435">BX153/BS153-1</f>
        <v>-8.952575613013658E-3</v>
      </c>
      <c r="BY167" s="66">
        <f t="shared" si="435"/>
        <v>-7.4097357697373911E-2</v>
      </c>
      <c r="BZ167" s="66">
        <f t="shared" si="435"/>
        <v>-0.12384356166907107</v>
      </c>
      <c r="CA167" s="66">
        <f t="shared" si="435"/>
        <v>-0.12684304108571787</v>
      </c>
      <c r="CB167" s="136">
        <f>CB153/BW153-1</f>
        <v>-8.550612525292256E-2</v>
      </c>
      <c r="CC167" s="66">
        <f t="shared" si="435"/>
        <v>-0.17125920113078219</v>
      </c>
      <c r="CD167" s="66">
        <f t="shared" si="435"/>
        <v>-8.5101903940972279E-2</v>
      </c>
      <c r="CE167" s="66">
        <f t="shared" si="435"/>
        <v>-3.9423722211335721E-2</v>
      </c>
      <c r="CF167" s="66">
        <f t="shared" si="435"/>
        <v>-0.11194256815839243</v>
      </c>
      <c r="CG167" s="136">
        <f>CG153/CB153-1</f>
        <v>-0.10179570592676279</v>
      </c>
      <c r="CH167" s="66">
        <f t="shared" si="435"/>
        <v>-8.1774459949774392E-2</v>
      </c>
      <c r="CI167" s="66">
        <f t="shared" si="435"/>
        <v>-0.10029063061755761</v>
      </c>
      <c r="CJ167" s="66">
        <f t="shared" si="435"/>
        <v>-0.14532381507731218</v>
      </c>
      <c r="CK167" s="66">
        <f t="shared" si="435"/>
        <v>-7.2478889817997216E-2</v>
      </c>
      <c r="CL167" s="136">
        <f>CL153/CG153-1</f>
        <v>-0.10031162496886703</v>
      </c>
      <c r="CM167" s="196">
        <v>-0.03</v>
      </c>
      <c r="CN167" s="196">
        <v>-0.03</v>
      </c>
      <c r="CO167" s="196">
        <v>-0.03</v>
      </c>
      <c r="CP167" s="196">
        <v>-0.03</v>
      </c>
      <c r="CQ167" s="136">
        <f>CQ153/CL153-1</f>
        <v>-3.0473143003095449E-2</v>
      </c>
      <c r="CR167" s="196">
        <v>-0.03</v>
      </c>
      <c r="CS167" s="196">
        <v>-0.03</v>
      </c>
      <c r="CT167" s="196">
        <v>-0.03</v>
      </c>
      <c r="CU167" s="196">
        <v>-0.03</v>
      </c>
      <c r="CV167" s="136">
        <f>CV153/CQ153-1</f>
        <v>-2.9998925953061084E-2</v>
      </c>
      <c r="CW167" s="196">
        <v>-0.03</v>
      </c>
      <c r="CX167" s="196">
        <v>-0.03</v>
      </c>
      <c r="CY167" s="196">
        <v>-0.03</v>
      </c>
      <c r="CZ167" s="196">
        <v>-0.03</v>
      </c>
      <c r="DA167" s="136">
        <f>DA153/CV153-1</f>
        <v>-2.9998912179036386E-2</v>
      </c>
      <c r="DB167" s="196">
        <v>-0.03</v>
      </c>
      <c r="DC167" s="196">
        <v>-0.03</v>
      </c>
      <c r="DD167" s="196">
        <v>-0.03</v>
      </c>
      <c r="DE167" s="196">
        <v>-0.03</v>
      </c>
      <c r="DF167" s="136">
        <f>DF153/DA153-1</f>
        <v>-2.9998898138336227E-2</v>
      </c>
    </row>
    <row r="168" spans="2:110" x14ac:dyDescent="0.2">
      <c r="B168" s="487" t="s">
        <v>171</v>
      </c>
      <c r="C168" s="182"/>
      <c r="D168" s="182"/>
      <c r="E168" s="68"/>
      <c r="F168" s="68"/>
      <c r="G168" s="68"/>
      <c r="I168" s="68"/>
      <c r="J168" s="68"/>
      <c r="K168" s="66"/>
      <c r="L168" s="66"/>
      <c r="M168" s="66"/>
      <c r="N168" s="66"/>
      <c r="O168" s="66"/>
      <c r="P168" s="66"/>
      <c r="Q168" s="66"/>
      <c r="R168" s="66"/>
      <c r="S168" s="66"/>
      <c r="T168" s="66"/>
      <c r="U168" s="66">
        <v>0.15974105486593859</v>
      </c>
      <c r="V168" s="66">
        <v>0.12807777236008766</v>
      </c>
      <c r="W168" s="66">
        <v>0.1088643379785279</v>
      </c>
      <c r="X168" s="66">
        <v>7.568999198690407E-2</v>
      </c>
      <c r="Y168" s="136">
        <v>0.11754342565122911</v>
      </c>
      <c r="Z168" s="66">
        <v>-6.6838746288756523E-3</v>
      </c>
      <c r="AA168" s="66">
        <v>4.9697730829294517E-3</v>
      </c>
      <c r="AB168" s="66">
        <v>3.7246909624844005E-3</v>
      </c>
      <c r="AC168" s="66">
        <v>2.8638934585124343E-2</v>
      </c>
      <c r="AD168" s="136">
        <v>7.4680259790356196E-3</v>
      </c>
      <c r="AE168" s="66">
        <v>9.3493190383983293E-2</v>
      </c>
      <c r="AF168" s="66">
        <v>0.115300107292861</v>
      </c>
      <c r="AG168" s="66">
        <v>0.1871534826572725</v>
      </c>
      <c r="AH168" s="66">
        <v>0.21963653672268268</v>
      </c>
      <c r="AI168" s="136">
        <v>0.15120234116350639</v>
      </c>
      <c r="AJ168" s="66">
        <v>0.78237365995508346</v>
      </c>
      <c r="AK168" s="66">
        <v>0.75555427409862119</v>
      </c>
      <c r="AL168" s="66">
        <v>0.72002986531880664</v>
      </c>
      <c r="AM168" s="66">
        <v>0.62221668777431383</v>
      </c>
      <c r="AN168" s="136">
        <v>0.72015009317736856</v>
      </c>
      <c r="AO168" s="66">
        <f t="shared" si="433"/>
        <v>-7.9168233572363023E-2</v>
      </c>
      <c r="AP168" s="66">
        <f t="shared" si="433"/>
        <v>-7.9602075262570238E-2</v>
      </c>
      <c r="AQ168" s="66">
        <f t="shared" si="433"/>
        <v>-0.12185358383399003</v>
      </c>
      <c r="AR168" s="66">
        <f t="shared" si="433"/>
        <v>-6.6977400695149902E-2</v>
      </c>
      <c r="AS168" s="136">
        <f t="shared" si="433"/>
        <v>-8.7094523072013263E-2</v>
      </c>
      <c r="AT168" s="66">
        <f t="shared" si="433"/>
        <v>8.3943079138791177E-2</v>
      </c>
      <c r="AU168" s="66">
        <f t="shared" si="433"/>
        <v>3.778187436600966E-2</v>
      </c>
      <c r="AV168" s="66">
        <f t="shared" si="433"/>
        <v>6.3767717520602174E-2</v>
      </c>
      <c r="AW168" s="66">
        <f t="shared" si="433"/>
        <v>0.29152387965121251</v>
      </c>
      <c r="AX168" s="136">
        <f t="shared" si="433"/>
        <v>0.13491017116068127</v>
      </c>
      <c r="AY168" s="66">
        <f t="shared" si="434"/>
        <v>0.5434429154234528</v>
      </c>
      <c r="AZ168" s="66">
        <f t="shared" si="434"/>
        <v>0.58379837473767582</v>
      </c>
      <c r="BA168" s="66">
        <f t="shared" si="434"/>
        <v>0.58140758263196135</v>
      </c>
      <c r="BB168" s="66">
        <f t="shared" si="434"/>
        <v>0.23663950372083198</v>
      </c>
      <c r="BC168" s="136">
        <f t="shared" si="434"/>
        <v>0.45330515077840472</v>
      </c>
      <c r="BD168" s="66">
        <f t="shared" si="434"/>
        <v>-0.10447595239409491</v>
      </c>
      <c r="BE168" s="66">
        <f t="shared" si="434"/>
        <v>-9.1353191784035892E-2</v>
      </c>
      <c r="BF168" s="66">
        <f t="shared" si="434"/>
        <v>-8.4571539026375153E-2</v>
      </c>
      <c r="BG168" s="66">
        <f t="shared" si="434"/>
        <v>-9.6266712456683945E-2</v>
      </c>
      <c r="BH168" s="136">
        <f t="shared" si="434"/>
        <v>-9.3646115904403859E-2</v>
      </c>
      <c r="BI168" s="66">
        <f t="shared" si="434"/>
        <v>0.11892153428093821</v>
      </c>
      <c r="BJ168" s="66">
        <f t="shared" si="434"/>
        <v>0.28304881003323556</v>
      </c>
      <c r="BK168" s="66">
        <f t="shared" si="434"/>
        <v>0.25457333025634776</v>
      </c>
      <c r="BL168" s="66">
        <f t="shared" si="434"/>
        <v>0.30769003341662327</v>
      </c>
      <c r="BM168" s="136">
        <v>0.12459829720742643</v>
      </c>
      <c r="BN168" s="66">
        <f t="shared" si="434"/>
        <v>0.27775928425381635</v>
      </c>
      <c r="BO168" s="66">
        <f t="shared" si="434"/>
        <v>0.17263814667460564</v>
      </c>
      <c r="BP168" s="66">
        <f t="shared" si="434"/>
        <v>0.12979018660867681</v>
      </c>
      <c r="BQ168" s="66">
        <f t="shared" si="434"/>
        <v>0.10324606725235808</v>
      </c>
      <c r="BR168" s="136">
        <v>2.6179447926454325E-2</v>
      </c>
      <c r="BS168" s="66">
        <f t="shared" si="434"/>
        <v>0.17599900851091466</v>
      </c>
      <c r="BT168" s="66">
        <v>0.1361</v>
      </c>
      <c r="BU168" s="66">
        <v>0.13894500000000001</v>
      </c>
      <c r="BV168" s="66">
        <v>8.5965E-2</v>
      </c>
      <c r="BW168" s="136">
        <v>2.9321776860708582E-2</v>
      </c>
      <c r="BX168" s="66">
        <f t="shared" si="435"/>
        <v>0.24667260820080039</v>
      </c>
      <c r="BY168" s="66">
        <f t="shared" si="435"/>
        <v>9.0663858189133473E-2</v>
      </c>
      <c r="BZ168" s="66">
        <f t="shared" si="435"/>
        <v>-2.9418784408918541E-2</v>
      </c>
      <c r="CA168" s="66">
        <f t="shared" si="435"/>
        <v>-1.7689144849579286E-2</v>
      </c>
      <c r="CB168" s="136">
        <f>CB154/BW154-1</f>
        <v>6.4709990399065331E-2</v>
      </c>
      <c r="CC168" s="66">
        <f t="shared" si="435"/>
        <v>-7.4609216057214267E-2</v>
      </c>
      <c r="CD168" s="66">
        <f t="shared" si="435"/>
        <v>-4.5193558622616758E-2</v>
      </c>
      <c r="CE168" s="66">
        <f t="shared" si="435"/>
        <v>0.10792146756888932</v>
      </c>
      <c r="CF168" s="66">
        <f t="shared" si="435"/>
        <v>2.9961143381309396E-2</v>
      </c>
      <c r="CG168" s="136">
        <f>CG154/CB154-1</f>
        <v>3.600959957420935E-3</v>
      </c>
      <c r="CH168" s="66">
        <f t="shared" si="435"/>
        <v>6.2614396500841218E-2</v>
      </c>
      <c r="CI168" s="66">
        <f t="shared" si="435"/>
        <v>8.1405112829527893E-2</v>
      </c>
      <c r="CJ168" s="66">
        <f t="shared" si="435"/>
        <v>1.6994206161915937E-2</v>
      </c>
      <c r="CK168" s="66">
        <f t="shared" si="435"/>
        <v>4.5899063311737542E-2</v>
      </c>
      <c r="CL168" s="136">
        <f>CL154/CG154-1</f>
        <v>5.0610718177193759E-2</v>
      </c>
      <c r="CM168" s="196">
        <v>0.08</v>
      </c>
      <c r="CN168" s="196">
        <v>0.08</v>
      </c>
      <c r="CO168" s="196">
        <v>0.08</v>
      </c>
      <c r="CP168" s="196">
        <v>0.08</v>
      </c>
      <c r="CQ168" s="136">
        <f>CQ154/CL154-1</f>
        <v>7.9689838155668991E-2</v>
      </c>
      <c r="CR168" s="196">
        <v>0.08</v>
      </c>
      <c r="CS168" s="196">
        <v>0.08</v>
      </c>
      <c r="CT168" s="196">
        <v>0.08</v>
      </c>
      <c r="CU168" s="196">
        <v>0.08</v>
      </c>
      <c r="CV168" s="136">
        <f>CV154/CQ154-1</f>
        <v>8.0039046086981092E-2</v>
      </c>
      <c r="CW168" s="196">
        <v>0.05</v>
      </c>
      <c r="CX168" s="196">
        <v>0.05</v>
      </c>
      <c r="CY168" s="196">
        <v>0.05</v>
      </c>
      <c r="CZ168" s="196">
        <v>0.05</v>
      </c>
      <c r="DA168" s="136">
        <f>DA154/CV154-1</f>
        <v>5.0035026474448241E-2</v>
      </c>
      <c r="DB168" s="196">
        <v>7.0000000000000007E-2</v>
      </c>
      <c r="DC168" s="196">
        <v>7.0000000000000007E-2</v>
      </c>
      <c r="DD168" s="196">
        <v>7.0000000000000007E-2</v>
      </c>
      <c r="DE168" s="196">
        <v>7.0000000000000007E-2</v>
      </c>
      <c r="DF168" s="136">
        <f>DF154/DA154-1</f>
        <v>7.003303669695482E-2</v>
      </c>
    </row>
    <row r="169" spans="2:110" x14ac:dyDescent="0.2">
      <c r="B169" s="487" t="s">
        <v>157</v>
      </c>
      <c r="C169" s="182"/>
      <c r="D169" s="182"/>
      <c r="E169" s="68"/>
      <c r="F169" s="68"/>
      <c r="G169" s="68"/>
      <c r="I169" s="68"/>
      <c r="J169" s="68"/>
      <c r="K169" s="66"/>
      <c r="L169" s="66"/>
      <c r="M169" s="66"/>
      <c r="N169" s="66"/>
      <c r="O169" s="66"/>
      <c r="P169" s="66"/>
      <c r="Q169" s="66"/>
      <c r="R169" s="66"/>
      <c r="S169" s="66"/>
      <c r="T169" s="66"/>
      <c r="U169" s="66"/>
      <c r="V169" s="66"/>
      <c r="W169" s="66"/>
      <c r="X169" s="66"/>
      <c r="Y169" s="136"/>
      <c r="Z169" s="66"/>
      <c r="AA169" s="66"/>
      <c r="AB169" s="66"/>
      <c r="AC169" s="66"/>
      <c r="AD169" s="136"/>
      <c r="AE169" s="66"/>
      <c r="AF169" s="66"/>
      <c r="AG169" s="66"/>
      <c r="AH169" s="66"/>
      <c r="AI169" s="136">
        <v>8.4793921471873812E-2</v>
      </c>
      <c r="AJ169" s="66"/>
      <c r="AK169" s="66"/>
      <c r="AL169" s="66">
        <v>0.49074953061406013</v>
      </c>
      <c r="AM169" s="66">
        <v>0.44008208463492338</v>
      </c>
      <c r="AN169" s="136">
        <v>0.5078219404074511</v>
      </c>
      <c r="AO169" s="66">
        <f t="shared" si="433"/>
        <v>-1.0998661402693011E-2</v>
      </c>
      <c r="AP169" s="66">
        <f t="shared" si="433"/>
        <v>-1.1259850826478734E-2</v>
      </c>
      <c r="AQ169" s="66">
        <f t="shared" si="433"/>
        <v>5.5774976782305696E-3</v>
      </c>
      <c r="AR169" s="66">
        <f t="shared" si="433"/>
        <v>2.6945399653049762E-2</v>
      </c>
      <c r="AS169" s="136">
        <f t="shared" si="433"/>
        <v>2.3297224508458392E-3</v>
      </c>
      <c r="AT169" s="66">
        <f t="shared" si="433"/>
        <v>3.3591497328506081E-2</v>
      </c>
      <c r="AU169" s="66">
        <f t="shared" si="433"/>
        <v>-5.609340384715944E-3</v>
      </c>
      <c r="AV169" s="66">
        <f t="shared" si="433"/>
        <v>-6.3876429143311375E-3</v>
      </c>
      <c r="AW169" s="66">
        <f t="shared" si="433"/>
        <v>0.24983392766792178</v>
      </c>
      <c r="AX169" s="136">
        <f t="shared" si="433"/>
        <v>8.1982260430993437E-2</v>
      </c>
      <c r="AY169" s="66">
        <f t="shared" si="434"/>
        <v>0.4673551679511978</v>
      </c>
      <c r="AZ169" s="66">
        <f t="shared" si="434"/>
        <v>0.47226981648663613</v>
      </c>
      <c r="BA169" s="66">
        <f t="shared" si="434"/>
        <v>0.46074326451280179</v>
      </c>
      <c r="BB169" s="66">
        <f t="shared" ref="BB169:BS169" si="436">BB155/AW155-1</f>
        <v>0.13072152296359008</v>
      </c>
      <c r="BC169" s="136">
        <f t="shared" si="436"/>
        <v>0.35042071263381169</v>
      </c>
      <c r="BD169" s="66">
        <f t="shared" si="436"/>
        <v>-0.15763023479645155</v>
      </c>
      <c r="BE169" s="66">
        <f t="shared" si="436"/>
        <v>-0.13459416695654092</v>
      </c>
      <c r="BF169" s="66">
        <f t="shared" si="436"/>
        <v>-0.12337792752448062</v>
      </c>
      <c r="BG169" s="66">
        <f t="shared" si="436"/>
        <v>-0.11009583792877586</v>
      </c>
      <c r="BH169" s="136">
        <f t="shared" si="436"/>
        <v>-0.13137535208581019</v>
      </c>
      <c r="BI169" s="66">
        <f t="shared" si="436"/>
        <v>3.0019591833528869E-2</v>
      </c>
      <c r="BJ169" s="66">
        <f t="shared" si="436"/>
        <v>0.17889834675654925</v>
      </c>
      <c r="BK169" s="66">
        <f t="shared" si="436"/>
        <v>0.13308600222000022</v>
      </c>
      <c r="BL169" s="66">
        <f t="shared" si="436"/>
        <v>0.11781654533410335</v>
      </c>
      <c r="BM169" s="136">
        <f>BM155/BH155-1</f>
        <v>0.12948144215675605</v>
      </c>
      <c r="BN169" s="66">
        <f t="shared" si="436"/>
        <v>0.13033869099398676</v>
      </c>
      <c r="BO169" s="66">
        <f t="shared" si="436"/>
        <v>3.6645084646600434E-2</v>
      </c>
      <c r="BP169" s="66">
        <f t="shared" si="436"/>
        <v>3.7220285840350309E-2</v>
      </c>
      <c r="BQ169" s="66">
        <f t="shared" si="436"/>
        <v>5.0316894786082589E-2</v>
      </c>
      <c r="BR169" s="136">
        <f>BR155/BM155-1</f>
        <v>4.7466282278594507E-2</v>
      </c>
      <c r="BS169" s="66">
        <f t="shared" si="436"/>
        <v>6.216143535634755E-2</v>
      </c>
      <c r="BT169" s="66">
        <v>3.2752507682217491E-2</v>
      </c>
      <c r="BU169" s="66">
        <f>BU155/BP155-1</f>
        <v>6.2217932352597316E-2</v>
      </c>
      <c r="BV169" s="66" t="s">
        <v>622</v>
      </c>
      <c r="BW169" s="136">
        <f>BW155/BR155-1</f>
        <v>5.7291066980622141E-2</v>
      </c>
      <c r="BX169" s="66">
        <f t="shared" si="435"/>
        <v>7.2481504594971824E-2</v>
      </c>
      <c r="BY169" s="66">
        <f t="shared" si="435"/>
        <v>-3.2607416436525316E-2</v>
      </c>
      <c r="BZ169" s="66">
        <f t="shared" si="435"/>
        <v>-0.10233954127591671</v>
      </c>
      <c r="CA169" s="66">
        <f t="shared" si="435"/>
        <v>-0.10192196583693036</v>
      </c>
      <c r="CB169" s="136">
        <f>CB155/BW155-1</f>
        <v>-4.5015667255104641E-2</v>
      </c>
      <c r="CC169" s="66">
        <f t="shared" si="435"/>
        <v>-0.13904426929641689</v>
      </c>
      <c r="CD169" s="66">
        <f t="shared" si="435"/>
        <v>-6.3871424370850138E-2</v>
      </c>
      <c r="CE169" s="66">
        <f t="shared" si="435"/>
        <v>1.4476795860643765E-2</v>
      </c>
      <c r="CF169" s="66">
        <f t="shared" si="435"/>
        <v>-6.1466602896650402E-2</v>
      </c>
      <c r="CG169" s="136">
        <f>CG155/CB155-1</f>
        <v>-6.2860866308083185E-2</v>
      </c>
      <c r="CH169" s="66">
        <f t="shared" si="435"/>
        <v>-4.2866343590953648E-2</v>
      </c>
      <c r="CI169" s="66">
        <f t="shared" si="435"/>
        <v>-5.5158050438392059E-2</v>
      </c>
      <c r="CJ169" s="66">
        <f t="shared" si="435"/>
        <v>-6.3042141559675691E-2</v>
      </c>
      <c r="CK169" s="66">
        <f t="shared" si="435"/>
        <v>-4.9471327635078888E-3</v>
      </c>
      <c r="CL169" s="136">
        <f>CL155/CG155-1</f>
        <v>-4.2046569037223258E-2</v>
      </c>
      <c r="CM169" s="66">
        <f>CM155/CH155-1</f>
        <v>3.2088932366716616E-2</v>
      </c>
      <c r="CN169" s="66">
        <f>CN155/CI155-1</f>
        <v>3.2014221794546938E-2</v>
      </c>
      <c r="CO169" s="66">
        <f>CO155/CJ155-1</f>
        <v>3.481462888552489E-2</v>
      </c>
      <c r="CP169" s="66">
        <f>CP155/CK155-1</f>
        <v>3.5050168998929321E-2</v>
      </c>
      <c r="CQ169" s="136">
        <f>CQ155/CL155-1</f>
        <v>3.3476032639034425E-2</v>
      </c>
      <c r="CR169" s="66">
        <f>CR155/CM155-1</f>
        <v>7.2123653194986703E-2</v>
      </c>
      <c r="CS169" s="66">
        <f>CS155/CN155-1</f>
        <v>7.2368010822785545E-2</v>
      </c>
      <c r="CT169" s="66">
        <f>CT155/CO155-1</f>
        <v>7.4547758362137229E-2</v>
      </c>
      <c r="CU169" s="66">
        <f>CU155/CP155-1</f>
        <v>7.3273334911270416E-2</v>
      </c>
      <c r="CV169" s="136">
        <f>CV155/CQ155-1</f>
        <v>7.3085786657279606E-2</v>
      </c>
      <c r="CW169" s="66">
        <f>CW155/CR155-1</f>
        <v>5.4438999423894963E-2</v>
      </c>
      <c r="CX169" s="66">
        <f>CX155/CS155-1</f>
        <v>5.4677750331257435E-2</v>
      </c>
      <c r="CY169" s="66">
        <f>CY155/CT155-1</f>
        <v>5.5936231601984687E-2</v>
      </c>
      <c r="CZ169" s="66">
        <f>CZ155/CU155-1</f>
        <v>5.473294844453358E-2</v>
      </c>
      <c r="DA169" s="136">
        <f>DA155/CV155-1</f>
        <v>5.4948835337545798E-2</v>
      </c>
      <c r="DB169" s="66">
        <f>DB155/CW155-1</f>
        <v>7.1598583282041606E-2</v>
      </c>
      <c r="DC169" s="66">
        <f>DC155/CX155-1</f>
        <v>7.1840473468893551E-2</v>
      </c>
      <c r="DD169" s="66">
        <f>DD155/CY155-1</f>
        <v>7.3328590255081316E-2</v>
      </c>
      <c r="DE169" s="66">
        <f>DE155/CZ155-1</f>
        <v>7.2102207903279147E-2</v>
      </c>
      <c r="DF169" s="136">
        <f>DF155/DA155-1</f>
        <v>7.2221670797014026E-2</v>
      </c>
    </row>
    <row r="170" spans="2:110" x14ac:dyDescent="0.2">
      <c r="B170" s="235" t="s">
        <v>156</v>
      </c>
      <c r="C170" s="182"/>
      <c r="D170" s="182"/>
      <c r="E170" s="68"/>
      <c r="F170" s="68"/>
      <c r="G170" s="68"/>
      <c r="I170" s="68"/>
      <c r="J170" s="68"/>
      <c r="K170" s="66"/>
      <c r="L170" s="66"/>
      <c r="M170" s="66"/>
      <c r="N170" s="66"/>
      <c r="O170" s="66"/>
      <c r="P170" s="66"/>
      <c r="Q170" s="66"/>
      <c r="R170" s="66"/>
      <c r="S170" s="66"/>
      <c r="T170" s="66"/>
      <c r="U170" s="66"/>
      <c r="V170" s="66"/>
      <c r="W170" s="66"/>
      <c r="X170" s="66"/>
      <c r="Y170" s="136"/>
      <c r="Z170" s="66"/>
      <c r="AA170" s="66"/>
      <c r="AB170" s="66"/>
      <c r="AC170" s="66"/>
      <c r="AD170" s="136"/>
      <c r="AE170" s="66"/>
      <c r="AF170" s="66"/>
      <c r="AG170" s="66"/>
      <c r="AH170" s="66"/>
      <c r="AI170" s="136"/>
      <c r="AJ170" s="66"/>
      <c r="AK170" s="66"/>
      <c r="AL170" s="66"/>
      <c r="AM170" s="66"/>
      <c r="AN170" s="136"/>
      <c r="AO170" s="66"/>
      <c r="AP170" s="66"/>
      <c r="AQ170" s="66"/>
      <c r="AR170" s="66"/>
      <c r="AS170" s="136"/>
      <c r="AT170" s="66"/>
      <c r="AU170" s="66"/>
      <c r="AV170" s="66"/>
      <c r="AW170" s="66"/>
      <c r="AX170" s="136"/>
      <c r="AY170" s="66"/>
      <c r="AZ170" s="66"/>
      <c r="BA170" s="66"/>
      <c r="BB170" s="66"/>
      <c r="BC170" s="136"/>
      <c r="BD170" s="66"/>
      <c r="BE170" s="66"/>
      <c r="BF170" s="66"/>
      <c r="BG170" s="66"/>
      <c r="BH170" s="136"/>
      <c r="BI170" s="66"/>
      <c r="BJ170" s="66"/>
      <c r="BK170" s="66"/>
      <c r="BL170" s="66"/>
      <c r="BM170" s="136"/>
      <c r="BN170" s="66"/>
      <c r="BO170" s="66"/>
      <c r="BP170" s="66"/>
      <c r="BQ170" s="66"/>
      <c r="BR170" s="136"/>
      <c r="BS170" s="66"/>
      <c r="BT170" s="66"/>
      <c r="BU170" s="66"/>
      <c r="BV170" s="66"/>
      <c r="BW170" s="136"/>
      <c r="BX170" s="66"/>
      <c r="BY170" s="66"/>
      <c r="BZ170" s="66"/>
      <c r="CA170" s="66"/>
      <c r="CB170" s="136"/>
      <c r="CC170" s="66"/>
      <c r="CD170" s="66"/>
      <c r="CE170" s="66"/>
      <c r="CF170" s="66"/>
      <c r="CG170" s="136"/>
      <c r="CH170" s="66"/>
      <c r="CI170" s="66"/>
      <c r="CJ170" s="66"/>
      <c r="CK170" s="66"/>
      <c r="CL170" s="136"/>
      <c r="CM170" s="66"/>
      <c r="CN170" s="66"/>
      <c r="CO170" s="66"/>
      <c r="CP170" s="66"/>
      <c r="CQ170" s="136"/>
      <c r="CR170" s="66"/>
      <c r="CS170" s="66"/>
      <c r="CT170" s="66"/>
      <c r="CU170" s="66"/>
      <c r="CV170" s="136"/>
      <c r="CW170" s="66"/>
      <c r="CX170" s="66"/>
      <c r="CY170" s="66"/>
      <c r="CZ170" s="66"/>
      <c r="DA170" s="136"/>
      <c r="DB170" s="66"/>
      <c r="DC170" s="66"/>
      <c r="DD170" s="66"/>
      <c r="DE170" s="66"/>
      <c r="DF170" s="136"/>
    </row>
    <row r="171" spans="2:110" x14ac:dyDescent="0.2">
      <c r="B171" s="487" t="s">
        <v>277</v>
      </c>
      <c r="C171" s="182"/>
      <c r="D171" s="182"/>
      <c r="E171" s="68"/>
      <c r="F171" s="68"/>
      <c r="G171" s="68"/>
      <c r="I171" s="68"/>
      <c r="J171" s="68"/>
      <c r="K171" s="66"/>
      <c r="L171" s="66"/>
      <c r="M171" s="66"/>
      <c r="N171" s="66"/>
      <c r="O171" s="66"/>
      <c r="P171" s="66"/>
      <c r="Q171" s="66"/>
      <c r="R171" s="66"/>
      <c r="S171" s="66"/>
      <c r="T171" s="66"/>
      <c r="U171" s="66">
        <v>-8.7981582929281155E-2</v>
      </c>
      <c r="V171" s="66">
        <v>0.1325366122299787</v>
      </c>
      <c r="W171" s="66">
        <v>-2.9553008535683545E-2</v>
      </c>
      <c r="X171" s="66">
        <v>-6.2659744274040641E-3</v>
      </c>
      <c r="Y171" s="136">
        <v>-1.7961116543022682E-3</v>
      </c>
      <c r="Z171" s="66">
        <v>-8.2346270053100024E-2</v>
      </c>
      <c r="AA171" s="66">
        <v>-0.10898639704178859</v>
      </c>
      <c r="AB171" s="66">
        <v>-2.273671407401423E-2</v>
      </c>
      <c r="AC171" s="66">
        <v>-6.8026257125289979E-2</v>
      </c>
      <c r="AD171" s="136">
        <v>-6.9999893601649821E-2</v>
      </c>
      <c r="AE171" s="66">
        <v>3.6656814084158773E-2</v>
      </c>
      <c r="AF171" s="66">
        <v>6.3845161465345912E-2</v>
      </c>
      <c r="AG171" s="66">
        <v>-1.2736244870179436E-2</v>
      </c>
      <c r="AH171" s="66">
        <v>5.4158356679398389E-2</v>
      </c>
      <c r="AI171" s="136">
        <v>3.5177542295332875E-2</v>
      </c>
      <c r="AJ171" s="66">
        <v>4.8982882532482286E-3</v>
      </c>
      <c r="AK171" s="66">
        <v>2.982789881840886E-2</v>
      </c>
      <c r="AL171" s="66">
        <v>3.288291296395518E-2</v>
      </c>
      <c r="AM171" s="66">
        <v>2.0848983553598099E-2</v>
      </c>
      <c r="AN171" s="136">
        <v>2.2441417309396972E-2</v>
      </c>
      <c r="AO171" s="66">
        <f t="shared" ref="AO171:AS172" si="437">AO157/AJ157-1</f>
        <v>-0.69879436595264832</v>
      </c>
      <c r="AP171" s="66">
        <f t="shared" si="437"/>
        <v>-0.71824383650062584</v>
      </c>
      <c r="AQ171" s="66">
        <f t="shared" si="437"/>
        <v>-0.67694597765087705</v>
      </c>
      <c r="AR171" s="66">
        <f t="shared" si="437"/>
        <v>-0.69582016335157304</v>
      </c>
      <c r="AS171" s="136">
        <f t="shared" si="437"/>
        <v>-0.69771402490693557</v>
      </c>
      <c r="AT171" s="66">
        <f t="shared" ref="AT171:BC172" ca="1" si="438">AT157/AO157-1</f>
        <v>-2.4269521103224667E-2</v>
      </c>
      <c r="AU171" s="66">
        <f t="shared" ca="1" si="438"/>
        <v>5.3452974080537397E-2</v>
      </c>
      <c r="AV171" s="66">
        <f t="shared" ca="1" si="438"/>
        <v>-6.1839005804252611E-2</v>
      </c>
      <c r="AW171" s="66">
        <f t="shared" ca="1" si="438"/>
        <v>0.24684486381897819</v>
      </c>
      <c r="AX171" s="136">
        <f t="shared" ca="1" si="438"/>
        <v>6.0434681244293964E-2</v>
      </c>
      <c r="AY171" s="66">
        <f t="shared" ca="1" si="438"/>
        <v>0.51647210763395712</v>
      </c>
      <c r="AZ171" s="66">
        <f t="shared" ca="1" si="438"/>
        <v>0.43651101111783541</v>
      </c>
      <c r="BA171" s="66">
        <f t="shared" ca="1" si="438"/>
        <v>0.50355966743455549</v>
      </c>
      <c r="BB171" s="66">
        <f t="shared" ca="1" si="438"/>
        <v>0.14508070554705554</v>
      </c>
      <c r="BC171" s="136">
        <f t="shared" ca="1" si="438"/>
        <v>0.37325876887016318</v>
      </c>
      <c r="BD171" s="66">
        <f t="shared" ref="BD171:BL172" ca="1" si="439">BD157/AY157-1</f>
        <v>0.1016109828225995</v>
      </c>
      <c r="BE171" s="66">
        <f t="shared" ca="1" si="439"/>
        <v>9.1612066363261357E-2</v>
      </c>
      <c r="BF171" s="66">
        <f t="shared" ca="1" si="439"/>
        <v>9.6038218113073448E-2</v>
      </c>
      <c r="BG171" s="66">
        <f t="shared" ca="1" si="439"/>
        <v>0.14300080932724213</v>
      </c>
      <c r="BH171" s="136">
        <f t="shared" ca="1" si="439"/>
        <v>0.10844965655164573</v>
      </c>
      <c r="BI171" s="66">
        <f t="shared" ca="1" si="439"/>
        <v>4.0346186352548719E-2</v>
      </c>
      <c r="BJ171" s="66">
        <f t="shared" ca="1" si="439"/>
        <v>-4.369638977065593E-2</v>
      </c>
      <c r="BK171" s="66">
        <f t="shared" ca="1" si="439"/>
        <v>-0.10279301923226991</v>
      </c>
      <c r="BL171" s="66">
        <f t="shared" ca="1" si="439"/>
        <v>-0.13961869057645593</v>
      </c>
      <c r="BM171" s="136">
        <v>-5.9238629777292995E-2</v>
      </c>
      <c r="BN171" s="66">
        <f t="shared" ref="BN171:BQ172" ca="1" si="440">BN157/BI157-1</f>
        <v>-0.17653653355911991</v>
      </c>
      <c r="BO171" s="66">
        <f t="shared" ca="1" si="440"/>
        <v>-7.6274634670594144E-2</v>
      </c>
      <c r="BP171" s="66">
        <f t="shared" ca="1" si="440"/>
        <v>-2.3074601563120689E-2</v>
      </c>
      <c r="BQ171" s="66">
        <f t="shared" ca="1" si="440"/>
        <v>-0.11725907625503529</v>
      </c>
      <c r="BR171" s="136">
        <v>-4.6527507995458572E-3</v>
      </c>
      <c r="BS171" s="66">
        <f ca="1">BS157/BN157-1</f>
        <v>-3.8011369647780624E-2</v>
      </c>
      <c r="BT171" s="66">
        <v>0.1</v>
      </c>
      <c r="BU171" s="66">
        <v>0.1</v>
      </c>
      <c r="BV171" s="66">
        <v>0.08</v>
      </c>
      <c r="BW171" s="136">
        <v>1.046370187070722E-2</v>
      </c>
      <c r="BX171" s="66">
        <f t="shared" ref="BX171:CL172" ca="1" si="441">BX157/BS157-1</f>
        <v>8.8542221845109736E-2</v>
      </c>
      <c r="BY171" s="66">
        <f t="shared" ca="1" si="441"/>
        <v>9.8745316318322285E-2</v>
      </c>
      <c r="BZ171" s="66">
        <f t="shared" ca="1" si="441"/>
        <v>9.9353827865836353E-2</v>
      </c>
      <c r="CA171" s="66">
        <f t="shared" ca="1" si="441"/>
        <v>0.10874053615283863</v>
      </c>
      <c r="CB171" s="136">
        <f t="shared" ca="1" si="441"/>
        <v>9.6965321837472862E-2</v>
      </c>
      <c r="CC171" s="66">
        <f t="shared" ca="1" si="441"/>
        <v>0.10097135937891055</v>
      </c>
      <c r="CD171" s="66">
        <f t="shared" ca="1" si="441"/>
        <v>7.196580059767399E-2</v>
      </c>
      <c r="CE171" s="66">
        <f t="shared" ca="1" si="441"/>
        <v>1.8764223834186522E-2</v>
      </c>
      <c r="CF171" s="66">
        <f t="shared" ca="1" si="441"/>
        <v>3.9492827607934489E-2</v>
      </c>
      <c r="CG171" s="136">
        <f t="shared" ca="1" si="441"/>
        <v>5.5979931490036661E-2</v>
      </c>
      <c r="CH171" s="66">
        <f t="shared" ca="1" si="441"/>
        <v>1.0229646197459363E-2</v>
      </c>
      <c r="CI171" s="66">
        <f t="shared" ca="1" si="441"/>
        <v>4.7055564740874356E-3</v>
      </c>
      <c r="CJ171" s="66">
        <f t="shared" ca="1" si="441"/>
        <v>-7.9308588502641997E-2</v>
      </c>
      <c r="CK171" s="66">
        <f t="shared" ca="1" si="441"/>
        <v>-6.4868739575591361E-2</v>
      </c>
      <c r="CL171" s="136">
        <f t="shared" ca="1" si="441"/>
        <v>-3.2936738606332727E-2</v>
      </c>
      <c r="CM171" s="196">
        <v>-0.03</v>
      </c>
      <c r="CN171" s="196">
        <v>-0.03</v>
      </c>
      <c r="CO171" s="196">
        <v>-0.03</v>
      </c>
      <c r="CP171" s="196">
        <v>-0.03</v>
      </c>
      <c r="CQ171" s="136">
        <f ca="1">CQ157/CL157-1</f>
        <v>-3.0376936769981322E-2</v>
      </c>
      <c r="CR171" s="196">
        <v>-0.03</v>
      </c>
      <c r="CS171" s="196">
        <v>-0.03</v>
      </c>
      <c r="CT171" s="196">
        <v>-0.03</v>
      </c>
      <c r="CU171" s="196">
        <v>-0.03</v>
      </c>
      <c r="CV171" s="136">
        <f ca="1">CV157/CQ157-1</f>
        <v>-2.9981958115355867E-2</v>
      </c>
      <c r="CW171" s="196">
        <v>-0.03</v>
      </c>
      <c r="CX171" s="196">
        <v>-0.03</v>
      </c>
      <c r="CY171" s="196">
        <v>-0.03</v>
      </c>
      <c r="CZ171" s="196">
        <v>-0.03</v>
      </c>
      <c r="DA171" s="136">
        <f ca="1">DA157/CV157-1</f>
        <v>-2.9998325264703585E-2</v>
      </c>
      <c r="DB171" s="196">
        <v>-0.03</v>
      </c>
      <c r="DC171" s="196">
        <v>-0.03</v>
      </c>
      <c r="DD171" s="196">
        <v>-0.03</v>
      </c>
      <c r="DE171" s="196">
        <v>-0.03</v>
      </c>
      <c r="DF171" s="136">
        <f ca="1">DF157/DA157-1</f>
        <v>-2.9998247316195381E-2</v>
      </c>
    </row>
    <row r="172" spans="2:110" x14ac:dyDescent="0.2">
      <c r="B172" s="487" t="s">
        <v>278</v>
      </c>
      <c r="C172" s="182"/>
      <c r="D172" s="182"/>
      <c r="E172" s="68"/>
      <c r="F172" s="68"/>
      <c r="G172" s="68"/>
      <c r="I172" s="68"/>
      <c r="J172" s="68"/>
      <c r="K172" s="66"/>
      <c r="L172" s="66"/>
      <c r="M172" s="66"/>
      <c r="N172" s="66"/>
      <c r="O172" s="66"/>
      <c r="P172" s="66"/>
      <c r="Q172" s="66"/>
      <c r="R172" s="66"/>
      <c r="S172" s="66"/>
      <c r="T172" s="66"/>
      <c r="U172" s="66">
        <v>-1.4053652828978191E-2</v>
      </c>
      <c r="V172" s="66">
        <v>5.6819556953794592E-2</v>
      </c>
      <c r="W172" s="66">
        <v>9.00484039875733E-2</v>
      </c>
      <c r="X172" s="66">
        <v>6.1006139500561662E-2</v>
      </c>
      <c r="Y172" s="136">
        <v>4.8461537747052308E-2</v>
      </c>
      <c r="Z172" s="66">
        <v>7.0683813906758264E-2</v>
      </c>
      <c r="AA172" s="66">
        <v>8.274819985833215E-2</v>
      </c>
      <c r="AB172" s="66">
        <v>4.2178656633933498E-2</v>
      </c>
      <c r="AC172" s="66">
        <v>6.1780149612272961E-2</v>
      </c>
      <c r="AD172" s="136">
        <v>6.4084777973345997E-2</v>
      </c>
      <c r="AE172" s="66">
        <v>3.5515706102522193E-2</v>
      </c>
      <c r="AF172" s="66">
        <v>2.2484015806838231E-2</v>
      </c>
      <c r="AG172" s="66">
        <v>5.3165312372701612E-2</v>
      </c>
      <c r="AH172" s="66">
        <v>2.452722906322613E-2</v>
      </c>
      <c r="AI172" s="136">
        <v>3.3237247270220482E-2</v>
      </c>
      <c r="AJ172" s="66">
        <v>1.76241325328228E-2</v>
      </c>
      <c r="AK172" s="66">
        <v>4.2869447031119057E-2</v>
      </c>
      <c r="AL172" s="66">
        <v>4.5963149305347617E-2</v>
      </c>
      <c r="AM172" s="66">
        <v>7.7211275651867028E-2</v>
      </c>
      <c r="AN172" s="136">
        <v>4.5861720432295972E-2</v>
      </c>
      <c r="AO172" s="66">
        <f t="shared" si="437"/>
        <v>-0.63013146522424168</v>
      </c>
      <c r="AP172" s="66">
        <f t="shared" si="437"/>
        <v>-0.61716656959306704</v>
      </c>
      <c r="AQ172" s="66">
        <f t="shared" si="437"/>
        <v>-0.62410045279530446</v>
      </c>
      <c r="AR172" s="66">
        <f t="shared" si="437"/>
        <v>-0.61628781674972444</v>
      </c>
      <c r="AS172" s="136">
        <f t="shared" si="437"/>
        <v>-0.62219266037365561</v>
      </c>
      <c r="AT172" s="66">
        <f t="shared" ca="1" si="438"/>
        <v>-6.9495232311509447E-3</v>
      </c>
      <c r="AU172" s="66">
        <f t="shared" ca="1" si="438"/>
        <v>-1.108459889656721E-2</v>
      </c>
      <c r="AV172" s="66">
        <f t="shared" ca="1" si="438"/>
        <v>-4.9587209230561591E-3</v>
      </c>
      <c r="AW172" s="66">
        <f t="shared" ca="1" si="438"/>
        <v>0.20947530393119385</v>
      </c>
      <c r="AX172" s="136">
        <f t="shared" ca="1" si="438"/>
        <v>5.7371307489155088E-2</v>
      </c>
      <c r="AY172" s="66">
        <f t="shared" ca="1" si="438"/>
        <v>0.57544958058717977</v>
      </c>
      <c r="AZ172" s="66">
        <f t="shared" ca="1" si="438"/>
        <v>0.52989275069319075</v>
      </c>
      <c r="BA172" s="66">
        <f t="shared" ca="1" si="438"/>
        <v>0.51518741287675218</v>
      </c>
      <c r="BB172" s="66">
        <f t="shared" ca="1" si="438"/>
        <v>0.19585308596713924</v>
      </c>
      <c r="BC172" s="136">
        <f t="shared" ca="1" si="438"/>
        <v>0.4266829677216688</v>
      </c>
      <c r="BD172" s="66">
        <f t="shared" ca="1" si="439"/>
        <v>7.5079371931169536E-2</v>
      </c>
      <c r="BE172" s="66">
        <f t="shared" ca="1" si="439"/>
        <v>0.10503376945907705</v>
      </c>
      <c r="BF172" s="66">
        <f t="shared" ca="1" si="439"/>
        <v>0.15296170359006478</v>
      </c>
      <c r="BG172" s="66">
        <f t="shared" ca="1" si="439"/>
        <v>0.21164983003764992</v>
      </c>
      <c r="BH172" s="136">
        <f t="shared" ca="1" si="439"/>
        <v>0.13581627142939245</v>
      </c>
      <c r="BI172" s="66">
        <f t="shared" ca="1" si="439"/>
        <v>0.21358033510513663</v>
      </c>
      <c r="BJ172" s="66">
        <f t="shared" ca="1" si="439"/>
        <v>0.20954849542716336</v>
      </c>
      <c r="BK172" s="66">
        <f t="shared" ca="1" si="439"/>
        <v>0.17452297448178133</v>
      </c>
      <c r="BL172" s="66">
        <f t="shared" ca="1" si="439"/>
        <v>0.15872462559782741</v>
      </c>
      <c r="BM172" s="136">
        <v>7.2316436275895901E-2</v>
      </c>
      <c r="BN172" s="66">
        <f t="shared" ca="1" si="440"/>
        <v>0.10210224779345212</v>
      </c>
      <c r="BO172" s="66">
        <f t="shared" ca="1" si="440"/>
        <v>0.12483124737342521</v>
      </c>
      <c r="BP172" s="66">
        <f t="shared" ca="1" si="440"/>
        <v>0.19730484379411917</v>
      </c>
      <c r="BQ172" s="66">
        <f t="shared" ca="1" si="440"/>
        <v>0.13343933073527414</v>
      </c>
      <c r="BR172" s="136">
        <v>2.4722067053191799E-2</v>
      </c>
      <c r="BS172" s="66">
        <f ca="1">BS158/BN158-1</f>
        <v>0.19382279060139229</v>
      </c>
      <c r="BT172" s="66">
        <v>0.14000000000000001</v>
      </c>
      <c r="BU172" s="66">
        <v>0.14000000000000001</v>
      </c>
      <c r="BV172" s="66">
        <v>0.12</v>
      </c>
      <c r="BW172" s="136">
        <v>2.7530799594954081E-2</v>
      </c>
      <c r="BX172" s="66">
        <f t="shared" ca="1" si="441"/>
        <v>8.5879193611632543E-2</v>
      </c>
      <c r="BY172" s="66">
        <f t="shared" ca="1" si="441"/>
        <v>0.10299383277989804</v>
      </c>
      <c r="BZ172" s="66">
        <f t="shared" ca="1" si="441"/>
        <v>0.1113916466703353</v>
      </c>
      <c r="CA172" s="66">
        <f t="shared" ca="1" si="441"/>
        <v>0.11359522431684921</v>
      </c>
      <c r="CB172" s="136">
        <f t="shared" ca="1" si="441"/>
        <v>0.10201600371392705</v>
      </c>
      <c r="CC172" s="66">
        <f t="shared" ca="1" si="441"/>
        <v>0.10692438302770646</v>
      </c>
      <c r="CD172" s="66">
        <f t="shared" ca="1" si="441"/>
        <v>8.4656744788873306E-2</v>
      </c>
      <c r="CE172" s="66">
        <f t="shared" ca="1" si="441"/>
        <v>3.0254108358950926E-2</v>
      </c>
      <c r="CF172" s="66">
        <f t="shared" ca="1" si="441"/>
        <v>5.9755741869304435E-2</v>
      </c>
      <c r="CG172" s="136">
        <f t="shared" ca="1" si="441"/>
        <v>6.8769099816436974E-2</v>
      </c>
      <c r="CH172" s="66">
        <f t="shared" ca="1" si="441"/>
        <v>3.8023304530073521E-2</v>
      </c>
      <c r="CI172" s="66">
        <f t="shared" ca="1" si="441"/>
        <v>3.4657661625068448E-2</v>
      </c>
      <c r="CJ172" s="66">
        <f t="shared" ca="1" si="441"/>
        <v>-4.2503457688879642E-2</v>
      </c>
      <c r="CK172" s="66">
        <f t="shared" ca="1" si="441"/>
        <v>-2.87905593649046E-2</v>
      </c>
      <c r="CL172" s="136">
        <f t="shared" ca="1" si="441"/>
        <v>1.0364344783853063E-3</v>
      </c>
      <c r="CM172" s="196">
        <v>0.08</v>
      </c>
      <c r="CN172" s="196">
        <v>0.08</v>
      </c>
      <c r="CO172" s="196">
        <v>0.08</v>
      </c>
      <c r="CP172" s="196">
        <v>0.08</v>
      </c>
      <c r="CQ172" s="136">
        <f ca="1">CQ158/CL158-1</f>
        <v>7.9805664252732722E-2</v>
      </c>
      <c r="CR172" s="196">
        <v>0.08</v>
      </c>
      <c r="CS172" s="196">
        <v>0.08</v>
      </c>
      <c r="CT172" s="196">
        <v>0.08</v>
      </c>
      <c r="CU172" s="196">
        <v>0.08</v>
      </c>
      <c r="CV172" s="136">
        <f ca="1">CV158/CQ158-1</f>
        <v>8.0170627418896245E-2</v>
      </c>
      <c r="CW172" s="196">
        <v>0.05</v>
      </c>
      <c r="CX172" s="196">
        <v>0.05</v>
      </c>
      <c r="CY172" s="196">
        <v>0.05</v>
      </c>
      <c r="CZ172" s="196">
        <v>0.05</v>
      </c>
      <c r="DA172" s="136">
        <f ca="1">DA158/CV158-1</f>
        <v>5.0046190678310731E-2</v>
      </c>
      <c r="DB172" s="196">
        <v>7.0000000000000007E-2</v>
      </c>
      <c r="DC172" s="196">
        <v>7.0000000000000007E-2</v>
      </c>
      <c r="DD172" s="196">
        <v>7.0000000000000007E-2</v>
      </c>
      <c r="DE172" s="196">
        <v>7.0000000000000007E-2</v>
      </c>
      <c r="DF172" s="136">
        <f ca="1">DF158/DA158-1</f>
        <v>7.0057281761964685E-2</v>
      </c>
    </row>
    <row r="173" spans="2:110" x14ac:dyDescent="0.2">
      <c r="B173" s="487" t="s">
        <v>161</v>
      </c>
      <c r="C173" s="182"/>
      <c r="D173" s="182"/>
      <c r="E173" s="68"/>
      <c r="F173" s="68"/>
      <c r="G173" s="68"/>
      <c r="I173" s="68"/>
      <c r="J173" s="68"/>
      <c r="K173" s="66"/>
      <c r="L173" s="66"/>
      <c r="M173" s="66"/>
      <c r="N173" s="66"/>
      <c r="O173" s="66"/>
      <c r="P173" s="66"/>
      <c r="Q173" s="66"/>
      <c r="R173" s="66"/>
      <c r="S173" s="66"/>
      <c r="T173" s="66"/>
      <c r="U173" s="66"/>
      <c r="V173" s="66"/>
      <c r="W173" s="66"/>
      <c r="X173" s="66"/>
      <c r="Y173" s="136"/>
      <c r="Z173" s="66"/>
      <c r="AA173" s="66"/>
      <c r="AB173" s="66"/>
      <c r="AC173" s="66"/>
      <c r="AD173" s="136"/>
      <c r="AE173" s="66"/>
      <c r="AF173" s="66"/>
      <c r="AG173" s="66"/>
      <c r="AH173" s="66"/>
      <c r="AI173" s="136"/>
      <c r="AJ173" s="66">
        <v>8.2007962906247123E-2</v>
      </c>
      <c r="AK173" s="66">
        <v>8.2007962906247123E-2</v>
      </c>
      <c r="AL173" s="66">
        <v>8.2007962906247123E-2</v>
      </c>
      <c r="AM173" s="66">
        <v>8.2007962906247123E-2</v>
      </c>
      <c r="AN173" s="136">
        <v>8.2007962906247123E-2</v>
      </c>
      <c r="AO173" s="196">
        <v>0.154</v>
      </c>
      <c r="AP173" s="196">
        <v>0.154</v>
      </c>
      <c r="AQ173" s="196">
        <v>0.154</v>
      </c>
      <c r="AR173" s="196">
        <v>0.154</v>
      </c>
      <c r="AS173" s="136">
        <f>AS161/AN161-1</f>
        <v>0.15399999999999991</v>
      </c>
      <c r="AT173" s="196">
        <v>0.11</v>
      </c>
      <c r="AU173" s="196">
        <v>0.11</v>
      </c>
      <c r="AV173" s="196">
        <v>0.11</v>
      </c>
      <c r="AW173" s="196">
        <v>0.11</v>
      </c>
      <c r="AX173" s="136">
        <f>AX161/AS161-1</f>
        <v>0.1100000000000001</v>
      </c>
      <c r="AY173" s="196">
        <v>0.09</v>
      </c>
      <c r="AZ173" s="196">
        <v>0.09</v>
      </c>
      <c r="BA173" s="196">
        <v>0.09</v>
      </c>
      <c r="BB173" s="196">
        <v>0.09</v>
      </c>
      <c r="BC173" s="136">
        <f t="shared" ref="BC173" si="442">BC161/AX161-1</f>
        <v>9.000000000000008E-2</v>
      </c>
      <c r="BD173" s="66">
        <f t="shared" ref="BD173:BS173" ca="1" si="443">BD161/AY161-1</f>
        <v>0.10000000000000009</v>
      </c>
      <c r="BE173" s="66">
        <f t="shared" ca="1" si="443"/>
        <v>0.10000000000000009</v>
      </c>
      <c r="BF173" s="66">
        <f t="shared" ca="1" si="443"/>
        <v>0.10000000000000009</v>
      </c>
      <c r="BG173" s="66">
        <f t="shared" ca="1" si="443"/>
        <v>0.10000000000000009</v>
      </c>
      <c r="BH173" s="136">
        <f t="shared" ca="1" si="443"/>
        <v>0.10000000000000009</v>
      </c>
      <c r="BI173" s="66">
        <f t="shared" ca="1" si="443"/>
        <v>8.0000000000000071E-2</v>
      </c>
      <c r="BJ173" s="66">
        <f t="shared" ca="1" si="443"/>
        <v>8.0000000000000071E-2</v>
      </c>
      <c r="BK173" s="66">
        <f t="shared" ca="1" si="443"/>
        <v>8.0000000000000071E-2</v>
      </c>
      <c r="BL173" s="66">
        <f t="shared" ca="1" si="443"/>
        <v>8.0000000000000071E-2</v>
      </c>
      <c r="BM173" s="136">
        <f t="shared" ca="1" si="443"/>
        <v>8.0000000000000071E-2</v>
      </c>
      <c r="BN173" s="66">
        <f t="shared" ca="1" si="443"/>
        <v>1.9213619436780682E-2</v>
      </c>
      <c r="BO173" s="66">
        <f t="shared" ca="1" si="443"/>
        <v>2.1944995689141766E-2</v>
      </c>
      <c r="BP173" s="66">
        <f t="shared" ca="1" si="443"/>
        <v>2.0897001152182959E-2</v>
      </c>
      <c r="BQ173" s="66">
        <f t="shared" ca="1" si="443"/>
        <v>2.1676338816298824E-2</v>
      </c>
      <c r="BR173" s="136">
        <f t="shared" ca="1" si="443"/>
        <v>2.0932988773600947E-2</v>
      </c>
      <c r="BS173" s="66">
        <f t="shared" ca="1" si="443"/>
        <v>5.0474277559990677E-2</v>
      </c>
      <c r="BT173" s="66">
        <v>7.0000000000000062E-2</v>
      </c>
      <c r="BU173" s="66">
        <v>0.1</v>
      </c>
      <c r="BV173" s="66">
        <f t="shared" ref="BV173:DF173" ca="1" si="444">BV161/BQ161-1</f>
        <v>7.0460732021873751E-2</v>
      </c>
      <c r="BW173" s="136">
        <f t="shared" ca="1" si="444"/>
        <v>6.5472477551093311E-2</v>
      </c>
      <c r="BX173" s="66">
        <f t="shared" ca="1" si="444"/>
        <v>0.12000000000000011</v>
      </c>
      <c r="BY173" s="66">
        <f t="shared" ca="1" si="444"/>
        <v>0.12000000000000011</v>
      </c>
      <c r="BZ173" s="66">
        <f t="shared" ca="1" si="444"/>
        <v>0.12000000000000011</v>
      </c>
      <c r="CA173" s="66">
        <f t="shared" ca="1" si="444"/>
        <v>8.0000000000000071E-2</v>
      </c>
      <c r="CB173" s="136">
        <f t="shared" ca="1" si="444"/>
        <v>0.10994586752629898</v>
      </c>
      <c r="CC173" s="66">
        <f t="shared" ca="1" si="444"/>
        <v>6.0000000000000053E-2</v>
      </c>
      <c r="CD173" s="66">
        <f t="shared" ca="1" si="444"/>
        <v>7.5000000000000178E-2</v>
      </c>
      <c r="CE173" s="66">
        <f t="shared" ca="1" si="444"/>
        <v>7.4999999999999956E-2</v>
      </c>
      <c r="CF173" s="66">
        <f t="shared" ca="1" si="444"/>
        <v>7.4999999999999956E-2</v>
      </c>
      <c r="CG173" s="136">
        <f t="shared" ca="1" si="444"/>
        <v>7.127557991773914E-2</v>
      </c>
      <c r="CH173" s="66">
        <f t="shared" ca="1" si="444"/>
        <v>7.4999999999999956E-2</v>
      </c>
      <c r="CI173" s="66">
        <f t="shared" ca="1" si="444"/>
        <v>7.4999999999999956E-2</v>
      </c>
      <c r="CJ173" s="66">
        <f t="shared" ca="1" si="444"/>
        <v>7.5000000000000178E-2</v>
      </c>
      <c r="CK173" s="66">
        <f t="shared" ca="1" si="444"/>
        <v>7.4999999999999734E-2</v>
      </c>
      <c r="CL173" s="136">
        <f t="shared" ca="1" si="444"/>
        <v>7.4999999999999956E-2</v>
      </c>
      <c r="CM173" s="66">
        <f t="shared" ca="1" si="444"/>
        <v>0.10000000000000009</v>
      </c>
      <c r="CN173" s="66">
        <f t="shared" ca="1" si="444"/>
        <v>0.10000000000000031</v>
      </c>
      <c r="CO173" s="66">
        <f t="shared" ca="1" si="444"/>
        <v>0.10000000000000009</v>
      </c>
      <c r="CP173" s="66">
        <f t="shared" ca="1" si="444"/>
        <v>0.10000000000000009</v>
      </c>
      <c r="CQ173" s="136">
        <f t="shared" ca="1" si="444"/>
        <v>0.10000000000000009</v>
      </c>
      <c r="CR173" s="66">
        <f t="shared" ca="1" si="444"/>
        <v>5.9999999999999831E-2</v>
      </c>
      <c r="CS173" s="66">
        <f t="shared" ca="1" si="444"/>
        <v>6.0000000000000053E-2</v>
      </c>
      <c r="CT173" s="66">
        <f t="shared" ca="1" si="444"/>
        <v>5.9999999999999831E-2</v>
      </c>
      <c r="CU173" s="66">
        <f t="shared" ca="1" si="444"/>
        <v>6.0000000000000053E-2</v>
      </c>
      <c r="CV173" s="136">
        <f t="shared" ca="1" si="444"/>
        <v>6.0000000000000053E-2</v>
      </c>
      <c r="CW173" s="66">
        <f t="shared" ca="1" si="444"/>
        <v>4.9999999999999822E-2</v>
      </c>
      <c r="CX173" s="66">
        <f t="shared" ca="1" si="444"/>
        <v>5.0000000000000044E-2</v>
      </c>
      <c r="CY173" s="66">
        <f t="shared" ca="1" si="444"/>
        <v>5.0000000000000044E-2</v>
      </c>
      <c r="CZ173" s="66">
        <f t="shared" ca="1" si="444"/>
        <v>5.0000000000000044E-2</v>
      </c>
      <c r="DA173" s="136">
        <f t="shared" ca="1" si="444"/>
        <v>4.9999999999999822E-2</v>
      </c>
      <c r="DB173" s="66">
        <f t="shared" ca="1" si="444"/>
        <v>5.0000000000000266E-2</v>
      </c>
      <c r="DC173" s="66">
        <f t="shared" ca="1" si="444"/>
        <v>4.9999999999999822E-2</v>
      </c>
      <c r="DD173" s="66">
        <f t="shared" ca="1" si="444"/>
        <v>5.0000000000000044E-2</v>
      </c>
      <c r="DE173" s="66">
        <f t="shared" ca="1" si="444"/>
        <v>5.0000000000000266E-2</v>
      </c>
      <c r="DF173" s="136">
        <f t="shared" ca="1" si="444"/>
        <v>5.0000000000000266E-2</v>
      </c>
    </row>
    <row r="174" spans="2:110" ht="6" customHeight="1" x14ac:dyDescent="0.2">
      <c r="B174" s="487"/>
      <c r="C174" s="182"/>
      <c r="D174" s="182"/>
      <c r="E174" s="68"/>
      <c r="F174" s="68"/>
      <c r="G174" s="68"/>
      <c r="I174" s="68"/>
      <c r="J174" s="68"/>
      <c r="K174" s="66"/>
      <c r="L174" s="66"/>
      <c r="M174" s="66"/>
      <c r="N174" s="66"/>
      <c r="O174" s="66"/>
      <c r="P174" s="66"/>
      <c r="Q174" s="66"/>
      <c r="R174" s="66"/>
      <c r="S174" s="66"/>
      <c r="T174" s="66"/>
      <c r="U174" s="66"/>
      <c r="V174" s="66"/>
      <c r="W174" s="66"/>
      <c r="X174" s="66"/>
      <c r="Y174" s="136"/>
      <c r="Z174" s="66"/>
      <c r="AA174" s="66"/>
      <c r="AB174" s="66"/>
      <c r="AC174" s="66"/>
      <c r="AD174" s="136"/>
      <c r="AE174" s="66"/>
      <c r="AF174" s="66"/>
      <c r="AG174" s="66"/>
      <c r="AH174" s="66"/>
      <c r="AI174" s="136"/>
      <c r="AJ174" s="66"/>
      <c r="AK174" s="66"/>
      <c r="AL174" s="66"/>
      <c r="AM174" s="66"/>
      <c r="AN174" s="136"/>
      <c r="AO174" s="471"/>
      <c r="AP174" s="471"/>
      <c r="AQ174" s="471"/>
      <c r="AR174" s="471"/>
      <c r="AS174" s="136"/>
      <c r="AT174" s="471"/>
      <c r="AU174" s="471"/>
      <c r="AV174" s="471"/>
      <c r="AW174" s="471"/>
      <c r="AX174" s="136"/>
      <c r="AY174" s="196"/>
      <c r="AZ174" s="196"/>
      <c r="BA174" s="196"/>
      <c r="BB174" s="196"/>
      <c r="BC174" s="136"/>
      <c r="BD174" s="196"/>
      <c r="BE174" s="196"/>
      <c r="BF174" s="196"/>
      <c r="BG174" s="196"/>
      <c r="BH174" s="136"/>
      <c r="BI174" s="196"/>
      <c r="BJ174" s="196"/>
      <c r="BK174" s="196"/>
      <c r="BL174" s="196"/>
      <c r="BM174" s="136"/>
      <c r="BN174" s="196"/>
      <c r="BO174" s="66"/>
      <c r="BP174" s="66"/>
      <c r="BQ174" s="196"/>
      <c r="BR174" s="136"/>
      <c r="BS174" s="196"/>
      <c r="BT174" s="196"/>
      <c r="BU174" s="196"/>
      <c r="BV174" s="196"/>
      <c r="BW174" s="136"/>
      <c r="BX174" s="196"/>
      <c r="BY174" s="196"/>
      <c r="BZ174" s="196"/>
      <c r="CA174" s="196"/>
      <c r="CB174" s="136"/>
      <c r="CC174" s="196"/>
      <c r="CD174" s="196"/>
      <c r="CE174" s="196"/>
      <c r="CF174" s="196"/>
      <c r="CG174" s="136"/>
      <c r="CH174" s="196"/>
      <c r="CI174" s="196"/>
      <c r="CJ174" s="196"/>
      <c r="CK174" s="196"/>
      <c r="CL174" s="136"/>
      <c r="CM174" s="196"/>
      <c r="CN174" s="196"/>
      <c r="CO174" s="196"/>
      <c r="CP174" s="196"/>
      <c r="CQ174" s="136"/>
      <c r="CR174" s="196"/>
      <c r="CS174" s="196"/>
      <c r="CT174" s="196"/>
      <c r="CU174" s="196"/>
      <c r="CV174" s="136"/>
      <c r="CW174" s="196"/>
      <c r="CX174" s="196"/>
      <c r="CY174" s="196"/>
      <c r="CZ174" s="196"/>
      <c r="DA174" s="136"/>
      <c r="DB174" s="196"/>
      <c r="DC174" s="196"/>
      <c r="DD174" s="196"/>
      <c r="DE174" s="196"/>
      <c r="DF174" s="136"/>
    </row>
    <row r="175" spans="2:110" ht="12" thickBot="1" x14ac:dyDescent="0.25">
      <c r="B175" s="488" t="s">
        <v>157</v>
      </c>
      <c r="C175" s="211"/>
      <c r="D175" s="211"/>
      <c r="E175" s="120"/>
      <c r="F175" s="120"/>
      <c r="G175" s="120"/>
      <c r="H175" s="55"/>
      <c r="I175" s="120"/>
      <c r="J175" s="120"/>
      <c r="K175" s="140"/>
      <c r="L175" s="140"/>
      <c r="M175" s="140"/>
      <c r="N175" s="140"/>
      <c r="O175" s="140"/>
      <c r="P175" s="140"/>
      <c r="Q175" s="140"/>
      <c r="R175" s="140"/>
      <c r="S175" s="140"/>
      <c r="T175" s="140"/>
      <c r="U175" s="140"/>
      <c r="V175" s="140"/>
      <c r="W175" s="140"/>
      <c r="X175" s="140"/>
      <c r="Y175" s="141"/>
      <c r="Z175" s="140"/>
      <c r="AA175" s="140"/>
      <c r="AB175" s="140"/>
      <c r="AC175" s="140"/>
      <c r="AD175" s="141"/>
      <c r="AE175" s="140"/>
      <c r="AF175" s="140"/>
      <c r="AG175" s="140"/>
      <c r="AH175" s="140"/>
      <c r="AI175" s="141">
        <v>3.3237247270220482E-2</v>
      </c>
      <c r="AJ175" s="140"/>
      <c r="AK175" s="140"/>
      <c r="AL175" s="140">
        <v>-1.1143602307752909E-2</v>
      </c>
      <c r="AM175" s="140">
        <v>4.7963516276139373E-3</v>
      </c>
      <c r="AN175" s="141">
        <v>-2.1750389380447266E-2</v>
      </c>
      <c r="AO175" s="140">
        <f t="shared" ref="AO175:AS175" si="445">AO159/AJ159-1</f>
        <v>-9.4472754051401209E-3</v>
      </c>
      <c r="AP175" s="140">
        <f t="shared" si="445"/>
        <v>-1.4429791594776198E-2</v>
      </c>
      <c r="AQ175" s="140">
        <f t="shared" si="445"/>
        <v>2.8781109888993406E-3</v>
      </c>
      <c r="AR175" s="140">
        <f t="shared" si="445"/>
        <v>1.0496393013520011E-2</v>
      </c>
      <c r="AS175" s="141">
        <f t="shared" si="445"/>
        <v>-2.7389709665164297E-3</v>
      </c>
      <c r="AT175" s="140">
        <f t="shared" ref="AT175:BB175" ca="1" si="446">AT159/AO159-1</f>
        <v>-1.7040865255339321E-2</v>
      </c>
      <c r="AU175" s="140">
        <f t="shared" ca="1" si="446"/>
        <v>3.57953190040321E-2</v>
      </c>
      <c r="AV175" s="140">
        <f t="shared" ca="1" si="446"/>
        <v>6.5103193410602778E-3</v>
      </c>
      <c r="AW175" s="140">
        <f t="shared" ca="1" si="446"/>
        <v>0.27338813940496909</v>
      </c>
      <c r="AX175" s="141">
        <f t="shared" ca="1" si="446"/>
        <v>8.2746436689227432E-2</v>
      </c>
      <c r="AY175" s="140">
        <f t="shared" ca="1" si="446"/>
        <v>0.49409110699142467</v>
      </c>
      <c r="AZ175" s="140">
        <f t="shared" ca="1" si="446"/>
        <v>0.44254227002503099</v>
      </c>
      <c r="BA175" s="140">
        <f t="shared" ca="1" si="446"/>
        <v>0.4452897881498703</v>
      </c>
      <c r="BB175" s="140">
        <f t="shared" ca="1" si="446"/>
        <v>0.12918785417887846</v>
      </c>
      <c r="BC175" s="141">
        <f t="shared" ref="BC175:CH175" ca="1" si="447">BC163/AX163-1</f>
        <v>0.51866755224117167</v>
      </c>
      <c r="BD175" s="140">
        <f t="shared" ca="1" si="447"/>
        <v>-0.22155107769880111</v>
      </c>
      <c r="BE175" s="140">
        <f t="shared" ca="1" si="447"/>
        <v>-0.20169393860319029</v>
      </c>
      <c r="BF175" s="140">
        <f t="shared" ca="1" si="447"/>
        <v>-0.19051442841649779</v>
      </c>
      <c r="BG175" s="140">
        <f t="shared" ca="1" si="447"/>
        <v>-0.1790937430842181</v>
      </c>
      <c r="BH175" s="141">
        <f t="shared" ca="1" si="447"/>
        <v>-0.19807824416966124</v>
      </c>
      <c r="BI175" s="140">
        <f t="shared" ca="1" si="447"/>
        <v>5.1366883059269286E-2</v>
      </c>
      <c r="BJ175" s="140">
        <f t="shared" ca="1" si="447"/>
        <v>0.14309779596702366</v>
      </c>
      <c r="BK175" s="140">
        <f t="shared" ca="1" si="447"/>
        <v>9.9209740705218374E-2</v>
      </c>
      <c r="BL175" s="140">
        <f t="shared" ca="1" si="447"/>
        <v>8.3439611733605146E-2</v>
      </c>
      <c r="BM175" s="141">
        <f t="shared" ca="1" si="447"/>
        <v>0.10462207516303645</v>
      </c>
      <c r="BN175" s="140">
        <f t="shared" ca="1" si="447"/>
        <v>8.0613689979145198E-2</v>
      </c>
      <c r="BO175" s="140">
        <f t="shared" ca="1" si="447"/>
        <v>3.5499604485885738E-2</v>
      </c>
      <c r="BP175" s="140">
        <f t="shared" ca="1" si="447"/>
        <v>6.4886879769632477E-2</v>
      </c>
      <c r="BQ175" s="140">
        <f t="shared" ca="1" si="447"/>
        <v>7.0988813932738593E-2</v>
      </c>
      <c r="BR175" s="141">
        <f t="shared" ca="1" si="447"/>
        <v>5.1528031931515006E-2</v>
      </c>
      <c r="BS175" s="140">
        <f t="shared" ca="1" si="447"/>
        <v>0.10092927658052497</v>
      </c>
      <c r="BT175" s="140">
        <f t="shared" ca="1" si="447"/>
        <v>7.7882741294127866E-2</v>
      </c>
      <c r="BU175" s="140">
        <f t="shared" ca="1" si="447"/>
        <v>7.9222061001598121E-2</v>
      </c>
      <c r="BV175" s="140">
        <f t="shared" ca="1" si="447"/>
        <v>8.7378823832079622E-2</v>
      </c>
      <c r="BW175" s="141">
        <f t="shared" ca="1" si="447"/>
        <v>8.7740271410682524E-2</v>
      </c>
      <c r="BX175" s="140">
        <f t="shared" ca="1" si="447"/>
        <v>8.5267141272346025E-2</v>
      </c>
      <c r="BY175" s="140">
        <f t="shared" ca="1" si="447"/>
        <v>1.4106812501629484E-2</v>
      </c>
      <c r="BZ175" s="140">
        <f t="shared" ca="1" si="447"/>
        <v>-3.2085121041760645E-2</v>
      </c>
      <c r="CA175" s="140">
        <f t="shared" ca="1" si="447"/>
        <v>-2.8045124890066608E-2</v>
      </c>
      <c r="CB175" s="141">
        <f t="shared" ca="1" si="447"/>
        <v>7.3556018269369527E-3</v>
      </c>
      <c r="CC175" s="140">
        <f t="shared" ca="1" si="447"/>
        <v>-5.3902625901128043E-2</v>
      </c>
      <c r="CD175" s="140">
        <f t="shared" ca="1" si="447"/>
        <v>3.7353504193273768E-3</v>
      </c>
      <c r="CE175" s="140">
        <f t="shared" ca="1" si="447"/>
        <v>5.1491568715079428E-2</v>
      </c>
      <c r="CF175" s="140">
        <f t="shared" ca="1" si="447"/>
        <v>7.084577966077088E-3</v>
      </c>
      <c r="CG175" s="141">
        <f t="shared" ca="1" si="447"/>
        <v>1.9759892403208301E-3</v>
      </c>
      <c r="CH175" s="140">
        <f t="shared" ca="1" si="447"/>
        <v>-2.1686372103671969E-3</v>
      </c>
      <c r="CI175" s="140">
        <f t="shared" ref="CI175:DF175" ca="1" si="448">CI163/CD163-1</f>
        <v>-7.5638464546476936E-3</v>
      </c>
      <c r="CJ175" s="140">
        <f t="shared" ca="1" si="448"/>
        <v>-2.7607967190188543E-2</v>
      </c>
      <c r="CK175" s="140">
        <f t="shared" ca="1" si="448"/>
        <v>1.4943072962485537E-3</v>
      </c>
      <c r="CL175" s="141">
        <f t="shared" ca="1" si="448"/>
        <v>-9.0215799109192307E-3</v>
      </c>
      <c r="CM175" s="140">
        <f t="shared" ca="1" si="448"/>
        <v>2.7466561005877743E-2</v>
      </c>
      <c r="CN175" s="140">
        <f t="shared" ca="1" si="448"/>
        <v>2.743079551778127E-2</v>
      </c>
      <c r="CO175" s="140">
        <f t="shared" ca="1" si="448"/>
        <v>2.251473040074381E-2</v>
      </c>
      <c r="CP175" s="140">
        <f t="shared" ca="1" si="448"/>
        <v>2.0594728229939685E-2</v>
      </c>
      <c r="CQ175" s="141">
        <f t="shared" ca="1" si="448"/>
        <v>2.4438139910458734E-2</v>
      </c>
      <c r="CR175" s="140">
        <f t="shared" ca="1" si="448"/>
        <v>5.7282222071117994E-2</v>
      </c>
      <c r="CS175" s="140">
        <f t="shared" ca="1" si="448"/>
        <v>6.2927261560011161E-2</v>
      </c>
      <c r="CT175" s="140">
        <f t="shared" ca="1" si="448"/>
        <v>6.5448574466312692E-2</v>
      </c>
      <c r="CU175" s="140">
        <f t="shared" ca="1" si="448"/>
        <v>6.5419985237580525E-2</v>
      </c>
      <c r="CV175" s="141">
        <f t="shared" ca="1" si="448"/>
        <v>6.2812220035990185E-2</v>
      </c>
      <c r="CW175" s="140">
        <f t="shared" ca="1" si="448"/>
        <v>4.8540510416950511E-2</v>
      </c>
      <c r="CX175" s="140">
        <f t="shared" ca="1" si="448"/>
        <v>4.8752734984003121E-2</v>
      </c>
      <c r="CY175" s="140">
        <f t="shared" ca="1" si="448"/>
        <v>5.0962595205598316E-2</v>
      </c>
      <c r="CZ175" s="140">
        <f t="shared" ca="1" si="448"/>
        <v>4.895932451567897E-2</v>
      </c>
      <c r="DA175" s="141">
        <f t="shared" ca="1" si="448"/>
        <v>4.9307734238562828E-2</v>
      </c>
      <c r="DB175" s="140">
        <f t="shared" ca="1" si="448"/>
        <v>6.4225363552689707E-2</v>
      </c>
      <c r="DC175" s="140">
        <f t="shared" ca="1" si="448"/>
        <v>6.4390838908988002E-2</v>
      </c>
      <c r="DD175" s="140">
        <f t="shared" ca="1" si="448"/>
        <v>6.6725592517287824E-2</v>
      </c>
      <c r="DE175" s="140">
        <f t="shared" ca="1" si="448"/>
        <v>6.4714615888747495E-2</v>
      </c>
      <c r="DF175" s="141">
        <f t="shared" ca="1" si="448"/>
        <v>6.5019421788044207E-2</v>
      </c>
    </row>
    <row r="176" spans="2:110" ht="12" thickBot="1" x14ac:dyDescent="0.25">
      <c r="B176" s="238"/>
      <c r="C176" s="182"/>
      <c r="D176" s="182"/>
      <c r="E176" s="68"/>
      <c r="F176" s="68"/>
      <c r="G176" s="68"/>
      <c r="I176" s="68"/>
      <c r="J176" s="68"/>
      <c r="K176" s="66"/>
      <c r="L176" s="66"/>
      <c r="M176" s="66"/>
      <c r="N176" s="66"/>
      <c r="O176" s="66"/>
      <c r="P176" s="79"/>
      <c r="Q176" s="79"/>
      <c r="R176" s="79"/>
      <c r="S176" s="79"/>
      <c r="T176" s="66"/>
      <c r="U176" s="79"/>
      <c r="V176" s="79"/>
      <c r="W176" s="79"/>
      <c r="X176" s="79"/>
      <c r="Y176" s="68"/>
      <c r="Z176" s="79"/>
      <c r="AA176" s="79"/>
      <c r="AB176" s="79"/>
      <c r="AC176" s="79"/>
      <c r="AD176" s="68"/>
      <c r="AE176" s="79"/>
      <c r="AF176" s="79"/>
      <c r="AG176" s="79"/>
      <c r="AH176" s="79"/>
      <c r="AX176" s="671"/>
      <c r="AY176" s="671"/>
      <c r="AZ176" s="68"/>
      <c r="BA176" s="671"/>
      <c r="BB176" s="671"/>
      <c r="BC176" s="671"/>
      <c r="CR176" s="10"/>
      <c r="CS176" s="10"/>
      <c r="CT176" s="10"/>
      <c r="CU176" s="10"/>
      <c r="CV176" s="10"/>
      <c r="CW176" s="10"/>
      <c r="CX176" s="10"/>
      <c r="CY176" s="10"/>
      <c r="CZ176" s="10"/>
      <c r="DA176" s="10"/>
      <c r="DB176" s="10"/>
      <c r="DC176" s="10"/>
      <c r="DD176" s="10"/>
      <c r="DE176" s="10"/>
      <c r="DF176" s="10"/>
    </row>
    <row r="177" spans="1:112" ht="12" thickBot="1" x14ac:dyDescent="0.25">
      <c r="B177" s="855" t="s">
        <v>172</v>
      </c>
      <c r="C177" s="866"/>
      <c r="D177" s="866"/>
      <c r="E177" s="878"/>
      <c r="F177" s="878"/>
      <c r="G177" s="878"/>
      <c r="H177" s="819"/>
      <c r="I177" s="878"/>
      <c r="J177" s="878"/>
      <c r="K177" s="878"/>
      <c r="L177" s="878"/>
      <c r="M177" s="878"/>
      <c r="N177" s="878"/>
      <c r="O177" s="878"/>
      <c r="P177" s="821"/>
      <c r="Q177" s="821"/>
      <c r="R177" s="821"/>
      <c r="S177" s="821"/>
      <c r="T177" s="878"/>
      <c r="U177" s="821"/>
      <c r="V177" s="821"/>
      <c r="W177" s="821"/>
      <c r="X177" s="821"/>
      <c r="Y177" s="876"/>
      <c r="Z177" s="876"/>
      <c r="AA177" s="876"/>
      <c r="AB177" s="876"/>
      <c r="AC177" s="876"/>
      <c r="AD177" s="876"/>
      <c r="AE177" s="876"/>
      <c r="AF177" s="876"/>
      <c r="AG177" s="876"/>
      <c r="AH177" s="876"/>
      <c r="AI177" s="819"/>
      <c r="AJ177" s="819"/>
      <c r="AK177" s="819"/>
      <c r="AL177" s="819"/>
      <c r="AM177" s="819"/>
      <c r="AN177" s="819"/>
      <c r="AO177" s="819"/>
      <c r="AP177" s="819"/>
      <c r="AQ177" s="819"/>
      <c r="AR177" s="819"/>
      <c r="AS177" s="819"/>
      <c r="AT177" s="819"/>
      <c r="AU177" s="819"/>
      <c r="AV177" s="819"/>
      <c r="AW177" s="819"/>
      <c r="AX177" s="880"/>
      <c r="AY177" s="880"/>
      <c r="AZ177" s="880"/>
      <c r="BA177" s="880"/>
      <c r="BB177" s="880"/>
      <c r="BC177" s="880"/>
      <c r="BD177" s="819"/>
      <c r="BE177" s="819"/>
      <c r="BF177" s="819"/>
      <c r="BG177" s="819"/>
      <c r="BH177" s="819"/>
      <c r="BI177" s="819"/>
      <c r="BJ177" s="819"/>
      <c r="BK177" s="819"/>
      <c r="BL177" s="819"/>
      <c r="BM177" s="819"/>
      <c r="BN177" s="819"/>
      <c r="BO177" s="819"/>
      <c r="BP177" s="819"/>
      <c r="BQ177" s="819"/>
      <c r="BR177" s="819"/>
      <c r="BS177" s="819"/>
      <c r="BT177" s="819"/>
      <c r="BU177" s="819"/>
      <c r="BV177" s="819"/>
      <c r="BW177" s="819"/>
      <c r="BX177" s="819"/>
      <c r="BY177" s="819"/>
      <c r="BZ177" s="819"/>
      <c r="CA177" s="819"/>
      <c r="CB177" s="872"/>
      <c r="CC177" s="819"/>
      <c r="CD177" s="819"/>
      <c r="CE177" s="819"/>
      <c r="CF177" s="819"/>
      <c r="CG177" s="872"/>
      <c r="CH177" s="819"/>
      <c r="CI177" s="819"/>
      <c r="CJ177" s="819"/>
      <c r="CK177" s="819"/>
      <c r="CL177" s="872"/>
      <c r="CM177" s="819"/>
      <c r="CN177" s="819"/>
      <c r="CO177" s="819"/>
      <c r="CP177" s="819"/>
      <c r="CQ177" s="872"/>
      <c r="CR177" s="819"/>
      <c r="CS177" s="819"/>
      <c r="CT177" s="819"/>
      <c r="CU177" s="819"/>
      <c r="CV177" s="872"/>
      <c r="CW177" s="819"/>
      <c r="CX177" s="819"/>
      <c r="CY177" s="819"/>
      <c r="CZ177" s="819"/>
      <c r="DA177" s="872"/>
      <c r="DB177" s="819"/>
      <c r="DC177" s="819"/>
      <c r="DD177" s="819"/>
      <c r="DE177" s="819"/>
      <c r="DF177" s="872"/>
    </row>
    <row r="178" spans="1:112" x14ac:dyDescent="0.2">
      <c r="B178" s="234" t="s">
        <v>70</v>
      </c>
      <c r="C178" s="206"/>
      <c r="D178" s="206"/>
      <c r="E178" s="207"/>
      <c r="F178" s="207"/>
      <c r="G178" s="207"/>
      <c r="H178" s="53"/>
      <c r="I178" s="207"/>
      <c r="J178" s="207"/>
      <c r="K178" s="166"/>
      <c r="L178" s="166"/>
      <c r="M178" s="166"/>
      <c r="N178" s="166"/>
      <c r="O178" s="166"/>
      <c r="P178" s="239"/>
      <c r="Q178" s="239"/>
      <c r="R178" s="239"/>
      <c r="S178" s="239"/>
      <c r="T178" s="166"/>
      <c r="U178" s="239"/>
      <c r="V178" s="239"/>
      <c r="W178" s="239"/>
      <c r="X178" s="239"/>
      <c r="Y178" s="9"/>
      <c r="Z178" s="240"/>
      <c r="AA178" s="240"/>
      <c r="AB178" s="240"/>
      <c r="AC178" s="240"/>
      <c r="AD178" s="9"/>
      <c r="AE178" s="240"/>
      <c r="AF178" s="240"/>
      <c r="AG178" s="240"/>
      <c r="AH178" s="240"/>
      <c r="AI178" s="9"/>
      <c r="AJ178" s="53"/>
      <c r="AK178" s="53"/>
      <c r="AL178" s="53"/>
      <c r="AM178" s="53"/>
      <c r="AN178" s="9"/>
      <c r="AO178" s="53"/>
      <c r="AP178" s="53"/>
      <c r="AQ178" s="53"/>
      <c r="AR178" s="53"/>
      <c r="AS178" s="9"/>
      <c r="AT178" s="53"/>
      <c r="AU178" s="53"/>
      <c r="AV178" s="53"/>
      <c r="AW178" s="53"/>
      <c r="AX178" s="9"/>
      <c r="AY178" s="53"/>
      <c r="AZ178" s="53"/>
      <c r="BA178" s="53"/>
      <c r="BB178" s="53"/>
      <c r="BC178" s="9"/>
      <c r="BD178" s="53"/>
      <c r="BE178" s="53"/>
      <c r="BF178" s="53"/>
      <c r="BG178" s="53"/>
      <c r="BH178" s="9"/>
      <c r="BI178" s="53"/>
      <c r="BJ178" s="53"/>
      <c r="BK178" s="53"/>
      <c r="BL178" s="53"/>
      <c r="BM178" s="9"/>
      <c r="BN178" s="53"/>
      <c r="BO178" s="53"/>
      <c r="BP178" s="53"/>
      <c r="BQ178" s="53"/>
      <c r="BR178" s="9"/>
      <c r="BS178" s="53"/>
      <c r="BT178" s="53"/>
      <c r="BU178" s="53"/>
      <c r="BV178" s="53"/>
      <c r="BW178" s="9"/>
      <c r="BX178" s="53"/>
      <c r="BY178" s="53"/>
      <c r="BZ178" s="53"/>
      <c r="CA178" s="53"/>
      <c r="CB178" s="9"/>
      <c r="CC178" s="53"/>
      <c r="CD178" s="53"/>
      <c r="CE178" s="53"/>
      <c r="CF178" s="53"/>
      <c r="CG178" s="9"/>
      <c r="CH178" s="53"/>
      <c r="CI178" s="53"/>
      <c r="CJ178" s="53"/>
      <c r="CK178" s="53"/>
      <c r="CL178" s="9"/>
      <c r="CM178" s="53"/>
      <c r="CN178" s="53"/>
      <c r="CO178" s="53"/>
      <c r="CP178" s="53"/>
      <c r="CQ178" s="9"/>
      <c r="CR178" s="53"/>
      <c r="CS178" s="53"/>
      <c r="CT178" s="53"/>
      <c r="CU178" s="53"/>
      <c r="CV178" s="9"/>
      <c r="CW178" s="53"/>
      <c r="CX178" s="53"/>
      <c r="CY178" s="53"/>
      <c r="CZ178" s="53"/>
      <c r="DA178" s="9"/>
      <c r="DB178" s="53"/>
      <c r="DC178" s="53"/>
      <c r="DD178" s="53"/>
      <c r="DE178" s="53"/>
      <c r="DF178" s="9"/>
    </row>
    <row r="179" spans="1:112" x14ac:dyDescent="0.2">
      <c r="B179" s="59" t="s">
        <v>255</v>
      </c>
      <c r="C179" s="182"/>
      <c r="D179" s="182"/>
      <c r="E179" s="68"/>
      <c r="F179" s="68"/>
      <c r="G179" s="68"/>
      <c r="I179" s="68"/>
      <c r="J179" s="68"/>
      <c r="K179" s="66"/>
      <c r="L179" s="66"/>
      <c r="M179" s="66"/>
      <c r="N179" s="66"/>
      <c r="O179" s="66"/>
      <c r="P179" s="79"/>
      <c r="Q179" s="79"/>
      <c r="R179" s="79"/>
      <c r="S179" s="79"/>
      <c r="T179" s="66"/>
      <c r="U179" s="79"/>
      <c r="V179" s="79"/>
      <c r="W179" s="79"/>
      <c r="X179" s="79"/>
      <c r="Y179" s="110"/>
      <c r="Z179" s="219"/>
      <c r="AA179" s="219"/>
      <c r="AB179" s="219"/>
      <c r="AC179" s="219"/>
      <c r="AD179" s="110"/>
      <c r="AE179" s="219"/>
      <c r="AF179" s="219"/>
      <c r="AG179" s="219"/>
      <c r="AH179" s="219"/>
      <c r="AI179" s="110"/>
      <c r="AN179" s="110"/>
      <c r="AS179" s="110"/>
      <c r="AX179" s="110"/>
      <c r="BC179" s="110"/>
      <c r="BH179" s="110"/>
      <c r="BM179" s="110"/>
      <c r="BR179" s="110"/>
      <c r="BW179" s="110"/>
      <c r="CB179" s="110"/>
      <c r="CG179" s="110"/>
      <c r="CL179" s="110"/>
      <c r="CQ179" s="110"/>
      <c r="CR179" s="10"/>
      <c r="CS179" s="10"/>
      <c r="CT179" s="10"/>
      <c r="CU179" s="10"/>
      <c r="CV179" s="110"/>
      <c r="CW179" s="10"/>
      <c r="CX179" s="10"/>
      <c r="CY179" s="10"/>
      <c r="CZ179" s="10"/>
      <c r="DA179" s="110"/>
      <c r="DB179" s="10"/>
      <c r="DC179" s="10"/>
      <c r="DD179" s="10"/>
      <c r="DE179" s="10"/>
      <c r="DF179" s="110"/>
    </row>
    <row r="180" spans="1:112" x14ac:dyDescent="0.2">
      <c r="B180" s="98" t="s">
        <v>170</v>
      </c>
      <c r="C180" s="182"/>
      <c r="D180" s="182"/>
      <c r="E180" s="68"/>
      <c r="F180" s="68"/>
      <c r="G180" s="68"/>
      <c r="I180" s="68"/>
      <c r="J180" s="68"/>
      <c r="K180" s="66"/>
      <c r="L180" s="66"/>
      <c r="M180" s="66"/>
      <c r="N180" s="66"/>
      <c r="O180" s="66"/>
      <c r="P180" s="232">
        <v>352.03823046859833</v>
      </c>
      <c r="Q180" s="232">
        <v>366.12666804135904</v>
      </c>
      <c r="R180" s="232">
        <v>349.28634171137804</v>
      </c>
      <c r="S180" s="232">
        <v>378.39641252376668</v>
      </c>
      <c r="T180" s="232">
        <v>1445.7586411742684</v>
      </c>
      <c r="U180" s="232">
        <v>376.01670513756153</v>
      </c>
      <c r="V180" s="232">
        <v>376.00821001236994</v>
      </c>
      <c r="W180" s="232">
        <v>362.25132818750961</v>
      </c>
      <c r="X180" s="232">
        <v>387.61023877723534</v>
      </c>
      <c r="Y180" s="218">
        <v>1501.8864821146765</v>
      </c>
      <c r="Z180" s="19">
        <v>370.32896448402823</v>
      </c>
      <c r="AA180" s="232">
        <v>369.43121844810469</v>
      </c>
      <c r="AB180" s="19">
        <v>350.19061734720111</v>
      </c>
      <c r="AC180" s="19">
        <v>377.39883988455068</v>
      </c>
      <c r="AD180" s="218">
        <v>1467.3496401638847</v>
      </c>
      <c r="AE180" s="19">
        <v>354.65482938851432</v>
      </c>
      <c r="AF180" s="19">
        <v>359.61824999999999</v>
      </c>
      <c r="AG180" s="19">
        <v>360.60310000000004</v>
      </c>
      <c r="AH180" s="19">
        <v>402.47939999999988</v>
      </c>
      <c r="AI180" s="218">
        <v>1477.3555793885143</v>
      </c>
      <c r="AJ180" s="19">
        <v>568.57979999999998</v>
      </c>
      <c r="AK180" s="19">
        <v>591.61752802363822</v>
      </c>
      <c r="AL180" s="232">
        <v>536.12512970795865</v>
      </c>
      <c r="AM180" s="232">
        <v>646.87840000000006</v>
      </c>
      <c r="AN180" s="218">
        <v>2343.2008577315969</v>
      </c>
      <c r="AO180" s="232">
        <f t="shared" ref="AO180:AR181" si="449">AO132*AO153</f>
        <v>791.41125195795712</v>
      </c>
      <c r="AP180" s="232">
        <f t="shared" si="449"/>
        <v>804.79855610870982</v>
      </c>
      <c r="AQ180" s="232">
        <f t="shared" si="449"/>
        <v>829.422941451969</v>
      </c>
      <c r="AR180" s="232">
        <f t="shared" si="449"/>
        <v>868.26029442345202</v>
      </c>
      <c r="AS180" s="218">
        <f>SUM(AO180:AR180)</f>
        <v>3293.8930439420883</v>
      </c>
      <c r="AT180" s="232">
        <f t="shared" ref="AT180:AW181" si="450">AT132*AT153</f>
        <v>864.65960000000007</v>
      </c>
      <c r="AU180" s="232">
        <f t="shared" si="450"/>
        <v>852.02936631780801</v>
      </c>
      <c r="AV180" s="232">
        <f t="shared" si="450"/>
        <v>868.86830598936399</v>
      </c>
      <c r="AW180" s="232">
        <f t="shared" si="450"/>
        <v>1478.5842599664036</v>
      </c>
      <c r="AX180" s="218">
        <f>SUM(AT180:AW180)</f>
        <v>4064.1415322735756</v>
      </c>
      <c r="AY180" s="232">
        <f t="shared" ref="AY180:BB181" si="451">AY132*AY153</f>
        <v>2151.8705016843501</v>
      </c>
      <c r="AZ180" s="232">
        <f t="shared" si="451"/>
        <v>2220.9889617619801</v>
      </c>
      <c r="BA180" s="232">
        <f t="shared" si="451"/>
        <v>2256.9109712872014</v>
      </c>
      <c r="BB180" s="232">
        <f t="shared" si="451"/>
        <v>2323.3342246405659</v>
      </c>
      <c r="BC180" s="218">
        <f>SUM(AY180:BB180)</f>
        <v>8953.1046593740975</v>
      </c>
      <c r="BD180" s="232">
        <f>BD132*BD153</f>
        <v>2461.6305606235283</v>
      </c>
      <c r="BE180" s="232">
        <f t="shared" ref="BD180:BF181" si="452">BE132*BE153</f>
        <v>2447.6107431450696</v>
      </c>
      <c r="BF180" s="232">
        <f t="shared" si="452"/>
        <v>2435.442594104994</v>
      </c>
      <c r="BG180" s="232">
        <f>BG132*BG153</f>
        <v>2750.7054322516119</v>
      </c>
      <c r="BH180" s="218">
        <f>SUM(BD180:BG180)</f>
        <v>10095.389330125205</v>
      </c>
      <c r="BI180" s="232">
        <f t="shared" ref="BI180:BL181" si="453">BI132*BI153</f>
        <v>2763.7471008338271</v>
      </c>
      <c r="BJ180" s="232">
        <f t="shared" si="453"/>
        <v>6303.5611389433907</v>
      </c>
      <c r="BK180" s="232">
        <f t="shared" si="453"/>
        <v>6299.8600681275439</v>
      </c>
      <c r="BL180" s="232">
        <f t="shared" si="453"/>
        <v>6568.7005045211181</v>
      </c>
      <c r="BM180" s="218">
        <f>SUM(BI180:BL180)</f>
        <v>21935.868812425881</v>
      </c>
      <c r="BN180" s="232">
        <f t="shared" ref="BN180:BP181" si="454">BN132*BN153</f>
        <v>6319.4508908855869</v>
      </c>
      <c r="BO180" s="232">
        <f t="shared" si="454"/>
        <v>6380.826187082328</v>
      </c>
      <c r="BP180" s="232">
        <f t="shared" si="454"/>
        <v>6052.759455011671</v>
      </c>
      <c r="BQ180" s="232">
        <f>BQ132*BQ153</f>
        <v>6068.5874557522611</v>
      </c>
      <c r="BR180" s="218">
        <f>SUM(BN180:BQ180)</f>
        <v>24821.623988731848</v>
      </c>
      <c r="BS180" s="232">
        <f>BS132*BS153</f>
        <v>5557.9498000159056</v>
      </c>
      <c r="BT180" s="232">
        <f t="shared" ref="BT180:BV181" si="455">BT132*BT153</f>
        <v>5623.1312616678515</v>
      </c>
      <c r="BU180" s="232">
        <f t="shared" si="455"/>
        <v>5628.7889123346986</v>
      </c>
      <c r="BV180" s="232">
        <f t="shared" si="455"/>
        <v>5741.4114740342402</v>
      </c>
      <c r="BW180" s="218">
        <f>SUM(BS180:BV180)</f>
        <v>22551.281448052698</v>
      </c>
      <c r="BX180" s="232">
        <f>BX132*BX153</f>
        <v>5369.6181079305279</v>
      </c>
      <c r="BY180" s="232">
        <f t="shared" ref="BX180:BZ181" si="456">BY132*BY153</f>
        <v>5360.1944624617736</v>
      </c>
      <c r="BZ180" s="232">
        <f t="shared" si="456"/>
        <v>5196.4939724840615</v>
      </c>
      <c r="CA180" s="232">
        <f>CA132*CA153</f>
        <v>5287.8115885591087</v>
      </c>
      <c r="CB180" s="218">
        <f>SUM(BX180:CA180)</f>
        <v>21214.118131435469</v>
      </c>
      <c r="CC180" s="232">
        <f t="shared" ref="CC180:CD180" si="457">CC132*CC153</f>
        <v>4766.2483010694987</v>
      </c>
      <c r="CD180" s="232">
        <f t="shared" si="457"/>
        <v>4816.5092657424839</v>
      </c>
      <c r="CE180" s="232">
        <f t="shared" ref="CE180" si="458">CE132*CE153</f>
        <v>4711.9998528117476</v>
      </c>
      <c r="CF180" s="232">
        <f>CF132*CF153</f>
        <v>4399.2502063263855</v>
      </c>
      <c r="CG180" s="218">
        <f>SUM(CC180:CF180)</f>
        <v>18694.007625950115</v>
      </c>
      <c r="CH180" s="232">
        <f>CH132*CH153</f>
        <v>4430.9936191953693</v>
      </c>
      <c r="CI180" s="232">
        <f>CI132*CI153</f>
        <v>4426.1894031221491</v>
      </c>
      <c r="CJ180" s="232">
        <f>CJ132*CJ153</f>
        <v>4052.2097542395163</v>
      </c>
      <c r="CK180" s="232">
        <f>CK132*CK153</f>
        <v>4152.901436886601</v>
      </c>
      <c r="CL180" s="218">
        <f>SUM(CH180:CK180)</f>
        <v>17062.294213443638</v>
      </c>
      <c r="CM180" s="232">
        <f t="shared" ref="CM180:CP181" si="459">CM132*CM153</f>
        <v>4134.4521767412389</v>
      </c>
      <c r="CN180" s="232">
        <f t="shared" si="459"/>
        <v>4129.9599592506638</v>
      </c>
      <c r="CO180" s="232">
        <f t="shared" si="459"/>
        <v>3899.2293677543948</v>
      </c>
      <c r="CP180" s="232">
        <f t="shared" si="459"/>
        <v>3996.1667300055137</v>
      </c>
      <c r="CQ180" s="218">
        <f>SUM(CM180:CP180)</f>
        <v>16159.808233751812</v>
      </c>
      <c r="CR180" s="232">
        <f t="shared" ref="CR180:CU180" si="460">CR132*CR153</f>
        <v>3937.3236592278881</v>
      </c>
      <c r="CS180" s="232">
        <f t="shared" si="460"/>
        <v>3933.0741750111715</v>
      </c>
      <c r="CT180" s="232">
        <f t="shared" si="460"/>
        <v>3713.1531335949089</v>
      </c>
      <c r="CU180" s="232">
        <f t="shared" si="460"/>
        <v>3805.3235183479756</v>
      </c>
      <c r="CV180" s="218">
        <f>SUM(CR180:CU180)</f>
        <v>15388.874486181945</v>
      </c>
      <c r="CW180" s="232">
        <f t="shared" ref="CW180:CZ180" si="461">CW132*CW153</f>
        <v>3396.5098910068623</v>
      </c>
      <c r="CX180" s="232">
        <f t="shared" si="461"/>
        <v>3392.8690375647147</v>
      </c>
      <c r="CY180" s="232">
        <f t="shared" si="461"/>
        <v>3202.9880394695115</v>
      </c>
      <c r="CZ180" s="232">
        <f t="shared" si="461"/>
        <v>3282.3715704399879</v>
      </c>
      <c r="DA180" s="218">
        <f>SUM(CW180:CZ180)</f>
        <v>13274.738538481077</v>
      </c>
      <c r="DB180" s="232">
        <f t="shared" ref="DB180:DE180" si="462">DB132*DB153</f>
        <v>2897.1247426560831</v>
      </c>
      <c r="DC180" s="232">
        <f t="shared" si="462"/>
        <v>2894.0407462987482</v>
      </c>
      <c r="DD180" s="232">
        <f t="shared" si="462"/>
        <v>2731.9331565790858</v>
      </c>
      <c r="DE180" s="232">
        <f t="shared" si="462"/>
        <v>2799.5355295774543</v>
      </c>
      <c r="DF180" s="218">
        <f>SUM(DB180:DE180)</f>
        <v>11322.634175111372</v>
      </c>
      <c r="DG180" s="1929">
        <f>CQ180/CL180-1</f>
        <v>-5.2893589127114171E-2</v>
      </c>
      <c r="DH180" s="1929">
        <f>CV180/CQ180-1</f>
        <v>-4.7706862384645943E-2</v>
      </c>
    </row>
    <row r="181" spans="1:112" x14ac:dyDescent="0.2">
      <c r="B181" s="98" t="s">
        <v>171</v>
      </c>
      <c r="C181" s="182"/>
      <c r="D181" s="182"/>
      <c r="E181" s="68"/>
      <c r="F181" s="68"/>
      <c r="G181" s="68"/>
      <c r="I181" s="68"/>
      <c r="J181" s="68"/>
      <c r="K181" s="66"/>
      <c r="L181" s="66"/>
      <c r="M181" s="66"/>
      <c r="N181" s="66"/>
      <c r="O181" s="66"/>
      <c r="P181" s="232">
        <v>1836.1697695314017</v>
      </c>
      <c r="Q181" s="232">
        <v>1937.184331958641</v>
      </c>
      <c r="R181" s="232">
        <v>1852.0146582886221</v>
      </c>
      <c r="S181" s="232">
        <v>1965.7835874762341</v>
      </c>
      <c r="T181" s="232">
        <v>7591.2413588257323</v>
      </c>
      <c r="U181" s="232">
        <v>1961.2372948624384</v>
      </c>
      <c r="V181" s="232">
        <v>1989.4677899876301</v>
      </c>
      <c r="W181" s="232">
        <v>1920.7586718124908</v>
      </c>
      <c r="X181" s="232">
        <v>2013.6497612227647</v>
      </c>
      <c r="Y181" s="218">
        <v>7885.1135178853237</v>
      </c>
      <c r="Z181" s="19">
        <v>1931.571035515972</v>
      </c>
      <c r="AA181" s="232">
        <v>1954.6687815518951</v>
      </c>
      <c r="AB181" s="19">
        <v>1856.8093826527988</v>
      </c>
      <c r="AC181" s="19">
        <v>1960.6011601154491</v>
      </c>
      <c r="AD181" s="218">
        <v>7703.650359836116</v>
      </c>
      <c r="AE181" s="19">
        <v>1842.445170611486</v>
      </c>
      <c r="AF181" s="19">
        <v>1839.8817499999998</v>
      </c>
      <c r="AG181" s="19">
        <v>1798.6969000000001</v>
      </c>
      <c r="AH181" s="19">
        <v>1910.6205999999997</v>
      </c>
      <c r="AI181" s="218">
        <v>7391.6444206114847</v>
      </c>
      <c r="AJ181" s="19">
        <v>2699.1202000000003</v>
      </c>
      <c r="AK181" s="19">
        <v>2679.1824719763617</v>
      </c>
      <c r="AL181" s="232">
        <v>2648.2748702920417</v>
      </c>
      <c r="AM181" s="232">
        <v>2653.5216</v>
      </c>
      <c r="AN181" s="218">
        <v>10680.099142268404</v>
      </c>
      <c r="AO181" s="232">
        <f t="shared" si="449"/>
        <v>2487.0887480420429</v>
      </c>
      <c r="AP181" s="232">
        <f t="shared" si="449"/>
        <v>2494.40144389129</v>
      </c>
      <c r="AQ181" s="232">
        <f t="shared" si="449"/>
        <v>2351.8770585480311</v>
      </c>
      <c r="AR181" s="232">
        <f t="shared" si="449"/>
        <v>2412.6397055765478</v>
      </c>
      <c r="AS181" s="218">
        <f>SUM(AO181:AR181)</f>
        <v>9746.0069560579122</v>
      </c>
      <c r="AT181" s="232">
        <f t="shared" si="450"/>
        <v>2385.9404</v>
      </c>
      <c r="AU181" s="232">
        <f t="shared" si="450"/>
        <v>2380.870633682192</v>
      </c>
      <c r="AV181" s="232">
        <f t="shared" si="450"/>
        <v>2419.9316940106364</v>
      </c>
      <c r="AW181" s="232">
        <f t="shared" si="450"/>
        <v>3776.1037146704762</v>
      </c>
      <c r="AX181" s="218">
        <f>SUM(AT181:AW181)</f>
        <v>10962.846442363305</v>
      </c>
      <c r="AY181" s="232">
        <f t="shared" si="451"/>
        <v>5392.6934222262898</v>
      </c>
      <c r="AZ181" s="232">
        <f t="shared" si="451"/>
        <v>5368.3971475058825</v>
      </c>
      <c r="BA181" s="232">
        <f t="shared" si="451"/>
        <v>5257.0529526234377</v>
      </c>
      <c r="BB181" s="232">
        <f t="shared" si="451"/>
        <v>5244.5296992700733</v>
      </c>
      <c r="BC181" s="218">
        <f>SUM(AY181:BB181)</f>
        <v>21262.673221625686</v>
      </c>
      <c r="BD181" s="232">
        <f t="shared" si="452"/>
        <v>4819.5333632871116</v>
      </c>
      <c r="BE181" s="232">
        <f t="shared" si="452"/>
        <v>4964.4531807655703</v>
      </c>
      <c r="BF181" s="232">
        <f t="shared" si="452"/>
        <v>5078.6213298056455</v>
      </c>
      <c r="BG181" s="232">
        <f>BG133*BG154</f>
        <v>5165.8363063018051</v>
      </c>
      <c r="BH181" s="218">
        <f>SUM(BD181:BG181)</f>
        <v>20028.444180160132</v>
      </c>
      <c r="BI181" s="232">
        <f t="shared" si="453"/>
        <v>4943.1168230768126</v>
      </c>
      <c r="BJ181" s="232">
        <f t="shared" si="453"/>
        <v>10554.302784967247</v>
      </c>
      <c r="BK181" s="232">
        <f t="shared" si="453"/>
        <v>10065.103855783094</v>
      </c>
      <c r="BL181" s="232">
        <f t="shared" si="453"/>
        <v>10359.36341938952</v>
      </c>
      <c r="BM181" s="218">
        <f>SUM(BI181:BL181)</f>
        <v>35921.886883216677</v>
      </c>
      <c r="BN181" s="232">
        <f t="shared" si="454"/>
        <v>9801.41303302505</v>
      </c>
      <c r="BO181" s="232">
        <f t="shared" si="454"/>
        <v>9915.9377368283112</v>
      </c>
      <c r="BP181" s="232">
        <f t="shared" si="454"/>
        <v>9357.6044688989659</v>
      </c>
      <c r="BQ181" s="232">
        <f>BQ133*BQ154</f>
        <v>9347.82077251583</v>
      </c>
      <c r="BR181" s="218">
        <f>SUM(BN181:BQ181)</f>
        <v>38422.776011268157</v>
      </c>
      <c r="BS181" s="232">
        <f>BS133*BS154</f>
        <v>8377.4141238947323</v>
      </c>
      <c r="BT181" s="232">
        <f t="shared" si="455"/>
        <v>9004.932662242787</v>
      </c>
      <c r="BU181" s="232">
        <f t="shared" si="455"/>
        <v>9116.2750115759391</v>
      </c>
      <c r="BV181" s="232">
        <f t="shared" si="455"/>
        <v>9509.6576330954522</v>
      </c>
      <c r="BW181" s="218">
        <f>SUM(BS181:BV181)</f>
        <v>36008.279430808907</v>
      </c>
      <c r="BX181" s="232">
        <f t="shared" si="456"/>
        <v>8891.6422916860756</v>
      </c>
      <c r="BY181" s="232">
        <f t="shared" si="456"/>
        <v>8936.06593715483</v>
      </c>
      <c r="BZ181" s="232">
        <f t="shared" si="456"/>
        <v>8569.9664271325437</v>
      </c>
      <c r="CA181" s="232">
        <f t="shared" ref="CA181" si="463">CA133*CA154</f>
        <v>8937.7678850086904</v>
      </c>
      <c r="CB181" s="218">
        <f>SUM(BX181:CA181)</f>
        <v>35335.442540982142</v>
      </c>
      <c r="CC181" s="232">
        <f t="shared" ref="CC181:CD181" si="464">CC133*CC154</f>
        <v>8262.1093336720769</v>
      </c>
      <c r="CD181" s="232">
        <f t="shared" si="464"/>
        <v>8312.4237652978481</v>
      </c>
      <c r="CE181" s="232">
        <f t="shared" ref="CE181" si="465">CE133*CE154</f>
        <v>8333.4331782285844</v>
      </c>
      <c r="CF181" s="232">
        <f t="shared" ref="CF181:CH181" si="466">CF133*CF154</f>
        <v>7962.7828247139423</v>
      </c>
      <c r="CG181" s="218">
        <f>SUM(CC181:CF181)</f>
        <v>32870.74910191245</v>
      </c>
      <c r="CH181" s="232">
        <f t="shared" si="466"/>
        <v>8020.2394118449611</v>
      </c>
      <c r="CI181" s="232">
        <f t="shared" ref="CI181:CJ181" si="467">CI133*CI154</f>
        <v>8011.5436279181813</v>
      </c>
      <c r="CJ181" s="232">
        <f t="shared" si="467"/>
        <v>8175.5232768008145</v>
      </c>
      <c r="CK181" s="232">
        <f t="shared" ref="CK181" si="468">CK133*CK154</f>
        <v>8337.432501032732</v>
      </c>
      <c r="CL181" s="218">
        <f>SUM(CH181:CK181)</f>
        <v>32544.738817596692</v>
      </c>
      <c r="CM181" s="232">
        <f t="shared" si="459"/>
        <v>8202.2964366881479</v>
      </c>
      <c r="CN181" s="232">
        <f t="shared" si="459"/>
        <v>8192.5207206700579</v>
      </c>
      <c r="CO181" s="232">
        <f t="shared" si="459"/>
        <v>8627.6732806866057</v>
      </c>
      <c r="CP181" s="232">
        <f t="shared" si="459"/>
        <v>8802.6743007579917</v>
      </c>
      <c r="CQ181" s="218">
        <f>SUM(CM181:CP181)</f>
        <v>33825.164738802807</v>
      </c>
      <c r="CR181" s="232">
        <f t="shared" ref="CR181:CU181" si="469">CR133*CR154</f>
        <v>9130.4780928464752</v>
      </c>
      <c r="CS181" s="232">
        <f t="shared" si="469"/>
        <v>9122.5891109760723</v>
      </c>
      <c r="CT181" s="232">
        <f t="shared" si="469"/>
        <v>9586.0729645868505</v>
      </c>
      <c r="CU181" s="232">
        <f t="shared" si="469"/>
        <v>9766.4914201857337</v>
      </c>
      <c r="CV181" s="218">
        <f>SUM(CR181:CU181)</f>
        <v>37605.631588595126</v>
      </c>
      <c r="CW181" s="232">
        <f t="shared" ref="CW181:CZ181" si="470">CW133*CW154</f>
        <v>8935.8739336869039</v>
      </c>
      <c r="CX181" s="232">
        <f t="shared" si="470"/>
        <v>8930.8491997102246</v>
      </c>
      <c r="CY181" s="232">
        <f t="shared" si="470"/>
        <v>9365.6175074869352</v>
      </c>
      <c r="CZ181" s="232">
        <f t="shared" si="470"/>
        <v>9529.2315749075988</v>
      </c>
      <c r="DA181" s="218">
        <f>SUM(CW181:CZ181)</f>
        <v>36761.572215791661</v>
      </c>
      <c r="DB181" s="232">
        <f t="shared" ref="DB181:DE181" si="471">DB133*DB154</f>
        <v>8798.4733133474183</v>
      </c>
      <c r="DC181" s="232">
        <f t="shared" si="471"/>
        <v>8795.9773451503897</v>
      </c>
      <c r="DD181" s="232">
        <f t="shared" si="471"/>
        <v>9206.9324941913746</v>
      </c>
      <c r="DE181" s="232">
        <f t="shared" si="471"/>
        <v>9356.2474671558975</v>
      </c>
      <c r="DF181" s="218">
        <f>SUM(DB181:DE181)</f>
        <v>36157.630619845077</v>
      </c>
      <c r="DG181" s="1929">
        <f>CQ181/CL181-1</f>
        <v>3.9343561132338722E-2</v>
      </c>
      <c r="DH181" s="1930">
        <f>CV181/CQ181-1</f>
        <v>0.11176492055500709</v>
      </c>
    </row>
    <row r="182" spans="1:112" x14ac:dyDescent="0.2">
      <c r="B182" s="59" t="s">
        <v>156</v>
      </c>
      <c r="C182" s="182"/>
      <c r="D182" s="182"/>
      <c r="E182" s="68"/>
      <c r="F182" s="68"/>
      <c r="G182" s="68"/>
      <c r="I182" s="68"/>
      <c r="J182" s="68"/>
      <c r="K182" s="66"/>
      <c r="L182" s="66"/>
      <c r="M182" s="66"/>
      <c r="N182" s="66"/>
      <c r="O182" s="66"/>
      <c r="P182" s="232"/>
      <c r="Q182" s="232"/>
      <c r="R182" s="232"/>
      <c r="S182" s="232"/>
      <c r="T182" s="232"/>
      <c r="U182" s="232"/>
      <c r="V182" s="232"/>
      <c r="W182" s="232"/>
      <c r="X182" s="232"/>
      <c r="Y182" s="218"/>
      <c r="Z182" s="19"/>
      <c r="AA182" s="232"/>
      <c r="AB182" s="19"/>
      <c r="AC182" s="19"/>
      <c r="AD182" s="218"/>
      <c r="AE182" s="19"/>
      <c r="AF182" s="19"/>
      <c r="AG182" s="19"/>
      <c r="AH182" s="19"/>
      <c r="AI182" s="218"/>
      <c r="AJ182" s="19"/>
      <c r="AK182" s="19"/>
      <c r="AL182" s="232"/>
      <c r="AM182" s="232"/>
      <c r="AN182" s="218"/>
      <c r="AO182" s="232"/>
      <c r="AP182" s="232"/>
      <c r="AQ182" s="232"/>
      <c r="AR182" s="232"/>
      <c r="AS182" s="218"/>
      <c r="AT182" s="232"/>
      <c r="AU182" s="232"/>
      <c r="AV182" s="232"/>
      <c r="AW182" s="232"/>
      <c r="AX182" s="218"/>
      <c r="AY182" s="232"/>
      <c r="AZ182" s="232"/>
      <c r="BA182" s="232"/>
      <c r="BB182" s="232"/>
      <c r="BC182" s="218"/>
      <c r="BD182" s="232"/>
      <c r="BE182" s="232"/>
      <c r="BF182" s="232"/>
      <c r="BG182" s="232"/>
      <c r="BH182" s="218"/>
      <c r="BI182" s="232"/>
      <c r="BJ182" s="232"/>
      <c r="BK182" s="232"/>
      <c r="BL182" s="232"/>
      <c r="BM182" s="218"/>
      <c r="BN182" s="232"/>
      <c r="BO182" s="232"/>
      <c r="BP182" s="232"/>
      <c r="BQ182" s="232"/>
      <c r="BR182" s="218"/>
      <c r="BS182" s="232"/>
      <c r="BT182" s="232"/>
      <c r="BU182" s="232"/>
      <c r="BV182" s="232"/>
      <c r="BW182" s="218"/>
      <c r="BX182" s="232"/>
      <c r="BY182" s="232"/>
      <c r="BZ182" s="232"/>
      <c r="CA182" s="232"/>
      <c r="CB182" s="218"/>
      <c r="CC182" s="232"/>
      <c r="CD182" s="232"/>
      <c r="CE182" s="232"/>
      <c r="CF182" s="232"/>
      <c r="CG182" s="218"/>
      <c r="CH182" s="232"/>
      <c r="CI182" s="232"/>
      <c r="CJ182" s="232"/>
      <c r="CK182" s="232"/>
      <c r="CL182" s="218"/>
      <c r="CM182" s="232"/>
      <c r="CN182" s="232"/>
      <c r="CO182" s="232"/>
      <c r="CP182" s="232"/>
      <c r="CQ182" s="218"/>
      <c r="CR182" s="232"/>
      <c r="CS182" s="232"/>
      <c r="CT182" s="232"/>
      <c r="CU182" s="232"/>
      <c r="CV182" s="218"/>
      <c r="CW182" s="232"/>
      <c r="CX182" s="232"/>
      <c r="CY182" s="232"/>
      <c r="CZ182" s="232"/>
      <c r="DA182" s="218"/>
      <c r="DB182" s="232"/>
      <c r="DC182" s="232"/>
      <c r="DD182" s="232"/>
      <c r="DE182" s="232"/>
      <c r="DF182" s="218"/>
      <c r="DG182" s="1929"/>
      <c r="DH182" s="1929"/>
    </row>
    <row r="183" spans="1:112" x14ac:dyDescent="0.2">
      <c r="B183" s="98" t="s">
        <v>277</v>
      </c>
      <c r="C183" s="182"/>
      <c r="D183" s="182"/>
      <c r="E183" s="68"/>
      <c r="F183" s="68"/>
      <c r="G183" s="68"/>
      <c r="I183" s="68"/>
      <c r="J183" s="68"/>
      <c r="K183" s="66"/>
      <c r="L183" s="66"/>
      <c r="M183" s="66"/>
      <c r="N183" s="66"/>
      <c r="O183" s="66"/>
      <c r="P183" s="232">
        <v>125.77958783593741</v>
      </c>
      <c r="Q183" s="232">
        <v>113.33757822720132</v>
      </c>
      <c r="R183" s="232">
        <v>121.38661843930113</v>
      </c>
      <c r="S183" s="232">
        <v>133.14615450154983</v>
      </c>
      <c r="T183" s="232">
        <v>493.50832930692604</v>
      </c>
      <c r="U183" s="232">
        <v>148.85352932610292</v>
      </c>
      <c r="V183" s="232">
        <v>156.55003639723171</v>
      </c>
      <c r="W183" s="232">
        <v>154.83868337141041</v>
      </c>
      <c r="X183" s="232">
        <v>170.38011013080313</v>
      </c>
      <c r="Y183" s="218">
        <v>630.62235922554817</v>
      </c>
      <c r="Z183" s="19">
        <v>160.00255586258038</v>
      </c>
      <c r="AA183" s="232">
        <v>165.84480000000002</v>
      </c>
      <c r="AB183" s="19">
        <v>165.56365403561929</v>
      </c>
      <c r="AC183" s="19">
        <v>171.69240000000005</v>
      </c>
      <c r="AD183" s="218">
        <v>663.10340989819974</v>
      </c>
      <c r="AE183" s="19">
        <v>176.12760000000003</v>
      </c>
      <c r="AF183" s="19">
        <v>184.60400000000001</v>
      </c>
      <c r="AG183" s="19">
        <v>180.93789999999998</v>
      </c>
      <c r="AH183" s="19">
        <v>197.12900000000002</v>
      </c>
      <c r="AI183" s="218">
        <v>738.7985000000001</v>
      </c>
      <c r="AJ183" s="19">
        <v>191.56450000000001</v>
      </c>
      <c r="AK183" s="19">
        <v>210.97672609159551</v>
      </c>
      <c r="AL183" s="232">
        <v>202.75922914264078</v>
      </c>
      <c r="AM183" s="232">
        <v>219.79879999999989</v>
      </c>
      <c r="AN183" s="218">
        <v>825.09925523423624</v>
      </c>
      <c r="AO183" s="232">
        <f t="shared" ref="AO183:AR184" si="472">AO137*AO157</f>
        <v>195.50070642856247</v>
      </c>
      <c r="AP183" s="232">
        <f t="shared" si="472"/>
        <v>204.74430084000184</v>
      </c>
      <c r="AQ183" s="232">
        <f t="shared" si="472"/>
        <v>221.61189402253558</v>
      </c>
      <c r="AR183" s="232">
        <f t="shared" si="472"/>
        <v>215.52647214444193</v>
      </c>
      <c r="AS183" s="218">
        <f>SUM(AO183:AR183)</f>
        <v>837.3833734355419</v>
      </c>
      <c r="AT183" s="232">
        <f t="shared" ref="AT183:AW184" ca="1" si="473">AT137*AT157</f>
        <v>198.88634616981571</v>
      </c>
      <c r="AU183" s="232">
        <f t="shared" ca="1" si="473"/>
        <v>217.4587655096424</v>
      </c>
      <c r="AV183" s="232">
        <f t="shared" ca="1" si="473"/>
        <v>213.76718020753802</v>
      </c>
      <c r="AW183" s="232">
        <f t="shared" ca="1" si="473"/>
        <v>307.99758938591822</v>
      </c>
      <c r="AX183" s="218">
        <f ca="1">SUM(AT183:AW183)</f>
        <v>938.10988127291432</v>
      </c>
      <c r="AY183" s="232">
        <f t="shared" ref="AY183:BB184" ca="1" si="474">AY137*AY157</f>
        <v>395.9407771490736</v>
      </c>
      <c r="AZ183" s="232">
        <f t="shared" ca="1" si="474"/>
        <v>404.02440130430421</v>
      </c>
      <c r="BA183" s="232">
        <f t="shared" ca="1" si="474"/>
        <v>407.54139094633945</v>
      </c>
      <c r="BB183" s="232">
        <f t="shared" ca="1" si="474"/>
        <v>409.1071526226176</v>
      </c>
      <c r="BC183" s="218">
        <f ca="1">SUM(AY183:BB183)</f>
        <v>1616.6137220223347</v>
      </c>
      <c r="BD183" s="232">
        <f ca="1">BD137*BD157</f>
        <v>450.17513684199054</v>
      </c>
      <c r="BE183" s="232">
        <f t="shared" ref="BE183:BG184" si="475">BE137*BE157</f>
        <v>456.04593394034032</v>
      </c>
      <c r="BF183" s="232">
        <f t="shared" si="475"/>
        <v>460.24263180958087</v>
      </c>
      <c r="BG183" s="232">
        <f t="shared" si="475"/>
        <v>500.68890190930455</v>
      </c>
      <c r="BH183" s="218">
        <f ca="1">SUM(BD183:BG183)</f>
        <v>1867.1526045012163</v>
      </c>
      <c r="BI183" s="232">
        <f t="shared" ref="BI183:BL184" ca="1" si="476">BI137*BI157</f>
        <v>535.30726728636989</v>
      </c>
      <c r="BJ183" s="232">
        <f t="shared" ca="1" si="476"/>
        <v>1465.9141105482672</v>
      </c>
      <c r="BK183" s="232">
        <f t="shared" ca="1" si="476"/>
        <v>1395.7892133183238</v>
      </c>
      <c r="BL183" s="232">
        <f t="shared" ca="1" si="476"/>
        <v>1422.4126460074851</v>
      </c>
      <c r="BM183" s="218">
        <f ca="1">SUM(BI183:BL183)</f>
        <v>4819.4232371604458</v>
      </c>
      <c r="BN183" s="232">
        <f t="shared" ref="BN183:BQ184" ca="1" si="477">BN137*BN157</f>
        <v>1327.189444855733</v>
      </c>
      <c r="BO183" s="232">
        <f t="shared" ca="1" si="477"/>
        <v>1312.0696399339188</v>
      </c>
      <c r="BP183" s="232">
        <f t="shared" ca="1" si="477"/>
        <v>1289.1237365189634</v>
      </c>
      <c r="BQ183" s="232">
        <f t="shared" ca="1" si="477"/>
        <v>1161.3859439570344</v>
      </c>
      <c r="BR183" s="218">
        <f ca="1">SUM(BN183:BQ183)</f>
        <v>5089.7687652656496</v>
      </c>
      <c r="BS183" s="232">
        <f t="shared" ref="BS183:BV184" ca="1" si="478">BS137*BS157</f>
        <v>1099.2136070459467</v>
      </c>
      <c r="BT183" s="232">
        <f t="shared" ca="1" si="478"/>
        <v>1215.3300160338556</v>
      </c>
      <c r="BU183" s="232">
        <f t="shared" ca="1" si="478"/>
        <v>1329.9368172426184</v>
      </c>
      <c r="BV183" s="232">
        <f t="shared" ca="1" si="478"/>
        <v>1348.8208222903534</v>
      </c>
      <c r="BW183" s="218">
        <f ca="1">SUM(BS183:BV183)</f>
        <v>4993.3012626127738</v>
      </c>
      <c r="BX183" s="232">
        <f t="shared" ref="BX183:CA184" ca="1" si="479">BX137*BX157</f>
        <v>1221.7746791102934</v>
      </c>
      <c r="BY183" s="232">
        <f t="shared" ca="1" si="479"/>
        <v>1309.2939894938231</v>
      </c>
      <c r="BZ183" s="232">
        <f t="shared" ca="1" si="479"/>
        <v>1365.9910044277913</v>
      </c>
      <c r="CA183" s="232">
        <f t="shared" ca="1" si="479"/>
        <v>1445.6550740016592</v>
      </c>
      <c r="CB183" s="218">
        <f ca="1">SUM(BX183:CA183)</f>
        <v>5342.7147470335667</v>
      </c>
      <c r="CC183" s="232">
        <f t="shared" ref="CC183:CF184" ca="1" si="480">CC137*CC157</f>
        <v>1366.8268786698291</v>
      </c>
      <c r="CD183" s="232">
        <f t="shared" ca="1" si="480"/>
        <v>1387.6694217111944</v>
      </c>
      <c r="CE183" s="232">
        <f t="shared" ca="1" si="480"/>
        <v>1412.1735254881221</v>
      </c>
      <c r="CF183" s="232">
        <f t="shared" ca="1" si="480"/>
        <v>1493.4566126727848</v>
      </c>
      <c r="CG183" s="218">
        <f ca="1">SUM(CC183:CF183)</f>
        <v>5660.1264385419308</v>
      </c>
      <c r="CH183" s="232">
        <f t="shared" ref="CH183:CK184" ca="1" si="481">CH137*CH157</f>
        <v>1353.4159265636245</v>
      </c>
      <c r="CI183" s="232">
        <f t="shared" ca="1" si="481"/>
        <v>1423.6207052167588</v>
      </c>
      <c r="CJ183" s="232">
        <f t="shared" ca="1" si="481"/>
        <v>1280.5439529034199</v>
      </c>
      <c r="CK183" s="232">
        <f t="shared" ca="1" si="481"/>
        <v>1380.9239151593642</v>
      </c>
      <c r="CL183" s="218">
        <f ca="1">SUM(CH183:CK183)</f>
        <v>5438.5044998431677</v>
      </c>
      <c r="CM183" s="232">
        <f t="shared" ref="CM183:CP184" ca="1" si="482">CM137*CM157</f>
        <v>1274.3134179936806</v>
      </c>
      <c r="CN183" s="232">
        <f t="shared" ca="1" si="482"/>
        <v>1335.8981843787867</v>
      </c>
      <c r="CO183" s="232">
        <f t="shared" ca="1" si="482"/>
        <v>1240.0574076175833</v>
      </c>
      <c r="CP183" s="232">
        <f t="shared" ca="1" si="482"/>
        <v>1342.8973540287909</v>
      </c>
      <c r="CQ183" s="218">
        <f ca="1">SUM(CM183:CP183)</f>
        <v>5193.1663640188417</v>
      </c>
      <c r="CR183" s="232">
        <f t="shared" ref="CR183:CU184" ca="1" si="483">CR137*CR157</f>
        <v>1257.3074701750513</v>
      </c>
      <c r="CS183" s="232">
        <f t="shared" ca="1" si="483"/>
        <v>1308.7581195373564</v>
      </c>
      <c r="CT183" s="232">
        <f t="shared" ca="1" si="483"/>
        <v>1214.6883823394107</v>
      </c>
      <c r="CU183" s="232">
        <f t="shared" ca="1" si="483"/>
        <v>1312.422276942747</v>
      </c>
      <c r="CV183" s="218">
        <f ca="1">SUM(CR183:CU183)</f>
        <v>5093.1762489945659</v>
      </c>
      <c r="CW183" s="232">
        <f t="shared" ref="CW183:CZ184" ca="1" si="484">CW137*CW157</f>
        <v>1105.1041889864634</v>
      </c>
      <c r="CX183" s="232">
        <f t="shared" ca="1" si="484"/>
        <v>1150.2860875152551</v>
      </c>
      <c r="CY183" s="232">
        <f t="shared" ca="1" si="484"/>
        <v>1067.4723574668633</v>
      </c>
      <c r="CZ183" s="232">
        <f t="shared" ca="1" si="484"/>
        <v>1153.4000343181583</v>
      </c>
      <c r="DA183" s="218">
        <f ca="1">SUM(CW183:CZ183)</f>
        <v>4476.2626682867394</v>
      </c>
      <c r="DB183" s="232">
        <f t="shared" ref="DB183:DE184" ca="1" si="485">DB137*DB157</f>
        <v>960.03145490835027</v>
      </c>
      <c r="DC183" s="232">
        <f t="shared" ca="1" si="485"/>
        <v>999.24030802435652</v>
      </c>
      <c r="DD183" s="232">
        <f t="shared" ca="1" si="485"/>
        <v>927.1796239210563</v>
      </c>
      <c r="DE183" s="232">
        <f t="shared" ca="1" si="485"/>
        <v>1001.8485608168811</v>
      </c>
      <c r="DF183" s="218">
        <f ca="1">SUM(DB183:DE183)</f>
        <v>3888.2999476706441</v>
      </c>
      <c r="DG183" s="1929">
        <f ca="1">CQ183/CL183-1</f>
        <v>-4.5111323495530931E-2</v>
      </c>
      <c r="DH183" s="1929">
        <f ca="1">CV183/CQ183-1</f>
        <v>-1.9254171350462257E-2</v>
      </c>
    </row>
    <row r="184" spans="1:112" x14ac:dyDescent="0.2">
      <c r="B184" s="98" t="s">
        <v>278</v>
      </c>
      <c r="C184" s="182"/>
      <c r="D184" s="182"/>
      <c r="E184" s="68"/>
      <c r="F184" s="68"/>
      <c r="G184" s="68"/>
      <c r="I184" s="68"/>
      <c r="J184" s="68"/>
      <c r="K184" s="66"/>
      <c r="L184" s="66"/>
      <c r="M184" s="66"/>
      <c r="N184" s="66"/>
      <c r="O184" s="66"/>
      <c r="P184" s="232">
        <v>846.47541216406262</v>
      </c>
      <c r="Q184" s="232">
        <v>850.78142177279869</v>
      </c>
      <c r="R184" s="232">
        <v>863.0813815606989</v>
      </c>
      <c r="S184" s="232">
        <v>934.01184549845004</v>
      </c>
      <c r="T184" s="232">
        <v>3494.4916706930744</v>
      </c>
      <c r="U184" s="232">
        <v>990.72647067389698</v>
      </c>
      <c r="V184" s="232">
        <v>1024.5869636027685</v>
      </c>
      <c r="W184" s="232">
        <v>1053.7973166285897</v>
      </c>
      <c r="X184" s="232">
        <v>1071.2668898691968</v>
      </c>
      <c r="Y184" s="218">
        <v>4140.3776407744517</v>
      </c>
      <c r="Z184" s="19">
        <v>1053.2974441374192</v>
      </c>
      <c r="AA184" s="232">
        <v>1090.5552</v>
      </c>
      <c r="AB184" s="19">
        <v>1080.0363459643806</v>
      </c>
      <c r="AC184" s="19">
        <v>1129.0076000000001</v>
      </c>
      <c r="AD184" s="218">
        <v>4352.8965901018</v>
      </c>
      <c r="AE184" s="19">
        <v>1158.1724000000002</v>
      </c>
      <c r="AF184" s="19">
        <v>1133.9959999999999</v>
      </c>
      <c r="AG184" s="19">
        <v>1084.3620999999998</v>
      </c>
      <c r="AH184" s="19">
        <v>1074.671</v>
      </c>
      <c r="AI184" s="218">
        <v>4451.2015000000001</v>
      </c>
      <c r="AJ184" s="19">
        <v>1044.3355000000001</v>
      </c>
      <c r="AK184" s="19">
        <v>1039.5232739084045</v>
      </c>
      <c r="AL184" s="232">
        <v>1048.4407708573592</v>
      </c>
      <c r="AM184" s="232">
        <v>1058.1011999999998</v>
      </c>
      <c r="AN184" s="218">
        <v>4190.4007447657641</v>
      </c>
      <c r="AO184" s="232">
        <f t="shared" si="472"/>
        <v>1039.8992935714375</v>
      </c>
      <c r="AP184" s="232">
        <f t="shared" si="472"/>
        <v>1038.355699159998</v>
      </c>
      <c r="AQ184" s="232">
        <f t="shared" si="472"/>
        <v>1042.5881059774645</v>
      </c>
      <c r="AR184" s="232">
        <f t="shared" si="472"/>
        <v>1034.4735278555581</v>
      </c>
      <c r="AS184" s="218">
        <f>SUM(AO184:AR184)</f>
        <v>4155.3166265644586</v>
      </c>
      <c r="AT184" s="232">
        <f t="shared" ca="1" si="473"/>
        <v>953.54724983018468</v>
      </c>
      <c r="AU184" s="232">
        <f t="shared" ca="1" si="473"/>
        <v>1018.5153144903574</v>
      </c>
      <c r="AV184" s="232">
        <f t="shared" ca="1" si="473"/>
        <v>1019.6337787924621</v>
      </c>
      <c r="AW184" s="232">
        <f t="shared" ca="1" si="473"/>
        <v>1445.8589669082016</v>
      </c>
      <c r="AX184" s="218">
        <f ca="1">SUM(AT184:AW184)</f>
        <v>4437.5553100212055</v>
      </c>
      <c r="AY184" s="232">
        <f t="shared" ca="1" si="474"/>
        <v>1779.5579983952869</v>
      </c>
      <c r="AZ184" s="232">
        <f t="shared" ca="1" si="474"/>
        <v>1795.606913218553</v>
      </c>
      <c r="BA184" s="232">
        <f t="shared" ca="1" si="474"/>
        <v>1788.1124070437413</v>
      </c>
      <c r="BB184" s="232">
        <f t="shared" ca="1" si="474"/>
        <v>1800.318664928139</v>
      </c>
      <c r="BC184" s="218">
        <f ca="1">SUM(AY184:BB184)</f>
        <v>7163.5959835857202</v>
      </c>
      <c r="BD184" s="232">
        <f ca="1">BD138*BD158</f>
        <v>1785.7102521022862</v>
      </c>
      <c r="BE184" s="232">
        <f t="shared" si="475"/>
        <v>1830.8469206466818</v>
      </c>
      <c r="BF184" s="232">
        <f t="shared" si="475"/>
        <v>1910.8147080160188</v>
      </c>
      <c r="BG184" s="232">
        <f t="shared" si="475"/>
        <v>1984.8231852373401</v>
      </c>
      <c r="BH184" s="218">
        <f ca="1">SUM(BD184:BG184)</f>
        <v>7512.1950660023267</v>
      </c>
      <c r="BI184" s="232">
        <f t="shared" ca="1" si="476"/>
        <v>2046.0069289268786</v>
      </c>
      <c r="BJ184" s="232">
        <f t="shared" ca="1" si="476"/>
        <v>5235.6555814934527</v>
      </c>
      <c r="BK184" s="232">
        <f t="shared" ca="1" si="476"/>
        <v>4973.5543119824952</v>
      </c>
      <c r="BL184" s="232">
        <f t="shared" ca="1" si="476"/>
        <v>4966.9131878987291</v>
      </c>
      <c r="BM184" s="218">
        <f ca="1">SUM(BI184:BL184)</f>
        <v>17222.130010301556</v>
      </c>
      <c r="BN184" s="232">
        <f t="shared" ca="1" si="477"/>
        <v>4671.9409963626267</v>
      </c>
      <c r="BO184" s="232">
        <f t="shared" ca="1" si="477"/>
        <v>4643.2912304502124</v>
      </c>
      <c r="BP184" s="232">
        <f t="shared" ca="1" si="477"/>
        <v>4925.7947958545146</v>
      </c>
      <c r="BQ184" s="232">
        <f t="shared" ca="1" si="477"/>
        <v>4838.0872652706712</v>
      </c>
      <c r="BR184" s="218">
        <f ca="1">SUM(BN184:BQ184)</f>
        <v>19079.114287938024</v>
      </c>
      <c r="BS184" s="232">
        <f t="shared" ca="1" si="478"/>
        <v>4221.7592976071182</v>
      </c>
      <c r="BT184" s="232">
        <f t="shared" ca="1" si="478"/>
        <v>4528.7026578252926</v>
      </c>
      <c r="BU184" s="232">
        <f t="shared" ca="1" si="478"/>
        <v>4782.4298896845894</v>
      </c>
      <c r="BV184" s="232">
        <f t="shared" ca="1" si="478"/>
        <v>4711.0804374923382</v>
      </c>
      <c r="BW184" s="218">
        <f ca="1">SUM(BS184:BV184)</f>
        <v>18243.972282609338</v>
      </c>
      <c r="BX184" s="232">
        <f t="shared" ca="1" si="479"/>
        <v>4076.8968628638013</v>
      </c>
      <c r="BY184" s="232">
        <f t="shared" ca="1" si="479"/>
        <v>4178.5371146043935</v>
      </c>
      <c r="BZ184" s="232">
        <f t="shared" ca="1" si="479"/>
        <v>4196.2846754843695</v>
      </c>
      <c r="CA184" s="232">
        <f t="shared" ca="1" si="479"/>
        <v>4664.9502484158238</v>
      </c>
      <c r="CB184" s="218">
        <f ca="1">SUM(BX184:CA184)</f>
        <v>17116.668901368386</v>
      </c>
      <c r="CC184" s="232">
        <f t="shared" ca="1" si="480"/>
        <v>4314.5239340311955</v>
      </c>
      <c r="CD184" s="232">
        <f t="shared" ca="1" si="480"/>
        <v>4128.1193537289146</v>
      </c>
      <c r="CE184" s="232">
        <f t="shared" ca="1" si="480"/>
        <v>4113.1658253769756</v>
      </c>
      <c r="CF184" s="232">
        <f t="shared" ca="1" si="480"/>
        <v>4327.1409736473697</v>
      </c>
      <c r="CG184" s="218">
        <f ca="1">SUM(CC184:CF184)</f>
        <v>16882.950086784454</v>
      </c>
      <c r="CH184" s="232">
        <f t="shared" ca="1" si="481"/>
        <v>3780.9335544719011</v>
      </c>
      <c r="CI184" s="232">
        <f t="shared" ca="1" si="481"/>
        <v>3837.3521966470362</v>
      </c>
      <c r="CJ184" s="232">
        <f t="shared" ca="1" si="481"/>
        <v>3332.3619983429685</v>
      </c>
      <c r="CK184" s="232">
        <f t="shared" ca="1" si="481"/>
        <v>3593.5809677179604</v>
      </c>
      <c r="CL184" s="218">
        <f ca="1">SUM(CH184:CK184)</f>
        <v>14544.228717179867</v>
      </c>
      <c r="CM184" s="232">
        <f t="shared" ca="1" si="482"/>
        <v>3270.7683205985804</v>
      </c>
      <c r="CN184" s="232">
        <f t="shared" ca="1" si="482"/>
        <v>3285.8400060671506</v>
      </c>
      <c r="CO184" s="232">
        <f t="shared" ca="1" si="482"/>
        <v>2922.6476760672854</v>
      </c>
      <c r="CP184" s="232">
        <f t="shared" ca="1" si="482"/>
        <v>3165.0275276283919</v>
      </c>
      <c r="CQ184" s="218">
        <f ca="1">SUM(CM184:CP184)</f>
        <v>12644.283530361408</v>
      </c>
      <c r="CR184" s="232">
        <f t="shared" ca="1" si="483"/>
        <v>3063.1016710564081</v>
      </c>
      <c r="CS184" s="232">
        <f t="shared" ca="1" si="483"/>
        <v>3200.971860145637</v>
      </c>
      <c r="CT184" s="232">
        <f t="shared" ca="1" si="483"/>
        <v>2832.386333112082</v>
      </c>
      <c r="CU184" s="232">
        <f t="shared" ca="1" si="483"/>
        <v>3116.3755173710365</v>
      </c>
      <c r="CV184" s="218">
        <f ca="1">SUM(CR184:CU184)</f>
        <v>12212.835381685163</v>
      </c>
      <c r="CW184" s="232">
        <f t="shared" ca="1" si="484"/>
        <v>2627.4634644658177</v>
      </c>
      <c r="CX184" s="232">
        <f t="shared" ca="1" si="484"/>
        <v>2743.7011749819058</v>
      </c>
      <c r="CY184" s="232">
        <f t="shared" ca="1" si="484"/>
        <v>2414.7386552297135</v>
      </c>
      <c r="CZ184" s="232">
        <f t="shared" ca="1" si="484"/>
        <v>2661.1035355408235</v>
      </c>
      <c r="DA184" s="218">
        <f ca="1">SUM(CW184:CZ184)</f>
        <v>10447.006830218261</v>
      </c>
      <c r="DB184" s="232">
        <f t="shared" ca="1" si="485"/>
        <v>2250.0484049821584</v>
      </c>
      <c r="DC184" s="232">
        <f t="shared" ca="1" si="485"/>
        <v>2347.4865830906319</v>
      </c>
      <c r="DD184" s="232">
        <f t="shared" ca="1" si="485"/>
        <v>2052.5215019570437</v>
      </c>
      <c r="DE184" s="232">
        <f t="shared" ca="1" si="485"/>
        <v>2266.3605898443107</v>
      </c>
      <c r="DF184" s="218">
        <f ca="1">SUM(DB184:DE184)</f>
        <v>8916.4170798741452</v>
      </c>
      <c r="DG184" s="1929">
        <f ca="1">CQ184/CL184-1</f>
        <v>-0.13063224071649904</v>
      </c>
      <c r="DH184" s="1930">
        <f ca="1">CV184/CQ184-1</f>
        <v>-3.412199257002213E-2</v>
      </c>
    </row>
    <row r="185" spans="1:112" x14ac:dyDescent="0.2">
      <c r="B185" s="491" t="s">
        <v>161</v>
      </c>
      <c r="C185" s="182"/>
      <c r="D185" s="182"/>
      <c r="E185" s="68"/>
      <c r="F185" s="68"/>
      <c r="G185" s="68"/>
      <c r="I185" s="68"/>
      <c r="J185" s="68"/>
      <c r="K185" s="66"/>
      <c r="L185" s="66"/>
      <c r="M185" s="66"/>
      <c r="N185" s="66"/>
      <c r="O185" s="66"/>
      <c r="P185" s="232"/>
      <c r="Q185" s="232"/>
      <c r="R185" s="232"/>
      <c r="S185" s="232"/>
      <c r="T185" s="232"/>
      <c r="U185" s="232"/>
      <c r="V185" s="232"/>
      <c r="W185" s="232"/>
      <c r="X185" s="232"/>
      <c r="Y185" s="218"/>
      <c r="Z185" s="19"/>
      <c r="AA185" s="232"/>
      <c r="AB185" s="19"/>
      <c r="AC185" s="19"/>
      <c r="AD185" s="218"/>
      <c r="AE185" s="19"/>
      <c r="AF185" s="19"/>
      <c r="AG185" s="19"/>
      <c r="AH185" s="19"/>
      <c r="AI185" s="218"/>
      <c r="AJ185" s="19"/>
      <c r="AK185" s="19"/>
      <c r="AL185" s="232"/>
      <c r="AM185" s="232"/>
      <c r="AN185" s="218"/>
      <c r="AO185" s="232">
        <f ca="1">AO141*AO161</f>
        <v>541.19999999999982</v>
      </c>
      <c r="AP185" s="232">
        <f ca="1">AP141*AP161</f>
        <v>546.80000000000018</v>
      </c>
      <c r="AQ185" s="232">
        <f ca="1">AQ141*AQ161</f>
        <v>567.29999999999995</v>
      </c>
      <c r="AR185" s="232">
        <f ca="1">AR141*AR161</f>
        <v>577.70000000000005</v>
      </c>
      <c r="AS185" s="218">
        <f ca="1">SUM(AO185:AR185)</f>
        <v>2233</v>
      </c>
      <c r="AT185" s="232">
        <f>AT141*AT161</f>
        <v>628.96640399999978</v>
      </c>
      <c r="AU185" s="232">
        <f>AU141*AU161</f>
        <v>631.22592000000031</v>
      </c>
      <c r="AV185" s="232">
        <f>AV141*AV161</f>
        <v>659.29904099999999</v>
      </c>
      <c r="AW185" s="232">
        <f>AW141*AW161</f>
        <v>805.65546906899999</v>
      </c>
      <c r="AX185" s="218">
        <f>SUM(AT185:AW185)</f>
        <v>2725.1468340689999</v>
      </c>
      <c r="AY185" s="232">
        <f>AY141*AY161</f>
        <v>1060.5373005450001</v>
      </c>
      <c r="AZ185" s="232">
        <f>AZ141*AZ161</f>
        <v>1095.2825762092816</v>
      </c>
      <c r="BA185" s="232">
        <f>BA141*BA161</f>
        <v>1125.8822780992803</v>
      </c>
      <c r="BB185" s="232">
        <f>BB141*BB161</f>
        <v>1153.3102585386048</v>
      </c>
      <c r="BC185" s="218">
        <f>SUM(AY185:BB185)</f>
        <v>4435.0124133921672</v>
      </c>
      <c r="BD185" s="232">
        <f ca="1">BD141*BD161</f>
        <v>1231.8506871450841</v>
      </c>
      <c r="BE185" s="232">
        <f ca="1">BE141*BE161</f>
        <v>1293.4432215023382</v>
      </c>
      <c r="BF185" s="232">
        <f ca="1">BF141*BF161</f>
        <v>1312.7787362637609</v>
      </c>
      <c r="BG185" s="232">
        <f ca="1">BG141*BG161</f>
        <v>1357.4461742999379</v>
      </c>
      <c r="BH185" s="218">
        <f ca="1">SUM(BD185:BG185)</f>
        <v>5195.5188192111218</v>
      </c>
      <c r="BI185" s="232">
        <f ca="1">BI141*BI161</f>
        <v>1404.821879876112</v>
      </c>
      <c r="BJ185" s="232">
        <f ca="1">BJ141*BJ161</f>
        <v>3095.4663840476414</v>
      </c>
      <c r="BK185" s="232">
        <f ca="1">BK141*BK161</f>
        <v>3216.4925507885414</v>
      </c>
      <c r="BL185" s="232">
        <f ca="1">BL141*BL161</f>
        <v>3268.1102421831479</v>
      </c>
      <c r="BM185" s="218">
        <f ca="1">SUM(BI185:BL185)</f>
        <v>10984.891056895442</v>
      </c>
      <c r="BN185" s="232">
        <f ca="1">BN141*BN161</f>
        <v>3232.5056348710027</v>
      </c>
      <c r="BO185" s="232">
        <f ca="1">BO141*BO161</f>
        <v>3368.4752057052306</v>
      </c>
      <c r="BP185" s="232">
        <f ca="1">BP141*BP161</f>
        <v>3496.2175437158835</v>
      </c>
      <c r="BQ185" s="232">
        <f ca="1">BQ141*BQ161</f>
        <v>3555.3146385935679</v>
      </c>
      <c r="BR185" s="218">
        <f ca="1">SUM(BN185:BQ185)</f>
        <v>13652.513022885683</v>
      </c>
      <c r="BS185" s="232">
        <f ca="1">BS141*BS161</f>
        <v>3598.0631714362967</v>
      </c>
      <c r="BT185" s="232">
        <f ca="1">BT141*BT161</f>
        <v>3821.1034022302138</v>
      </c>
      <c r="BU185" s="232">
        <f ca="1">BU141*BU161</f>
        <v>3965.169369162154</v>
      </c>
      <c r="BV185" s="232">
        <f ca="1">BV141*BV161</f>
        <v>4032.8296330876155</v>
      </c>
      <c r="BW185" s="218">
        <f ca="1">SUM(BS185:BV185)</f>
        <v>15417.165575916279</v>
      </c>
      <c r="BX185" s="232">
        <f ca="1">BX141*BX161</f>
        <v>4332.0680584093016</v>
      </c>
      <c r="BY185" s="232">
        <f ca="1">BY141*BY161</f>
        <v>4600.6084962851783</v>
      </c>
      <c r="BZ185" s="232">
        <f ca="1">BZ141*BZ161</f>
        <v>4774.0639204712343</v>
      </c>
      <c r="CA185" s="232">
        <f ca="1">CA141*CA161</f>
        <v>4682.1152040147226</v>
      </c>
      <c r="CB185" s="218">
        <f ca="1">SUM(BX185:CA185)</f>
        <v>18388.855679180437</v>
      </c>
      <c r="CC185" s="232">
        <f ca="1">CC141*CC161</f>
        <v>4936.3915525573993</v>
      </c>
      <c r="CD185" s="232">
        <f ca="1">CD141*CD161</f>
        <v>5316.5781935195591</v>
      </c>
      <c r="CE185" s="232">
        <f ca="1">CE141*CE161</f>
        <v>5517.0276180945702</v>
      </c>
      <c r="CF185" s="232">
        <f ca="1">CF141*CF161</f>
        <v>5410.7693826395134</v>
      </c>
      <c r="CG185" s="218">
        <f ca="1">SUM(CC185:CF185)</f>
        <v>21180.766746811045</v>
      </c>
      <c r="CH185" s="232">
        <f ca="1">CH141*CH161</f>
        <v>5704.6174879241435</v>
      </c>
      <c r="CI185" s="232">
        <f ca="1">CI141*CI161</f>
        <v>6115.3940670958727</v>
      </c>
      <c r="CJ185" s="232">
        <f ca="1">CJ141*CJ161</f>
        <v>6345.9610177132799</v>
      </c>
      <c r="CK185" s="232">
        <f ca="1">CK141*CK161</f>
        <v>6223.7374823810997</v>
      </c>
      <c r="CL185" s="218">
        <f ca="1">SUM(CH185:CK185)</f>
        <v>24389.710055114399</v>
      </c>
      <c r="CM185" s="1267">
        <f ca="1">Specialty!CA7</f>
        <v>6086.8268596150619</v>
      </c>
      <c r="CN185" s="1267">
        <f ca="1">Specialty!CB7</f>
        <v>6525.1254695912976</v>
      </c>
      <c r="CO185" s="1267">
        <f ca="1">Specialty!CC7</f>
        <v>6771.1404059000706</v>
      </c>
      <c r="CP185" s="1267">
        <f ca="1">Specialty!CD7</f>
        <v>6640.727893700634</v>
      </c>
      <c r="CQ185" s="218">
        <f ca="1">SUM(CM185:CP185)</f>
        <v>26023.820628807065</v>
      </c>
      <c r="CR185" s="1267">
        <f ca="1">Specialty!CF7</f>
        <v>6645.5975653277246</v>
      </c>
      <c r="CS185" s="1267">
        <f ca="1">Specialty!CG7</f>
        <v>7124.1319876997786</v>
      </c>
      <c r="CT185" s="1267">
        <f ca="1">Specialty!CH7</f>
        <v>7392.7310951616964</v>
      </c>
      <c r="CU185" s="1267">
        <f ca="1">Specialty!CI7</f>
        <v>7250.3467143423532</v>
      </c>
      <c r="CV185" s="218">
        <f ca="1">SUM(CR185:CU185)</f>
        <v>28412.807362531552</v>
      </c>
      <c r="CW185" s="1267">
        <f ca="1">Specialty!CK7</f>
        <v>6489.4260225425223</v>
      </c>
      <c r="CX185" s="1267">
        <f ca="1">Specialty!CL7</f>
        <v>6956.7148859888339</v>
      </c>
      <c r="CY185" s="1267">
        <f ca="1">Specialty!CM7</f>
        <v>7219.0019144253965</v>
      </c>
      <c r="CZ185" s="1267">
        <f ca="1">Specialty!CN7</f>
        <v>7079.9635665553069</v>
      </c>
      <c r="DA185" s="218">
        <f ca="1">SUM(CW185:CZ185)</f>
        <v>27745.106389512061</v>
      </c>
      <c r="DB185" s="1267">
        <f ca="1">Specialty!CP7</f>
        <v>6336.924511012774</v>
      </c>
      <c r="DC185" s="1267">
        <f ca="1">Specialty!CQ7</f>
        <v>6793.2320861680955</v>
      </c>
      <c r="DD185" s="1267">
        <f ca="1">Specialty!CR7</f>
        <v>7049.3553694363991</v>
      </c>
      <c r="DE185" s="1267">
        <f ca="1">Specialty!CS7</f>
        <v>6913.5844227412581</v>
      </c>
      <c r="DF185" s="218">
        <f ca="1">SUM(DB185:DE185)</f>
        <v>27093.096389358529</v>
      </c>
      <c r="DG185" s="1929">
        <f ca="1">CQ185/CL185-1</f>
        <v>6.6999999999999948E-2</v>
      </c>
      <c r="DH185" s="1929">
        <f ca="1">CV185/CQ185-1</f>
        <v>9.1799999999999882E-2</v>
      </c>
    </row>
    <row r="186" spans="1:112" x14ac:dyDescent="0.2">
      <c r="B186" s="491" t="s">
        <v>280</v>
      </c>
      <c r="C186" s="182"/>
      <c r="D186" s="182"/>
      <c r="E186" s="68"/>
      <c r="F186" s="68"/>
      <c r="G186" s="68"/>
      <c r="I186" s="68"/>
      <c r="J186" s="68"/>
      <c r="K186" s="66"/>
      <c r="L186" s="66"/>
      <c r="M186" s="66"/>
      <c r="N186" s="66"/>
      <c r="O186" s="66"/>
      <c r="P186" s="232">
        <v>18.811</v>
      </c>
      <c r="Q186" s="232">
        <v>17.786999999999999</v>
      </c>
      <c r="R186" s="232">
        <v>14.922000000000001</v>
      </c>
      <c r="S186" s="232">
        <v>21.48</v>
      </c>
      <c r="T186" s="232">
        <v>73</v>
      </c>
      <c r="U186" s="232">
        <v>21.963000000000001</v>
      </c>
      <c r="V186" s="232">
        <v>19.021999999999998</v>
      </c>
      <c r="W186" s="232">
        <v>28.661000000000001</v>
      </c>
      <c r="X186" s="232">
        <v>31.082999999999998</v>
      </c>
      <c r="Y186" s="218">
        <v>101</v>
      </c>
      <c r="Z186" s="19">
        <v>33.799999999999997</v>
      </c>
      <c r="AA186" s="232">
        <v>38.299999999999997</v>
      </c>
      <c r="AB186" s="19">
        <v>38.6</v>
      </c>
      <c r="AC186" s="19">
        <v>41.3</v>
      </c>
      <c r="AD186" s="218">
        <v>152</v>
      </c>
      <c r="AE186" s="19">
        <v>39.799999999999997</v>
      </c>
      <c r="AF186" s="19">
        <v>41.3</v>
      </c>
      <c r="AG186" s="19">
        <v>40.5</v>
      </c>
      <c r="AH186" s="19">
        <v>41.4</v>
      </c>
      <c r="AI186" s="218">
        <v>163</v>
      </c>
      <c r="AJ186" s="19">
        <v>40.9</v>
      </c>
      <c r="AK186" s="19">
        <v>42</v>
      </c>
      <c r="AL186" s="232">
        <v>41.2</v>
      </c>
      <c r="AM186" s="232">
        <v>44.6</v>
      </c>
      <c r="AN186" s="218">
        <v>168.7</v>
      </c>
      <c r="AO186" s="232">
        <f t="shared" ref="AO186:BT186" si="486">AO17</f>
        <v>73.599999999999994</v>
      </c>
      <c r="AP186" s="232">
        <f t="shared" si="486"/>
        <v>78.5</v>
      </c>
      <c r="AQ186" s="232">
        <f t="shared" si="486"/>
        <v>78.7</v>
      </c>
      <c r="AR186" s="232">
        <f t="shared" si="486"/>
        <v>74.5</v>
      </c>
      <c r="AS186" s="218">
        <f t="shared" si="486"/>
        <v>305.3</v>
      </c>
      <c r="AT186" s="232">
        <f t="shared" si="486"/>
        <v>80.5</v>
      </c>
      <c r="AU186" s="232">
        <f t="shared" si="486"/>
        <v>89.3</v>
      </c>
      <c r="AV186" s="232">
        <f t="shared" si="486"/>
        <v>89.5</v>
      </c>
      <c r="AW186" s="232">
        <f t="shared" si="486"/>
        <v>89.300000000000011</v>
      </c>
      <c r="AX186" s="218">
        <f t="shared" si="486"/>
        <v>348.6</v>
      </c>
      <c r="AY186" s="232">
        <f t="shared" si="486"/>
        <v>59.3</v>
      </c>
      <c r="AZ186" s="232">
        <f t="shared" si="486"/>
        <v>65.8</v>
      </c>
      <c r="BA186" s="232">
        <f t="shared" si="486"/>
        <v>62.6</v>
      </c>
      <c r="BB186" s="232">
        <f t="shared" si="486"/>
        <v>73.199999999999989</v>
      </c>
      <c r="BC186" s="218">
        <f t="shared" si="486"/>
        <v>260.89999999999998</v>
      </c>
      <c r="BD186" s="232">
        <f t="shared" si="486"/>
        <v>73.5</v>
      </c>
      <c r="BE186" s="232">
        <f t="shared" si="486"/>
        <v>65.900000000000006</v>
      </c>
      <c r="BF186" s="232">
        <f t="shared" si="486"/>
        <v>65.8</v>
      </c>
      <c r="BG186" s="232">
        <f t="shared" si="486"/>
        <v>67.8</v>
      </c>
      <c r="BH186" s="218">
        <f t="shared" si="486"/>
        <v>273</v>
      </c>
      <c r="BI186" s="232">
        <f t="shared" si="486"/>
        <v>90.1</v>
      </c>
      <c r="BJ186" s="232">
        <f t="shared" si="486"/>
        <v>239.8</v>
      </c>
      <c r="BK186" s="232">
        <f t="shared" si="486"/>
        <v>233.7</v>
      </c>
      <c r="BL186" s="232">
        <f t="shared" si="486"/>
        <v>242.2</v>
      </c>
      <c r="BM186" s="218">
        <f t="shared" si="486"/>
        <v>805.8</v>
      </c>
      <c r="BN186" s="232">
        <f t="shared" si="486"/>
        <v>235.7</v>
      </c>
      <c r="BO186" s="232">
        <f t="shared" si="486"/>
        <v>277.10000000000002</v>
      </c>
      <c r="BP186" s="232">
        <f t="shared" si="486"/>
        <v>237.7</v>
      </c>
      <c r="BQ186" s="232">
        <f t="shared" si="486"/>
        <v>269.60000000000008</v>
      </c>
      <c r="BR186" s="218">
        <f t="shared" si="486"/>
        <v>1020.1000000000001</v>
      </c>
      <c r="BS186" s="232">
        <f t="shared" si="486"/>
        <v>282.3</v>
      </c>
      <c r="BT186" s="232">
        <f t="shared" si="486"/>
        <v>311.7</v>
      </c>
      <c r="BU186" s="232">
        <f t="shared" ref="BU186:CQ186" si="487">BU17</f>
        <v>339</v>
      </c>
      <c r="BV186" s="232">
        <f t="shared" si="487"/>
        <v>344.99999999999994</v>
      </c>
      <c r="BW186" s="218">
        <f t="shared" si="487"/>
        <v>1278</v>
      </c>
      <c r="BX186" s="232">
        <f t="shared" si="487"/>
        <v>382.2</v>
      </c>
      <c r="BY186" s="232">
        <f t="shared" si="487"/>
        <v>399.3</v>
      </c>
      <c r="BZ186" s="232">
        <f t="shared" si="487"/>
        <v>432.4</v>
      </c>
      <c r="CA186" s="232">
        <f t="shared" si="487"/>
        <v>443.69999999999982</v>
      </c>
      <c r="CB186" s="218">
        <f t="shared" si="487"/>
        <v>1657.6</v>
      </c>
      <c r="CC186" s="232">
        <f t="shared" si="487"/>
        <v>342.2</v>
      </c>
      <c r="CD186" s="232">
        <f t="shared" si="487"/>
        <v>328</v>
      </c>
      <c r="CE186" s="232">
        <f t="shared" si="487"/>
        <v>377</v>
      </c>
      <c r="CF186" s="232">
        <f t="shared" si="487"/>
        <v>374.2000000000001</v>
      </c>
      <c r="CG186" s="218">
        <f t="shared" si="487"/>
        <v>1421.4</v>
      </c>
      <c r="CH186" s="232">
        <f t="shared" ref="CH186:CI186" si="488">CH17</f>
        <v>326.5</v>
      </c>
      <c r="CI186" s="232">
        <f t="shared" si="488"/>
        <v>373</v>
      </c>
      <c r="CJ186" s="232">
        <f t="shared" ref="CJ186:CK186" si="489">CJ17</f>
        <v>341.9</v>
      </c>
      <c r="CK186" s="232">
        <f t="shared" si="489"/>
        <v>322.19999999999993</v>
      </c>
      <c r="CL186" s="218">
        <f t="shared" si="487"/>
        <v>1363.6</v>
      </c>
      <c r="CM186" s="232">
        <f t="shared" si="487"/>
        <v>277.52499999999998</v>
      </c>
      <c r="CN186" s="232">
        <f t="shared" si="487"/>
        <v>317.05</v>
      </c>
      <c r="CO186" s="232">
        <f t="shared" si="487"/>
        <v>307.70999999999998</v>
      </c>
      <c r="CP186" s="232">
        <f t="shared" si="487"/>
        <v>306.08999999999992</v>
      </c>
      <c r="CQ186" s="218">
        <f t="shared" si="487"/>
        <v>1208.375</v>
      </c>
      <c r="CR186" s="232">
        <f t="shared" ref="CR186:CV186" si="490">CR17</f>
        <v>283.07549999999998</v>
      </c>
      <c r="CS186" s="232">
        <f t="shared" si="490"/>
        <v>323.39100000000002</v>
      </c>
      <c r="CT186" s="232">
        <f t="shared" si="490"/>
        <v>313.86419999999998</v>
      </c>
      <c r="CU186" s="232">
        <f t="shared" si="490"/>
        <v>312.21179999999993</v>
      </c>
      <c r="CV186" s="218">
        <f t="shared" si="490"/>
        <v>1232.5425</v>
      </c>
      <c r="CW186" s="232">
        <f t="shared" ref="CW186:DF186" si="491">CW17</f>
        <v>288.73701</v>
      </c>
      <c r="CX186" s="232">
        <f t="shared" si="491"/>
        <v>329.85882000000004</v>
      </c>
      <c r="CY186" s="232">
        <f t="shared" si="491"/>
        <v>320.14148399999999</v>
      </c>
      <c r="CZ186" s="232">
        <f t="shared" si="491"/>
        <v>318.45603599999993</v>
      </c>
      <c r="DA186" s="218">
        <f t="shared" si="491"/>
        <v>1257.19335</v>
      </c>
      <c r="DB186" s="232">
        <f t="shared" si="491"/>
        <v>294.51175019999999</v>
      </c>
      <c r="DC186" s="232">
        <f t="shared" si="491"/>
        <v>336.45599640000006</v>
      </c>
      <c r="DD186" s="232">
        <f t="shared" si="491"/>
        <v>326.54431368000002</v>
      </c>
      <c r="DE186" s="232">
        <f t="shared" si="491"/>
        <v>324.82515671999994</v>
      </c>
      <c r="DF186" s="218">
        <f t="shared" si="491"/>
        <v>1282.337217</v>
      </c>
      <c r="DG186" s="1929">
        <f>CQ186/CL186-1</f>
        <v>-0.11383470225872683</v>
      </c>
      <c r="DH186" s="1929">
        <f>CV186/CQ186-1</f>
        <v>2.0000000000000018E-2</v>
      </c>
    </row>
    <row r="187" spans="1:112" x14ac:dyDescent="0.2">
      <c r="B187" s="241" t="s">
        <v>220</v>
      </c>
      <c r="C187" s="182"/>
      <c r="D187" s="182"/>
      <c r="E187" s="68"/>
      <c r="F187" s="68"/>
      <c r="G187" s="68"/>
      <c r="I187" s="68"/>
      <c r="J187" s="68"/>
      <c r="K187" s="66"/>
      <c r="L187" s="66"/>
      <c r="M187" s="66"/>
      <c r="N187" s="66"/>
      <c r="O187" s="66"/>
      <c r="P187" s="232"/>
      <c r="Q187" s="232"/>
      <c r="R187" s="232"/>
      <c r="S187" s="232"/>
      <c r="T187" s="232"/>
      <c r="U187" s="232"/>
      <c r="V187" s="232"/>
      <c r="W187" s="232"/>
      <c r="X187" s="232"/>
      <c r="Y187" s="218"/>
      <c r="Z187" s="19"/>
      <c r="AA187" s="232"/>
      <c r="AB187" s="19"/>
      <c r="AC187" s="19"/>
      <c r="AD187" s="218"/>
      <c r="AE187" s="19"/>
      <c r="AF187" s="19"/>
      <c r="AG187" s="19"/>
      <c r="AH187" s="19"/>
      <c r="AI187" s="218"/>
      <c r="AJ187" s="19"/>
      <c r="AK187" s="19"/>
      <c r="AL187" s="232"/>
      <c r="AM187" s="232"/>
      <c r="AN187" s="218"/>
      <c r="AO187" s="232">
        <f>AO24</f>
        <v>362.09999999999997</v>
      </c>
      <c r="AP187" s="232">
        <f>AP24</f>
        <v>363.2</v>
      </c>
      <c r="AQ187" s="232">
        <f>AQ24</f>
        <v>359</v>
      </c>
      <c r="AR187" s="232">
        <f>AR24</f>
        <v>322.79999999999995</v>
      </c>
      <c r="AS187" s="218">
        <f>SUM(AO187:AR187)</f>
        <v>1407.1</v>
      </c>
      <c r="AT187" s="232">
        <f t="shared" ref="AT187:BY187" si="492">AT24</f>
        <v>310.3</v>
      </c>
      <c r="AU187" s="232">
        <f t="shared" si="492"/>
        <v>313.89999999999998</v>
      </c>
      <c r="AV187" s="232">
        <f t="shared" si="492"/>
        <v>348.4</v>
      </c>
      <c r="AW187" s="232">
        <f t="shared" si="492"/>
        <v>309.39999999999992</v>
      </c>
      <c r="AX187" s="218">
        <f t="shared" si="492"/>
        <v>1282</v>
      </c>
      <c r="AY187" s="232">
        <f t="shared" si="492"/>
        <v>332.5</v>
      </c>
      <c r="AZ187" s="232">
        <f t="shared" si="492"/>
        <v>337.2</v>
      </c>
      <c r="BA187" s="232">
        <f t="shared" si="492"/>
        <v>382.2</v>
      </c>
      <c r="BB187" s="232">
        <f ca="1">BB24</f>
        <v>318.90000000000146</v>
      </c>
      <c r="BC187" s="218">
        <f ca="1">BC24</f>
        <v>1370.8000000000015</v>
      </c>
      <c r="BD187" s="232">
        <f t="shared" si="492"/>
        <v>300.60000000000002</v>
      </c>
      <c r="BE187" s="232">
        <f t="shared" si="492"/>
        <v>331.6</v>
      </c>
      <c r="BF187" s="232">
        <f t="shared" si="492"/>
        <v>335.8</v>
      </c>
      <c r="BG187" s="232">
        <f t="shared" si="492"/>
        <v>332.59999999999991</v>
      </c>
      <c r="BH187" s="218">
        <f t="shared" si="492"/>
        <v>1300.5999999999999</v>
      </c>
      <c r="BI187" s="232">
        <f t="shared" si="492"/>
        <v>378</v>
      </c>
      <c r="BJ187" s="232">
        <f t="shared" si="492"/>
        <v>638.4</v>
      </c>
      <c r="BK187" s="232">
        <f t="shared" si="492"/>
        <v>654.19999999999993</v>
      </c>
      <c r="BL187" s="232">
        <f t="shared" si="492"/>
        <v>611.5</v>
      </c>
      <c r="BM187" s="218">
        <f t="shared" si="492"/>
        <v>2282.1</v>
      </c>
      <c r="BN187" s="232">
        <f t="shared" si="492"/>
        <v>503.3</v>
      </c>
      <c r="BO187" s="232">
        <f t="shared" si="492"/>
        <v>555.79999999999995</v>
      </c>
      <c r="BP187" s="232">
        <f t="shared" si="492"/>
        <v>584.90000000000009</v>
      </c>
      <c r="BQ187" s="232">
        <f t="shared" si="492"/>
        <v>569.10000000000014</v>
      </c>
      <c r="BR187" s="218">
        <f t="shared" si="492"/>
        <v>2213.1</v>
      </c>
      <c r="BS187" s="232">
        <f t="shared" si="492"/>
        <v>576.79999999999995</v>
      </c>
      <c r="BT187" s="232">
        <f t="shared" si="492"/>
        <v>634.6</v>
      </c>
      <c r="BU187" s="232">
        <f t="shared" si="492"/>
        <v>645.4</v>
      </c>
      <c r="BV187" s="232">
        <f t="shared" si="492"/>
        <v>650.70000000000005</v>
      </c>
      <c r="BW187" s="218">
        <f t="shared" si="492"/>
        <v>2507.5</v>
      </c>
      <c r="BX187" s="232">
        <f t="shared" si="492"/>
        <v>649.20000000000005</v>
      </c>
      <c r="BY187" s="232">
        <f t="shared" si="492"/>
        <v>694</v>
      </c>
      <c r="BZ187" s="232">
        <f t="shared" ref="BZ187:CQ187" si="493">BZ24</f>
        <v>711.19999999999993</v>
      </c>
      <c r="CA187" s="232">
        <f t="shared" si="493"/>
        <v>737.0999999999998</v>
      </c>
      <c r="CB187" s="218">
        <f t="shared" si="493"/>
        <v>2791.5</v>
      </c>
      <c r="CC187" s="232">
        <f t="shared" si="493"/>
        <v>837.8</v>
      </c>
      <c r="CD187" s="232">
        <f t="shared" si="493"/>
        <v>988.4</v>
      </c>
      <c r="CE187" s="232">
        <f t="shared" si="493"/>
        <v>1000.7</v>
      </c>
      <c r="CF187" s="232">
        <f t="shared" si="493"/>
        <v>951.09999999999991</v>
      </c>
      <c r="CG187" s="218">
        <f t="shared" si="493"/>
        <v>3778</v>
      </c>
      <c r="CH187" s="232">
        <f t="shared" ref="CH187:CI187" si="494">CH24</f>
        <v>1093.6000000000001</v>
      </c>
      <c r="CI187" s="232">
        <f t="shared" si="494"/>
        <v>1215.8</v>
      </c>
      <c r="CJ187" s="232">
        <f t="shared" ref="CJ187:CK187" si="495">CJ24</f>
        <v>1210.3</v>
      </c>
      <c r="CK187" s="232">
        <f t="shared" si="495"/>
        <v>1284.9000000000005</v>
      </c>
      <c r="CL187" s="218">
        <f t="shared" si="493"/>
        <v>4804.6000000000004</v>
      </c>
      <c r="CM187" s="232">
        <f t="shared" si="493"/>
        <v>1643.6000000000001</v>
      </c>
      <c r="CN187" s="232">
        <f t="shared" si="493"/>
        <v>1765.8</v>
      </c>
      <c r="CO187" s="232">
        <f t="shared" si="493"/>
        <v>1760.3</v>
      </c>
      <c r="CP187" s="232">
        <f t="shared" si="493"/>
        <v>1834.9000000000005</v>
      </c>
      <c r="CQ187" s="218">
        <f t="shared" si="493"/>
        <v>7004.6</v>
      </c>
      <c r="CR187" s="232">
        <f t="shared" ref="CR187:CV187" si="496">CR24</f>
        <v>1698.6000000000001</v>
      </c>
      <c r="CS187" s="232">
        <f t="shared" si="496"/>
        <v>1820.8</v>
      </c>
      <c r="CT187" s="232">
        <f t="shared" si="496"/>
        <v>1815.3</v>
      </c>
      <c r="CU187" s="232">
        <f t="shared" si="496"/>
        <v>1889.9000000000005</v>
      </c>
      <c r="CV187" s="218">
        <f t="shared" si="496"/>
        <v>7224.6</v>
      </c>
      <c r="CW187" s="232">
        <f t="shared" ref="CW187:DF187" si="497">CW24</f>
        <v>1759.1000000000001</v>
      </c>
      <c r="CX187" s="232">
        <f t="shared" si="497"/>
        <v>1881.3</v>
      </c>
      <c r="CY187" s="232">
        <f t="shared" si="497"/>
        <v>1875.8</v>
      </c>
      <c r="CZ187" s="232">
        <f t="shared" si="497"/>
        <v>1950.4000000000005</v>
      </c>
      <c r="DA187" s="218">
        <f t="shared" si="497"/>
        <v>7466.6</v>
      </c>
      <c r="DB187" s="232">
        <f t="shared" si="497"/>
        <v>1825.65</v>
      </c>
      <c r="DC187" s="232">
        <f t="shared" si="497"/>
        <v>1947.85</v>
      </c>
      <c r="DD187" s="232">
        <f t="shared" si="497"/>
        <v>1942.35</v>
      </c>
      <c r="DE187" s="232">
        <f t="shared" si="497"/>
        <v>2016.9500000000007</v>
      </c>
      <c r="DF187" s="218">
        <f t="shared" si="497"/>
        <v>7732.8000000000011</v>
      </c>
      <c r="DG187" s="1929"/>
      <c r="DH187" s="1929">
        <f>CV187/CQ187-1</f>
        <v>3.1407931930445665E-2</v>
      </c>
    </row>
    <row r="188" spans="1:112" x14ac:dyDescent="0.2">
      <c r="B188" s="202"/>
      <c r="C188" s="182"/>
      <c r="D188" s="182"/>
      <c r="E188" s="68"/>
      <c r="F188" s="68"/>
      <c r="G188" s="68"/>
      <c r="I188" s="68"/>
      <c r="J188" s="68"/>
      <c r="K188" s="66"/>
      <c r="L188" s="66"/>
      <c r="M188" s="66"/>
      <c r="N188" s="66"/>
      <c r="O188" s="66"/>
      <c r="P188" s="232"/>
      <c r="Q188" s="232"/>
      <c r="R188" s="232"/>
      <c r="S188" s="232"/>
      <c r="T188" s="232"/>
      <c r="U188" s="232"/>
      <c r="V188" s="232"/>
      <c r="W188" s="232"/>
      <c r="X188" s="232"/>
      <c r="Y188" s="218"/>
      <c r="Z188" s="232"/>
      <c r="AA188" s="232"/>
      <c r="AB188" s="232"/>
      <c r="AC188" s="232"/>
      <c r="AD188" s="218"/>
      <c r="AE188" s="232"/>
      <c r="AF188" s="232"/>
      <c r="AG188" s="232"/>
      <c r="AH188" s="232"/>
      <c r="AI188" s="218"/>
      <c r="AJ188" s="232"/>
      <c r="AK188" s="232"/>
      <c r="AL188" s="232"/>
      <c r="AM188" s="232"/>
      <c r="AN188" s="218"/>
      <c r="AO188" s="232"/>
      <c r="AP188" s="232"/>
      <c r="AQ188" s="232"/>
      <c r="AR188" s="232"/>
      <c r="AS188" s="218"/>
      <c r="AT188" s="232"/>
      <c r="AU188" s="232"/>
      <c r="AV188" s="232"/>
      <c r="AW188" s="232"/>
      <c r="AX188" s="218"/>
      <c r="AY188" s="232"/>
      <c r="AZ188" s="232"/>
      <c r="BA188" s="232"/>
      <c r="BB188" s="232"/>
      <c r="BC188" s="218"/>
      <c r="BD188" s="232"/>
      <c r="BE188" s="232"/>
      <c r="BF188" s="232"/>
      <c r="BG188" s="232"/>
      <c r="BH188" s="218"/>
      <c r="BI188" s="232"/>
      <c r="BJ188" s="232"/>
      <c r="BK188" s="232"/>
      <c r="BL188" s="232"/>
      <c r="BM188" s="218"/>
      <c r="BN188" s="232"/>
      <c r="BO188" s="232"/>
      <c r="BP188" s="232"/>
      <c r="BQ188" s="232"/>
      <c r="BR188" s="218"/>
      <c r="BS188" s="232"/>
      <c r="BT188" s="232"/>
      <c r="BU188" s="232"/>
      <c r="BV188" s="232"/>
      <c r="BW188" s="218"/>
      <c r="BX188" s="232"/>
      <c r="BY188" s="232"/>
      <c r="BZ188" s="232"/>
      <c r="CA188" s="232"/>
      <c r="CB188" s="218"/>
      <c r="CC188" s="232"/>
      <c r="CD188" s="232"/>
      <c r="CE188" s="232"/>
      <c r="CF188" s="232"/>
      <c r="CG188" s="218"/>
      <c r="CH188" s="232"/>
      <c r="CI188" s="232"/>
      <c r="CJ188" s="232"/>
      <c r="CK188" s="232"/>
      <c r="CL188" s="218"/>
      <c r="CM188" s="232"/>
      <c r="CN188" s="232"/>
      <c r="CO188" s="232"/>
      <c r="CP188" s="232"/>
      <c r="CQ188" s="218"/>
      <c r="CR188" s="232"/>
      <c r="CS188" s="232"/>
      <c r="CT188" s="232"/>
      <c r="CU188" s="232"/>
      <c r="CV188" s="218"/>
      <c r="CW188" s="232"/>
      <c r="CX188" s="232"/>
      <c r="CY188" s="232"/>
      <c r="CZ188" s="232"/>
      <c r="DA188" s="218"/>
      <c r="DB188" s="232"/>
      <c r="DC188" s="232"/>
      <c r="DD188" s="232"/>
      <c r="DE188" s="232"/>
      <c r="DF188" s="218"/>
      <c r="DG188" s="1929"/>
      <c r="DH188" s="1929"/>
    </row>
    <row r="189" spans="1:112" ht="12" thickBot="1" x14ac:dyDescent="0.25">
      <c r="A189" s="77"/>
      <c r="B189" s="186" t="s">
        <v>157</v>
      </c>
      <c r="C189" s="323"/>
      <c r="D189" s="323"/>
      <c r="E189" s="140"/>
      <c r="F189" s="140"/>
      <c r="G189" s="140"/>
      <c r="H189" s="269"/>
      <c r="I189" s="140"/>
      <c r="J189" s="140"/>
      <c r="K189" s="140"/>
      <c r="L189" s="140"/>
      <c r="M189" s="140"/>
      <c r="N189" s="140"/>
      <c r="O189" s="140"/>
      <c r="P189" s="236">
        <v>3179.2740000000003</v>
      </c>
      <c r="Q189" s="236">
        <v>3285.2170000000001</v>
      </c>
      <c r="R189" s="236">
        <v>3200.6909999999998</v>
      </c>
      <c r="S189" s="236">
        <v>3432.8180000000007</v>
      </c>
      <c r="T189" s="236">
        <v>13098</v>
      </c>
      <c r="U189" s="236">
        <v>3572.297</v>
      </c>
      <c r="V189" s="236">
        <v>3721.7350000000001</v>
      </c>
      <c r="W189" s="236">
        <v>3707.0070000000001</v>
      </c>
      <c r="X189" s="236">
        <v>3877.69</v>
      </c>
      <c r="Y189" s="237">
        <v>14879</v>
      </c>
      <c r="Z189" s="236">
        <v>3839.1</v>
      </c>
      <c r="AA189" s="236">
        <v>3944.3</v>
      </c>
      <c r="AB189" s="236">
        <v>3847.6</v>
      </c>
      <c r="AC189" s="236">
        <v>4588.3999999999996</v>
      </c>
      <c r="AD189" s="237">
        <v>16219.4</v>
      </c>
      <c r="AE189" s="236">
        <v>4444.5</v>
      </c>
      <c r="AF189" s="236">
        <v>4452.2</v>
      </c>
      <c r="AG189" s="236">
        <v>4330.2</v>
      </c>
      <c r="AH189" s="236">
        <v>4528.7</v>
      </c>
      <c r="AI189" s="237">
        <v>17755.599999999999</v>
      </c>
      <c r="AJ189" s="236">
        <v>5475.1</v>
      </c>
      <c r="AK189" s="236">
        <v>5494.4</v>
      </c>
      <c r="AL189" s="236">
        <v>5383.4</v>
      </c>
      <c r="AM189" s="236">
        <v>5554.5</v>
      </c>
      <c r="AN189" s="106">
        <v>21907.4</v>
      </c>
      <c r="AO189" s="107">
        <f ca="1">SUM(AO180:AO186)+AO187</f>
        <v>5490.8</v>
      </c>
      <c r="AP189" s="107">
        <f ca="1">SUM(AP180:AP186)+AP187</f>
        <v>5530.7999999999993</v>
      </c>
      <c r="AQ189" s="107">
        <f ca="1">SUM(AQ180:AQ186)+AQ187</f>
        <v>5450.5</v>
      </c>
      <c r="AR189" s="107">
        <f ca="1">SUM(AR180:AR186)+AR187</f>
        <v>5505.9</v>
      </c>
      <c r="AS189" s="106">
        <f ca="1">SUM(AS180:AS186)+AS187</f>
        <v>21978</v>
      </c>
      <c r="AT189" s="236">
        <f t="shared" ref="AT189:BY189" ca="1" si="498">SUM(AT180:AT187)</f>
        <v>5422.8</v>
      </c>
      <c r="AU189" s="236">
        <f t="shared" ca="1" si="498"/>
        <v>5503.3</v>
      </c>
      <c r="AV189" s="107">
        <f t="shared" ca="1" si="498"/>
        <v>5619.4</v>
      </c>
      <c r="AW189" s="107">
        <f t="shared" ca="1" si="498"/>
        <v>8212.9</v>
      </c>
      <c r="AX189" s="106">
        <f t="shared" ca="1" si="498"/>
        <v>24758.399999999998</v>
      </c>
      <c r="AY189" s="107">
        <f t="shared" ca="1" si="498"/>
        <v>11172.4</v>
      </c>
      <c r="AZ189" s="107">
        <f t="shared" ca="1" si="498"/>
        <v>11287.300000000001</v>
      </c>
      <c r="BA189" s="107">
        <f t="shared" ca="1" si="498"/>
        <v>11280.300000000001</v>
      </c>
      <c r="BB189" s="107">
        <f t="shared" ca="1" si="498"/>
        <v>11322.700000000003</v>
      </c>
      <c r="BC189" s="106">
        <f t="shared" ca="1" si="498"/>
        <v>45062.700000000004</v>
      </c>
      <c r="BD189" s="107">
        <f t="shared" ca="1" si="498"/>
        <v>11123.000000000002</v>
      </c>
      <c r="BE189" s="107">
        <f t="shared" ca="1" si="498"/>
        <v>11389.900000000001</v>
      </c>
      <c r="BF189" s="107">
        <f t="shared" ca="1" si="498"/>
        <v>11599.5</v>
      </c>
      <c r="BG189" s="107">
        <f t="shared" ca="1" si="498"/>
        <v>12159.9</v>
      </c>
      <c r="BH189" s="106">
        <f t="shared" ca="1" si="498"/>
        <v>46272.3</v>
      </c>
      <c r="BI189" s="107">
        <f t="shared" ca="1" si="498"/>
        <v>12161.1</v>
      </c>
      <c r="BJ189" s="107">
        <f t="shared" ca="1" si="498"/>
        <v>27533.100000000002</v>
      </c>
      <c r="BK189" s="107">
        <f t="shared" ca="1" si="498"/>
        <v>26838.7</v>
      </c>
      <c r="BL189" s="107">
        <f t="shared" ca="1" si="498"/>
        <v>27439.200000000001</v>
      </c>
      <c r="BM189" s="106">
        <f t="shared" ca="1" si="498"/>
        <v>93972.1</v>
      </c>
      <c r="BN189" s="107">
        <f t="shared" ca="1" si="498"/>
        <v>26091.5</v>
      </c>
      <c r="BO189" s="107">
        <f t="shared" ca="1" si="498"/>
        <v>26453.5</v>
      </c>
      <c r="BP189" s="107">
        <f t="shared" ca="1" si="498"/>
        <v>25944.100000000002</v>
      </c>
      <c r="BQ189" s="107">
        <f t="shared" ca="1" si="498"/>
        <v>25809.896076089361</v>
      </c>
      <c r="BR189" s="106">
        <f t="shared" ca="1" si="498"/>
        <v>104298.99607608937</v>
      </c>
      <c r="BS189" s="107">
        <f t="shared" ca="1" si="498"/>
        <v>23713.5</v>
      </c>
      <c r="BT189" s="107">
        <f t="shared" ca="1" si="498"/>
        <v>25139.499999999996</v>
      </c>
      <c r="BU189" s="107">
        <f t="shared" ca="1" si="498"/>
        <v>25807.000000000004</v>
      </c>
      <c r="BV189" s="107">
        <f t="shared" ca="1" si="498"/>
        <v>26339.5</v>
      </c>
      <c r="BW189" s="106">
        <f t="shared" ca="1" si="498"/>
        <v>100999.5</v>
      </c>
      <c r="BX189" s="107">
        <f t="shared" ca="1" si="498"/>
        <v>24923.4</v>
      </c>
      <c r="BY189" s="107">
        <f t="shared" ca="1" si="498"/>
        <v>25477.999999999996</v>
      </c>
      <c r="BZ189" s="107">
        <f t="shared" ref="BZ189:DF189" ca="1" si="499">SUM(BZ180:BZ187)</f>
        <v>25246.400000000001</v>
      </c>
      <c r="CA189" s="107">
        <f t="shared" ca="1" si="499"/>
        <v>26199.100000000002</v>
      </c>
      <c r="CB189" s="106">
        <f t="shared" ca="1" si="499"/>
        <v>101846.90000000002</v>
      </c>
      <c r="CC189" s="107">
        <f t="shared" ca="1" si="499"/>
        <v>24826.1</v>
      </c>
      <c r="CD189" s="107">
        <f t="shared" ca="1" si="499"/>
        <v>25277.7</v>
      </c>
      <c r="CE189" s="107">
        <f t="shared" ca="1" si="499"/>
        <v>25465.5</v>
      </c>
      <c r="CF189" s="107">
        <f t="shared" ca="1" si="499"/>
        <v>24918.699999999993</v>
      </c>
      <c r="CG189" s="106">
        <f t="shared" ca="1" si="499"/>
        <v>100488</v>
      </c>
      <c r="CH189" s="107">
        <f t="shared" ca="1" si="499"/>
        <v>24710.3</v>
      </c>
      <c r="CI189" s="107">
        <f t="shared" ca="1" si="499"/>
        <v>25402.899999999998</v>
      </c>
      <c r="CJ189" s="107">
        <f t="shared" ca="1" si="499"/>
        <v>24738.799999999999</v>
      </c>
      <c r="CK189" s="107">
        <f t="shared" ca="1" si="499"/>
        <v>25295.676303177759</v>
      </c>
      <c r="CL189" s="106">
        <f t="shared" ca="1" si="499"/>
        <v>100147.67630317777</v>
      </c>
      <c r="CM189" s="107">
        <f t="shared" ca="1" si="499"/>
        <v>24889.78221163671</v>
      </c>
      <c r="CN189" s="107">
        <f t="shared" ca="1" si="499"/>
        <v>25552.194339957954</v>
      </c>
      <c r="CO189" s="107">
        <f t="shared" ca="1" si="499"/>
        <v>25528.75813802594</v>
      </c>
      <c r="CP189" s="107">
        <f t="shared" ca="1" si="499"/>
        <v>26088.483806121327</v>
      </c>
      <c r="CQ189" s="106">
        <f t="shared" ca="1" si="499"/>
        <v>102059.21849574194</v>
      </c>
      <c r="CR189" s="107">
        <f t="shared" ca="1" si="499"/>
        <v>26015.483958633544</v>
      </c>
      <c r="CS189" s="107">
        <f t="shared" ca="1" si="499"/>
        <v>26833.716253370018</v>
      </c>
      <c r="CT189" s="107">
        <f t="shared" ca="1" si="499"/>
        <v>26868.196108794949</v>
      </c>
      <c r="CU189" s="107">
        <f t="shared" ca="1" si="499"/>
        <v>27453.071247189848</v>
      </c>
      <c r="CV189" s="106">
        <f t="shared" ca="1" si="499"/>
        <v>107170.46756798837</v>
      </c>
      <c r="CW189" s="107">
        <f t="shared" ca="1" si="499"/>
        <v>24602.214510688569</v>
      </c>
      <c r="CX189" s="107">
        <f t="shared" ca="1" si="499"/>
        <v>25385.579205760932</v>
      </c>
      <c r="CY189" s="107">
        <f t="shared" ca="1" si="499"/>
        <v>25465.759958078419</v>
      </c>
      <c r="CZ189" s="107">
        <f t="shared" ca="1" si="499"/>
        <v>25974.926317761874</v>
      </c>
      <c r="DA189" s="106">
        <f t="shared" ca="1" si="499"/>
        <v>101428.47999228981</v>
      </c>
      <c r="DB189" s="107">
        <f t="shared" ca="1" si="499"/>
        <v>23362.764177106787</v>
      </c>
      <c r="DC189" s="107">
        <f t="shared" ca="1" si="499"/>
        <v>24114.283065132222</v>
      </c>
      <c r="DD189" s="107">
        <f t="shared" ca="1" si="499"/>
        <v>24236.816459764956</v>
      </c>
      <c r="DE189" s="107">
        <f t="shared" ca="1" si="499"/>
        <v>24679.351726855803</v>
      </c>
      <c r="DF189" s="106">
        <f t="shared" ca="1" si="499"/>
        <v>96393.215428859767</v>
      </c>
      <c r="DG189" s="1929">
        <f ca="1">CQ189/CL189-1</f>
        <v>1.9087234603200942E-2</v>
      </c>
      <c r="DH189" s="1929">
        <f ca="1">CV189/CQ189-1</f>
        <v>5.0081209199732246E-2</v>
      </c>
    </row>
    <row r="190" spans="1:112" ht="12" thickBot="1" x14ac:dyDescent="0.25">
      <c r="A190" s="77"/>
      <c r="B190" s="187"/>
      <c r="C190" s="323"/>
      <c r="D190" s="323"/>
      <c r="E190" s="140"/>
      <c r="F190" s="140"/>
      <c r="G190" s="140"/>
      <c r="H190" s="269"/>
      <c r="I190" s="140"/>
      <c r="J190" s="140"/>
      <c r="K190" s="140"/>
      <c r="L190" s="140"/>
      <c r="M190" s="140"/>
      <c r="N190" s="140"/>
      <c r="O190" s="140"/>
      <c r="P190" s="236"/>
      <c r="Q190" s="236"/>
      <c r="R190" s="236"/>
      <c r="S190" s="236"/>
      <c r="T190" s="236"/>
      <c r="U190" s="236"/>
      <c r="V190" s="236"/>
      <c r="W190" s="236"/>
      <c r="X190" s="236"/>
      <c r="Y190" s="490"/>
      <c r="Z190" s="236"/>
      <c r="AA190" s="236"/>
      <c r="AB190" s="236"/>
      <c r="AC190" s="236"/>
      <c r="AD190" s="490"/>
      <c r="AE190" s="236"/>
      <c r="AF190" s="236"/>
      <c r="AG190" s="236"/>
      <c r="AH190" s="236"/>
      <c r="AI190" s="490"/>
      <c r="AJ190" s="236"/>
      <c r="AK190" s="236"/>
      <c r="AL190" s="236"/>
      <c r="AM190" s="236"/>
      <c r="AN190" s="490"/>
      <c r="AO190" s="236"/>
      <c r="AP190" s="236"/>
      <c r="AQ190" s="236"/>
      <c r="AR190" s="236"/>
      <c r="AS190" s="490"/>
      <c r="AT190" s="236"/>
      <c r="AU190" s="236"/>
      <c r="AV190" s="236"/>
      <c r="AW190" s="236"/>
      <c r="AX190" s="490"/>
      <c r="AY190" s="236"/>
      <c r="AZ190" s="236"/>
      <c r="BA190" s="236"/>
      <c r="BB190" s="236"/>
      <c r="BC190" s="490"/>
      <c r="BD190" s="236"/>
      <c r="BE190" s="236"/>
      <c r="BF190" s="236"/>
      <c r="BG190" s="236"/>
      <c r="BH190" s="490"/>
      <c r="BI190" s="236"/>
      <c r="BJ190" s="236"/>
      <c r="BK190" s="236"/>
      <c r="BL190" s="236"/>
      <c r="BM190" s="490"/>
      <c r="BN190" s="236"/>
      <c r="BO190" s="236"/>
      <c r="BP190" s="236"/>
      <c r="BQ190" s="236"/>
      <c r="BR190" s="490"/>
      <c r="BS190" s="236"/>
      <c r="BT190" s="236"/>
      <c r="BU190" s="236"/>
      <c r="BV190" s="236"/>
      <c r="BW190" s="490"/>
      <c r="BX190" s="236"/>
      <c r="BY190" s="236"/>
      <c r="BZ190" s="236"/>
      <c r="CA190" s="236"/>
      <c r="CB190" s="490"/>
      <c r="CC190" s="236"/>
      <c r="CD190" s="236"/>
      <c r="CE190" s="236"/>
      <c r="CF190" s="236"/>
      <c r="CG190" s="490"/>
      <c r="CH190" s="236"/>
      <c r="CI190" s="236"/>
      <c r="CJ190" s="236"/>
      <c r="CK190" s="236"/>
      <c r="CL190" s="490"/>
      <c r="CM190" s="236"/>
      <c r="CN190" s="236"/>
      <c r="CO190" s="236"/>
      <c r="CP190" s="236"/>
      <c r="CQ190" s="490"/>
      <c r="CR190" s="236"/>
      <c r="CS190" s="236"/>
      <c r="CT190" s="236"/>
      <c r="CU190" s="236"/>
      <c r="CV190" s="490"/>
      <c r="CW190" s="236"/>
      <c r="CX190" s="236"/>
      <c r="CY190" s="236"/>
      <c r="CZ190" s="236"/>
      <c r="DA190" s="490"/>
      <c r="DB190" s="236"/>
      <c r="DC190" s="236"/>
      <c r="DD190" s="236"/>
      <c r="DE190" s="236"/>
      <c r="DF190" s="490"/>
    </row>
    <row r="191" spans="1:112" ht="12" hidden="1" outlineLevel="1" thickBot="1" x14ac:dyDescent="0.25">
      <c r="B191" s="756" t="s">
        <v>173</v>
      </c>
      <c r="C191" s="211"/>
      <c r="D191" s="211"/>
      <c r="E191" s="120"/>
      <c r="F191" s="120"/>
      <c r="G191" s="120"/>
      <c r="H191" s="55"/>
      <c r="I191" s="120"/>
      <c r="J191" s="120"/>
      <c r="K191" s="140"/>
      <c r="L191" s="140"/>
      <c r="M191" s="140"/>
      <c r="N191" s="140"/>
      <c r="O191" s="140"/>
      <c r="P191" s="242">
        <v>0</v>
      </c>
      <c r="Q191" s="242">
        <v>0</v>
      </c>
      <c r="R191" s="242">
        <v>0</v>
      </c>
      <c r="S191" s="242">
        <v>0</v>
      </c>
      <c r="T191" s="242">
        <v>0</v>
      </c>
      <c r="U191" s="242">
        <v>0</v>
      </c>
      <c r="V191" s="242">
        <v>0</v>
      </c>
      <c r="W191" s="242">
        <v>0</v>
      </c>
      <c r="X191" s="242">
        <v>0</v>
      </c>
      <c r="Y191" s="243">
        <v>0</v>
      </c>
      <c r="Z191" s="242">
        <v>0</v>
      </c>
      <c r="AA191" s="242">
        <v>0</v>
      </c>
      <c r="AB191" s="242">
        <v>0</v>
      </c>
      <c r="AC191" s="242">
        <v>0</v>
      </c>
      <c r="AD191" s="243">
        <v>0</v>
      </c>
      <c r="AE191" s="242">
        <v>0</v>
      </c>
      <c r="AF191" s="242">
        <v>0</v>
      </c>
      <c r="AG191" s="242">
        <v>0</v>
      </c>
      <c r="AH191" s="242">
        <v>0</v>
      </c>
      <c r="AI191" s="243">
        <v>0</v>
      </c>
      <c r="AJ191" s="242">
        <v>0</v>
      </c>
      <c r="AK191" s="242">
        <v>0</v>
      </c>
      <c r="AL191" s="242">
        <v>0</v>
      </c>
      <c r="AM191" s="242">
        <v>0</v>
      </c>
      <c r="AN191" s="243">
        <v>0</v>
      </c>
      <c r="AO191" s="242">
        <f t="shared" ref="AO191:BT191" ca="1" si="500">AO26-AO189</f>
        <v>0</v>
      </c>
      <c r="AP191" s="242">
        <f t="shared" ca="1" si="500"/>
        <v>0</v>
      </c>
      <c r="AQ191" s="242">
        <f t="shared" ca="1" si="500"/>
        <v>0</v>
      </c>
      <c r="AR191" s="242">
        <f t="shared" ca="1" si="500"/>
        <v>0</v>
      </c>
      <c r="AS191" s="243">
        <f t="shared" ca="1" si="500"/>
        <v>0</v>
      </c>
      <c r="AT191" s="242">
        <f t="shared" ca="1" si="500"/>
        <v>0</v>
      </c>
      <c r="AU191" s="242">
        <f t="shared" ca="1" si="500"/>
        <v>0</v>
      </c>
      <c r="AV191" s="242">
        <f t="shared" ca="1" si="500"/>
        <v>0</v>
      </c>
      <c r="AW191" s="242">
        <f t="shared" ca="1" si="500"/>
        <v>0</v>
      </c>
      <c r="AX191" s="243">
        <f t="shared" ca="1" si="500"/>
        <v>0</v>
      </c>
      <c r="AY191" s="242">
        <f t="shared" ca="1" si="500"/>
        <v>0</v>
      </c>
      <c r="AZ191" s="242">
        <f t="shared" ca="1" si="500"/>
        <v>0</v>
      </c>
      <c r="BA191" s="1126">
        <f t="shared" ca="1" si="500"/>
        <v>0</v>
      </c>
      <c r="BB191" s="242">
        <f t="shared" ca="1" si="500"/>
        <v>0</v>
      </c>
      <c r="BC191" s="243">
        <f t="shared" ca="1" si="500"/>
        <v>0</v>
      </c>
      <c r="BD191" s="242">
        <f t="shared" ca="1" si="500"/>
        <v>0</v>
      </c>
      <c r="BE191" s="242">
        <f t="shared" ca="1" si="500"/>
        <v>0</v>
      </c>
      <c r="BF191" s="242">
        <f t="shared" ca="1" si="500"/>
        <v>0</v>
      </c>
      <c r="BG191" s="242">
        <f t="shared" ca="1" si="500"/>
        <v>0</v>
      </c>
      <c r="BH191" s="243">
        <f t="shared" ca="1" si="500"/>
        <v>0</v>
      </c>
      <c r="BI191" s="242">
        <f t="shared" ca="1" si="500"/>
        <v>0</v>
      </c>
      <c r="BJ191" s="242">
        <f t="shared" ca="1" si="500"/>
        <v>0</v>
      </c>
      <c r="BK191" s="242">
        <f t="shared" ca="1" si="500"/>
        <v>0</v>
      </c>
      <c r="BL191" s="242">
        <f t="shared" ca="1" si="500"/>
        <v>0</v>
      </c>
      <c r="BM191" s="243">
        <f t="shared" ca="1" si="500"/>
        <v>0</v>
      </c>
      <c r="BN191" s="242">
        <f t="shared" ca="1" si="500"/>
        <v>0</v>
      </c>
      <c r="BO191" s="242">
        <f t="shared" ca="1" si="500"/>
        <v>0</v>
      </c>
      <c r="BP191" s="242">
        <f t="shared" ca="1" si="500"/>
        <v>0</v>
      </c>
      <c r="BQ191" s="1126">
        <f t="shared" ca="1" si="500"/>
        <v>0</v>
      </c>
      <c r="BR191" s="243">
        <f t="shared" ca="1" si="500"/>
        <v>0</v>
      </c>
      <c r="BS191" s="242">
        <f t="shared" ca="1" si="500"/>
        <v>0</v>
      </c>
      <c r="BT191" s="242">
        <f t="shared" ca="1" si="500"/>
        <v>0</v>
      </c>
      <c r="BU191" s="242">
        <f t="shared" ref="BU191:CZ191" ca="1" si="501">BU26-BU189</f>
        <v>0</v>
      </c>
      <c r="BV191" s="242">
        <f t="shared" ca="1" si="501"/>
        <v>0</v>
      </c>
      <c r="BW191" s="243">
        <f t="shared" ca="1" si="501"/>
        <v>0</v>
      </c>
      <c r="BX191" s="242">
        <f t="shared" ca="1" si="501"/>
        <v>0</v>
      </c>
      <c r="BY191" s="242">
        <f t="shared" ca="1" si="501"/>
        <v>0</v>
      </c>
      <c r="BZ191" s="242">
        <f t="shared" ca="1" si="501"/>
        <v>0</v>
      </c>
      <c r="CA191" s="242">
        <f t="shared" ca="1" si="501"/>
        <v>0</v>
      </c>
      <c r="CB191" s="243">
        <f t="shared" ca="1" si="501"/>
        <v>0</v>
      </c>
      <c r="CC191" s="242">
        <f t="shared" ca="1" si="501"/>
        <v>0</v>
      </c>
      <c r="CD191" s="242">
        <f t="shared" ca="1" si="501"/>
        <v>0</v>
      </c>
      <c r="CE191" s="242">
        <f t="shared" ca="1" si="501"/>
        <v>0</v>
      </c>
      <c r="CF191" s="242">
        <f t="shared" ca="1" si="501"/>
        <v>0</v>
      </c>
      <c r="CG191" s="243">
        <f t="shared" ca="1" si="501"/>
        <v>0</v>
      </c>
      <c r="CH191" s="242">
        <f t="shared" ca="1" si="501"/>
        <v>0</v>
      </c>
      <c r="CI191" s="242">
        <f t="shared" ca="1" si="501"/>
        <v>0</v>
      </c>
      <c r="CJ191" s="242">
        <f t="shared" ca="1" si="501"/>
        <v>0</v>
      </c>
      <c r="CK191" s="242">
        <f t="shared" ca="1" si="501"/>
        <v>0</v>
      </c>
      <c r="CL191" s="243">
        <f t="shared" ca="1" si="501"/>
        <v>0</v>
      </c>
      <c r="CM191" s="242">
        <f t="shared" ca="1" si="501"/>
        <v>0</v>
      </c>
      <c r="CN191" s="242">
        <f t="shared" ca="1" si="501"/>
        <v>0</v>
      </c>
      <c r="CO191" s="242">
        <f t="shared" ca="1" si="501"/>
        <v>0</v>
      </c>
      <c r="CP191" s="242">
        <f t="shared" ca="1" si="501"/>
        <v>0</v>
      </c>
      <c r="CQ191" s="243">
        <f t="shared" ca="1" si="501"/>
        <v>0</v>
      </c>
      <c r="CR191" s="242">
        <f t="shared" ca="1" si="501"/>
        <v>0</v>
      </c>
      <c r="CS191" s="242">
        <f t="shared" ca="1" si="501"/>
        <v>0</v>
      </c>
      <c r="CT191" s="242">
        <f t="shared" ca="1" si="501"/>
        <v>0</v>
      </c>
      <c r="CU191" s="242">
        <f t="shared" ca="1" si="501"/>
        <v>0</v>
      </c>
      <c r="CV191" s="243">
        <f t="shared" ca="1" si="501"/>
        <v>0</v>
      </c>
      <c r="CW191" s="242">
        <f t="shared" ca="1" si="501"/>
        <v>0</v>
      </c>
      <c r="CX191" s="242">
        <f t="shared" ca="1" si="501"/>
        <v>0</v>
      </c>
      <c r="CY191" s="242">
        <f t="shared" ca="1" si="501"/>
        <v>0</v>
      </c>
      <c r="CZ191" s="242">
        <f t="shared" ca="1" si="501"/>
        <v>0</v>
      </c>
      <c r="DA191" s="243">
        <f t="shared" ref="DA191:DF191" ca="1" si="502">DA26-DA189</f>
        <v>0</v>
      </c>
      <c r="DB191" s="242">
        <f t="shared" ca="1" si="502"/>
        <v>0</v>
      </c>
      <c r="DC191" s="242">
        <f t="shared" ca="1" si="502"/>
        <v>0</v>
      </c>
      <c r="DD191" s="242">
        <f t="shared" ca="1" si="502"/>
        <v>0</v>
      </c>
      <c r="DE191" s="242">
        <f t="shared" ca="1" si="502"/>
        <v>0</v>
      </c>
      <c r="DF191" s="243">
        <f t="shared" ca="1" si="502"/>
        <v>0</v>
      </c>
    </row>
    <row r="192" spans="1:112" collapsed="1" x14ac:dyDescent="0.2">
      <c r="B192" s="244"/>
      <c r="C192" s="182"/>
      <c r="D192" s="182"/>
      <c r="E192" s="68"/>
      <c r="F192" s="68"/>
      <c r="G192" s="68"/>
      <c r="I192" s="68"/>
      <c r="J192" s="68"/>
      <c r="K192" s="66"/>
      <c r="L192" s="66"/>
      <c r="M192" s="66"/>
      <c r="N192" s="66"/>
      <c r="O192" s="66"/>
      <c r="P192" s="26"/>
      <c r="Q192" s="26"/>
      <c r="R192" s="26"/>
      <c r="S192" s="26"/>
      <c r="T192" s="26"/>
      <c r="U192" s="26"/>
      <c r="V192" s="26"/>
      <c r="W192" s="26"/>
      <c r="X192" s="26"/>
      <c r="Y192" s="26"/>
      <c r="Z192" s="26"/>
      <c r="AA192" s="26"/>
      <c r="AB192" s="26"/>
      <c r="AC192" s="26"/>
      <c r="AD192" s="26"/>
      <c r="AE192" s="26"/>
      <c r="AF192" s="26"/>
      <c r="AG192" s="26"/>
      <c r="AH192" s="26"/>
      <c r="AI192" s="26"/>
      <c r="AJ192" s="26"/>
      <c r="AK192" s="26"/>
      <c r="AL192" s="26"/>
      <c r="AM192" s="26"/>
      <c r="AN192" s="26"/>
      <c r="AO192" s="117"/>
      <c r="AP192" s="117"/>
      <c r="AQ192" s="117"/>
      <c r="AR192" s="117"/>
      <c r="AS192" s="26"/>
      <c r="AT192" s="26"/>
      <c r="AU192" s="26"/>
      <c r="AV192" s="26"/>
      <c r="AW192" s="26"/>
      <c r="AX192" s="26"/>
      <c r="AY192" s="26"/>
      <c r="AZ192" s="26"/>
      <c r="BA192" s="26"/>
      <c r="BB192" s="26"/>
      <c r="BC192" s="26"/>
      <c r="BD192" s="26"/>
      <c r="BE192" s="26"/>
      <c r="BF192" s="26"/>
      <c r="BG192" s="26"/>
      <c r="BH192" s="26"/>
      <c r="BI192" s="26"/>
      <c r="BJ192" s="26"/>
      <c r="BK192" s="26"/>
      <c r="BL192" s="26"/>
      <c r="BM192" s="26"/>
      <c r="BN192" s="26"/>
      <c r="BO192" s="26"/>
      <c r="BP192" s="26"/>
      <c r="BQ192" s="26"/>
      <c r="BR192" s="26"/>
      <c r="BS192" s="26"/>
      <c r="BT192" s="26"/>
      <c r="BU192" s="26"/>
      <c r="BV192" s="26"/>
      <c r="BW192" s="26"/>
      <c r="BX192" s="26"/>
      <c r="BY192" s="26"/>
      <c r="BZ192" s="26"/>
      <c r="CA192" s="26"/>
      <c r="CB192" s="26"/>
      <c r="CC192" s="26"/>
      <c r="CD192" s="26"/>
      <c r="CE192" s="26"/>
      <c r="CF192" s="26"/>
      <c r="CG192" s="26"/>
      <c r="CH192" s="26"/>
      <c r="CI192" s="26"/>
      <c r="CJ192" s="26"/>
      <c r="CK192" s="26"/>
      <c r="CL192" s="26"/>
      <c r="CM192" s="26"/>
      <c r="CN192" s="26"/>
      <c r="CO192" s="26"/>
      <c r="CP192" s="26"/>
      <c r="CQ192" s="26"/>
      <c r="CR192" s="26"/>
      <c r="CS192" s="26"/>
      <c r="CT192" s="26"/>
      <c r="CU192" s="26"/>
      <c r="CV192" s="26"/>
      <c r="CW192" s="26"/>
      <c r="CX192" s="26"/>
      <c r="CY192" s="26"/>
      <c r="CZ192" s="26"/>
      <c r="DA192" s="26"/>
      <c r="DB192" s="26"/>
      <c r="DC192" s="26"/>
      <c r="DD192" s="26"/>
      <c r="DE192" s="26"/>
      <c r="DF192" s="26"/>
    </row>
    <row r="193" spans="1:110" s="40" customFormat="1" x14ac:dyDescent="0.2">
      <c r="A193" s="175"/>
      <c r="B193" s="185"/>
      <c r="C193" s="185"/>
      <c r="D193" s="185"/>
      <c r="E193" s="175"/>
      <c r="X193" s="175"/>
      <c r="Y193" s="175"/>
      <c r="Z193" s="175"/>
      <c r="AA193" s="175"/>
      <c r="AB193" s="175"/>
      <c r="AC193" s="175"/>
      <c r="AD193" s="175"/>
      <c r="AE193" s="175"/>
      <c r="AF193" s="175"/>
      <c r="AG193" s="175"/>
      <c r="AH193" s="175"/>
      <c r="AI193" s="175"/>
      <c r="AJ193" s="175"/>
      <c r="AK193" s="175"/>
      <c r="AL193" s="175"/>
      <c r="AM193" s="175"/>
      <c r="AN193" s="175"/>
      <c r="AO193" s="175"/>
      <c r="AP193" s="175"/>
      <c r="AQ193" s="175"/>
      <c r="AR193" s="175"/>
      <c r="AS193" s="175"/>
      <c r="AT193" s="175"/>
      <c r="AU193" s="175"/>
      <c r="AV193" s="175"/>
      <c r="AW193" s="175"/>
      <c r="AX193" s="175"/>
      <c r="AY193" s="175"/>
      <c r="AZ193" s="787"/>
      <c r="BA193" s="175"/>
      <c r="BB193" s="175"/>
      <c r="BC193" s="175"/>
      <c r="BD193" s="175"/>
      <c r="BE193" s="175"/>
      <c r="BF193" s="175"/>
      <c r="BG193" s="175"/>
      <c r="BH193" s="175"/>
      <c r="BI193" s="175"/>
      <c r="BJ193" s="175"/>
      <c r="BK193" s="175"/>
      <c r="BL193" s="175"/>
      <c r="BM193" s="175"/>
      <c r="BN193" s="175"/>
      <c r="BO193" s="175"/>
      <c r="BP193" s="175"/>
      <c r="BQ193" s="175"/>
      <c r="BR193" s="175"/>
      <c r="BS193" s="175"/>
      <c r="BT193" s="175"/>
      <c r="BU193" s="175"/>
      <c r="BV193" s="175"/>
      <c r="BW193" s="175"/>
      <c r="BX193" s="175"/>
      <c r="BY193" s="175"/>
      <c r="BZ193" s="175"/>
      <c r="CA193" s="175"/>
      <c r="CB193" s="175"/>
      <c r="CC193" s="175"/>
      <c r="CD193" s="175"/>
      <c r="CE193" s="175"/>
      <c r="CF193" s="175"/>
      <c r="CG193" s="175"/>
      <c r="CH193" s="175"/>
      <c r="CI193" s="175"/>
      <c r="CJ193" s="175"/>
      <c r="CK193" s="175"/>
      <c r="CL193" s="175"/>
      <c r="CM193" s="175"/>
      <c r="CN193" s="175"/>
      <c r="CO193" s="175"/>
      <c r="CP193" s="175"/>
      <c r="CQ193" s="175"/>
      <c r="CR193" s="175"/>
      <c r="CS193" s="175"/>
      <c r="CT193" s="175"/>
      <c r="CU193" s="175"/>
      <c r="CV193" s="175"/>
      <c r="CW193" s="175"/>
      <c r="CX193" s="175"/>
      <c r="CY193" s="175"/>
      <c r="CZ193" s="175"/>
      <c r="DA193" s="175"/>
      <c r="DB193" s="175"/>
      <c r="DC193" s="175"/>
      <c r="DD193" s="175"/>
      <c r="DE193" s="175"/>
      <c r="DF193" s="175"/>
    </row>
    <row r="194" spans="1:110" s="100" customFormat="1" ht="11.25" hidden="1" customHeight="1" outlineLevel="1" x14ac:dyDescent="0.2">
      <c r="A194" s="1116"/>
      <c r="B194" s="1086" t="s">
        <v>335</v>
      </c>
      <c r="C194" s="1117"/>
      <c r="D194" s="1117"/>
      <c r="E194" s="561"/>
      <c r="F194" s="561"/>
      <c r="G194" s="561"/>
      <c r="H194" s="561"/>
      <c r="I194" s="561"/>
      <c r="J194" s="561"/>
      <c r="K194" s="561"/>
      <c r="L194" s="561"/>
      <c r="M194" s="561"/>
      <c r="N194" s="561"/>
      <c r="O194" s="561"/>
      <c r="P194" s="1087"/>
      <c r="Q194" s="1087"/>
      <c r="R194" s="1087"/>
      <c r="S194" s="1087"/>
      <c r="T194" s="1088"/>
      <c r="U194" s="1087"/>
      <c r="V194" s="1087"/>
      <c r="W194" s="1087"/>
      <c r="X194" s="1087"/>
      <c r="Y194" s="1088"/>
      <c r="Z194" s="1087"/>
      <c r="AA194" s="1087"/>
      <c r="AB194" s="1087"/>
      <c r="AC194" s="1087"/>
      <c r="AD194" s="1089"/>
      <c r="AE194" s="1087"/>
      <c r="AF194" s="1087"/>
      <c r="AG194" s="1087"/>
      <c r="AH194" s="1087"/>
      <c r="AI194" s="1088"/>
      <c r="AJ194" s="1087"/>
      <c r="AK194" s="1087"/>
      <c r="AL194" s="1087"/>
      <c r="AM194" s="1087"/>
      <c r="AN194" s="1088"/>
      <c r="AO194" s="1087"/>
      <c r="AP194" s="1087"/>
      <c r="AQ194" s="1087"/>
      <c r="AR194" s="1087"/>
      <c r="AS194" s="1088"/>
      <c r="AT194" s="1087"/>
      <c r="AU194" s="1087"/>
      <c r="AV194" s="1087"/>
      <c r="AW194" s="1087">
        <f>1097.6+258.7</f>
        <v>1356.3</v>
      </c>
      <c r="AX194" s="1088"/>
      <c r="AY194" s="1087">
        <v>3128.6</v>
      </c>
      <c r="AZ194" s="1087">
        <v>3226.9</v>
      </c>
      <c r="BA194" s="1087">
        <v>3303.5</v>
      </c>
      <c r="BB194" s="1087"/>
      <c r="BC194" s="1088">
        <v>13158.3084</v>
      </c>
      <c r="BD194" s="1087">
        <v>3247.9159999999997</v>
      </c>
      <c r="BE194" s="1087">
        <v>3405.5800999999997</v>
      </c>
      <c r="BF194" s="1087">
        <v>3468.2504999999996</v>
      </c>
      <c r="BG194" s="1087">
        <v>3528.5818999999992</v>
      </c>
      <c r="BH194" s="1088">
        <v>13650.328499999998</v>
      </c>
      <c r="BI194" s="1087">
        <f ca="1">0.267*BI26</f>
        <v>3247.0137000000004</v>
      </c>
      <c r="BJ194" s="1087"/>
      <c r="BK194" s="1087"/>
      <c r="BL194" s="1087"/>
      <c r="BM194" s="1088"/>
      <c r="BN194" s="1087"/>
      <c r="BO194" s="1087"/>
      <c r="BP194" s="1087"/>
      <c r="BQ194" s="1087"/>
      <c r="BR194" s="1088"/>
      <c r="BS194" s="1087"/>
      <c r="BT194" s="1087"/>
      <c r="BU194" s="1087"/>
      <c r="BV194" s="1087"/>
      <c r="BW194" s="1088"/>
      <c r="BX194" s="1087"/>
      <c r="BY194" s="1087"/>
      <c r="BZ194" s="1087"/>
      <c r="CA194" s="1087"/>
      <c r="CB194" s="1088"/>
      <c r="CC194" s="1087"/>
      <c r="CD194" s="1087"/>
      <c r="CE194" s="1087"/>
      <c r="CF194" s="1087"/>
      <c r="CG194" s="1088"/>
      <c r="CH194" s="1087"/>
      <c r="CI194" s="1087"/>
      <c r="CJ194" s="1087"/>
      <c r="CK194" s="1087"/>
      <c r="CL194" s="1088"/>
      <c r="CM194" s="1087"/>
      <c r="CN194" s="1087"/>
      <c r="CO194" s="1087"/>
      <c r="CP194" s="1087"/>
      <c r="CQ194" s="1088"/>
      <c r="CR194" s="1087"/>
      <c r="CS194" s="1087"/>
      <c r="CT194" s="1087"/>
      <c r="CU194" s="1087"/>
      <c r="CV194" s="1088"/>
      <c r="CW194" s="1087"/>
      <c r="CX194" s="1087"/>
      <c r="CY194" s="1087"/>
      <c r="CZ194" s="1087"/>
      <c r="DA194" s="1088"/>
      <c r="DB194" s="1087"/>
      <c r="DC194" s="1087"/>
      <c r="DD194" s="1087"/>
      <c r="DE194" s="1087"/>
      <c r="DF194" s="1088"/>
    </row>
    <row r="195" spans="1:110" s="100" customFormat="1" ht="11.25" hidden="1" customHeight="1" outlineLevel="1" thickBot="1" x14ac:dyDescent="0.25">
      <c r="A195" s="1116"/>
      <c r="B195" s="1090" t="s">
        <v>372</v>
      </c>
      <c r="C195" s="1118"/>
      <c r="D195" s="1118"/>
      <c r="E195" s="205"/>
      <c r="F195" s="205"/>
      <c r="G195" s="205"/>
      <c r="H195" s="205"/>
      <c r="I195" s="205"/>
      <c r="J195" s="205"/>
      <c r="K195" s="205"/>
      <c r="L195" s="205"/>
      <c r="M195" s="205"/>
      <c r="N195" s="205"/>
      <c r="O195" s="205"/>
      <c r="P195" s="1091"/>
      <c r="Q195" s="1091"/>
      <c r="R195" s="1091"/>
      <c r="S195" s="1091"/>
      <c r="T195" s="1092"/>
      <c r="U195" s="1091"/>
      <c r="V195" s="1091"/>
      <c r="W195" s="1091"/>
      <c r="X195" s="1091"/>
      <c r="Y195" s="1092"/>
      <c r="Z195" s="1091"/>
      <c r="AA195" s="1091"/>
      <c r="AB195" s="1091"/>
      <c r="AC195" s="1091"/>
      <c r="AD195" s="1093"/>
      <c r="AE195" s="1091"/>
      <c r="AF195" s="1091"/>
      <c r="AG195" s="1091"/>
      <c r="AH195" s="1091"/>
      <c r="AI195" s="1092"/>
      <c r="AJ195" s="1091"/>
      <c r="AK195" s="1091"/>
      <c r="AL195" s="1091"/>
      <c r="AM195" s="1091"/>
      <c r="AN195" s="1092"/>
      <c r="AO195" s="1091"/>
      <c r="AP195" s="1091"/>
      <c r="AQ195" s="1091"/>
      <c r="AR195" s="1091"/>
      <c r="AS195" s="1092"/>
      <c r="AT195" s="1091"/>
      <c r="AU195" s="1091"/>
      <c r="AV195" s="1091"/>
      <c r="AW195" s="1091">
        <v>864.4</v>
      </c>
      <c r="AX195" s="1092"/>
      <c r="AY195" s="1091">
        <v>2088.9</v>
      </c>
      <c r="AZ195" s="1091">
        <v>2158.1</v>
      </c>
      <c r="BA195" s="1091">
        <v>2233</v>
      </c>
      <c r="BB195" s="1091"/>
      <c r="BC195" s="1092">
        <v>8877.3518999999997</v>
      </c>
      <c r="BD195" s="1091">
        <v>2413.6909999999998</v>
      </c>
      <c r="BE195" s="1091">
        <v>2471.6082999999999</v>
      </c>
      <c r="BF195" s="1091">
        <v>2470.6934999999999</v>
      </c>
      <c r="BG195" s="1091">
        <v>2314.9178999999986</v>
      </c>
      <c r="BH195" s="1092">
        <v>9670.9106999999985</v>
      </c>
      <c r="BI195" s="1091">
        <f ca="1">0.21*BI26</f>
        <v>2553.8310000000001</v>
      </c>
      <c r="BJ195" s="1091"/>
      <c r="BK195" s="1091"/>
      <c r="BL195" s="1091"/>
      <c r="BM195" s="1092"/>
      <c r="BN195" s="1091"/>
      <c r="BO195" s="1091"/>
      <c r="BP195" s="1091"/>
      <c r="BQ195" s="1091"/>
      <c r="BR195" s="1092"/>
      <c r="BS195" s="1091"/>
      <c r="BT195" s="1091"/>
      <c r="BU195" s="1091"/>
      <c r="BV195" s="1091"/>
      <c r="BW195" s="1092"/>
      <c r="BX195" s="1091"/>
      <c r="BY195" s="1091"/>
      <c r="BZ195" s="1091"/>
      <c r="CA195" s="1091"/>
      <c r="CB195" s="1092"/>
      <c r="CC195" s="1091"/>
      <c r="CD195" s="1091"/>
      <c r="CE195" s="1091"/>
      <c r="CF195" s="1091"/>
      <c r="CG195" s="1092"/>
      <c r="CH195" s="1091"/>
      <c r="CI195" s="1091"/>
      <c r="CJ195" s="1091"/>
      <c r="CK195" s="1091"/>
      <c r="CL195" s="1092"/>
      <c r="CM195" s="1091"/>
      <c r="CN195" s="1091"/>
      <c r="CO195" s="1091"/>
      <c r="CP195" s="1091"/>
      <c r="CQ195" s="1092"/>
      <c r="CR195" s="1091"/>
      <c r="CS195" s="1091"/>
      <c r="CT195" s="1091"/>
      <c r="CU195" s="1091"/>
      <c r="CV195" s="1092"/>
      <c r="CW195" s="1091"/>
      <c r="CX195" s="1091"/>
      <c r="CY195" s="1091"/>
      <c r="CZ195" s="1091"/>
      <c r="DA195" s="1092"/>
      <c r="DB195" s="1091"/>
      <c r="DC195" s="1091"/>
      <c r="DD195" s="1091"/>
      <c r="DE195" s="1091"/>
      <c r="DF195" s="1092"/>
    </row>
    <row r="196" spans="1:110" s="196" customFormat="1" ht="11.25" hidden="1" customHeight="1" outlineLevel="1" thickBot="1" x14ac:dyDescent="0.25">
      <c r="A196" s="581"/>
      <c r="B196" s="1136" t="s">
        <v>377</v>
      </c>
      <c r="C196" s="1137"/>
      <c r="D196" s="1137"/>
      <c r="E196" s="769"/>
      <c r="F196" s="769"/>
      <c r="G196" s="769"/>
      <c r="H196" s="769"/>
      <c r="I196" s="769"/>
      <c r="J196" s="769"/>
      <c r="K196" s="769"/>
      <c r="L196" s="769"/>
      <c r="M196" s="769"/>
      <c r="N196" s="769"/>
      <c r="O196" s="769"/>
      <c r="P196" s="769"/>
      <c r="Q196" s="769"/>
      <c r="R196" s="769"/>
      <c r="S196" s="769"/>
      <c r="T196" s="1138"/>
      <c r="U196" s="769"/>
      <c r="V196" s="769"/>
      <c r="W196" s="769"/>
      <c r="X196" s="769"/>
      <c r="Y196" s="1138"/>
      <c r="Z196" s="769"/>
      <c r="AA196" s="769"/>
      <c r="AB196" s="769"/>
      <c r="AC196" s="769"/>
      <c r="AD196" s="1139"/>
      <c r="AE196" s="769"/>
      <c r="AF196" s="769"/>
      <c r="AG196" s="769"/>
      <c r="AH196" s="769"/>
      <c r="AI196" s="1138"/>
      <c r="AJ196" s="769"/>
      <c r="AK196" s="769"/>
      <c r="AL196" s="769"/>
      <c r="AM196" s="769"/>
      <c r="AN196" s="1138"/>
      <c r="AO196" s="769"/>
      <c r="AP196" s="769"/>
      <c r="AQ196" s="769"/>
      <c r="AR196" s="769"/>
      <c r="AS196" s="1138"/>
      <c r="AT196" s="769"/>
      <c r="AU196" s="769"/>
      <c r="AV196" s="769"/>
      <c r="AW196" s="769"/>
      <c r="AX196" s="1138"/>
      <c r="AY196" s="769">
        <f>SUM(AY194:AY195)/Model!AY11</f>
        <v>0.46699903333213993</v>
      </c>
      <c r="AZ196" s="769">
        <f>SUM(AZ194:AZ195)/Model!AZ11</f>
        <v>0.47708486529107941</v>
      </c>
      <c r="BA196" s="769">
        <f>SUM(BA194:BA195)/Model!BA11</f>
        <v>0.49081141459003752</v>
      </c>
      <c r="BB196" s="769"/>
      <c r="BC196" s="1138">
        <v>0.48900000000000005</v>
      </c>
      <c r="BD196" s="769">
        <v>0.50900000000000001</v>
      </c>
      <c r="BE196" s="769">
        <v>0.5159999999999999</v>
      </c>
      <c r="BF196" s="769">
        <v>0.51200000000000001</v>
      </c>
      <c r="BG196" s="769">
        <v>0.48055492232666369</v>
      </c>
      <c r="BH196" s="1138">
        <v>0.50399999999999989</v>
      </c>
      <c r="BI196" s="769">
        <v>0.47699999999999998</v>
      </c>
      <c r="BJ196" s="769"/>
      <c r="BK196" s="769"/>
      <c r="BL196" s="769"/>
      <c r="BM196" s="1138"/>
      <c r="BN196" s="769"/>
      <c r="BO196" s="769"/>
      <c r="BP196" s="769"/>
      <c r="BQ196" s="769"/>
      <c r="BR196" s="1138"/>
      <c r="BS196" s="769"/>
      <c r="BT196" s="769"/>
      <c r="BU196" s="769"/>
      <c r="BV196" s="769"/>
      <c r="BW196" s="1138"/>
      <c r="BX196" s="769"/>
      <c r="BY196" s="769"/>
      <c r="BZ196" s="769"/>
      <c r="CA196" s="769"/>
      <c r="CB196" s="1138"/>
      <c r="CC196" s="769"/>
      <c r="CD196" s="769"/>
      <c r="CE196" s="769"/>
      <c r="CF196" s="769"/>
      <c r="CG196" s="1138"/>
      <c r="CH196" s="769"/>
      <c r="CI196" s="769"/>
      <c r="CJ196" s="769"/>
      <c r="CK196" s="769"/>
      <c r="CL196" s="1138"/>
      <c r="CM196" s="769"/>
      <c r="CN196" s="769"/>
      <c r="CO196" s="769"/>
      <c r="CP196" s="769"/>
      <c r="CQ196" s="1138"/>
      <c r="CR196" s="769"/>
      <c r="CS196" s="769"/>
      <c r="CT196" s="769"/>
      <c r="CU196" s="769"/>
      <c r="CV196" s="1138"/>
      <c r="CW196" s="769"/>
      <c r="CX196" s="769"/>
      <c r="CY196" s="769"/>
      <c r="CZ196" s="769"/>
      <c r="DA196" s="1138"/>
      <c r="DB196" s="769"/>
      <c r="DC196" s="769"/>
      <c r="DD196" s="769"/>
      <c r="DE196" s="769"/>
      <c r="DF196" s="1138"/>
    </row>
    <row r="197" spans="1:110" collapsed="1" x14ac:dyDescent="0.2">
      <c r="AT197" s="671"/>
      <c r="AW197" s="671"/>
      <c r="AY197" s="671"/>
      <c r="CF197" s="111"/>
      <c r="CH197" s="111"/>
      <c r="CR197" s="10"/>
      <c r="CS197" s="10"/>
      <c r="CT197" s="10"/>
      <c r="CU197" s="10"/>
      <c r="CV197" s="10"/>
      <c r="CW197" s="10"/>
      <c r="CX197" s="10"/>
      <c r="CY197" s="10"/>
      <c r="CZ197" s="10"/>
      <c r="DA197" s="10"/>
      <c r="DB197" s="10"/>
      <c r="DC197" s="10"/>
      <c r="DD197" s="10"/>
      <c r="DE197" s="10"/>
      <c r="DF197" s="10"/>
    </row>
    <row r="198" spans="1:110" ht="12.75" x14ac:dyDescent="0.2">
      <c r="B198" s="1914" t="s">
        <v>728</v>
      </c>
      <c r="C198" s="1915"/>
      <c r="D198" s="1915"/>
      <c r="E198" s="1915"/>
      <c r="F198" s="1893"/>
      <c r="G198" s="1893"/>
      <c r="H198" s="1893"/>
      <c r="I198" s="1893"/>
      <c r="J198" s="1916"/>
      <c r="K198" s="1893"/>
      <c r="L198" s="1893"/>
      <c r="M198" s="1893"/>
      <c r="N198" s="1893"/>
      <c r="O198" s="1916"/>
      <c r="P198" s="1893"/>
      <c r="Q198" s="1893"/>
      <c r="R198" s="1893"/>
      <c r="S198" s="1893"/>
      <c r="T198" s="1916"/>
      <c r="U198" s="1893"/>
      <c r="V198" s="1893"/>
      <c r="W198" s="1893"/>
      <c r="X198" s="1893"/>
      <c r="Y198" s="1916"/>
      <c r="Z198" s="1893"/>
      <c r="AA198" s="1893"/>
      <c r="AB198" s="1893"/>
      <c r="AC198" s="1893"/>
      <c r="AD198" s="1916"/>
      <c r="AE198" s="1893"/>
      <c r="AF198" s="1893"/>
      <c r="AG198" s="1893"/>
      <c r="AH198" s="1893"/>
      <c r="AI198" s="1916"/>
      <c r="AJ198" s="1893"/>
      <c r="AK198" s="1893"/>
      <c r="AL198" s="1893"/>
      <c r="AM198" s="1893"/>
      <c r="AN198" s="1916"/>
      <c r="AO198" s="1893"/>
      <c r="AP198" s="1893"/>
      <c r="AQ198" s="1893"/>
      <c r="AR198" s="1893"/>
      <c r="AS198" s="1916"/>
      <c r="AT198" s="1893"/>
      <c r="AU198" s="1893"/>
      <c r="AV198" s="1893"/>
      <c r="AW198" s="1893"/>
      <c r="AX198" s="1916"/>
      <c r="AY198" s="1893"/>
      <c r="AZ198" s="1893"/>
      <c r="BA198" s="1893"/>
      <c r="BB198" s="1916"/>
      <c r="BC198" s="1915"/>
      <c r="BD198" s="1893"/>
      <c r="BE198" s="1893"/>
      <c r="BF198" s="1893"/>
      <c r="BG198" s="1893"/>
      <c r="BH198" s="1916"/>
      <c r="BI198" s="1893">
        <v>1496.6</v>
      </c>
      <c r="BJ198" s="1919">
        <f>+BM198-BL198-BK198-BI198</f>
        <v>3519.1000000000008</v>
      </c>
      <c r="BK198" s="1893">
        <v>3348.9</v>
      </c>
      <c r="BL198" s="1919">
        <f>+BM198-8364.6</f>
        <v>3304</v>
      </c>
      <c r="BM198" s="1916">
        <v>11668.6</v>
      </c>
      <c r="BN198" s="1893">
        <v>3674.4</v>
      </c>
      <c r="BO198" s="1919">
        <f>+BR198-BQ198-BP198-BN198</f>
        <v>3204.7000000000003</v>
      </c>
      <c r="BP198" s="1893">
        <v>2966.5</v>
      </c>
      <c r="BQ198" s="1919">
        <f>+BR198-9845.6</f>
        <v>2774.6999999999989</v>
      </c>
      <c r="BR198" s="1916">
        <v>12620.3</v>
      </c>
      <c r="BS198" s="1893">
        <f>5476.4-BT198</f>
        <v>2897.8999999999996</v>
      </c>
      <c r="BT198" s="1893">
        <v>2578.5</v>
      </c>
      <c r="BU198" s="1893">
        <v>2418.3000000000002</v>
      </c>
      <c r="BV198" s="1893">
        <f>+BW198-7894.7</f>
        <v>2378.0000000000009</v>
      </c>
      <c r="BW198" s="1916">
        <v>10272.700000000001</v>
      </c>
      <c r="BX198" s="1893">
        <f>4956.7-BY198</f>
        <v>2634.2999999999997</v>
      </c>
      <c r="BY198" s="1893">
        <v>2322.4</v>
      </c>
      <c r="BZ198" s="1893">
        <v>2161.5</v>
      </c>
      <c r="CA198" s="1893">
        <f>+CB198-7118.2</f>
        <v>2051.8000000000002</v>
      </c>
      <c r="CB198" s="1916">
        <v>9170</v>
      </c>
      <c r="CC198" s="1893">
        <f>4677.4-CD198</f>
        <v>2540.9999999999995</v>
      </c>
      <c r="CD198" s="1893">
        <v>2136.4</v>
      </c>
      <c r="CE198" s="1893">
        <v>2008.5</v>
      </c>
      <c r="CF198" s="1893">
        <f>+CG198-6685.9</f>
        <v>1883.3000000000011</v>
      </c>
      <c r="CG198" s="1916">
        <v>8569.2000000000007</v>
      </c>
      <c r="CH198" s="1893">
        <f>+CI198-6685.9</f>
        <v>-6685.9</v>
      </c>
      <c r="CI198" s="1893"/>
      <c r="CJ198" s="1893"/>
      <c r="CK198" s="1893"/>
      <c r="CL198" s="1916"/>
      <c r="CM198" s="1893"/>
      <c r="CN198" s="1893"/>
      <c r="CO198" s="1893"/>
      <c r="CP198" s="1893"/>
      <c r="CQ198" s="1916"/>
      <c r="CR198" s="1893"/>
      <c r="CS198" s="1893"/>
      <c r="CT198" s="1893"/>
      <c r="CU198" s="1893"/>
      <c r="CV198" s="1916"/>
      <c r="CW198" s="1893"/>
      <c r="CX198" s="1893"/>
      <c r="CY198" s="1893"/>
      <c r="CZ198" s="1893"/>
      <c r="DA198" s="1916"/>
      <c r="DB198" s="1893"/>
      <c r="DC198" s="1893"/>
      <c r="DD198" s="1893"/>
      <c r="DE198" s="1893"/>
      <c r="DF198" s="1916"/>
    </row>
    <row r="199" spans="1:110" x14ac:dyDescent="0.2">
      <c r="B199" s="487" t="s">
        <v>729</v>
      </c>
      <c r="F199" s="66"/>
      <c r="G199" s="66"/>
      <c r="H199" s="66"/>
      <c r="I199" s="66"/>
      <c r="J199" s="136"/>
      <c r="K199" s="66"/>
      <c r="L199" s="66"/>
      <c r="M199" s="66"/>
      <c r="N199" s="66"/>
      <c r="O199" s="136"/>
      <c r="P199" s="66"/>
      <c r="Q199" s="66"/>
      <c r="R199" s="66"/>
      <c r="S199" s="66"/>
      <c r="T199" s="136"/>
      <c r="U199" s="66"/>
      <c r="V199" s="66"/>
      <c r="W199" s="66"/>
      <c r="X199" s="66"/>
      <c r="Y199" s="136"/>
      <c r="Z199" s="66"/>
      <c r="AA199" s="66"/>
      <c r="AB199" s="66"/>
      <c r="AC199" s="66"/>
      <c r="AD199" s="136"/>
      <c r="AE199" s="66"/>
      <c r="AF199" s="66"/>
      <c r="AG199" s="66"/>
      <c r="AH199" s="66"/>
      <c r="AI199" s="136"/>
      <c r="AJ199" s="66"/>
      <c r="AK199" s="66"/>
      <c r="AL199" s="66"/>
      <c r="AM199" s="66"/>
      <c r="AN199" s="136"/>
      <c r="AO199" s="66"/>
      <c r="AP199" s="66"/>
      <c r="AQ199" s="66"/>
      <c r="AR199" s="66"/>
      <c r="AS199" s="136"/>
      <c r="AT199" s="66"/>
      <c r="AU199" s="66"/>
      <c r="AV199" s="66"/>
      <c r="AW199" s="66"/>
      <c r="AX199" s="136"/>
      <c r="AY199" s="66"/>
      <c r="AZ199" s="66"/>
      <c r="BA199" s="66"/>
      <c r="BB199" s="136"/>
      <c r="BD199" s="66"/>
      <c r="BE199" s="66"/>
      <c r="BF199" s="66"/>
      <c r="BG199" s="66"/>
      <c r="BH199" s="136"/>
      <c r="BI199" s="66">
        <f t="shared" ref="BI199:CG199" si="503">+BI198/BI12</f>
        <v>0.19419053129467878</v>
      </c>
      <c r="BJ199" s="66">
        <f t="shared" si="503"/>
        <v>0.20875124012649227</v>
      </c>
      <c r="BK199" s="66">
        <f t="shared" si="503"/>
        <v>0.20463839795619504</v>
      </c>
      <c r="BL199" s="66">
        <f t="shared" si="503"/>
        <v>0.19517884708204281</v>
      </c>
      <c r="BM199" s="136">
        <f t="shared" si="503"/>
        <v>0.20167736995161045</v>
      </c>
      <c r="BN199" s="66">
        <f t="shared" si="503"/>
        <v>0.22792823122525652</v>
      </c>
      <c r="BO199" s="66">
        <f t="shared" si="503"/>
        <v>0.19664640262095587</v>
      </c>
      <c r="BP199" s="66">
        <f t="shared" si="503"/>
        <v>0.19250032086505073</v>
      </c>
      <c r="BQ199" s="66">
        <f t="shared" si="503"/>
        <v>0.17998355770783284</v>
      </c>
      <c r="BR199" s="136">
        <f t="shared" si="503"/>
        <v>0.19954810228257361</v>
      </c>
      <c r="BS199" s="66">
        <f t="shared" si="503"/>
        <v>0.20795294732329969</v>
      </c>
      <c r="BT199" s="66">
        <f t="shared" si="503"/>
        <v>0.17627076374647593</v>
      </c>
      <c r="BU199" s="66">
        <f t="shared" si="503"/>
        <v>0.16400742733156129</v>
      </c>
      <c r="BV199" s="66">
        <f t="shared" si="503"/>
        <v>0.15592349515276371</v>
      </c>
      <c r="BW199" s="136">
        <f t="shared" si="503"/>
        <v>0.1754231050545354</v>
      </c>
      <c r="BX199" s="66">
        <f t="shared" si="503"/>
        <v>0.18471719372509457</v>
      </c>
      <c r="BY199" s="66">
        <f t="shared" si="503"/>
        <v>0.16244807628589936</v>
      </c>
      <c r="BZ199" s="66">
        <f t="shared" si="503"/>
        <v>0.15701203775374226</v>
      </c>
      <c r="CA199" s="66">
        <f t="shared" si="503"/>
        <v>0.14423314029578896</v>
      </c>
      <c r="CB199" s="136">
        <f t="shared" si="503"/>
        <v>0.16215864263067073</v>
      </c>
      <c r="CC199" s="66">
        <f t="shared" si="503"/>
        <v>0.19503609520390644</v>
      </c>
      <c r="CD199" s="66">
        <f t="shared" si="503"/>
        <v>0.16272457136836446</v>
      </c>
      <c r="CE199" s="66">
        <f t="shared" si="503"/>
        <v>0.15396192638611311</v>
      </c>
      <c r="CF199" s="66">
        <f t="shared" si="503"/>
        <v>0.1523454916574925</v>
      </c>
      <c r="CG199" s="136">
        <f t="shared" si="503"/>
        <v>0.16618327213729892</v>
      </c>
      <c r="CH199" s="66">
        <f t="shared" ref="CH199" si="504">+CH198/CH12</f>
        <v>-0.53696689985099222</v>
      </c>
      <c r="CI199" s="66"/>
      <c r="CJ199" s="66"/>
      <c r="CK199" s="66"/>
      <c r="CL199" s="136"/>
      <c r="CM199" s="66"/>
      <c r="CN199" s="66"/>
      <c r="CO199" s="66"/>
      <c r="CP199" s="66"/>
      <c r="CQ199" s="136"/>
      <c r="CR199" s="66"/>
      <c r="CS199" s="66"/>
      <c r="CT199" s="66"/>
      <c r="CU199" s="66"/>
      <c r="CV199" s="136"/>
      <c r="CW199" s="66"/>
      <c r="CX199" s="66"/>
      <c r="CY199" s="66"/>
      <c r="CZ199" s="66"/>
      <c r="DA199" s="136"/>
      <c r="DB199" s="66"/>
      <c r="DC199" s="66"/>
      <c r="DD199" s="66"/>
      <c r="DE199" s="66"/>
      <c r="DF199" s="136"/>
    </row>
    <row r="200" spans="1:110" x14ac:dyDescent="0.2">
      <c r="B200" s="1917" t="s">
        <v>730</v>
      </c>
      <c r="C200" s="1900"/>
      <c r="D200" s="1900"/>
      <c r="E200" s="1900"/>
      <c r="F200" s="1900"/>
      <c r="G200" s="1900"/>
      <c r="H200" s="1900"/>
      <c r="I200" s="1900"/>
      <c r="J200" s="1918"/>
      <c r="K200" s="1900"/>
      <c r="L200" s="1900"/>
      <c r="M200" s="1900"/>
      <c r="N200" s="1900"/>
      <c r="O200" s="1918"/>
      <c r="P200" s="1900"/>
      <c r="Q200" s="1900"/>
      <c r="R200" s="1900"/>
      <c r="S200" s="1900"/>
      <c r="T200" s="1918"/>
      <c r="U200" s="1900"/>
      <c r="V200" s="1900"/>
      <c r="W200" s="1900"/>
      <c r="X200" s="1900"/>
      <c r="Y200" s="1918"/>
      <c r="Z200" s="1900"/>
      <c r="AA200" s="1900"/>
      <c r="AB200" s="1900"/>
      <c r="AC200" s="1900"/>
      <c r="AD200" s="1918"/>
      <c r="AE200" s="1900"/>
      <c r="AF200" s="1900"/>
      <c r="AG200" s="1900"/>
      <c r="AH200" s="1900"/>
      <c r="AI200" s="1918"/>
      <c r="AJ200" s="1900"/>
      <c r="AK200" s="1900"/>
      <c r="AL200" s="1900"/>
      <c r="AM200" s="1900"/>
      <c r="AN200" s="1918"/>
      <c r="AO200" s="1900"/>
      <c r="AP200" s="1900"/>
      <c r="AQ200" s="1900"/>
      <c r="AR200" s="1900"/>
      <c r="AS200" s="1918"/>
      <c r="AT200" s="1900"/>
      <c r="AU200" s="1900"/>
      <c r="AV200" s="1900"/>
      <c r="AW200" s="1900"/>
      <c r="AX200" s="1918"/>
      <c r="AY200" s="1900"/>
      <c r="AZ200" s="1900"/>
      <c r="BA200" s="1900"/>
      <c r="BB200" s="1918"/>
      <c r="BC200" s="1900"/>
      <c r="BD200" s="1900"/>
      <c r="BE200" s="1900"/>
      <c r="BF200" s="1900"/>
      <c r="BG200" s="1900"/>
      <c r="BH200" s="1918"/>
      <c r="BI200" s="1900"/>
      <c r="BJ200" s="1920">
        <f>+BJ198-BI198</f>
        <v>2022.5000000000009</v>
      </c>
      <c r="BK200" s="1920">
        <f>+BK198-BJ198</f>
        <v>-170.20000000000073</v>
      </c>
      <c r="BL200" s="1920">
        <f>+BL198-BK198</f>
        <v>-44.900000000000091</v>
      </c>
      <c r="BM200" s="1918"/>
      <c r="BN200" s="1920">
        <f>+BN198-BL198</f>
        <v>370.40000000000009</v>
      </c>
      <c r="BO200" s="1920">
        <f>+BO198-BN198</f>
        <v>-469.69999999999982</v>
      </c>
      <c r="BP200" s="1900">
        <f>+BP198-BO198</f>
        <v>-238.20000000000027</v>
      </c>
      <c r="BQ200" s="1920">
        <f>+BQ198-BP198</f>
        <v>-191.80000000000109</v>
      </c>
      <c r="BR200" s="1918"/>
      <c r="BS200" s="1900">
        <f>+BS198-BQ198</f>
        <v>123.20000000000073</v>
      </c>
      <c r="BT200" s="1900">
        <f>+BT198-BS198</f>
        <v>-319.39999999999964</v>
      </c>
      <c r="BU200" s="1900">
        <f>+BU198-BT198</f>
        <v>-160.19999999999982</v>
      </c>
      <c r="BV200" s="1900">
        <f>+BV198-BU198</f>
        <v>-40.299999999999272</v>
      </c>
      <c r="BW200" s="1918"/>
      <c r="BX200" s="1900">
        <f>+BX198-BV198</f>
        <v>256.29999999999882</v>
      </c>
      <c r="BY200" s="1900">
        <f>+BY198-BX198</f>
        <v>-311.89999999999964</v>
      </c>
      <c r="BZ200" s="1900">
        <f>+BZ198-BY198</f>
        <v>-160.90000000000009</v>
      </c>
      <c r="CA200" s="1900">
        <f>+CA198-BZ198</f>
        <v>-109.69999999999982</v>
      </c>
      <c r="CB200" s="1918"/>
      <c r="CC200" s="1900">
        <f>+CC198-CA198</f>
        <v>489.19999999999936</v>
      </c>
      <c r="CD200" s="1900">
        <f>+CD198-CC198</f>
        <v>-404.59999999999945</v>
      </c>
      <c r="CE200" s="1900">
        <f>+CE198-CD198</f>
        <v>-127.90000000000009</v>
      </c>
      <c r="CF200" s="1900">
        <f>+CF198-CE198</f>
        <v>-125.19999999999891</v>
      </c>
      <c r="CG200" s="1918"/>
      <c r="CH200" s="1900">
        <f>+CH198-CG198</f>
        <v>-15255.1</v>
      </c>
      <c r="CI200" s="1900"/>
      <c r="CJ200" s="1900"/>
      <c r="CK200" s="1900"/>
      <c r="CL200" s="1918"/>
      <c r="CM200" s="1900"/>
      <c r="CN200" s="1900"/>
      <c r="CO200" s="1900"/>
      <c r="CP200" s="1900"/>
      <c r="CQ200" s="1918"/>
      <c r="CR200" s="1900"/>
      <c r="CS200" s="1900"/>
      <c r="CT200" s="1900"/>
      <c r="CU200" s="1900"/>
      <c r="CV200" s="1918"/>
      <c r="CW200" s="1900"/>
      <c r="CX200" s="1900"/>
      <c r="CY200" s="1900"/>
      <c r="CZ200" s="1900"/>
      <c r="DA200" s="1918"/>
      <c r="DB200" s="1900"/>
      <c r="DC200" s="1900"/>
      <c r="DD200" s="1900"/>
      <c r="DE200" s="1900"/>
      <c r="DF200" s="1918"/>
    </row>
    <row r="201" spans="1:110" ht="12.75" x14ac:dyDescent="0.2">
      <c r="BG201"/>
      <c r="CR201" s="10"/>
      <c r="CS201" s="10"/>
      <c r="CT201" s="10"/>
      <c r="CU201" s="10"/>
      <c r="CV201" s="10"/>
      <c r="CW201" s="10"/>
      <c r="CX201" s="10"/>
      <c r="CY201" s="10"/>
      <c r="CZ201" s="10"/>
      <c r="DA201" s="10"/>
      <c r="DB201" s="10"/>
      <c r="DC201" s="10"/>
      <c r="DD201" s="10"/>
      <c r="DE201" s="10"/>
      <c r="DF201" s="10"/>
    </row>
    <row r="202" spans="1:110" ht="12.75" x14ac:dyDescent="0.2">
      <c r="BG202"/>
      <c r="CR202" s="10"/>
      <c r="CS202" s="10"/>
      <c r="CT202" s="10"/>
      <c r="CU202" s="10"/>
      <c r="CV202" s="10">
        <v>245</v>
      </c>
      <c r="CW202" s="10"/>
      <c r="CX202" s="10"/>
      <c r="CY202" s="10"/>
      <c r="CZ202" s="10"/>
      <c r="DA202" s="10"/>
      <c r="DB202" s="10"/>
      <c r="DC202" s="10"/>
      <c r="DD202" s="10"/>
      <c r="DE202" s="10"/>
      <c r="DF202" s="10"/>
    </row>
    <row r="203" spans="1:110" ht="12.75" x14ac:dyDescent="0.2">
      <c r="BG203"/>
      <c r="CR203" s="10"/>
      <c r="CS203" s="10"/>
      <c r="CT203" s="10"/>
      <c r="CU203" s="10">
        <v>0.85</v>
      </c>
      <c r="CV203" s="10">
        <f>CU203*CV202</f>
        <v>208.25</v>
      </c>
      <c r="CW203" s="87">
        <f ca="1">CV157</f>
        <v>18.136920362326219</v>
      </c>
      <c r="CX203" s="204">
        <f ca="1">CV203*CW203</f>
        <v>3777.0136654544349</v>
      </c>
      <c r="CY203" s="10"/>
      <c r="CZ203" s="10"/>
      <c r="DA203" s="10"/>
      <c r="DB203" s="10"/>
      <c r="DC203" s="10"/>
      <c r="DD203" s="10"/>
      <c r="DE203" s="10"/>
      <c r="DF203" s="10"/>
    </row>
    <row r="204" spans="1:110" ht="12.75" x14ac:dyDescent="0.2">
      <c r="BG204"/>
      <c r="CR204" s="10"/>
      <c r="CS204" s="10"/>
      <c r="CT204" s="10"/>
      <c r="CU204" s="10">
        <v>0.14499999999999999</v>
      </c>
      <c r="CV204" s="10">
        <f>CU204*CV202</f>
        <v>35.524999999999999</v>
      </c>
      <c r="CW204" s="87">
        <f>CV154</f>
        <v>268.89573756139492</v>
      </c>
      <c r="CX204" s="204">
        <f>CV204*CW204</f>
        <v>9552.5210768685538</v>
      </c>
      <c r="CY204" s="10"/>
      <c r="CZ204" s="10"/>
      <c r="DA204" s="10"/>
      <c r="DB204" s="10"/>
      <c r="DC204" s="10"/>
      <c r="DD204" s="10"/>
      <c r="DE204" s="10"/>
      <c r="DF204" s="10"/>
    </row>
    <row r="205" spans="1:110" x14ac:dyDescent="0.2">
      <c r="CR205" s="10"/>
      <c r="CS205" s="10"/>
      <c r="CT205" s="10"/>
      <c r="CU205" s="10">
        <v>5.0000000000000001E-3</v>
      </c>
      <c r="CV205" s="10">
        <f>CU205*CV202</f>
        <v>1.2250000000000001</v>
      </c>
      <c r="CW205" s="87">
        <f ca="1">CV161</f>
        <v>4085.2804482540041</v>
      </c>
      <c r="CX205" s="204">
        <f ca="1">CV205*CW205</f>
        <v>5004.468549111155</v>
      </c>
      <c r="CY205" s="10"/>
      <c r="CZ205" s="10"/>
      <c r="DA205" s="10"/>
      <c r="DB205" s="10"/>
      <c r="DC205" s="10"/>
      <c r="DD205" s="10"/>
      <c r="DE205" s="10"/>
      <c r="DF205" s="10"/>
    </row>
    <row r="206" spans="1:110" x14ac:dyDescent="0.2">
      <c r="CR206" s="10"/>
      <c r="CS206" s="10"/>
      <c r="CT206" s="10"/>
      <c r="CU206" s="10"/>
      <c r="CV206" s="10"/>
      <c r="CW206" s="10"/>
      <c r="CX206" s="204">
        <f ca="1">SUM(CX203:CX205)</f>
        <v>18334.003291434143</v>
      </c>
      <c r="CY206" s="10"/>
      <c r="CZ206" s="10"/>
      <c r="DA206" s="10"/>
      <c r="DB206" s="10"/>
      <c r="DC206" s="10"/>
      <c r="DD206" s="10"/>
      <c r="DE206" s="10"/>
      <c r="DF206" s="10"/>
    </row>
    <row r="207" spans="1:110" x14ac:dyDescent="0.2">
      <c r="CR207" s="10"/>
      <c r="CS207" s="10"/>
      <c r="CT207" s="10"/>
      <c r="CU207" s="10"/>
      <c r="CV207" s="10"/>
      <c r="CW207" s="10"/>
      <c r="CX207" s="10"/>
      <c r="CY207" s="10"/>
      <c r="CZ207" s="10"/>
      <c r="DA207" s="10"/>
      <c r="DB207" s="10"/>
      <c r="DC207" s="10"/>
      <c r="DD207" s="10"/>
      <c r="DE207" s="10"/>
      <c r="DF207" s="10"/>
    </row>
    <row r="221" spans="3:95" x14ac:dyDescent="0.2">
      <c r="C221" s="182"/>
      <c r="D221" s="116"/>
      <c r="E221" s="116"/>
      <c r="F221" s="116"/>
      <c r="G221" s="116"/>
      <c r="H221" s="116"/>
      <c r="I221" s="116"/>
      <c r="J221" s="116"/>
      <c r="K221" s="116"/>
      <c r="L221" s="116"/>
      <c r="M221" s="116"/>
      <c r="N221" s="116"/>
      <c r="O221" s="116"/>
      <c r="P221" s="252"/>
      <c r="Q221" s="252"/>
      <c r="R221" s="252"/>
      <c r="S221" s="252"/>
      <c r="T221" s="252"/>
      <c r="U221" s="252"/>
      <c r="V221" s="252"/>
      <c r="W221" s="252"/>
      <c r="X221" s="116"/>
      <c r="Y221" s="116"/>
      <c r="Z221" s="116"/>
      <c r="AA221" s="116"/>
      <c r="AB221" s="116"/>
      <c r="AC221" s="116"/>
      <c r="AD221" s="116"/>
      <c r="AE221" s="116"/>
      <c r="AF221" s="116"/>
      <c r="AG221" s="116"/>
      <c r="AH221" s="116"/>
      <c r="AI221" s="116"/>
      <c r="AJ221" s="116"/>
      <c r="AK221" s="116"/>
      <c r="AL221" s="116"/>
      <c r="AM221" s="116"/>
      <c r="AN221" s="116"/>
      <c r="AO221" s="116"/>
      <c r="AP221" s="116"/>
      <c r="AQ221" s="116"/>
      <c r="AR221" s="116"/>
      <c r="AS221" s="116"/>
      <c r="AT221" s="116"/>
      <c r="AU221" s="116"/>
      <c r="AV221" s="116"/>
      <c r="AW221" s="116"/>
      <c r="AX221" s="116"/>
      <c r="AY221" s="116"/>
      <c r="AZ221" s="116"/>
      <c r="BA221" s="116"/>
      <c r="BB221" s="116"/>
      <c r="BC221" s="116"/>
      <c r="BD221" s="116"/>
      <c r="BE221" s="116"/>
      <c r="BF221" s="116"/>
      <c r="BG221" s="116"/>
      <c r="BH221" s="116"/>
      <c r="BI221" s="116"/>
      <c r="BJ221" s="116"/>
      <c r="BK221" s="116"/>
      <c r="BL221" s="116"/>
      <c r="BM221" s="116"/>
      <c r="BN221" s="116"/>
      <c r="BO221" s="116"/>
      <c r="BP221" s="116"/>
      <c r="BQ221" s="116"/>
      <c r="BR221" s="116"/>
      <c r="BS221" s="116"/>
      <c r="BT221" s="116"/>
      <c r="BU221" s="116"/>
      <c r="BV221" s="116"/>
      <c r="BW221" s="116"/>
      <c r="BX221" s="116"/>
      <c r="BY221" s="116"/>
      <c r="BZ221" s="116"/>
      <c r="CA221" s="116"/>
      <c r="CB221" s="116"/>
      <c r="CC221" s="116"/>
      <c r="CD221" s="116"/>
      <c r="CE221" s="116"/>
      <c r="CF221" s="116"/>
      <c r="CG221" s="116"/>
      <c r="CH221" s="116"/>
      <c r="CI221" s="116"/>
      <c r="CJ221" s="116"/>
      <c r="CK221" s="116"/>
      <c r="CL221" s="116"/>
      <c r="CM221" s="116"/>
      <c r="CN221" s="116"/>
      <c r="CO221" s="116"/>
      <c r="CP221" s="116"/>
      <c r="CQ221" s="116"/>
    </row>
    <row r="222" spans="3:95" x14ac:dyDescent="0.2">
      <c r="AM222" s="254"/>
      <c r="AO222" s="254"/>
    </row>
    <row r="223" spans="3:95" x14ac:dyDescent="0.2">
      <c r="AC223" s="254"/>
      <c r="AD223" s="254"/>
      <c r="AJ223" s="117"/>
      <c r="AK223" s="117"/>
      <c r="AT223" s="254"/>
    </row>
    <row r="224" spans="3:95" x14ac:dyDescent="0.2">
      <c r="AD224" s="254"/>
    </row>
    <row r="230" spans="2:4" x14ac:dyDescent="0.2">
      <c r="B230" s="77"/>
      <c r="C230" s="77"/>
      <c r="D230" s="77"/>
    </row>
  </sheetData>
  <mergeCells count="1">
    <mergeCell ref="BK115:BN115"/>
  </mergeCells>
  <phoneticPr fontId="0" type="noConversion"/>
  <pageMargins left="0.25" right="0.25" top="0.4" bottom="0.8" header="0.5" footer="0.5"/>
  <pageSetup paperSize="5" fitToHeight="4" orientation="landscape" r:id="rId1"/>
  <headerFooter alignWithMargins="0">
    <oddFooter>&amp;L&amp;8&amp;F
&amp;D    &amp;T&amp;C&amp;A&amp;R&amp;8&amp;P of &amp;N</oddFooter>
  </headerFooter>
  <rowBreaks count="3" manualBreakCount="3">
    <brk id="116" min="1" max="109" man="1"/>
    <brk id="150" min="1" max="109" man="1"/>
    <brk id="189" max="79" man="1"/>
  </rowBreaks>
  <colBreaks count="1" manualBreakCount="1">
    <brk id="71" max="188" man="1"/>
  </colBreaks>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enableFormatConditionsCalculation="0">
    <tabColor indexed="57"/>
    <pageSetUpPr fitToPage="1"/>
  </sheetPr>
  <dimension ref="B1:DH101"/>
  <sheetViews>
    <sheetView showGridLines="0" zoomScaleNormal="100" zoomScaleSheetLayoutView="100" workbookViewId="0">
      <pane xSplit="3" ySplit="8" topLeftCell="CC9" activePane="bottomRight" state="frozen"/>
      <selection activeCell="B2" sqref="B2"/>
      <selection pane="topRight" activeCell="B2" sqref="B2"/>
      <selection pane="bottomLeft" activeCell="B2" sqref="B2"/>
      <selection pane="bottomRight" activeCell="DG35" sqref="DG35:DI50"/>
    </sheetView>
  </sheetViews>
  <sheetFormatPr defaultRowHeight="11.25" outlineLevelRow="2" outlineLevelCol="2" x14ac:dyDescent="0.2"/>
  <cols>
    <col min="1" max="1" width="2.7109375" style="10" customWidth="1"/>
    <col min="2" max="2" width="27.7109375" style="10" customWidth="1"/>
    <col min="3" max="3" width="2.5703125" style="10" customWidth="1"/>
    <col min="4" max="5" width="9.140625" style="10" hidden="1" customWidth="1" outlineLevel="1"/>
    <col min="6" max="9" width="9.140625" style="10" hidden="1" customWidth="1" outlineLevel="2"/>
    <col min="10" max="10" width="9.140625" style="10" hidden="1" customWidth="1" outlineLevel="1" collapsed="1"/>
    <col min="11" max="14" width="9.140625" style="10" hidden="1" customWidth="1" outlineLevel="2"/>
    <col min="15" max="15" width="9.140625" style="10" hidden="1" customWidth="1" outlineLevel="1" collapsed="1"/>
    <col min="16" max="16" width="8" style="10" hidden="1" customWidth="1" outlineLevel="1" collapsed="1"/>
    <col min="17" max="19" width="7.28515625" style="10" hidden="1" customWidth="1" outlineLevel="1"/>
    <col min="20" max="20" width="8" style="10" hidden="1" customWidth="1" outlineLevel="1" collapsed="1"/>
    <col min="21" max="21" width="8" style="10" hidden="1" customWidth="1" outlineLevel="1"/>
    <col min="22" max="22" width="8.7109375" style="10" hidden="1" customWidth="1" outlineLevel="1"/>
    <col min="23" max="24" width="8" style="10" hidden="1" customWidth="1" outlineLevel="1"/>
    <col min="25" max="25" width="8" style="10" hidden="1" customWidth="1" outlineLevel="1" collapsed="1"/>
    <col min="26" max="29" width="8" style="10" hidden="1" customWidth="1" outlineLevel="1"/>
    <col min="30" max="30" width="8" style="10" hidden="1" customWidth="1" outlineLevel="1" collapsed="1"/>
    <col min="31" max="34" width="8" style="10" hidden="1" customWidth="1" outlineLevel="1"/>
    <col min="35" max="35" width="8" style="10" hidden="1" customWidth="1" outlineLevel="1" collapsed="1"/>
    <col min="36" max="39" width="8" style="10" hidden="1" customWidth="1" outlineLevel="2"/>
    <col min="40" max="40" width="7.85546875" style="10" hidden="1" customWidth="1" outlineLevel="1"/>
    <col min="41" max="44" width="7.85546875" style="10" hidden="1" customWidth="1" outlineLevel="2"/>
    <col min="45" max="45" width="7.85546875" style="10" hidden="1" customWidth="1" outlineLevel="1"/>
    <col min="46" max="49" width="7.85546875" style="10" hidden="1" customWidth="1" outlineLevel="2"/>
    <col min="50" max="50" width="7.85546875" style="10" hidden="1" customWidth="1" outlineLevel="1"/>
    <col min="51" max="54" width="7.85546875" style="10" hidden="1" customWidth="1" outlineLevel="2"/>
    <col min="55" max="59" width="7.85546875" style="10" hidden="1" customWidth="1" outlineLevel="1"/>
    <col min="60" max="60" width="7.85546875" style="10" hidden="1" customWidth="1" collapsed="1"/>
    <col min="61" max="64" width="7.85546875" style="10" hidden="1" customWidth="1" outlineLevel="1"/>
    <col min="65" max="65" width="7.85546875" style="10" hidden="1" customWidth="1" collapsed="1"/>
    <col min="66" max="69" width="7.85546875" style="10" hidden="1" customWidth="1" outlineLevel="1"/>
    <col min="70" max="70" width="7.85546875" style="10" hidden="1" customWidth="1" collapsed="1"/>
    <col min="71" max="74" width="7.85546875" style="10" hidden="1" customWidth="1" outlineLevel="1"/>
    <col min="75" max="75" width="7.85546875" style="10" hidden="1" customWidth="1" collapsed="1"/>
    <col min="76" max="79" width="7.85546875" style="10" hidden="1" customWidth="1" outlineLevel="1"/>
    <col min="80" max="80" width="7.85546875" style="10" hidden="1" customWidth="1" collapsed="1"/>
    <col min="81" max="84" width="7.85546875" style="10" hidden="1" customWidth="1" outlineLevel="1"/>
    <col min="85" max="85" width="7.85546875" style="10" hidden="1" customWidth="1" collapsed="1"/>
    <col min="86" max="89" width="7.85546875" style="10" customWidth="1" outlineLevel="1"/>
    <col min="90" max="90" width="7.85546875" style="10" customWidth="1"/>
    <col min="91" max="94" width="7.85546875" style="10" customWidth="1" outlineLevel="1"/>
    <col min="95" max="95" width="7.85546875" style="10" customWidth="1"/>
    <col min="96" max="99" width="0" style="10" hidden="1" customWidth="1" outlineLevel="1"/>
    <col min="100" max="100" width="9.140625" style="10" collapsed="1"/>
    <col min="101" max="104" width="0" style="10" hidden="1" customWidth="1" outlineLevel="1"/>
    <col min="105" max="105" width="9.140625" style="10" collapsed="1"/>
    <col min="106" max="109" width="0" style="10" hidden="1" customWidth="1" outlineLevel="1"/>
    <col min="110" max="110" width="9.140625" style="10" collapsed="1"/>
    <col min="111" max="16384" width="9.140625" style="10"/>
  </cols>
  <sheetData>
    <row r="1" spans="2:110" s="1413" customFormat="1" ht="12.75" hidden="1" outlineLevel="1" x14ac:dyDescent="0.2">
      <c r="B1" s="1414" t="s">
        <v>152</v>
      </c>
      <c r="C1" s="1414"/>
      <c r="D1" s="1414"/>
      <c r="E1" s="1414"/>
      <c r="F1" s="1414"/>
      <c r="G1" s="1414"/>
      <c r="H1" s="1414"/>
      <c r="I1" s="1414"/>
      <c r="J1" s="1414"/>
      <c r="K1" s="1414"/>
      <c r="L1" s="1414"/>
      <c r="M1" s="1414"/>
      <c r="N1" s="1414"/>
      <c r="O1" s="1414"/>
      <c r="P1" s="1414"/>
      <c r="Q1" s="1414"/>
      <c r="R1" s="1414"/>
      <c r="S1" s="1414"/>
      <c r="T1" s="1414"/>
      <c r="U1" s="1414"/>
      <c r="V1" s="1414"/>
      <c r="W1" s="1414"/>
      <c r="X1" s="1414"/>
      <c r="Y1" s="1414"/>
      <c r="Z1" s="1414"/>
      <c r="AA1" s="1414"/>
      <c r="AB1" s="1414"/>
      <c r="AC1" s="1414"/>
      <c r="AD1" s="1414"/>
      <c r="AE1" s="1414"/>
      <c r="AF1" s="1414"/>
      <c r="AG1" s="1414"/>
      <c r="AH1" s="1414"/>
      <c r="AI1" s="1414"/>
      <c r="AJ1" s="1414"/>
      <c r="AK1" s="1414"/>
      <c r="AL1" s="1414"/>
      <c r="AM1" s="1414"/>
      <c r="AN1" s="1415"/>
      <c r="AO1" s="1415"/>
      <c r="AP1" s="1415"/>
      <c r="AQ1" s="1415"/>
      <c r="AR1" s="1414"/>
      <c r="AS1" s="1416">
        <f>Model!AS28</f>
        <v>1.5480540111199399</v>
      </c>
      <c r="AT1" s="1416">
        <f>Model!AT28</f>
        <v>0.44203770557561239</v>
      </c>
      <c r="AU1" s="1416">
        <f>Model!AU28</f>
        <v>0.44918856259659962</v>
      </c>
      <c r="AV1" s="1416">
        <f>Model!AV28</f>
        <v>0.41630591630591529</v>
      </c>
      <c r="AW1" s="1416">
        <f>Model!AW28</f>
        <v>0.48705501618122948</v>
      </c>
      <c r="AX1" s="1416">
        <f>Model!AX28</f>
        <v>1.7953733308256565</v>
      </c>
      <c r="AY1" s="1417">
        <f>Model!AY28</f>
        <v>0.54839870456998863</v>
      </c>
      <c r="AZ1" s="1417">
        <f>Model!AZ28</f>
        <v>0.5980730776222517</v>
      </c>
      <c r="BA1" s="1417">
        <f>Model!BA28</f>
        <v>0.64916201117318229</v>
      </c>
      <c r="BB1" s="1417">
        <f>Model!BB28</f>
        <v>0.70895102270595001</v>
      </c>
      <c r="BC1" s="1417">
        <f>Model!BC28</f>
        <v>2.5005974813861567</v>
      </c>
      <c r="BD1" s="1417">
        <f>Model!BD28</f>
        <v>0.65761378535306236</v>
      </c>
      <c r="BE1" s="1417">
        <f>Model!BE28</f>
        <v>0.70729783037475413</v>
      </c>
      <c r="BF1" s="1417">
        <f>Model!BF28</f>
        <v>0.79299103504482327</v>
      </c>
      <c r="BG1" s="1417">
        <f ca="1">Model!BG28</f>
        <v>0.83434997808597022</v>
      </c>
      <c r="BH1" s="1417">
        <f ca="1">Model!BH28</f>
        <v>2.9829210457446247</v>
      </c>
      <c r="BI1" s="1417">
        <f>Model!BI28</f>
        <v>0.73228507249336339</v>
      </c>
      <c r="BJ1" s="1417">
        <f>Model!BJ28</f>
        <v>0.85422988226726559</v>
      </c>
      <c r="BK1" s="1417">
        <f>Model!BK28</f>
        <v>1.0383317261330762</v>
      </c>
      <c r="BL1" s="1417">
        <f>Model!BL28</f>
        <v>1.0502162421912558</v>
      </c>
      <c r="BM1" s="1417">
        <f>Model!BM28</f>
        <v>3.7441455907935253</v>
      </c>
      <c r="BN1" s="1417">
        <f>Model!BN28</f>
        <v>0.98942942942942735</v>
      </c>
      <c r="BO1" s="1417">
        <f>Model!BO28</f>
        <v>1.1307339449541247</v>
      </c>
      <c r="BP1" s="1417">
        <f>Model!BP28</f>
        <v>1.0905334791590671</v>
      </c>
      <c r="BQ1" s="1417">
        <f>Model!BQ28</f>
        <v>1.1163717916770513</v>
      </c>
      <c r="BR1" s="1417">
        <f>Model!BR28</f>
        <v>4.3253407984420553</v>
      </c>
      <c r="BS1" s="1417">
        <f>Model!BS28</f>
        <v>0.99084435401831239</v>
      </c>
      <c r="BT1" s="1417">
        <f>Model!BT28</f>
        <v>1.2255707762557071</v>
      </c>
      <c r="BU1" s="1417">
        <f>Model!BU28</f>
        <v>1.2902144772117965</v>
      </c>
      <c r="BV1" s="1417">
        <f>Model!BV28</f>
        <v>1.3865022360753494</v>
      </c>
      <c r="BW1" s="1417">
        <f>Model!BW28</f>
        <v>4.8790832455216027</v>
      </c>
      <c r="BX1" s="1418">
        <f>Model!BX28</f>
        <v>1.1000815882512918</v>
      </c>
      <c r="BY1" s="1417">
        <f>Model!BY28</f>
        <v>1.4368946287056059</v>
      </c>
      <c r="BZ1" s="1417">
        <f>Model!BZ28</f>
        <v>1.4508941659337435</v>
      </c>
      <c r="CA1" s="1417">
        <f>Model!CA28</f>
        <v>1.5574923099458033</v>
      </c>
      <c r="CB1" s="1417">
        <f>Model!CB28</f>
        <v>5.545362692836445</v>
      </c>
      <c r="CC1" s="1418">
        <f>Model!CC28</f>
        <v>1.2031706941665383</v>
      </c>
      <c r="CD1" s="1417">
        <f>Model!CD28</f>
        <v>1.571024067956583</v>
      </c>
      <c r="CE1" s="1417">
        <f>Model!CE28</f>
        <v>1.7407112103332802</v>
      </c>
      <c r="CF1" s="1417">
        <f>Model!CF28</f>
        <v>1.8793806030969846</v>
      </c>
      <c r="CG1" s="1417">
        <f>Model!CG28</f>
        <v>6.3942865755533873</v>
      </c>
      <c r="CH1" s="1418">
        <f>Model!CH28</f>
        <v>1.3310196661708806</v>
      </c>
      <c r="CI1" s="1417">
        <f>Model!CI28</f>
        <v>1.7296789617486334</v>
      </c>
      <c r="CJ1" s="1417">
        <f>Model!CJ28</f>
        <v>1.9029058639290062</v>
      </c>
      <c r="CK1" s="1417">
        <f>Model!CK28</f>
        <v>2.1622097114707954</v>
      </c>
      <c r="CL1" s="1417">
        <f>Model!CL28</f>
        <v>7.1258142033193153</v>
      </c>
      <c r="CM1" s="1418">
        <f ca="1">Model!CM28</f>
        <v>1.7585269261523324</v>
      </c>
      <c r="CN1" s="1417">
        <f ca="1">Model!CN28</f>
        <v>2.3441323861462924</v>
      </c>
      <c r="CO1" s="1417">
        <f ca="1">Model!CO28</f>
        <v>2.3779947125068932</v>
      </c>
      <c r="CP1" s="1417">
        <f ca="1">Model!CP28</f>
        <v>2.5912679856317542</v>
      </c>
      <c r="CQ1" s="1417">
        <f ca="1">Model!CQ28</f>
        <v>9.0719220104372731</v>
      </c>
    </row>
    <row r="2" spans="2:110" s="1413" customFormat="1" ht="12.75" hidden="1" outlineLevel="1" x14ac:dyDescent="0.2">
      <c r="B2" s="1414"/>
      <c r="C2" s="1414"/>
      <c r="D2" s="1414"/>
      <c r="E2" s="1414"/>
      <c r="F2" s="1414"/>
      <c r="G2" s="1414"/>
      <c r="H2" s="1414"/>
      <c r="I2" s="1414"/>
      <c r="J2" s="1414"/>
      <c r="K2" s="1414"/>
      <c r="L2" s="1414"/>
      <c r="M2" s="1414"/>
      <c r="N2" s="1414"/>
      <c r="O2" s="1414"/>
      <c r="P2" s="1414"/>
      <c r="Q2" s="1414"/>
      <c r="R2" s="1414"/>
      <c r="S2" s="1414"/>
      <c r="T2" s="1414"/>
      <c r="U2" s="1414"/>
      <c r="V2" s="1414"/>
      <c r="W2" s="1414"/>
      <c r="X2" s="1414"/>
      <c r="Y2" s="1414"/>
      <c r="Z2" s="1414"/>
      <c r="AA2" s="1414"/>
      <c r="AB2" s="1414"/>
      <c r="AC2" s="1414"/>
      <c r="AD2" s="1414"/>
      <c r="AE2" s="1414"/>
      <c r="AF2" s="1414"/>
      <c r="AG2" s="1414"/>
      <c r="AH2" s="1414"/>
      <c r="AI2" s="1414"/>
      <c r="AJ2" s="1414"/>
      <c r="AK2" s="1414"/>
      <c r="AL2" s="1414"/>
      <c r="AM2" s="1414"/>
      <c r="AN2" s="1419"/>
      <c r="AO2" s="1420"/>
      <c r="AP2" s="1421"/>
      <c r="AQ2" s="1415"/>
      <c r="AR2" s="1414"/>
      <c r="AS2" s="1422"/>
      <c r="AT2" s="1422"/>
      <c r="AU2" s="1422"/>
      <c r="AV2" s="1422"/>
      <c r="AW2" s="1422"/>
      <c r="AX2" s="1422"/>
      <c r="AY2" s="1423"/>
      <c r="AZ2" s="1423"/>
      <c r="BA2" s="1423"/>
      <c r="BB2" s="1423"/>
      <c r="BC2" s="1423"/>
      <c r="BD2" s="1423"/>
      <c r="BE2" s="1423"/>
      <c r="BF2" s="1423"/>
      <c r="BG2" s="1423"/>
      <c r="BH2" s="1422"/>
      <c r="BI2" s="1423"/>
      <c r="BJ2" s="1502"/>
      <c r="BK2" s="1502"/>
      <c r="BL2" s="1502"/>
      <c r="BM2" s="1502"/>
      <c r="BN2" s="1423"/>
      <c r="BO2" s="1423"/>
      <c r="BP2" s="1423"/>
      <c r="BQ2" s="1423"/>
      <c r="BR2" s="1423"/>
      <c r="BS2" s="1424"/>
      <c r="BT2" s="1423"/>
      <c r="BU2" s="1423"/>
      <c r="BV2" s="1423"/>
      <c r="BW2" s="1423"/>
      <c r="BX2" s="1424"/>
      <c r="BY2" s="1423"/>
      <c r="BZ2" s="1423"/>
      <c r="CA2" s="1423"/>
      <c r="CB2" s="1423"/>
      <c r="CC2" s="1424"/>
      <c r="CD2" s="1423"/>
      <c r="CE2" s="1423"/>
      <c r="CF2" s="1423"/>
      <c r="CG2" s="1423"/>
      <c r="CH2" s="1424"/>
      <c r="CI2" s="1423"/>
      <c r="CJ2" s="1423"/>
      <c r="CK2" s="1423"/>
      <c r="CL2" s="1423"/>
      <c r="CM2" s="1424"/>
      <c r="CN2" s="1423"/>
      <c r="CO2" s="1423"/>
      <c r="CP2" s="1423"/>
      <c r="CQ2" s="1423"/>
    </row>
    <row r="3" spans="2:110" s="1413" customFormat="1" ht="12.75" hidden="1" outlineLevel="1" x14ac:dyDescent="0.2">
      <c r="B3" s="1414"/>
      <c r="C3" s="1414"/>
      <c r="D3" s="1414"/>
      <c r="E3" s="1414"/>
      <c r="F3" s="1414"/>
      <c r="G3" s="1414"/>
      <c r="H3" s="1414"/>
      <c r="I3" s="1414"/>
      <c r="J3" s="1414"/>
      <c r="K3" s="1414"/>
      <c r="L3" s="1414"/>
      <c r="M3" s="1414"/>
      <c r="N3" s="1414"/>
      <c r="O3" s="1414"/>
      <c r="P3" s="1414"/>
      <c r="Q3" s="1414"/>
      <c r="R3" s="1414"/>
      <c r="S3" s="1414"/>
      <c r="T3" s="1414"/>
      <c r="U3" s="1414"/>
      <c r="V3" s="1414"/>
      <c r="W3" s="1414"/>
      <c r="X3" s="1414"/>
      <c r="Y3" s="1414"/>
      <c r="Z3" s="1414"/>
      <c r="AA3" s="1414"/>
      <c r="AB3" s="1414"/>
      <c r="AC3" s="1414"/>
      <c r="AD3" s="1414"/>
      <c r="AE3" s="1414"/>
      <c r="AF3" s="1414"/>
      <c r="AG3" s="1414"/>
      <c r="AH3" s="1414"/>
      <c r="AI3" s="1414"/>
      <c r="AJ3" s="1414"/>
      <c r="AK3" s="1414"/>
      <c r="AL3" s="1414"/>
      <c r="AM3" s="1414"/>
      <c r="AN3" s="1419"/>
      <c r="AO3" s="1420"/>
      <c r="AP3" s="1421"/>
      <c r="AQ3" s="1415"/>
      <c r="AR3" s="1414"/>
      <c r="AS3" s="1422"/>
      <c r="AT3" s="1422"/>
      <c r="AU3" s="1422"/>
      <c r="AV3" s="1422"/>
      <c r="AW3" s="1422"/>
      <c r="AX3" s="1422"/>
      <c r="AY3" s="1423"/>
      <c r="AZ3" s="1423"/>
      <c r="BA3" s="1423"/>
      <c r="BB3" s="1423"/>
      <c r="BC3" s="1423"/>
      <c r="BD3" s="1423"/>
      <c r="BE3" s="1423"/>
      <c r="BF3" s="1423"/>
      <c r="BG3" s="1423"/>
      <c r="BH3" s="1422"/>
      <c r="BI3" s="1423"/>
      <c r="BJ3" s="1423"/>
      <c r="BK3" s="1423"/>
      <c r="BL3" s="1423"/>
      <c r="BM3" s="1423"/>
      <c r="BN3" s="1423"/>
      <c r="BO3" s="1423"/>
      <c r="BP3" s="1423"/>
      <c r="BQ3" s="1423"/>
      <c r="BR3" s="1423"/>
      <c r="BS3" s="1424"/>
      <c r="BT3" s="1423"/>
      <c r="BU3" s="1423"/>
      <c r="BV3" s="1423"/>
      <c r="BW3" s="1423"/>
      <c r="BX3" s="1424"/>
      <c r="BY3" s="1423"/>
      <c r="BZ3" s="1423"/>
      <c r="CA3" s="1423"/>
      <c r="CB3" s="1423"/>
      <c r="CC3" s="1424"/>
      <c r="CD3" s="1423"/>
      <c r="CE3" s="1423"/>
      <c r="CF3" s="1423"/>
      <c r="CG3" s="1423"/>
      <c r="CH3" s="1424"/>
      <c r="CI3" s="1423"/>
      <c r="CJ3" s="1423"/>
      <c r="CK3" s="1423"/>
      <c r="CL3" s="1423"/>
      <c r="CM3" s="1424"/>
      <c r="CN3" s="1423"/>
      <c r="CO3" s="1423"/>
      <c r="CP3" s="1423"/>
      <c r="CQ3" s="1423"/>
    </row>
    <row r="4" spans="2:110" ht="18.75" collapsed="1" x14ac:dyDescent="0.3">
      <c r="B4" s="882" t="str">
        <f>Ticker</f>
        <v>ESRX</v>
      </c>
      <c r="C4" s="883"/>
      <c r="D4" s="883"/>
      <c r="E4" s="884"/>
      <c r="F4" s="885"/>
      <c r="G4" s="884"/>
      <c r="H4" s="884"/>
      <c r="I4" s="886"/>
      <c r="J4" s="884"/>
      <c r="K4" s="884"/>
      <c r="L4" s="884"/>
      <c r="M4" s="887"/>
      <c r="N4" s="887"/>
      <c r="O4" s="886"/>
      <c r="P4" s="888"/>
      <c r="Q4" s="889"/>
      <c r="R4" s="890"/>
      <c r="S4" s="890"/>
      <c r="T4" s="884"/>
      <c r="U4" s="888"/>
      <c r="V4" s="889"/>
      <c r="W4" s="884"/>
      <c r="X4" s="884"/>
      <c r="Y4" s="890"/>
      <c r="Z4" s="884"/>
      <c r="AA4" s="884"/>
      <c r="AB4" s="884"/>
      <c r="AC4" s="884"/>
      <c r="AD4" s="884"/>
      <c r="AE4" s="884"/>
      <c r="AF4" s="884"/>
      <c r="AG4" s="884"/>
      <c r="AH4" s="884"/>
      <c r="AI4" s="891"/>
      <c r="AJ4" s="884"/>
      <c r="AK4" s="884"/>
      <c r="AL4" s="884"/>
      <c r="AM4" s="884"/>
      <c r="AN4" s="884"/>
      <c r="AO4" s="884"/>
      <c r="AP4" s="884"/>
      <c r="AQ4" s="884"/>
      <c r="AR4" s="884"/>
      <c r="AS4" s="884"/>
      <c r="AT4" s="884"/>
      <c r="AU4" s="884"/>
      <c r="AV4" s="884"/>
      <c r="AW4" s="884"/>
      <c r="AX4" s="884"/>
      <c r="AY4" s="1100"/>
      <c r="AZ4" s="1100"/>
      <c r="BA4" s="1100"/>
      <c r="BB4" s="1100"/>
      <c r="BC4" s="1101"/>
      <c r="BD4" s="1140"/>
      <c r="BE4" s="884"/>
      <c r="BF4" s="884"/>
      <c r="BG4" s="884"/>
      <c r="BH4" s="884"/>
      <c r="BI4" s="884"/>
      <c r="BJ4" s="884"/>
      <c r="BK4" s="884"/>
      <c r="BL4" s="884"/>
      <c r="BM4" s="884"/>
      <c r="BN4" s="884"/>
      <c r="BO4" s="884"/>
      <c r="BP4" s="884"/>
      <c r="BQ4" s="892"/>
      <c r="BR4" s="892"/>
      <c r="BS4" s="892"/>
      <c r="BT4" s="892"/>
      <c r="BU4" s="892"/>
      <c r="BV4" s="892"/>
      <c r="BW4" s="892"/>
      <c r="BX4" s="892"/>
      <c r="BY4" s="892"/>
      <c r="BZ4" s="892"/>
      <c r="CA4" s="892"/>
      <c r="CB4" s="892"/>
      <c r="CC4" s="892"/>
      <c r="CD4" s="892"/>
      <c r="CE4" s="892"/>
      <c r="CF4" s="892"/>
      <c r="CG4" s="892"/>
      <c r="CH4" s="892"/>
      <c r="CI4" s="892"/>
      <c r="CJ4" s="892"/>
      <c r="CK4" s="892"/>
      <c r="CL4" s="892"/>
      <c r="CM4" s="892"/>
      <c r="CN4" s="892"/>
      <c r="CO4" s="892"/>
      <c r="CP4" s="892"/>
      <c r="CQ4" s="892"/>
      <c r="CR4" s="892"/>
      <c r="CS4" s="892"/>
      <c r="CT4" s="892"/>
      <c r="CU4" s="892"/>
      <c r="CV4" s="892"/>
      <c r="CW4" s="892"/>
      <c r="CX4" s="892"/>
      <c r="CY4" s="892"/>
      <c r="CZ4" s="892"/>
      <c r="DA4" s="892"/>
      <c r="DB4" s="892"/>
      <c r="DC4" s="892"/>
      <c r="DD4" s="892"/>
      <c r="DE4" s="892"/>
      <c r="DF4" s="892"/>
    </row>
    <row r="5" spans="2:110" ht="12" thickBot="1" x14ac:dyDescent="0.25">
      <c r="B5" s="893" t="s">
        <v>361</v>
      </c>
      <c r="C5" s="884"/>
      <c r="D5" s="884"/>
      <c r="E5" s="884"/>
      <c r="F5" s="884"/>
      <c r="G5" s="894"/>
      <c r="H5" s="884"/>
      <c r="I5" s="884"/>
      <c r="J5" s="884"/>
      <c r="K5" s="886"/>
      <c r="L5" s="885"/>
      <c r="M5" s="886"/>
      <c r="N5" s="886"/>
      <c r="O5" s="884"/>
      <c r="P5" s="886"/>
      <c r="Q5" s="886"/>
      <c r="R5" s="886"/>
      <c r="S5" s="886"/>
      <c r="T5" s="889"/>
      <c r="U5" s="886"/>
      <c r="V5" s="886"/>
      <c r="W5" s="886"/>
      <c r="X5" s="889"/>
      <c r="Y5" s="889"/>
      <c r="Z5" s="884"/>
      <c r="AA5" s="884"/>
      <c r="AB5" s="884"/>
      <c r="AC5" s="891"/>
      <c r="AD5" s="884"/>
      <c r="AE5" s="895"/>
      <c r="AF5" s="896"/>
      <c r="AG5" s="889"/>
      <c r="AH5" s="884"/>
      <c r="AI5" s="897"/>
      <c r="AJ5" s="885"/>
      <c r="AK5" s="884"/>
      <c r="AL5" s="884"/>
      <c r="AM5" s="884"/>
      <c r="AN5" s="885"/>
      <c r="AO5" s="891"/>
      <c r="AP5" s="884"/>
      <c r="AQ5" s="884"/>
      <c r="AR5" s="884"/>
      <c r="AS5" s="884"/>
      <c r="AT5" s="891"/>
      <c r="AU5" s="884"/>
      <c r="AV5" s="884"/>
      <c r="AW5" s="884"/>
      <c r="AX5" s="884"/>
      <c r="AY5" s="898"/>
      <c r="AZ5" s="884"/>
      <c r="BA5" s="884"/>
      <c r="BB5" s="884"/>
      <c r="BC5" s="884"/>
      <c r="BD5" s="884"/>
      <c r="BE5" s="884"/>
      <c r="BF5" s="884"/>
      <c r="BG5" s="884"/>
      <c r="BH5" s="884"/>
      <c r="BI5" s="884"/>
      <c r="BJ5" s="884"/>
      <c r="BK5" s="884"/>
      <c r="BL5" s="884"/>
      <c r="BM5" s="884"/>
      <c r="BN5" s="884"/>
      <c r="BO5" s="884"/>
      <c r="BP5" s="884"/>
      <c r="BQ5" s="892"/>
      <c r="BR5" s="892"/>
      <c r="BS5" s="892"/>
      <c r="BT5" s="892"/>
      <c r="BU5" s="892"/>
      <c r="BV5" s="892"/>
      <c r="BW5" s="892"/>
      <c r="BX5" s="892"/>
      <c r="BY5" s="892"/>
      <c r="BZ5" s="892"/>
      <c r="CA5" s="892"/>
      <c r="CB5" s="892"/>
      <c r="CC5" s="892"/>
      <c r="CD5" s="892"/>
      <c r="CE5" s="892"/>
      <c r="CF5" s="892"/>
      <c r="CG5" s="892"/>
      <c r="CH5" s="892"/>
      <c r="CI5" s="892"/>
      <c r="CJ5" s="892"/>
      <c r="CK5" s="892"/>
      <c r="CL5" s="892"/>
      <c r="CM5" s="892"/>
      <c r="CN5" s="892"/>
      <c r="CO5" s="892"/>
      <c r="CP5" s="892"/>
      <c r="CQ5" s="892"/>
      <c r="CR5" s="892"/>
      <c r="CS5" s="892"/>
      <c r="CT5" s="892"/>
      <c r="CU5" s="892"/>
      <c r="CV5" s="892"/>
      <c r="CW5" s="892"/>
      <c r="CX5" s="892"/>
      <c r="CY5" s="892"/>
      <c r="CZ5" s="892"/>
      <c r="DA5" s="892"/>
      <c r="DB5" s="892"/>
      <c r="DC5" s="892"/>
      <c r="DD5" s="892"/>
      <c r="DE5" s="892"/>
      <c r="DF5" s="892"/>
    </row>
    <row r="6" spans="2:110" ht="12" hidden="1" customHeight="1" outlineLevel="1" thickBot="1" x14ac:dyDescent="0.25">
      <c r="B6" s="77" t="s">
        <v>154</v>
      </c>
      <c r="E6" s="162"/>
      <c r="F6" s="162">
        <v>36981</v>
      </c>
      <c r="G6" s="162">
        <v>37072</v>
      </c>
      <c r="H6" s="162">
        <v>37164</v>
      </c>
      <c r="I6" s="162">
        <v>37256</v>
      </c>
      <c r="J6" s="162"/>
      <c r="K6" s="162">
        <v>37346</v>
      </c>
      <c r="L6" s="162">
        <v>37437</v>
      </c>
      <c r="M6" s="162">
        <v>37529</v>
      </c>
      <c r="N6" s="162">
        <v>37621</v>
      </c>
      <c r="O6" s="162"/>
      <c r="P6" s="163">
        <v>37711</v>
      </c>
      <c r="Q6" s="163">
        <v>37802</v>
      </c>
      <c r="R6" s="163">
        <v>37894</v>
      </c>
      <c r="S6" s="163">
        <v>37986</v>
      </c>
      <c r="T6" s="162"/>
      <c r="U6" s="163">
        <v>38077</v>
      </c>
      <c r="V6" s="163">
        <v>38168</v>
      </c>
      <c r="W6" s="163">
        <v>38260</v>
      </c>
      <c r="X6" s="162">
        <v>38352</v>
      </c>
      <c r="Y6" s="162"/>
      <c r="Z6" s="162">
        <v>38442</v>
      </c>
      <c r="AA6" s="162">
        <v>38533</v>
      </c>
      <c r="AB6" s="162">
        <v>38625</v>
      </c>
      <c r="AC6" s="162">
        <v>38717</v>
      </c>
      <c r="AD6" s="162"/>
      <c r="AE6" s="162">
        <v>38807</v>
      </c>
      <c r="AF6" s="162">
        <v>38898</v>
      </c>
      <c r="AG6" s="162">
        <v>38990</v>
      </c>
      <c r="AH6" s="162">
        <v>39082</v>
      </c>
      <c r="AI6" s="162"/>
      <c r="AJ6" s="162">
        <v>39172</v>
      </c>
      <c r="AK6" s="162">
        <v>39263</v>
      </c>
      <c r="AL6" s="162">
        <v>39355</v>
      </c>
      <c r="AM6" s="162">
        <v>39447</v>
      </c>
      <c r="AN6" s="162"/>
      <c r="AO6" s="162">
        <f>Revenue!AO6</f>
        <v>39538</v>
      </c>
      <c r="AP6" s="162">
        <f>Revenue!AP6</f>
        <v>39629</v>
      </c>
      <c r="AQ6" s="162">
        <f>Revenue!AQ6</f>
        <v>39721</v>
      </c>
      <c r="AR6" s="162">
        <f>Revenue!AR6</f>
        <v>39813</v>
      </c>
      <c r="AS6" s="162"/>
      <c r="AT6" s="162">
        <f>Revenue!AT6</f>
        <v>39903</v>
      </c>
      <c r="AU6" s="162">
        <f>Revenue!AU6</f>
        <v>39994</v>
      </c>
      <c r="AV6" s="162">
        <f>Revenue!AV6</f>
        <v>40086</v>
      </c>
      <c r="AW6" s="162">
        <f>Revenue!AW6</f>
        <v>40178</v>
      </c>
      <c r="AX6" s="162"/>
      <c r="AY6" s="162">
        <f>Revenue!AY6</f>
        <v>40268</v>
      </c>
      <c r="AZ6" s="162">
        <f>Revenue!AZ6</f>
        <v>40359</v>
      </c>
      <c r="BA6" s="162">
        <f>Revenue!BA6</f>
        <v>40451</v>
      </c>
      <c r="BB6" s="162">
        <f>Revenue!BB6</f>
        <v>40543</v>
      </c>
      <c r="BC6" s="162"/>
      <c r="BD6" s="162">
        <f>Revenue!BD6</f>
        <v>40633</v>
      </c>
      <c r="BE6" s="162">
        <f>Revenue!BE6</f>
        <v>40724</v>
      </c>
      <c r="BF6" s="162">
        <f>Revenue!BF6</f>
        <v>40816</v>
      </c>
      <c r="BG6" s="162">
        <f>Revenue!BG6</f>
        <v>40908</v>
      </c>
      <c r="BH6" s="162"/>
      <c r="BI6" s="162">
        <f>Revenue!BI6</f>
        <v>40999</v>
      </c>
      <c r="BJ6" s="162">
        <f>Revenue!BJ6</f>
        <v>41090</v>
      </c>
      <c r="BK6" s="162">
        <f>Revenue!BK6</f>
        <v>41182</v>
      </c>
      <c r="BL6" s="162">
        <f>Revenue!BL6</f>
        <v>41274</v>
      </c>
      <c r="BM6" s="162"/>
      <c r="BN6" s="162">
        <f>Revenue!BN6</f>
        <v>41364</v>
      </c>
      <c r="BO6" s="162">
        <f>Revenue!BO6</f>
        <v>41455</v>
      </c>
      <c r="BP6" s="162">
        <f>Revenue!BP6</f>
        <v>41547</v>
      </c>
      <c r="BQ6" s="162">
        <f>Revenue!BQ6</f>
        <v>41639</v>
      </c>
      <c r="BR6" s="162"/>
      <c r="BS6" s="162">
        <f>Revenue!BS6</f>
        <v>41729</v>
      </c>
      <c r="BT6" s="162">
        <f>Revenue!BT6</f>
        <v>41820</v>
      </c>
      <c r="BU6" s="162">
        <f>Revenue!BU6</f>
        <v>41912</v>
      </c>
      <c r="BV6" s="162">
        <f>Revenue!BV6</f>
        <v>42004</v>
      </c>
      <c r="BW6" s="162"/>
      <c r="BX6" s="162">
        <f>Revenue!BX6</f>
        <v>42094</v>
      </c>
      <c r="BY6" s="162">
        <f>Revenue!BY6</f>
        <v>42185</v>
      </c>
      <c r="BZ6" s="162">
        <f>Revenue!BZ6</f>
        <v>42277</v>
      </c>
      <c r="CA6" s="162">
        <f>Revenue!CA6</f>
        <v>42369</v>
      </c>
      <c r="CB6" s="162"/>
      <c r="CC6" s="162">
        <f>Revenue!CC6</f>
        <v>42094</v>
      </c>
      <c r="CD6" s="162">
        <f>Revenue!CD6</f>
        <v>42185</v>
      </c>
      <c r="CE6" s="162">
        <f>Revenue!CE6</f>
        <v>42277</v>
      </c>
      <c r="CF6" s="162">
        <f>Revenue!CF6</f>
        <v>42369</v>
      </c>
      <c r="CG6" s="162"/>
      <c r="CH6" s="162">
        <f>Revenue!CH6</f>
        <v>42094</v>
      </c>
      <c r="CI6" s="162">
        <f>Revenue!CI6</f>
        <v>42185</v>
      </c>
      <c r="CJ6" s="162">
        <f>Revenue!CJ6</f>
        <v>42277</v>
      </c>
      <c r="CK6" s="162">
        <f>Revenue!CK6</f>
        <v>42369</v>
      </c>
      <c r="CL6" s="162"/>
      <c r="CM6" s="162">
        <f>Revenue!CM6</f>
        <v>42094</v>
      </c>
      <c r="CN6" s="162">
        <f>Revenue!CN6</f>
        <v>42185</v>
      </c>
      <c r="CO6" s="162">
        <f>Revenue!CO6</f>
        <v>42277</v>
      </c>
      <c r="CP6" s="162">
        <f>Revenue!CP6</f>
        <v>42369</v>
      </c>
      <c r="CQ6" s="162"/>
      <c r="CR6" s="162">
        <f>Revenue!CR6</f>
        <v>42094</v>
      </c>
      <c r="CS6" s="162">
        <f>Revenue!CS6</f>
        <v>42185</v>
      </c>
      <c r="CT6" s="162">
        <f>Revenue!CT6</f>
        <v>42277</v>
      </c>
      <c r="CU6" s="162">
        <f>Revenue!CU6</f>
        <v>42369</v>
      </c>
      <c r="CV6" s="162"/>
      <c r="CW6" s="162">
        <f>Revenue!CW6</f>
        <v>42094</v>
      </c>
      <c r="CX6" s="162">
        <f>Revenue!CX6</f>
        <v>42185</v>
      </c>
      <c r="CY6" s="162">
        <f>Revenue!CY6</f>
        <v>42277</v>
      </c>
      <c r="CZ6" s="162">
        <f>Revenue!CZ6</f>
        <v>42369</v>
      </c>
      <c r="DA6" s="162"/>
      <c r="DB6" s="162">
        <f>Revenue!DB6</f>
        <v>0</v>
      </c>
      <c r="DC6" s="162">
        <f>Revenue!DC6</f>
        <v>0</v>
      </c>
      <c r="DD6" s="162">
        <f>Revenue!DD6</f>
        <v>0</v>
      </c>
      <c r="DE6" s="162">
        <f>Revenue!DE6</f>
        <v>0</v>
      </c>
      <c r="DF6" s="162"/>
    </row>
    <row r="7" spans="2:110" ht="12" customHeight="1" collapsed="1" thickBot="1" x14ac:dyDescent="0.25">
      <c r="B7" s="799"/>
      <c r="C7" s="800"/>
      <c r="D7" s="826"/>
      <c r="E7" s="801"/>
      <c r="F7" s="802" t="s">
        <v>26</v>
      </c>
      <c r="G7" s="803"/>
      <c r="H7" s="803"/>
      <c r="I7" s="804"/>
      <c r="J7" s="801"/>
      <c r="K7" s="802" t="s">
        <v>27</v>
      </c>
      <c r="L7" s="803"/>
      <c r="M7" s="803"/>
      <c r="N7" s="804"/>
      <c r="O7" s="801"/>
      <c r="P7" s="802" t="s">
        <v>28</v>
      </c>
      <c r="Q7" s="803"/>
      <c r="R7" s="803"/>
      <c r="S7" s="804"/>
      <c r="T7" s="801"/>
      <c r="U7" s="802" t="s">
        <v>29</v>
      </c>
      <c r="V7" s="803"/>
      <c r="W7" s="803"/>
      <c r="X7" s="804"/>
      <c r="Y7" s="801"/>
      <c r="Z7" s="802" t="s">
        <v>30</v>
      </c>
      <c r="AA7" s="803"/>
      <c r="AB7" s="803"/>
      <c r="AC7" s="803"/>
      <c r="AD7" s="801"/>
      <c r="AE7" s="803" t="s">
        <v>31</v>
      </c>
      <c r="AF7" s="803"/>
      <c r="AG7" s="803"/>
      <c r="AH7" s="803"/>
      <c r="AI7" s="801"/>
      <c r="AJ7" s="803" t="s">
        <v>32</v>
      </c>
      <c r="AK7" s="803"/>
      <c r="AL7" s="803"/>
      <c r="AM7" s="803"/>
      <c r="AN7" s="801"/>
      <c r="AO7" s="803" t="s">
        <v>33</v>
      </c>
      <c r="AP7" s="803"/>
      <c r="AQ7" s="803"/>
      <c r="AR7" s="803"/>
      <c r="AS7" s="801"/>
      <c r="AT7" s="803" t="s">
        <v>34</v>
      </c>
      <c r="AU7" s="803"/>
      <c r="AV7" s="803"/>
      <c r="AW7" s="803"/>
      <c r="AX7" s="801"/>
      <c r="AY7" s="803" t="s">
        <v>35</v>
      </c>
      <c r="AZ7" s="803"/>
      <c r="BA7" s="803"/>
      <c r="BB7" s="803"/>
      <c r="BC7" s="801"/>
      <c r="BD7" s="803" t="s">
        <v>36</v>
      </c>
      <c r="BE7" s="803"/>
      <c r="BF7" s="803"/>
      <c r="BG7" s="803"/>
      <c r="BH7" s="801"/>
      <c r="BI7" s="803" t="s">
        <v>37</v>
      </c>
      <c r="BJ7" s="803"/>
      <c r="BK7" s="803"/>
      <c r="BL7" s="803"/>
      <c r="BM7" s="801"/>
      <c r="BN7" s="803" t="s">
        <v>331</v>
      </c>
      <c r="BO7" s="803"/>
      <c r="BP7" s="803"/>
      <c r="BQ7" s="803"/>
      <c r="BR7" s="801"/>
      <c r="BS7" s="803" t="s">
        <v>334</v>
      </c>
      <c r="BT7" s="803"/>
      <c r="BU7" s="803"/>
      <c r="BV7" s="803"/>
      <c r="BW7" s="801"/>
      <c r="BX7" s="803" t="s">
        <v>356</v>
      </c>
      <c r="BY7" s="803"/>
      <c r="BZ7" s="803"/>
      <c r="CA7" s="803"/>
      <c r="CB7" s="801"/>
      <c r="CC7" s="803" t="str">
        <f>Model!CC8</f>
        <v>Fiscal Year End, Dec 31 2016</v>
      </c>
      <c r="CD7" s="803"/>
      <c r="CE7" s="803"/>
      <c r="CF7" s="803"/>
      <c r="CG7" s="801"/>
      <c r="CH7" s="803" t="str">
        <f>Model!CH8</f>
        <v>Fiscal Year End, Dec 31 2017</v>
      </c>
      <c r="CI7" s="803"/>
      <c r="CJ7" s="803"/>
      <c r="CK7" s="803"/>
      <c r="CL7" s="801"/>
      <c r="CM7" s="803" t="str">
        <f>Model!CM8</f>
        <v>Fiscal Year End, Dec 31 2018</v>
      </c>
      <c r="CN7" s="803"/>
      <c r="CO7" s="803"/>
      <c r="CP7" s="803"/>
      <c r="CQ7" s="801"/>
      <c r="CR7" s="803" t="str">
        <f>Model!CR8</f>
        <v>Fiscal Year End, Dec 31 2019</v>
      </c>
      <c r="CS7" s="803"/>
      <c r="CT7" s="803"/>
      <c r="CU7" s="803"/>
      <c r="CV7" s="801"/>
      <c r="CW7" s="803" t="str">
        <f>Model!CW8</f>
        <v>Fiscal Year End, Dec 31 2020</v>
      </c>
      <c r="CX7" s="803"/>
      <c r="CY7" s="803"/>
      <c r="CZ7" s="803"/>
      <c r="DA7" s="801"/>
      <c r="DB7" s="803" t="str">
        <f>Model!DB8</f>
        <v>Fiscal Year End, Dec 31 2021</v>
      </c>
      <c r="DC7" s="803"/>
      <c r="DD7" s="803"/>
      <c r="DE7" s="803"/>
      <c r="DF7" s="801"/>
    </row>
    <row r="8" spans="2:110" ht="12" customHeight="1" thickBot="1" x14ac:dyDescent="0.25">
      <c r="B8" s="807" t="s">
        <v>25</v>
      </c>
      <c r="C8" s="808"/>
      <c r="D8" s="827" t="str">
        <f>Model!D9</f>
        <v>1999A</v>
      </c>
      <c r="E8" s="828" t="str">
        <f>Model!E9</f>
        <v>2000A</v>
      </c>
      <c r="F8" s="810" t="str">
        <f>Model!F9</f>
        <v>1Q01A</v>
      </c>
      <c r="G8" s="810" t="str">
        <f>Model!G9</f>
        <v>2Q01A</v>
      </c>
      <c r="H8" s="810" t="str">
        <f>Model!H9</f>
        <v>3Q01A</v>
      </c>
      <c r="I8" s="810" t="str">
        <f>Model!I9</f>
        <v>4Q01A</v>
      </c>
      <c r="J8" s="828" t="str">
        <f>Model!J9</f>
        <v>2001A</v>
      </c>
      <c r="K8" s="810" t="str">
        <f>Model!K9</f>
        <v>1Q02A</v>
      </c>
      <c r="L8" s="810" t="str">
        <f>Model!L9</f>
        <v>2Q02A</v>
      </c>
      <c r="M8" s="810" t="str">
        <f>Model!M9</f>
        <v>3Q02A</v>
      </c>
      <c r="N8" s="810" t="str">
        <f>Model!N9</f>
        <v>4Q02A</v>
      </c>
      <c r="O8" s="828" t="str">
        <f>Model!O9</f>
        <v>2002A</v>
      </c>
      <c r="P8" s="811" t="str">
        <f>Model!P9</f>
        <v>1Q03A</v>
      </c>
      <c r="Q8" s="810" t="str">
        <f>Model!Q9</f>
        <v>2Q03A</v>
      </c>
      <c r="R8" s="810" t="str">
        <f>Model!R9</f>
        <v>3Q03A</v>
      </c>
      <c r="S8" s="812" t="str">
        <f>Model!S9</f>
        <v>4Q03A</v>
      </c>
      <c r="T8" s="828" t="str">
        <f>Model!T9</f>
        <v>2003A</v>
      </c>
      <c r="U8" s="810" t="str">
        <f>Model!U9</f>
        <v>1QA</v>
      </c>
      <c r="V8" s="810" t="str">
        <f>Model!V9</f>
        <v>2QA</v>
      </c>
      <c r="W8" s="810" t="str">
        <f>Model!W9</f>
        <v>3QA</v>
      </c>
      <c r="X8" s="810" t="str">
        <f>Model!X9</f>
        <v>4QA</v>
      </c>
      <c r="Y8" s="828" t="str">
        <f>Model!Y9</f>
        <v>2004A</v>
      </c>
      <c r="Z8" s="810" t="str">
        <f>Model!Z9</f>
        <v>1QA</v>
      </c>
      <c r="AA8" s="810" t="str">
        <f>Model!AA9</f>
        <v>2QA</v>
      </c>
      <c r="AB8" s="810" t="str">
        <f>Model!AB9</f>
        <v>3QA</v>
      </c>
      <c r="AC8" s="810" t="str">
        <f>Model!AC9</f>
        <v>4QA</v>
      </c>
      <c r="AD8" s="829" t="str">
        <f>Model!AD9</f>
        <v>2005A</v>
      </c>
      <c r="AE8" s="810" t="str">
        <f>Model!AE9</f>
        <v>1QA</v>
      </c>
      <c r="AF8" s="810" t="str">
        <f>Model!AF9</f>
        <v>2QA</v>
      </c>
      <c r="AG8" s="810" t="str">
        <f>Model!AG9</f>
        <v>3QA</v>
      </c>
      <c r="AH8" s="810" t="str">
        <f>Model!AH9</f>
        <v>4QA</v>
      </c>
      <c r="AI8" s="829" t="str">
        <f>Model!AI9</f>
        <v>2006A</v>
      </c>
      <c r="AJ8" s="810" t="str">
        <f>Model!AJ9</f>
        <v>1QA</v>
      </c>
      <c r="AK8" s="810" t="str">
        <f>Model!AK9</f>
        <v>2QA</v>
      </c>
      <c r="AL8" s="810" t="str">
        <f>Model!AL9</f>
        <v>3QA</v>
      </c>
      <c r="AM8" s="810" t="str">
        <f>Model!AM9</f>
        <v>4QA</v>
      </c>
      <c r="AN8" s="813" t="str">
        <f>Model!AN9</f>
        <v>2007A</v>
      </c>
      <c r="AO8" s="810" t="str">
        <f>Model!AO9</f>
        <v>1QA</v>
      </c>
      <c r="AP8" s="810" t="str">
        <f>Model!AP9</f>
        <v>2QA</v>
      </c>
      <c r="AQ8" s="810" t="str">
        <f>Model!AQ9</f>
        <v>3QA</v>
      </c>
      <c r="AR8" s="810" t="str">
        <f>Model!AR9</f>
        <v>4QA</v>
      </c>
      <c r="AS8" s="809" t="str">
        <f>Model!AS9</f>
        <v>2008A</v>
      </c>
      <c r="AT8" s="810" t="str">
        <f>Model!AT9</f>
        <v>1QA</v>
      </c>
      <c r="AU8" s="810" t="str">
        <f>Model!AU9</f>
        <v>2QA</v>
      </c>
      <c r="AV8" s="810" t="str">
        <f>Model!AV9</f>
        <v>3QA</v>
      </c>
      <c r="AW8" s="810" t="str">
        <f>Model!AW9</f>
        <v>4QA</v>
      </c>
      <c r="AX8" s="809" t="str">
        <f>Model!AX9</f>
        <v>2009A</v>
      </c>
      <c r="AY8" s="810" t="str">
        <f>Model!AY9</f>
        <v>1QA</v>
      </c>
      <c r="AZ8" s="810" t="str">
        <f>Model!AZ9</f>
        <v>2QA</v>
      </c>
      <c r="BA8" s="810" t="str">
        <f>Model!BA9</f>
        <v>3QA</v>
      </c>
      <c r="BB8" s="810" t="str">
        <f>Model!BB9</f>
        <v>4QA</v>
      </c>
      <c r="BC8" s="809" t="str">
        <f>Model!BC9</f>
        <v>2010A</v>
      </c>
      <c r="BD8" s="810" t="str">
        <f>Model!BD9</f>
        <v>1QA</v>
      </c>
      <c r="BE8" s="810" t="str">
        <f>Model!BE9</f>
        <v>2QA</v>
      </c>
      <c r="BF8" s="810" t="str">
        <f>Model!BF9</f>
        <v>3QA</v>
      </c>
      <c r="BG8" s="810" t="str">
        <f>Model!BG9</f>
        <v>4QA</v>
      </c>
      <c r="BH8" s="809" t="str">
        <f>Model!BH9</f>
        <v>2011A</v>
      </c>
      <c r="BI8" s="810" t="str">
        <f>Model!BI9</f>
        <v>1QA</v>
      </c>
      <c r="BJ8" s="810" t="str">
        <f>Model!BJ9</f>
        <v>2QA</v>
      </c>
      <c r="BK8" s="810" t="str">
        <f>Model!BK9</f>
        <v>3QA</v>
      </c>
      <c r="BL8" s="810" t="str">
        <f>Model!BL9</f>
        <v>4QA</v>
      </c>
      <c r="BM8" s="809" t="str">
        <f>Model!BM9</f>
        <v>2012A</v>
      </c>
      <c r="BN8" s="810" t="str">
        <f>Model!BN9</f>
        <v>1QA</v>
      </c>
      <c r="BO8" s="810" t="str">
        <f>Model!BO9</f>
        <v>2QA</v>
      </c>
      <c r="BP8" s="810" t="str">
        <f>Model!BP9</f>
        <v>3QA</v>
      </c>
      <c r="BQ8" s="810" t="str">
        <f>Model!BQ9</f>
        <v>4QA</v>
      </c>
      <c r="BR8" s="809" t="str">
        <f>Model!BR9</f>
        <v>2013A</v>
      </c>
      <c r="BS8" s="810" t="str">
        <f>Model!BS9</f>
        <v>1QA</v>
      </c>
      <c r="BT8" s="810" t="str">
        <f>Model!BT9</f>
        <v>2QA</v>
      </c>
      <c r="BU8" s="810" t="str">
        <f>Model!BU9</f>
        <v>3QA</v>
      </c>
      <c r="BV8" s="810" t="str">
        <f>Model!BV9</f>
        <v>4QA</v>
      </c>
      <c r="BW8" s="809" t="str">
        <f>Model!BW9</f>
        <v>2014A</v>
      </c>
      <c r="BX8" s="810" t="str">
        <f>Model!BX9</f>
        <v>1QA</v>
      </c>
      <c r="BY8" s="810" t="str">
        <f>Model!BY9</f>
        <v>2QA</v>
      </c>
      <c r="BZ8" s="810" t="str">
        <f>Model!BZ9</f>
        <v>3QA</v>
      </c>
      <c r="CA8" s="810" t="str">
        <f>Model!CA9</f>
        <v>4QA</v>
      </c>
      <c r="CB8" s="809" t="str">
        <f>Model!CB9</f>
        <v>2015A</v>
      </c>
      <c r="CC8" s="810" t="str">
        <f>Model!CC9</f>
        <v>1QA</v>
      </c>
      <c r="CD8" s="810" t="str">
        <f>Model!CD9</f>
        <v>2QA</v>
      </c>
      <c r="CE8" s="810" t="str">
        <f>Model!CE9</f>
        <v>3QA</v>
      </c>
      <c r="CF8" s="810" t="str">
        <f>Model!CF9</f>
        <v>4QA</v>
      </c>
      <c r="CG8" s="809" t="str">
        <f>Model!CG9</f>
        <v>2016A</v>
      </c>
      <c r="CH8" s="810" t="str">
        <f>Model!CH9</f>
        <v>1QA</v>
      </c>
      <c r="CI8" s="810" t="str">
        <f>Model!CI9</f>
        <v>2QA</v>
      </c>
      <c r="CJ8" s="810" t="str">
        <f>Model!CJ9</f>
        <v>3QA</v>
      </c>
      <c r="CK8" s="810" t="str">
        <f>Model!CK9</f>
        <v>4QA</v>
      </c>
      <c r="CL8" s="809" t="str">
        <f>Model!CL9</f>
        <v>2017A</v>
      </c>
      <c r="CM8" s="810" t="str">
        <f>Model!CM9</f>
        <v>1QE</v>
      </c>
      <c r="CN8" s="810" t="str">
        <f>Model!CN9</f>
        <v>2QE</v>
      </c>
      <c r="CO8" s="810" t="str">
        <f>Model!CO9</f>
        <v>3QE</v>
      </c>
      <c r="CP8" s="810" t="str">
        <f>Model!CP9</f>
        <v>4QE</v>
      </c>
      <c r="CQ8" s="809" t="str">
        <f>Model!CQ9</f>
        <v>2018E</v>
      </c>
      <c r="CR8" s="810" t="str">
        <f>Model!CR9</f>
        <v>1QE</v>
      </c>
      <c r="CS8" s="810" t="str">
        <f>Model!CS9</f>
        <v>2QE</v>
      </c>
      <c r="CT8" s="810" t="str">
        <f>Model!CT9</f>
        <v>3QE</v>
      </c>
      <c r="CU8" s="810" t="str">
        <f>Model!CU9</f>
        <v>4QE</v>
      </c>
      <c r="CV8" s="809" t="str">
        <f>Model!CV9</f>
        <v>2019E</v>
      </c>
      <c r="CW8" s="810" t="str">
        <f>Model!CW9</f>
        <v>1QE</v>
      </c>
      <c r="CX8" s="810" t="str">
        <f>Model!CX9</f>
        <v>2QE</v>
      </c>
      <c r="CY8" s="810" t="str">
        <f>Model!CY9</f>
        <v>3QE</v>
      </c>
      <c r="CZ8" s="810" t="str">
        <f>Model!CZ9</f>
        <v>4QE</v>
      </c>
      <c r="DA8" s="809" t="str">
        <f>Model!DA9</f>
        <v>2020E</v>
      </c>
      <c r="DB8" s="810" t="str">
        <f>Model!DB9</f>
        <v>1QE</v>
      </c>
      <c r="DC8" s="810" t="str">
        <f>Model!DC9</f>
        <v>2QE</v>
      </c>
      <c r="DD8" s="810" t="str">
        <f>Model!DD9</f>
        <v>3QE</v>
      </c>
      <c r="DE8" s="810" t="str">
        <f>Model!DE9</f>
        <v>4QE</v>
      </c>
      <c r="DF8" s="809" t="str">
        <f>Model!DF9</f>
        <v>2021E</v>
      </c>
    </row>
    <row r="9" spans="2:110" ht="12" customHeight="1" outlineLevel="1" thickBot="1" x14ac:dyDescent="0.25">
      <c r="B9" s="855" t="s">
        <v>185</v>
      </c>
      <c r="C9" s="819"/>
      <c r="D9" s="819"/>
      <c r="E9" s="819"/>
      <c r="F9" s="819"/>
      <c r="G9" s="819"/>
      <c r="H9" s="819"/>
      <c r="I9" s="819"/>
      <c r="J9" s="819"/>
      <c r="K9" s="819"/>
      <c r="L9" s="819"/>
      <c r="M9" s="819"/>
      <c r="N9" s="819"/>
      <c r="O9" s="819"/>
      <c r="P9" s="819"/>
      <c r="Q9" s="819"/>
      <c r="R9" s="819"/>
      <c r="S9" s="819"/>
      <c r="T9" s="962"/>
      <c r="U9" s="819"/>
      <c r="V9" s="819"/>
      <c r="W9" s="819"/>
      <c r="X9" s="819"/>
      <c r="Y9" s="962"/>
      <c r="Z9" s="819"/>
      <c r="AA9" s="819"/>
      <c r="AB9" s="962"/>
      <c r="AC9" s="962"/>
      <c r="AD9" s="962"/>
      <c r="AE9" s="962"/>
      <c r="AF9" s="962"/>
      <c r="AG9" s="962"/>
      <c r="AH9" s="962"/>
      <c r="AI9" s="819"/>
      <c r="AJ9" s="819"/>
      <c r="AK9" s="819"/>
      <c r="AL9" s="819"/>
      <c r="AM9" s="819"/>
      <c r="AN9" s="819"/>
      <c r="AO9" s="819"/>
      <c r="AP9" s="819"/>
      <c r="AQ9" s="819"/>
      <c r="AR9" s="819"/>
      <c r="AS9" s="819"/>
      <c r="AT9" s="819"/>
      <c r="AU9" s="819"/>
      <c r="AV9" s="819"/>
      <c r="AW9" s="819"/>
      <c r="AX9" s="819"/>
      <c r="AY9" s="819"/>
      <c r="AZ9" s="819"/>
      <c r="BA9" s="819"/>
      <c r="BB9" s="819"/>
      <c r="BC9" s="819"/>
      <c r="BD9" s="819"/>
      <c r="BE9" s="819"/>
      <c r="BF9" s="819"/>
      <c r="BG9" s="819"/>
      <c r="BH9" s="819"/>
      <c r="BI9" s="819"/>
      <c r="BJ9" s="819"/>
      <c r="BK9" s="819"/>
      <c r="BL9" s="819"/>
      <c r="BM9" s="819"/>
      <c r="BN9" s="819"/>
      <c r="BO9" s="819"/>
      <c r="BP9" s="819"/>
      <c r="BQ9" s="819"/>
      <c r="BR9" s="819"/>
      <c r="BS9" s="819"/>
      <c r="BT9" s="819"/>
      <c r="BU9" s="819"/>
      <c r="BV9" s="819"/>
      <c r="BW9" s="819"/>
      <c r="BX9" s="819"/>
      <c r="BY9" s="819"/>
      <c r="BZ9" s="819"/>
      <c r="CA9" s="819"/>
      <c r="CB9" s="872"/>
      <c r="CC9" s="819"/>
      <c r="CD9" s="819"/>
      <c r="CE9" s="819"/>
      <c r="CF9" s="819"/>
      <c r="CG9" s="872"/>
      <c r="CH9" s="819"/>
      <c r="CI9" s="819"/>
      <c r="CJ9" s="819"/>
      <c r="CK9" s="819"/>
      <c r="CL9" s="872"/>
      <c r="CM9" s="819"/>
      <c r="CN9" s="819"/>
      <c r="CO9" s="819"/>
      <c r="CP9" s="819"/>
      <c r="CQ9" s="872"/>
      <c r="CR9" s="819"/>
      <c r="CS9" s="819"/>
      <c r="CT9" s="819"/>
      <c r="CU9" s="819"/>
      <c r="CV9" s="872"/>
      <c r="CW9" s="819"/>
      <c r="CX9" s="819"/>
      <c r="CY9" s="819"/>
      <c r="CZ9" s="819"/>
      <c r="DA9" s="872"/>
      <c r="DB9" s="819"/>
      <c r="DC9" s="819"/>
      <c r="DD9" s="819"/>
      <c r="DE9" s="819"/>
      <c r="DF9" s="872"/>
    </row>
    <row r="10" spans="2:110" ht="11.25" customHeight="1" outlineLevel="1" x14ac:dyDescent="0.2">
      <c r="B10" s="234" t="s">
        <v>70</v>
      </c>
      <c r="C10" s="53"/>
      <c r="D10" s="53"/>
      <c r="E10" s="53"/>
      <c r="F10" s="53"/>
      <c r="G10" s="53"/>
      <c r="H10" s="53"/>
      <c r="I10" s="53"/>
      <c r="J10" s="53"/>
      <c r="K10" s="53"/>
      <c r="L10" s="53"/>
      <c r="M10" s="53"/>
      <c r="N10" s="53"/>
      <c r="O10" s="53"/>
      <c r="P10" s="53"/>
      <c r="Q10" s="53"/>
      <c r="R10" s="53"/>
      <c r="S10" s="53"/>
      <c r="T10" s="9"/>
      <c r="U10" s="53"/>
      <c r="V10" s="53"/>
      <c r="W10" s="53"/>
      <c r="X10" s="53"/>
      <c r="Y10" s="9"/>
      <c r="Z10" s="53"/>
      <c r="AA10" s="53"/>
      <c r="AB10" s="53"/>
      <c r="AC10" s="53"/>
      <c r="AD10" s="9"/>
      <c r="AE10" s="53"/>
      <c r="AF10" s="53"/>
      <c r="AG10" s="53"/>
      <c r="AH10" s="53"/>
      <c r="AI10" s="9"/>
      <c r="AJ10" s="53"/>
      <c r="AK10" s="53"/>
      <c r="AL10" s="53"/>
      <c r="AM10" s="53"/>
      <c r="AN10" s="9"/>
      <c r="AO10" s="53"/>
      <c r="AP10" s="53"/>
      <c r="AQ10" s="53"/>
      <c r="AR10" s="53"/>
      <c r="AS10" s="9"/>
      <c r="AT10" s="53"/>
      <c r="AU10" s="53"/>
      <c r="AV10" s="53"/>
      <c r="AW10" s="53"/>
      <c r="AX10" s="9"/>
      <c r="AY10" s="53"/>
      <c r="AZ10" s="53"/>
      <c r="BA10" s="53"/>
      <c r="BB10" s="53"/>
      <c r="BC10" s="9"/>
      <c r="BD10" s="53"/>
      <c r="BE10" s="53"/>
      <c r="BF10" s="53"/>
      <c r="BG10" s="53"/>
      <c r="BH10" s="9"/>
      <c r="BI10" s="53"/>
      <c r="BJ10" s="53"/>
      <c r="BK10" s="53"/>
      <c r="BL10" s="53"/>
      <c r="BM10" s="9"/>
      <c r="BN10" s="53"/>
      <c r="BO10" s="53"/>
      <c r="BP10" s="53"/>
      <c r="BQ10" s="53"/>
      <c r="BR10" s="9"/>
      <c r="BS10" s="53"/>
      <c r="BT10" s="53"/>
      <c r="BU10" s="53"/>
      <c r="BV10" s="53"/>
      <c r="BW10" s="9"/>
      <c r="BX10" s="53"/>
      <c r="BY10" s="53"/>
      <c r="BZ10" s="53"/>
      <c r="CA10" s="53"/>
      <c r="CB10" s="9"/>
      <c r="CC10" s="53"/>
      <c r="CD10" s="53"/>
      <c r="CE10" s="53"/>
      <c r="CF10" s="53"/>
      <c r="CG10" s="9"/>
      <c r="CH10" s="53"/>
      <c r="CI10" s="53"/>
      <c r="CJ10" s="53"/>
      <c r="CK10" s="53"/>
      <c r="CL10" s="9"/>
      <c r="CM10" s="53"/>
      <c r="CN10" s="53"/>
      <c r="CO10" s="53"/>
      <c r="CP10" s="53"/>
      <c r="CQ10" s="9"/>
      <c r="CR10" s="53"/>
      <c r="CS10" s="53"/>
      <c r="CT10" s="53"/>
      <c r="CU10" s="53"/>
      <c r="CV10" s="9"/>
      <c r="CW10" s="53"/>
      <c r="CX10" s="53"/>
      <c r="CY10" s="53"/>
      <c r="CZ10" s="53"/>
      <c r="DA10" s="9"/>
      <c r="DB10" s="53"/>
      <c r="DC10" s="53"/>
      <c r="DD10" s="53"/>
      <c r="DE10" s="53"/>
      <c r="DF10" s="9"/>
    </row>
    <row r="11" spans="2:110" ht="11.25" customHeight="1" outlineLevel="1" x14ac:dyDescent="0.2">
      <c r="B11" s="59" t="s">
        <v>293</v>
      </c>
      <c r="P11" s="87">
        <v>352.03823046859833</v>
      </c>
      <c r="Q11" s="87">
        <v>366.12666804135904</v>
      </c>
      <c r="R11" s="87">
        <v>349.28634171137804</v>
      </c>
      <c r="S11" s="87">
        <v>378.39641252376668</v>
      </c>
      <c r="T11" s="266"/>
      <c r="U11" s="111">
        <v>376.01670513756153</v>
      </c>
      <c r="V11" s="111">
        <v>376.00821001236994</v>
      </c>
      <c r="W11" s="111">
        <v>362.25132818750961</v>
      </c>
      <c r="X11" s="111">
        <v>387.61023877723534</v>
      </c>
      <c r="Y11" s="266">
        <v>1501.8864821146765</v>
      </c>
      <c r="Z11" s="111">
        <v>370.32896448402823</v>
      </c>
      <c r="AA11" s="111">
        <v>369.43121844810469</v>
      </c>
      <c r="AB11" s="111">
        <v>350.19061734720111</v>
      </c>
      <c r="AC11" s="111">
        <v>377.39883988455068</v>
      </c>
      <c r="AD11" s="266">
        <v>1467.3496401638847</v>
      </c>
      <c r="AE11" s="111">
        <v>354.65482938851432</v>
      </c>
      <c r="AF11" s="111">
        <v>359.61824999999999</v>
      </c>
      <c r="AG11" s="111">
        <v>360.60310000000004</v>
      </c>
      <c r="AH11" s="111">
        <v>402.47939999999988</v>
      </c>
      <c r="AI11" s="266">
        <v>1477.3555793885143</v>
      </c>
      <c r="AJ11" s="111">
        <v>405.78539999999998</v>
      </c>
      <c r="AK11" s="111">
        <v>429.91211342992028</v>
      </c>
      <c r="AL11" s="111">
        <v>390.59486902476573</v>
      </c>
      <c r="AM11" s="111">
        <v>478.22039999999987</v>
      </c>
      <c r="AN11" s="266">
        <v>1704.512782454686</v>
      </c>
      <c r="AO11" s="111">
        <f>Revenue!AO180</f>
        <v>791.41125195795712</v>
      </c>
      <c r="AP11" s="111">
        <f>Revenue!AP180</f>
        <v>804.79855610870982</v>
      </c>
      <c r="AQ11" s="111">
        <f>Revenue!AQ180</f>
        <v>829.422941451969</v>
      </c>
      <c r="AR11" s="111">
        <f>Revenue!AR180</f>
        <v>868.26029442345202</v>
      </c>
      <c r="AS11" s="266">
        <f>SUM(AO11:AR11)</f>
        <v>3293.8930439420883</v>
      </c>
      <c r="AT11" s="111">
        <f>Revenue!AT180</f>
        <v>864.65960000000007</v>
      </c>
      <c r="AU11" s="111">
        <f>Revenue!AU180</f>
        <v>852.02936631780801</v>
      </c>
      <c r="AV11" s="111">
        <f>Revenue!AV180</f>
        <v>868.86830598936399</v>
      </c>
      <c r="AW11" s="111">
        <f>Revenue!AW180</f>
        <v>1478.5842599664036</v>
      </c>
      <c r="AX11" s="266">
        <f>SUM(AT11:AW11)</f>
        <v>4064.1415322735756</v>
      </c>
      <c r="AY11" s="111">
        <f>Revenue!AY180</f>
        <v>2151.8705016843501</v>
      </c>
      <c r="AZ11" s="111">
        <f>Revenue!AZ180</f>
        <v>2220.9889617619801</v>
      </c>
      <c r="BA11" s="111">
        <f>Revenue!BA180</f>
        <v>2256.9109712872014</v>
      </c>
      <c r="BB11" s="111">
        <f>Revenue!BB180</f>
        <v>2323.3342246405659</v>
      </c>
      <c r="BC11" s="266">
        <f>SUM(AY11:BB11)</f>
        <v>8953.1046593740975</v>
      </c>
      <c r="BD11" s="111">
        <f>Revenue!BD180</f>
        <v>2461.6305606235283</v>
      </c>
      <c r="BE11" s="111">
        <f>Revenue!BE180</f>
        <v>2447.6107431450696</v>
      </c>
      <c r="BF11" s="111">
        <f>Revenue!BF180</f>
        <v>2435.442594104994</v>
      </c>
      <c r="BG11" s="111">
        <f>Revenue!BG180</f>
        <v>2750.7054322516119</v>
      </c>
      <c r="BH11" s="266">
        <f>SUM(BD11:BG11)</f>
        <v>10095.389330125205</v>
      </c>
      <c r="BI11" s="111">
        <f>Revenue!BI180</f>
        <v>2763.7471008338271</v>
      </c>
      <c r="BJ11" s="111">
        <f>Revenue!BJ180</f>
        <v>6303.5611389433907</v>
      </c>
      <c r="BK11" s="111">
        <f>Revenue!BK180</f>
        <v>6299.8600681275439</v>
      </c>
      <c r="BL11" s="111">
        <f>Revenue!BL180</f>
        <v>6568.7005045211181</v>
      </c>
      <c r="BM11" s="266">
        <f>SUM(BI11:BL11)</f>
        <v>21935.868812425881</v>
      </c>
      <c r="BN11" s="111">
        <f>Revenue!BN180</f>
        <v>6319.4508908855869</v>
      </c>
      <c r="BO11" s="111">
        <f>Revenue!BO180</f>
        <v>6380.826187082328</v>
      </c>
      <c r="BP11" s="111">
        <f>Revenue!BP180</f>
        <v>6052.759455011671</v>
      </c>
      <c r="BQ11" s="111">
        <f>Revenue!BQ180</f>
        <v>6068.5874557522611</v>
      </c>
      <c r="BR11" s="266">
        <f>SUM(BN11:BQ11)</f>
        <v>24821.623988731848</v>
      </c>
      <c r="BS11" s="111">
        <f>Revenue!BS180</f>
        <v>5557.9498000159056</v>
      </c>
      <c r="BT11" s="111">
        <f>Revenue!BT180</f>
        <v>5623.1312616678515</v>
      </c>
      <c r="BU11" s="111">
        <f>Revenue!BU180</f>
        <v>5628.7889123346986</v>
      </c>
      <c r="BV11" s="111">
        <f>Revenue!BV180</f>
        <v>5741.4114740342402</v>
      </c>
      <c r="BW11" s="266">
        <f>SUM(BS11:BV11)</f>
        <v>22551.281448052698</v>
      </c>
      <c r="BX11" s="111">
        <f>Revenue!BX180</f>
        <v>5369.6181079305279</v>
      </c>
      <c r="BY11" s="111">
        <f>Revenue!BY180</f>
        <v>5360.1944624617736</v>
      </c>
      <c r="BZ11" s="111">
        <f>Revenue!BZ180</f>
        <v>5196.4939724840615</v>
      </c>
      <c r="CA11" s="111">
        <f>Revenue!CA180</f>
        <v>5287.8115885591087</v>
      </c>
      <c r="CB11" s="266">
        <f>SUM(BX11:CA11)</f>
        <v>21214.118131435469</v>
      </c>
      <c r="CC11" s="111">
        <f>Revenue!CC180</f>
        <v>4766.2483010694987</v>
      </c>
      <c r="CD11" s="111">
        <f>Revenue!CD180</f>
        <v>4816.5092657424839</v>
      </c>
      <c r="CE11" s="111">
        <f>Revenue!CE180</f>
        <v>4711.9998528117476</v>
      </c>
      <c r="CF11" s="111">
        <f>Revenue!CF180</f>
        <v>4399.2502063263855</v>
      </c>
      <c r="CG11" s="266">
        <f>SUM(CC11:CF11)</f>
        <v>18694.007625950115</v>
      </c>
      <c r="CH11" s="111">
        <f>Revenue!CH180</f>
        <v>4430.9936191953693</v>
      </c>
      <c r="CI11" s="111">
        <f>Revenue!CI180</f>
        <v>4426.1894031221491</v>
      </c>
      <c r="CJ11" s="111">
        <f>Revenue!CJ180</f>
        <v>4052.2097542395163</v>
      </c>
      <c r="CK11" s="111">
        <f>Revenue!CK180</f>
        <v>4152.901436886601</v>
      </c>
      <c r="CL11" s="266">
        <f>SUM(CH11:CK11)</f>
        <v>17062.294213443638</v>
      </c>
      <c r="CM11" s="111">
        <f>Revenue!CM180</f>
        <v>4134.4521767412389</v>
      </c>
      <c r="CN11" s="111">
        <f>Revenue!CN180</f>
        <v>4129.9599592506638</v>
      </c>
      <c r="CO11" s="111">
        <f>Revenue!CO180</f>
        <v>3899.2293677543948</v>
      </c>
      <c r="CP11" s="111">
        <f>Revenue!CP180</f>
        <v>3996.1667300055137</v>
      </c>
      <c r="CQ11" s="266">
        <f>SUM(CM11:CP11)</f>
        <v>16159.808233751812</v>
      </c>
      <c r="CR11" s="111">
        <f>Revenue!CR180</f>
        <v>3937.3236592278881</v>
      </c>
      <c r="CS11" s="111">
        <f>Revenue!CS180</f>
        <v>3933.0741750111715</v>
      </c>
      <c r="CT11" s="111">
        <f>Revenue!CT180</f>
        <v>3713.1531335949089</v>
      </c>
      <c r="CU11" s="111">
        <f>Revenue!CU180</f>
        <v>3805.3235183479756</v>
      </c>
      <c r="CV11" s="266">
        <f>SUM(CR11:CU11)</f>
        <v>15388.874486181945</v>
      </c>
      <c r="CW11" s="111">
        <f>Revenue!CW180</f>
        <v>3396.5098910068623</v>
      </c>
      <c r="CX11" s="111">
        <f>Revenue!CX180</f>
        <v>3392.8690375647147</v>
      </c>
      <c r="CY11" s="111">
        <f>Revenue!CY180</f>
        <v>3202.9880394695115</v>
      </c>
      <c r="CZ11" s="111">
        <f>Revenue!CZ180</f>
        <v>3282.3715704399879</v>
      </c>
      <c r="DA11" s="266">
        <f>SUM(CW11:CZ11)</f>
        <v>13274.738538481077</v>
      </c>
      <c r="DB11" s="111">
        <f>Revenue!DB180</f>
        <v>2897.1247426560831</v>
      </c>
      <c r="DC11" s="111">
        <f>Revenue!DC180</f>
        <v>2894.0407462987482</v>
      </c>
      <c r="DD11" s="111">
        <f>Revenue!DD180</f>
        <v>2731.9331565790858</v>
      </c>
      <c r="DE11" s="111">
        <f>Revenue!DE180</f>
        <v>2799.5355295774543</v>
      </c>
      <c r="DF11" s="266">
        <f>SUM(DB11:DE11)</f>
        <v>11322.634175111372</v>
      </c>
    </row>
    <row r="12" spans="2:110" ht="11.25" customHeight="1" outlineLevel="1" x14ac:dyDescent="0.2">
      <c r="B12" s="59" t="s">
        <v>294</v>
      </c>
      <c r="P12" s="87">
        <v>1836.1697695314017</v>
      </c>
      <c r="Q12" s="87">
        <v>1937.184331958641</v>
      </c>
      <c r="R12" s="87">
        <v>1852.0146582886221</v>
      </c>
      <c r="S12" s="87">
        <v>1965.7835874762341</v>
      </c>
      <c r="T12" s="266"/>
      <c r="U12" s="111">
        <v>1961.2372948624384</v>
      </c>
      <c r="V12" s="111">
        <v>1989.4677899876301</v>
      </c>
      <c r="W12" s="111">
        <v>1920.7586718124908</v>
      </c>
      <c r="X12" s="111">
        <v>2013.6497612227647</v>
      </c>
      <c r="Y12" s="266">
        <v>7885.1135178853237</v>
      </c>
      <c r="Z12" s="111">
        <v>1931.571035515972</v>
      </c>
      <c r="AA12" s="111">
        <v>1954.6687815518951</v>
      </c>
      <c r="AB12" s="111">
        <v>1856.8093826527988</v>
      </c>
      <c r="AC12" s="111">
        <v>1960.6011601154491</v>
      </c>
      <c r="AD12" s="266">
        <v>7703.650359836116</v>
      </c>
      <c r="AE12" s="111">
        <v>1842.445170611486</v>
      </c>
      <c r="AF12" s="111">
        <v>1839.8817499999998</v>
      </c>
      <c r="AG12" s="111">
        <v>1798.6969000000001</v>
      </c>
      <c r="AH12" s="111">
        <v>1910.6205999999997</v>
      </c>
      <c r="AI12" s="266">
        <v>7391.6444206114847</v>
      </c>
      <c r="AJ12" s="111">
        <v>1926.3146000000002</v>
      </c>
      <c r="AK12" s="111">
        <v>1946.8878865700799</v>
      </c>
      <c r="AL12" s="111">
        <v>1929.4051309752344</v>
      </c>
      <c r="AM12" s="111">
        <v>1961.6795999999999</v>
      </c>
      <c r="AN12" s="266">
        <v>7764.287217545314</v>
      </c>
      <c r="AO12" s="111">
        <f>Revenue!AO181</f>
        <v>2487.0887480420429</v>
      </c>
      <c r="AP12" s="111">
        <f>Revenue!AP181</f>
        <v>2494.40144389129</v>
      </c>
      <c r="AQ12" s="111">
        <f>Revenue!AQ181</f>
        <v>2351.8770585480311</v>
      </c>
      <c r="AR12" s="111">
        <f>Revenue!AR181</f>
        <v>2412.6397055765478</v>
      </c>
      <c r="AS12" s="266">
        <f>SUM(AO12:AR12)</f>
        <v>9746.0069560579122</v>
      </c>
      <c r="AT12" s="111">
        <f>Revenue!AT181</f>
        <v>2385.9404</v>
      </c>
      <c r="AU12" s="111">
        <f>Revenue!AU181</f>
        <v>2380.870633682192</v>
      </c>
      <c r="AV12" s="111">
        <f>Revenue!AV181</f>
        <v>2419.9316940106364</v>
      </c>
      <c r="AW12" s="111">
        <f>Revenue!AW181</f>
        <v>3776.1037146704762</v>
      </c>
      <c r="AX12" s="266">
        <f>SUM(AT12:AW12)</f>
        <v>10962.846442363305</v>
      </c>
      <c r="AY12" s="111">
        <f>Revenue!AY181</f>
        <v>5392.6934222262898</v>
      </c>
      <c r="AZ12" s="111">
        <f>Revenue!AZ181</f>
        <v>5368.3971475058825</v>
      </c>
      <c r="BA12" s="111">
        <f>Revenue!BA181</f>
        <v>5257.0529526234377</v>
      </c>
      <c r="BB12" s="111">
        <f>Revenue!BB181</f>
        <v>5244.5296992700733</v>
      </c>
      <c r="BC12" s="266">
        <f>SUM(AY12:BB12)</f>
        <v>21262.673221625686</v>
      </c>
      <c r="BD12" s="111">
        <f>Revenue!BD181</f>
        <v>4819.5333632871116</v>
      </c>
      <c r="BE12" s="111">
        <f>Revenue!BE181</f>
        <v>4964.4531807655703</v>
      </c>
      <c r="BF12" s="111">
        <f>Revenue!BF181</f>
        <v>5078.6213298056455</v>
      </c>
      <c r="BG12" s="111">
        <f>Revenue!BG181</f>
        <v>5165.8363063018051</v>
      </c>
      <c r="BH12" s="266">
        <f>SUM(BD12:BG12)</f>
        <v>20028.444180160132</v>
      </c>
      <c r="BI12" s="111">
        <f>Revenue!BI181</f>
        <v>4943.1168230768126</v>
      </c>
      <c r="BJ12" s="111">
        <f>Revenue!BJ181</f>
        <v>10554.302784967247</v>
      </c>
      <c r="BK12" s="111">
        <f>Revenue!BK181</f>
        <v>10065.103855783094</v>
      </c>
      <c r="BL12" s="111">
        <f>Revenue!BL181</f>
        <v>10359.36341938952</v>
      </c>
      <c r="BM12" s="266">
        <f>SUM(BI12:BL12)</f>
        <v>35921.886883216677</v>
      </c>
      <c r="BN12" s="111">
        <f>Revenue!BN181</f>
        <v>9801.41303302505</v>
      </c>
      <c r="BO12" s="111">
        <f>Revenue!BO181</f>
        <v>9915.9377368283112</v>
      </c>
      <c r="BP12" s="111">
        <f>Revenue!BP181</f>
        <v>9357.6044688989659</v>
      </c>
      <c r="BQ12" s="111">
        <f>Revenue!BQ181</f>
        <v>9347.82077251583</v>
      </c>
      <c r="BR12" s="266">
        <f>SUM(BN12:BQ12)</f>
        <v>38422.776011268157</v>
      </c>
      <c r="BS12" s="111">
        <f>Revenue!BS181</f>
        <v>8377.4141238947323</v>
      </c>
      <c r="BT12" s="111">
        <f>Revenue!BT181</f>
        <v>9004.932662242787</v>
      </c>
      <c r="BU12" s="111">
        <f>Revenue!BU181</f>
        <v>9116.2750115759391</v>
      </c>
      <c r="BV12" s="111">
        <f>Revenue!BV181</f>
        <v>9509.6576330954522</v>
      </c>
      <c r="BW12" s="266">
        <f>SUM(BS12:BV12)</f>
        <v>36008.279430808907</v>
      </c>
      <c r="BX12" s="111">
        <f>Revenue!BX181</f>
        <v>8891.6422916860756</v>
      </c>
      <c r="BY12" s="111">
        <f>Revenue!BY181</f>
        <v>8936.06593715483</v>
      </c>
      <c r="BZ12" s="111">
        <f>Revenue!BZ181</f>
        <v>8569.9664271325437</v>
      </c>
      <c r="CA12" s="111">
        <f>Revenue!CA181</f>
        <v>8937.7678850086904</v>
      </c>
      <c r="CB12" s="266">
        <f>SUM(BX12:CA12)</f>
        <v>35335.442540982142</v>
      </c>
      <c r="CC12" s="111">
        <f>Revenue!CC181</f>
        <v>8262.1093336720769</v>
      </c>
      <c r="CD12" s="111">
        <f>Revenue!CD181</f>
        <v>8312.4237652978481</v>
      </c>
      <c r="CE12" s="111">
        <f>Revenue!CE181</f>
        <v>8333.4331782285844</v>
      </c>
      <c r="CF12" s="111">
        <f>Revenue!CF181</f>
        <v>7962.7828247139423</v>
      </c>
      <c r="CG12" s="266">
        <f>SUM(CC12:CF12)</f>
        <v>32870.74910191245</v>
      </c>
      <c r="CH12" s="111">
        <f>Revenue!CH181</f>
        <v>8020.2394118449611</v>
      </c>
      <c r="CI12" s="111">
        <f>Revenue!CI181</f>
        <v>8011.5436279181813</v>
      </c>
      <c r="CJ12" s="111">
        <f>Revenue!CJ181</f>
        <v>8175.5232768008145</v>
      </c>
      <c r="CK12" s="111">
        <f>Revenue!CK181</f>
        <v>8337.432501032732</v>
      </c>
      <c r="CL12" s="266">
        <f>SUM(CH12:CK12)</f>
        <v>32544.738817596692</v>
      </c>
      <c r="CM12" s="111">
        <f>Revenue!CM181</f>
        <v>8202.2964366881479</v>
      </c>
      <c r="CN12" s="111">
        <f>Revenue!CN181</f>
        <v>8192.5207206700579</v>
      </c>
      <c r="CO12" s="111">
        <f>Revenue!CO181</f>
        <v>8627.6732806866057</v>
      </c>
      <c r="CP12" s="111">
        <f>Revenue!CP181</f>
        <v>8802.6743007579917</v>
      </c>
      <c r="CQ12" s="266">
        <f>SUM(CM12:CP12)</f>
        <v>33825.164738802807</v>
      </c>
      <c r="CR12" s="111">
        <f>Revenue!CR181</f>
        <v>9130.4780928464752</v>
      </c>
      <c r="CS12" s="111">
        <f>Revenue!CS181</f>
        <v>9122.5891109760723</v>
      </c>
      <c r="CT12" s="111">
        <f>Revenue!CT181</f>
        <v>9586.0729645868505</v>
      </c>
      <c r="CU12" s="111">
        <f>Revenue!CU181</f>
        <v>9766.4914201857337</v>
      </c>
      <c r="CV12" s="266">
        <f>SUM(CR12:CU12)</f>
        <v>37605.631588595126</v>
      </c>
      <c r="CW12" s="111">
        <f>Revenue!CW181</f>
        <v>8935.8739336869039</v>
      </c>
      <c r="CX12" s="111">
        <f>Revenue!CX181</f>
        <v>8930.8491997102246</v>
      </c>
      <c r="CY12" s="111">
        <f>Revenue!CY181</f>
        <v>9365.6175074869352</v>
      </c>
      <c r="CZ12" s="111">
        <f>Revenue!CZ181</f>
        <v>9529.2315749075988</v>
      </c>
      <c r="DA12" s="266">
        <f>SUM(CW12:CZ12)</f>
        <v>36761.572215791661</v>
      </c>
      <c r="DB12" s="111">
        <f>Revenue!DB181</f>
        <v>8798.4733133474183</v>
      </c>
      <c r="DC12" s="111">
        <f>Revenue!DC181</f>
        <v>8795.9773451503897</v>
      </c>
      <c r="DD12" s="111">
        <f>Revenue!DD181</f>
        <v>9206.9324941913746</v>
      </c>
      <c r="DE12" s="111">
        <f>Revenue!DE181</f>
        <v>9356.2474671558975</v>
      </c>
      <c r="DF12" s="266">
        <f>SUM(DB12:DE12)</f>
        <v>36157.630619845077</v>
      </c>
    </row>
    <row r="13" spans="2:110" ht="11.25" customHeight="1" outlineLevel="1" x14ac:dyDescent="0.2">
      <c r="B13" s="59" t="s">
        <v>285</v>
      </c>
      <c r="P13" s="87"/>
      <c r="Q13" s="87"/>
      <c r="R13" s="87"/>
      <c r="S13" s="87"/>
      <c r="T13" s="266"/>
      <c r="U13" s="111">
        <f t="shared" ref="U13:AN13" si="0">SUM(U11:U12)</f>
        <v>2337.2539999999999</v>
      </c>
      <c r="V13" s="111">
        <f t="shared" si="0"/>
        <v>2365.4760000000001</v>
      </c>
      <c r="W13" s="111">
        <f t="shared" si="0"/>
        <v>2283.0100000000002</v>
      </c>
      <c r="X13" s="111">
        <f t="shared" si="0"/>
        <v>2401.2600000000002</v>
      </c>
      <c r="Y13" s="266">
        <f t="shared" si="0"/>
        <v>9387</v>
      </c>
      <c r="Z13" s="111">
        <f t="shared" si="0"/>
        <v>2301.9</v>
      </c>
      <c r="AA13" s="111">
        <f t="shared" si="0"/>
        <v>2324.1</v>
      </c>
      <c r="AB13" s="111">
        <f t="shared" si="0"/>
        <v>2207</v>
      </c>
      <c r="AC13" s="111">
        <f t="shared" si="0"/>
        <v>2338</v>
      </c>
      <c r="AD13" s="266">
        <f t="shared" si="0"/>
        <v>9171</v>
      </c>
      <c r="AE13" s="111">
        <f t="shared" si="0"/>
        <v>2197.1000000000004</v>
      </c>
      <c r="AF13" s="111">
        <f t="shared" si="0"/>
        <v>2199.5</v>
      </c>
      <c r="AG13" s="111">
        <f t="shared" si="0"/>
        <v>2159.3000000000002</v>
      </c>
      <c r="AH13" s="111">
        <f t="shared" si="0"/>
        <v>2313.0999999999995</v>
      </c>
      <c r="AI13" s="266">
        <f t="shared" si="0"/>
        <v>8869</v>
      </c>
      <c r="AJ13" s="111">
        <f t="shared" si="0"/>
        <v>2332.1000000000004</v>
      </c>
      <c r="AK13" s="111">
        <f t="shared" si="0"/>
        <v>2376.8000000000002</v>
      </c>
      <c r="AL13" s="111">
        <f t="shared" si="0"/>
        <v>2320</v>
      </c>
      <c r="AM13" s="111">
        <f t="shared" si="0"/>
        <v>2439.8999999999996</v>
      </c>
      <c r="AN13" s="266">
        <f t="shared" si="0"/>
        <v>9468.7999999999993</v>
      </c>
      <c r="AO13" s="111">
        <f>SUM(AO11:AO12)</f>
        <v>3278.5</v>
      </c>
      <c r="AP13" s="111">
        <f>SUM(AP11:AP12)</f>
        <v>3299.2</v>
      </c>
      <c r="AQ13" s="111">
        <f>SUM(AQ11:AQ12)</f>
        <v>3181.3</v>
      </c>
      <c r="AR13" s="111">
        <f>SUM(AR11:AR12)</f>
        <v>3280.8999999999996</v>
      </c>
      <c r="AS13" s="266">
        <f>SUM(AO13:AR13)</f>
        <v>13039.9</v>
      </c>
      <c r="AT13" s="111">
        <f>SUM(AT11:AT12)</f>
        <v>3250.6</v>
      </c>
      <c r="AU13" s="111">
        <f>SUM(AU11:AU12)</f>
        <v>3232.9</v>
      </c>
      <c r="AV13" s="111">
        <f>SUM(AV11:AV12)</f>
        <v>3288.8</v>
      </c>
      <c r="AW13" s="111">
        <f>SUM(AW11:AW12)</f>
        <v>5254.6879746368795</v>
      </c>
      <c r="AX13" s="266">
        <f>SUM(AT13:AW13)</f>
        <v>15026.987974636879</v>
      </c>
      <c r="AY13" s="111">
        <f>SUM(AY11:AY12)</f>
        <v>7544.5639239106404</v>
      </c>
      <c r="AZ13" s="111">
        <f>SUM(AZ11:AZ12)</f>
        <v>7589.3861092678626</v>
      </c>
      <c r="BA13" s="111">
        <f>SUM(BA11:BA12)</f>
        <v>7513.9639239106391</v>
      </c>
      <c r="BB13" s="111">
        <f>SUM(BB11:BB12)</f>
        <v>7567.8639239106396</v>
      </c>
      <c r="BC13" s="266">
        <f>SUM(AY13:BB13)</f>
        <v>30215.777880999784</v>
      </c>
      <c r="BD13" s="111">
        <f>SUM(BD11:BD12)</f>
        <v>7281.1639239106398</v>
      </c>
      <c r="BE13" s="111">
        <f>SUM(BE11:BE12)</f>
        <v>7412.0639239106404</v>
      </c>
      <c r="BF13" s="111">
        <f>SUM(BF11:BF12)</f>
        <v>7514.0639239106395</v>
      </c>
      <c r="BG13" s="111">
        <f>SUM(BG11:BG12)</f>
        <v>7916.5417385534165</v>
      </c>
      <c r="BH13" s="266">
        <f>SUM(BD13:BG13)</f>
        <v>30123.833510285334</v>
      </c>
      <c r="BI13" s="111">
        <f>SUM(BI11:BI12)</f>
        <v>7706.8639239106396</v>
      </c>
      <c r="BJ13" s="111">
        <f>SUM(BJ11:BJ12)</f>
        <v>16857.863923910638</v>
      </c>
      <c r="BK13" s="111">
        <f>SUM(BK11:BK12)</f>
        <v>16364.963923910638</v>
      </c>
      <c r="BL13" s="111">
        <f>SUM(BL11:BL12)</f>
        <v>16928.063923910639</v>
      </c>
      <c r="BM13" s="266">
        <f>SUM(BI13:BL13)</f>
        <v>57857.755695642554</v>
      </c>
      <c r="BN13" s="111">
        <f>SUM(BN11:BN12)</f>
        <v>16120.863923910638</v>
      </c>
      <c r="BO13" s="111">
        <f>SUM(BO11:BO12)</f>
        <v>16296.763923910639</v>
      </c>
      <c r="BP13" s="111">
        <f>SUM(BP11:BP12)</f>
        <v>15410.363923910638</v>
      </c>
      <c r="BQ13" s="111">
        <f>SUM(BQ11:BQ12)</f>
        <v>15416.40822826809</v>
      </c>
      <c r="BR13" s="266">
        <f>SUM(BN13:BQ13)</f>
        <v>63244.400000000009</v>
      </c>
      <c r="BS13" s="111">
        <f>SUM(BS11:BS12)</f>
        <v>13935.363923910638</v>
      </c>
      <c r="BT13" s="111">
        <f>SUM(BT11:BT12)</f>
        <v>14628.063923910639</v>
      </c>
      <c r="BU13" s="111">
        <f>SUM(BU11:BU12)</f>
        <v>14745.063923910639</v>
      </c>
      <c r="BV13" s="111">
        <f>SUM(BV11:BV12)</f>
        <v>15251.069107129693</v>
      </c>
      <c r="BW13" s="266">
        <f>SUM(BS13:BV13)</f>
        <v>58559.560878861608</v>
      </c>
      <c r="BX13" s="111">
        <f>SUM(BX11:BX12)</f>
        <v>14261.260399616604</v>
      </c>
      <c r="BY13" s="111">
        <f>SUM(BY11:BY12)</f>
        <v>14296.260399616604</v>
      </c>
      <c r="BZ13" s="111">
        <f>SUM(BZ11:BZ12)</f>
        <v>13766.460399616604</v>
      </c>
      <c r="CA13" s="111">
        <f>SUM(CA11:CA12)</f>
        <v>14225.579473567799</v>
      </c>
      <c r="CB13" s="266">
        <f>SUM(BX13:CA13)</f>
        <v>56549.56067241761</v>
      </c>
      <c r="CC13" s="111">
        <f>SUM(CC11:CC12)</f>
        <v>13028.357634741576</v>
      </c>
      <c r="CD13" s="111">
        <f>SUM(CD11:CD12)</f>
        <v>13128.933031040331</v>
      </c>
      <c r="CE13" s="111">
        <f>SUM(CE11:CE12)</f>
        <v>13045.433031040331</v>
      </c>
      <c r="CF13" s="111">
        <f>SUM(CF11:CF12)</f>
        <v>12362.033031040328</v>
      </c>
      <c r="CG13" s="266">
        <f>SUM(CC13:CF13)</f>
        <v>51564.756727862572</v>
      </c>
      <c r="CH13" s="111">
        <f>SUM(CH11:CH12)</f>
        <v>12451.23303104033</v>
      </c>
      <c r="CI13" s="111">
        <f>SUM(CI11:CI12)</f>
        <v>12437.73303104033</v>
      </c>
      <c r="CJ13" s="111">
        <f>SUM(CJ11:CJ12)</f>
        <v>12227.73303104033</v>
      </c>
      <c r="CK13" s="111">
        <f>SUM(CK11:CK12)</f>
        <v>12490.333937919333</v>
      </c>
      <c r="CL13" s="266">
        <f>SUM(CH13:CK13)</f>
        <v>49607.033031040322</v>
      </c>
      <c r="CM13" s="111">
        <f>SUM(CM11:CM12)</f>
        <v>12336.748613429387</v>
      </c>
      <c r="CN13" s="111">
        <f>SUM(CN11:CN12)</f>
        <v>12322.480679920722</v>
      </c>
      <c r="CO13" s="111">
        <f>SUM(CO11:CO12)</f>
        <v>12526.902648441001</v>
      </c>
      <c r="CP13" s="111">
        <f>SUM(CP11:CP12)</f>
        <v>12798.841030763506</v>
      </c>
      <c r="CQ13" s="266">
        <f>SUM(CM13:CP13)</f>
        <v>49984.972972554613</v>
      </c>
      <c r="CR13" s="111">
        <f>SUM(CR11:CR12)</f>
        <v>13067.801752074363</v>
      </c>
      <c r="CS13" s="111">
        <f>SUM(CS11:CS12)</f>
        <v>13055.663285987244</v>
      </c>
      <c r="CT13" s="111">
        <f>SUM(CT11:CT12)</f>
        <v>13299.22609818176</v>
      </c>
      <c r="CU13" s="111">
        <f>SUM(CU11:CU12)</f>
        <v>13571.814938533709</v>
      </c>
      <c r="CV13" s="266">
        <f>SUM(CR13:CU13)</f>
        <v>52994.506074777077</v>
      </c>
      <c r="CW13" s="111">
        <f>SUM(CW11:CW12)</f>
        <v>12332.383824693767</v>
      </c>
      <c r="CX13" s="111">
        <f>SUM(CX11:CX12)</f>
        <v>12323.718237274939</v>
      </c>
      <c r="CY13" s="111">
        <f>SUM(CY11:CY12)</f>
        <v>12568.605546956447</v>
      </c>
      <c r="CZ13" s="111">
        <f>SUM(CZ11:CZ12)</f>
        <v>12811.603145347586</v>
      </c>
      <c r="DA13" s="266">
        <f>SUM(CW13:CZ13)</f>
        <v>50036.310754272738</v>
      </c>
      <c r="DB13" s="111">
        <f>SUM(DB11:DB12)</f>
        <v>11695.598056003502</v>
      </c>
      <c r="DC13" s="111">
        <f>SUM(DC11:DC12)</f>
        <v>11690.018091449138</v>
      </c>
      <c r="DD13" s="111">
        <f>SUM(DD11:DD12)</f>
        <v>11938.86565077046</v>
      </c>
      <c r="DE13" s="111">
        <f>SUM(DE11:DE12)</f>
        <v>12155.782996733353</v>
      </c>
      <c r="DF13" s="266">
        <f>SUM(DB13:DE13)</f>
        <v>47480.264794956449</v>
      </c>
    </row>
    <row r="14" spans="2:110" ht="6.75" customHeight="1" outlineLevel="1" x14ac:dyDescent="0.2">
      <c r="B14" s="59"/>
      <c r="P14" s="87"/>
      <c r="Q14" s="87"/>
      <c r="R14" s="87"/>
      <c r="S14" s="87"/>
      <c r="T14" s="266"/>
      <c r="U14" s="111"/>
      <c r="V14" s="111"/>
      <c r="W14" s="111"/>
      <c r="X14" s="111"/>
      <c r="Y14" s="266"/>
      <c r="Z14" s="111"/>
      <c r="AA14" s="111"/>
      <c r="AB14" s="111"/>
      <c r="AC14" s="111"/>
      <c r="AD14" s="266"/>
      <c r="AE14" s="111"/>
      <c r="AF14" s="111"/>
      <c r="AG14" s="111"/>
      <c r="AH14" s="111"/>
      <c r="AI14" s="266"/>
      <c r="AJ14" s="111"/>
      <c r="AK14" s="111"/>
      <c r="AL14" s="111"/>
      <c r="AM14" s="111"/>
      <c r="AN14" s="266"/>
      <c r="AO14" s="111"/>
      <c r="AP14" s="111"/>
      <c r="AQ14" s="111"/>
      <c r="AR14" s="111"/>
      <c r="AS14" s="266"/>
      <c r="AT14" s="111"/>
      <c r="AU14" s="111"/>
      <c r="AV14" s="111"/>
      <c r="AW14" s="111"/>
      <c r="AX14" s="266"/>
      <c r="AY14" s="111"/>
      <c r="AZ14" s="111"/>
      <c r="BA14" s="111"/>
      <c r="BB14" s="111"/>
      <c r="BC14" s="266"/>
      <c r="BD14" s="111"/>
      <c r="BE14" s="111"/>
      <c r="BF14" s="111"/>
      <c r="BG14" s="111"/>
      <c r="BH14" s="266"/>
      <c r="BI14" s="111"/>
      <c r="BJ14" s="111"/>
      <c r="BK14" s="111"/>
      <c r="BL14" s="111"/>
      <c r="BM14" s="266"/>
      <c r="BN14" s="111"/>
      <c r="BO14" s="111"/>
      <c r="BP14" s="111"/>
      <c r="BQ14" s="111"/>
      <c r="BR14" s="266"/>
      <c r="BS14" s="111"/>
      <c r="BT14" s="111"/>
      <c r="BU14" s="111"/>
      <c r="BV14" s="111"/>
      <c r="BW14" s="266"/>
      <c r="BX14" s="111"/>
      <c r="BY14" s="111"/>
      <c r="BZ14" s="111"/>
      <c r="CA14" s="111"/>
      <c r="CB14" s="266"/>
      <c r="CC14" s="111"/>
      <c r="CD14" s="111"/>
      <c r="CE14" s="111"/>
      <c r="CF14" s="111"/>
      <c r="CG14" s="266"/>
      <c r="CH14" s="111"/>
      <c r="CI14" s="111"/>
      <c r="CJ14" s="111"/>
      <c r="CK14" s="111"/>
      <c r="CL14" s="266"/>
      <c r="CM14" s="111"/>
      <c r="CN14" s="111"/>
      <c r="CO14" s="111"/>
      <c r="CP14" s="111"/>
      <c r="CQ14" s="266"/>
      <c r="CR14" s="111"/>
      <c r="CS14" s="111"/>
      <c r="CT14" s="111"/>
      <c r="CU14" s="111"/>
      <c r="CV14" s="266"/>
      <c r="CW14" s="111"/>
      <c r="CX14" s="111"/>
      <c r="CY14" s="111"/>
      <c r="CZ14" s="111"/>
      <c r="DA14" s="266"/>
      <c r="DB14" s="111"/>
      <c r="DC14" s="111"/>
      <c r="DD14" s="111"/>
      <c r="DE14" s="111"/>
      <c r="DF14" s="266"/>
    </row>
    <row r="15" spans="2:110" ht="11.25" customHeight="1" outlineLevel="1" x14ac:dyDescent="0.2">
      <c r="B15" s="59" t="s">
        <v>292</v>
      </c>
      <c r="P15" s="87">
        <v>125.77958783593741</v>
      </c>
      <c r="Q15" s="87">
        <v>113.33757822720132</v>
      </c>
      <c r="R15" s="87">
        <v>121.38661843930113</v>
      </c>
      <c r="S15" s="87">
        <v>133.14615450154983</v>
      </c>
      <c r="T15" s="266"/>
      <c r="U15" s="111">
        <v>148.85352932610292</v>
      </c>
      <c r="V15" s="111">
        <v>156.55003639723171</v>
      </c>
      <c r="W15" s="111">
        <v>154.83868337141041</v>
      </c>
      <c r="X15" s="111">
        <v>170.38011013080313</v>
      </c>
      <c r="Y15" s="266">
        <v>630.62235922554817</v>
      </c>
      <c r="Z15" s="111">
        <v>160.00255586258038</v>
      </c>
      <c r="AA15" s="111">
        <v>165.84480000000002</v>
      </c>
      <c r="AB15" s="111">
        <v>165.56365403561929</v>
      </c>
      <c r="AC15" s="111">
        <v>171.69240000000005</v>
      </c>
      <c r="AD15" s="266">
        <v>663.10340989819974</v>
      </c>
      <c r="AE15" s="111">
        <v>176.12760000000003</v>
      </c>
      <c r="AF15" s="111">
        <v>184.60400000000001</v>
      </c>
      <c r="AG15" s="111">
        <v>180.93789999999998</v>
      </c>
      <c r="AH15" s="111">
        <v>197.12900000000002</v>
      </c>
      <c r="AI15" s="266">
        <v>738.7985000000001</v>
      </c>
      <c r="AJ15" s="111">
        <v>191.56450000000001</v>
      </c>
      <c r="AK15" s="111">
        <v>210.97672609159551</v>
      </c>
      <c r="AL15" s="111">
        <v>202.75922914264078</v>
      </c>
      <c r="AM15" s="111">
        <v>219.79879999999989</v>
      </c>
      <c r="AN15" s="266">
        <v>825.09925523423624</v>
      </c>
      <c r="AO15" s="111">
        <f>Revenue!AO183</f>
        <v>195.50070642856247</v>
      </c>
      <c r="AP15" s="111">
        <f>Revenue!AP183</f>
        <v>204.74430084000184</v>
      </c>
      <c r="AQ15" s="111">
        <f>Revenue!AQ183</f>
        <v>221.61189402253558</v>
      </c>
      <c r="AR15" s="111">
        <f>Revenue!AR183</f>
        <v>215.52647214444193</v>
      </c>
      <c r="AS15" s="266">
        <f>SUM(AO15:AR15)</f>
        <v>837.3833734355419</v>
      </c>
      <c r="AT15" s="111">
        <f ca="1">Revenue!AT183</f>
        <v>198.88634616981571</v>
      </c>
      <c r="AU15" s="111">
        <f ca="1">Revenue!AU183</f>
        <v>217.4587655096424</v>
      </c>
      <c r="AV15" s="111">
        <f ca="1">Revenue!AV183</f>
        <v>213.76718020753802</v>
      </c>
      <c r="AW15" s="111">
        <f ca="1">Revenue!AW183</f>
        <v>307.99758938591822</v>
      </c>
      <c r="AX15" s="266">
        <f ca="1">SUM(AT15:AW15)</f>
        <v>938.10988127291432</v>
      </c>
      <c r="AY15" s="111">
        <f ca="1">Revenue!AY183</f>
        <v>395.9407771490736</v>
      </c>
      <c r="AZ15" s="111">
        <f ca="1">Revenue!AZ183</f>
        <v>404.02440130430421</v>
      </c>
      <c r="BA15" s="111">
        <f ca="1">Revenue!BA183</f>
        <v>407.54139094633945</v>
      </c>
      <c r="BB15" s="111">
        <f ca="1">Revenue!BB183</f>
        <v>409.1071526226176</v>
      </c>
      <c r="BC15" s="266">
        <f ca="1">SUM(AY15:BB15)</f>
        <v>1616.6137220223347</v>
      </c>
      <c r="BD15" s="111">
        <f ca="1">Revenue!BD183</f>
        <v>450.17513684199054</v>
      </c>
      <c r="BE15" s="111">
        <f>Revenue!BE183</f>
        <v>456.04593394034032</v>
      </c>
      <c r="BF15" s="111">
        <f>Revenue!BF183</f>
        <v>460.24263180958087</v>
      </c>
      <c r="BG15" s="111">
        <f>Revenue!BG183</f>
        <v>500.68890190930455</v>
      </c>
      <c r="BH15" s="266">
        <f ca="1">SUM(BD15:BG15)</f>
        <v>1867.1526045012163</v>
      </c>
      <c r="BI15" s="111">
        <f ca="1">Revenue!BI183</f>
        <v>535.30726728636989</v>
      </c>
      <c r="BJ15" s="111">
        <f ca="1">Revenue!BJ183</f>
        <v>1465.9141105482672</v>
      </c>
      <c r="BK15" s="111">
        <f ca="1">Revenue!BK183</f>
        <v>1395.7892133183238</v>
      </c>
      <c r="BL15" s="111">
        <f ca="1">Revenue!BL183</f>
        <v>1422.4126460074851</v>
      </c>
      <c r="BM15" s="266">
        <f ca="1">SUM(BI15:BL15)</f>
        <v>4819.4232371604458</v>
      </c>
      <c r="BN15" s="111">
        <f ca="1">Revenue!BN183</f>
        <v>1327.189444855733</v>
      </c>
      <c r="BO15" s="111">
        <f ca="1">Revenue!BO183</f>
        <v>1312.0696399339188</v>
      </c>
      <c r="BP15" s="111">
        <f ca="1">Revenue!BP183</f>
        <v>1289.1237365189634</v>
      </c>
      <c r="BQ15" s="111">
        <f ca="1">Revenue!BQ183</f>
        <v>1161.3859439570344</v>
      </c>
      <c r="BR15" s="266">
        <f ca="1">SUM(BN15:BQ15)</f>
        <v>5089.7687652656496</v>
      </c>
      <c r="BS15" s="111">
        <f ca="1">Revenue!BS183</f>
        <v>1099.2136070459467</v>
      </c>
      <c r="BT15" s="111">
        <f ca="1">Revenue!BT183</f>
        <v>1215.3300160338556</v>
      </c>
      <c r="BU15" s="111">
        <f ca="1">Revenue!BU183</f>
        <v>1329.9368172426184</v>
      </c>
      <c r="BV15" s="111">
        <f ca="1">Revenue!BV183</f>
        <v>1348.8208222903534</v>
      </c>
      <c r="BW15" s="266">
        <f ca="1">SUM(BS15:BV15)</f>
        <v>4993.3012626127738</v>
      </c>
      <c r="BX15" s="111">
        <f ca="1">Revenue!BX183</f>
        <v>1221.7746791102934</v>
      </c>
      <c r="BY15" s="111">
        <f ca="1">Revenue!BY183</f>
        <v>1309.2939894938231</v>
      </c>
      <c r="BZ15" s="111">
        <f ca="1">Revenue!BZ183</f>
        <v>1365.9910044277913</v>
      </c>
      <c r="CA15" s="111">
        <f ca="1">Revenue!CA183</f>
        <v>1445.6550740016592</v>
      </c>
      <c r="CB15" s="266">
        <f ca="1">SUM(BX15:CA15)</f>
        <v>5342.7147470335667</v>
      </c>
      <c r="CC15" s="111">
        <f ca="1">Revenue!CC183</f>
        <v>1366.8268786698291</v>
      </c>
      <c r="CD15" s="111">
        <f ca="1">Revenue!CD183</f>
        <v>1387.6694217111944</v>
      </c>
      <c r="CE15" s="111">
        <f ca="1">Revenue!CE183</f>
        <v>1412.1735254881221</v>
      </c>
      <c r="CF15" s="111">
        <f ca="1">Revenue!CF183</f>
        <v>1493.4566126727848</v>
      </c>
      <c r="CG15" s="266">
        <f ca="1">SUM(CC15:CF15)</f>
        <v>5660.1264385419308</v>
      </c>
      <c r="CH15" s="111">
        <f ca="1">Revenue!CH183</f>
        <v>1353.4159265636245</v>
      </c>
      <c r="CI15" s="111">
        <f ca="1">Revenue!CI183</f>
        <v>1423.6207052167588</v>
      </c>
      <c r="CJ15" s="111">
        <f ca="1">Revenue!CJ183</f>
        <v>1280.5439529034199</v>
      </c>
      <c r="CK15" s="111">
        <f ca="1">Revenue!CK183</f>
        <v>1380.9239151593642</v>
      </c>
      <c r="CL15" s="266">
        <f ca="1">SUM(CH15:CK15)</f>
        <v>5438.5044998431677</v>
      </c>
      <c r="CM15" s="111">
        <f ca="1">Revenue!CM183</f>
        <v>1274.3134179936806</v>
      </c>
      <c r="CN15" s="111">
        <f ca="1">Revenue!CN183</f>
        <v>1335.8981843787867</v>
      </c>
      <c r="CO15" s="111">
        <f ca="1">Revenue!CO183</f>
        <v>1240.0574076175833</v>
      </c>
      <c r="CP15" s="111">
        <f ca="1">Revenue!CP183</f>
        <v>1342.8973540287909</v>
      </c>
      <c r="CQ15" s="266">
        <f ca="1">SUM(CM15:CP15)</f>
        <v>5193.1663640188417</v>
      </c>
      <c r="CR15" s="111">
        <f ca="1">Revenue!CR183</f>
        <v>1257.3074701750513</v>
      </c>
      <c r="CS15" s="111">
        <f ca="1">Revenue!CS183</f>
        <v>1308.7581195373564</v>
      </c>
      <c r="CT15" s="111">
        <f ca="1">Revenue!CT183</f>
        <v>1214.6883823394107</v>
      </c>
      <c r="CU15" s="111">
        <f ca="1">Revenue!CU183</f>
        <v>1312.422276942747</v>
      </c>
      <c r="CV15" s="266">
        <f ca="1">SUM(CR15:CU15)</f>
        <v>5093.1762489945659</v>
      </c>
      <c r="CW15" s="111">
        <f ca="1">Revenue!CW183</f>
        <v>1105.1041889864634</v>
      </c>
      <c r="CX15" s="111">
        <f ca="1">Revenue!CX183</f>
        <v>1150.2860875152551</v>
      </c>
      <c r="CY15" s="111">
        <f ca="1">Revenue!CY183</f>
        <v>1067.4723574668633</v>
      </c>
      <c r="CZ15" s="111">
        <f ca="1">Revenue!CZ183</f>
        <v>1153.4000343181583</v>
      </c>
      <c r="DA15" s="266">
        <f ca="1">SUM(CW15:CZ15)</f>
        <v>4476.2626682867394</v>
      </c>
      <c r="DB15" s="111">
        <f ca="1">Revenue!DB183</f>
        <v>960.03145490835027</v>
      </c>
      <c r="DC15" s="111">
        <f ca="1">Revenue!DC183</f>
        <v>999.24030802435652</v>
      </c>
      <c r="DD15" s="111">
        <f ca="1">Revenue!DD183</f>
        <v>927.1796239210563</v>
      </c>
      <c r="DE15" s="111">
        <f ca="1">Revenue!DE183</f>
        <v>1001.8485608168811</v>
      </c>
      <c r="DF15" s="266">
        <f ca="1">SUM(DB15:DE15)</f>
        <v>3888.2999476706441</v>
      </c>
    </row>
    <row r="16" spans="2:110" ht="11.25" customHeight="1" outlineLevel="1" x14ac:dyDescent="0.2">
      <c r="B16" s="59" t="s">
        <v>270</v>
      </c>
      <c r="P16" s="87">
        <v>846.47541216406262</v>
      </c>
      <c r="Q16" s="87">
        <v>850.78142177279869</v>
      </c>
      <c r="R16" s="87">
        <v>863.0813815606989</v>
      </c>
      <c r="S16" s="87">
        <v>934.01184549845004</v>
      </c>
      <c r="T16" s="266"/>
      <c r="U16" s="111">
        <v>990.72647067389698</v>
      </c>
      <c r="V16" s="111">
        <v>1024.5869636027685</v>
      </c>
      <c r="W16" s="111">
        <v>1053.7973166285897</v>
      </c>
      <c r="X16" s="111">
        <v>1071.2668898691968</v>
      </c>
      <c r="Y16" s="266">
        <v>4140.3776407744517</v>
      </c>
      <c r="Z16" s="111">
        <v>1053.2974441374192</v>
      </c>
      <c r="AA16" s="111">
        <v>1090.5552</v>
      </c>
      <c r="AB16" s="111">
        <v>1080.0363459643806</v>
      </c>
      <c r="AC16" s="111">
        <v>1129.0076000000001</v>
      </c>
      <c r="AD16" s="266">
        <v>4352.8965901018</v>
      </c>
      <c r="AE16" s="111">
        <v>1158.1724000000002</v>
      </c>
      <c r="AF16" s="111">
        <v>1133.9959999999999</v>
      </c>
      <c r="AG16" s="111">
        <v>1084.3620999999998</v>
      </c>
      <c r="AH16" s="111">
        <v>1074.671</v>
      </c>
      <c r="AI16" s="266">
        <v>4451.2015000000001</v>
      </c>
      <c r="AJ16" s="111">
        <v>1044.3355000000001</v>
      </c>
      <c r="AK16" s="111">
        <v>1039.5232739084045</v>
      </c>
      <c r="AL16" s="111">
        <v>1048.4407708573592</v>
      </c>
      <c r="AM16" s="111">
        <v>1058.1011999999998</v>
      </c>
      <c r="AN16" s="266">
        <v>4190.4007447657641</v>
      </c>
      <c r="AO16" s="111">
        <f>Revenue!AO184</f>
        <v>1039.8992935714375</v>
      </c>
      <c r="AP16" s="111">
        <f>Revenue!AP184</f>
        <v>1038.355699159998</v>
      </c>
      <c r="AQ16" s="111">
        <f>Revenue!AQ184</f>
        <v>1042.5881059774645</v>
      </c>
      <c r="AR16" s="111">
        <f>Revenue!AR184</f>
        <v>1034.4735278555581</v>
      </c>
      <c r="AS16" s="266">
        <f>SUM(AO16:AR16)</f>
        <v>4155.3166265644586</v>
      </c>
      <c r="AT16" s="111">
        <f ca="1">Revenue!AT184</f>
        <v>953.54724983018468</v>
      </c>
      <c r="AU16" s="111">
        <f ca="1">Revenue!AU184</f>
        <v>1018.5153144903574</v>
      </c>
      <c r="AV16" s="111">
        <f ca="1">Revenue!AV184</f>
        <v>1019.6337787924621</v>
      </c>
      <c r="AW16" s="111">
        <f ca="1">Revenue!AW184</f>
        <v>1445.8589669082016</v>
      </c>
      <c r="AX16" s="266">
        <f ca="1">SUM(AT16:AW16)</f>
        <v>4437.5553100212055</v>
      </c>
      <c r="AY16" s="111">
        <f ca="1">Revenue!AY184</f>
        <v>1779.5579983952869</v>
      </c>
      <c r="AZ16" s="111">
        <f ca="1">Revenue!AZ184</f>
        <v>1795.606913218553</v>
      </c>
      <c r="BA16" s="111">
        <f ca="1">Revenue!BA184</f>
        <v>1788.1124070437413</v>
      </c>
      <c r="BB16" s="111">
        <f ca="1">Revenue!BB184</f>
        <v>1800.318664928139</v>
      </c>
      <c r="BC16" s="266">
        <f ca="1">SUM(AY16:BB16)</f>
        <v>7163.5959835857202</v>
      </c>
      <c r="BD16" s="111">
        <f ca="1">Revenue!BD184</f>
        <v>1785.7102521022862</v>
      </c>
      <c r="BE16" s="111">
        <f>Revenue!BE184</f>
        <v>1830.8469206466818</v>
      </c>
      <c r="BF16" s="111">
        <f>Revenue!BF184</f>
        <v>1910.8147080160188</v>
      </c>
      <c r="BG16" s="111">
        <f>Revenue!BG184</f>
        <v>1984.8231852373401</v>
      </c>
      <c r="BH16" s="266">
        <f ca="1">SUM(BD16:BG16)</f>
        <v>7512.1950660023267</v>
      </c>
      <c r="BI16" s="111">
        <f ca="1">Revenue!BI184</f>
        <v>2046.0069289268786</v>
      </c>
      <c r="BJ16" s="111">
        <f ca="1">Revenue!BJ184</f>
        <v>5235.6555814934527</v>
      </c>
      <c r="BK16" s="111">
        <f ca="1">Revenue!BK184</f>
        <v>4973.5543119824952</v>
      </c>
      <c r="BL16" s="111">
        <f ca="1">Revenue!BL184</f>
        <v>4966.9131878987291</v>
      </c>
      <c r="BM16" s="266">
        <f ca="1">SUM(BI16:BL16)</f>
        <v>17222.130010301556</v>
      </c>
      <c r="BN16" s="111">
        <f ca="1">Revenue!BN184</f>
        <v>4671.9409963626267</v>
      </c>
      <c r="BO16" s="111">
        <f ca="1">Revenue!BO184</f>
        <v>4643.2912304502124</v>
      </c>
      <c r="BP16" s="111">
        <f ca="1">Revenue!BP184</f>
        <v>4925.7947958545146</v>
      </c>
      <c r="BQ16" s="111">
        <f ca="1">Revenue!BQ184</f>
        <v>4838.0872652706712</v>
      </c>
      <c r="BR16" s="266">
        <f ca="1">SUM(BN16:BQ16)</f>
        <v>19079.114287938024</v>
      </c>
      <c r="BS16" s="111">
        <f ca="1">Revenue!BS184</f>
        <v>4221.7592976071182</v>
      </c>
      <c r="BT16" s="111">
        <f ca="1">Revenue!BT184</f>
        <v>4528.7026578252926</v>
      </c>
      <c r="BU16" s="111">
        <f ca="1">Revenue!BU184</f>
        <v>4782.4298896845894</v>
      </c>
      <c r="BV16" s="111">
        <f ca="1">Revenue!BV184</f>
        <v>4711.0804374923382</v>
      </c>
      <c r="BW16" s="266">
        <f ca="1">SUM(BS16:BV16)</f>
        <v>18243.972282609338</v>
      </c>
      <c r="BX16" s="111">
        <f ca="1">Revenue!BX184</f>
        <v>4076.8968628638013</v>
      </c>
      <c r="BY16" s="111">
        <f ca="1">Revenue!BY184</f>
        <v>4178.5371146043935</v>
      </c>
      <c r="BZ16" s="111">
        <f ca="1">Revenue!BZ184</f>
        <v>4196.2846754843695</v>
      </c>
      <c r="CA16" s="111">
        <f ca="1">Revenue!CA184</f>
        <v>4664.9502484158238</v>
      </c>
      <c r="CB16" s="266">
        <f ca="1">SUM(BX16:CA16)</f>
        <v>17116.668901368386</v>
      </c>
      <c r="CC16" s="111">
        <f ca="1">Revenue!CC184</f>
        <v>4314.5239340311955</v>
      </c>
      <c r="CD16" s="111">
        <f ca="1">Revenue!CD184</f>
        <v>4128.1193537289146</v>
      </c>
      <c r="CE16" s="111">
        <f ca="1">Revenue!CE184</f>
        <v>4113.1658253769756</v>
      </c>
      <c r="CF16" s="111">
        <f ca="1">Revenue!CF184</f>
        <v>4327.1409736473697</v>
      </c>
      <c r="CG16" s="266">
        <f ca="1">SUM(CC16:CF16)</f>
        <v>16882.950086784454</v>
      </c>
      <c r="CH16" s="111">
        <f ca="1">Revenue!CH184</f>
        <v>3780.9335544719011</v>
      </c>
      <c r="CI16" s="111">
        <f ca="1">Revenue!CI184</f>
        <v>3837.3521966470362</v>
      </c>
      <c r="CJ16" s="111">
        <f ca="1">Revenue!CJ184</f>
        <v>3332.3619983429685</v>
      </c>
      <c r="CK16" s="111">
        <f ca="1">Revenue!CK184</f>
        <v>3593.5809677179604</v>
      </c>
      <c r="CL16" s="266">
        <f ca="1">SUM(CH16:CK16)</f>
        <v>14544.228717179867</v>
      </c>
      <c r="CM16" s="111">
        <f ca="1">Revenue!CM184</f>
        <v>3270.7683205985804</v>
      </c>
      <c r="CN16" s="111">
        <f ca="1">Revenue!CN184</f>
        <v>3285.8400060671506</v>
      </c>
      <c r="CO16" s="111">
        <f ca="1">Revenue!CO184</f>
        <v>2922.6476760672854</v>
      </c>
      <c r="CP16" s="111">
        <f ca="1">Revenue!CP184</f>
        <v>3165.0275276283919</v>
      </c>
      <c r="CQ16" s="266">
        <f ca="1">SUM(CM16:CP16)</f>
        <v>12644.283530361408</v>
      </c>
      <c r="CR16" s="111">
        <f ca="1">Revenue!CR184</f>
        <v>3063.1016710564081</v>
      </c>
      <c r="CS16" s="111">
        <f ca="1">Revenue!CS184</f>
        <v>3200.971860145637</v>
      </c>
      <c r="CT16" s="111">
        <f ca="1">Revenue!CT184</f>
        <v>2832.386333112082</v>
      </c>
      <c r="CU16" s="111">
        <f ca="1">Revenue!CU184</f>
        <v>3116.3755173710365</v>
      </c>
      <c r="CV16" s="266">
        <f ca="1">SUM(CR16:CU16)</f>
        <v>12212.835381685163</v>
      </c>
      <c r="CW16" s="111">
        <f ca="1">Revenue!CW184</f>
        <v>2627.4634644658177</v>
      </c>
      <c r="CX16" s="111">
        <f ca="1">Revenue!CX184</f>
        <v>2743.7011749819058</v>
      </c>
      <c r="CY16" s="111">
        <f ca="1">Revenue!CY184</f>
        <v>2414.7386552297135</v>
      </c>
      <c r="CZ16" s="111">
        <f ca="1">Revenue!CZ184</f>
        <v>2661.1035355408235</v>
      </c>
      <c r="DA16" s="266">
        <f ca="1">SUM(CW16:CZ16)</f>
        <v>10447.006830218261</v>
      </c>
      <c r="DB16" s="111">
        <f ca="1">Revenue!DB184</f>
        <v>2250.0484049821584</v>
      </c>
      <c r="DC16" s="111">
        <f ca="1">Revenue!DC184</f>
        <v>2347.4865830906319</v>
      </c>
      <c r="DD16" s="111">
        <f ca="1">Revenue!DD184</f>
        <v>2052.5215019570437</v>
      </c>
      <c r="DE16" s="111">
        <f ca="1">Revenue!DE184</f>
        <v>2266.3605898443107</v>
      </c>
      <c r="DF16" s="266">
        <f ca="1">SUM(DB16:DE16)</f>
        <v>8916.4170798741452</v>
      </c>
    </row>
    <row r="17" spans="2:112" ht="11.25" customHeight="1" outlineLevel="1" x14ac:dyDescent="0.2">
      <c r="B17" s="59" t="s">
        <v>295</v>
      </c>
      <c r="P17" s="87"/>
      <c r="Q17" s="87"/>
      <c r="R17" s="87"/>
      <c r="S17" s="87"/>
      <c r="T17" s="266"/>
      <c r="U17" s="111">
        <f t="shared" ref="U17:AR17" si="1">SUM(U15:U16)</f>
        <v>1139.58</v>
      </c>
      <c r="V17" s="111">
        <f t="shared" si="1"/>
        <v>1181.1370000000002</v>
      </c>
      <c r="W17" s="111">
        <f t="shared" si="1"/>
        <v>1208.636</v>
      </c>
      <c r="X17" s="111">
        <f t="shared" si="1"/>
        <v>1241.6469999999999</v>
      </c>
      <c r="Y17" s="266">
        <f t="shared" si="1"/>
        <v>4771</v>
      </c>
      <c r="Z17" s="111">
        <f t="shared" si="1"/>
        <v>1213.2999999999997</v>
      </c>
      <c r="AA17" s="111">
        <f t="shared" si="1"/>
        <v>1256.4000000000001</v>
      </c>
      <c r="AB17" s="111">
        <f t="shared" si="1"/>
        <v>1245.5999999999999</v>
      </c>
      <c r="AC17" s="111">
        <f t="shared" si="1"/>
        <v>1300.7000000000003</v>
      </c>
      <c r="AD17" s="266">
        <f t="shared" si="1"/>
        <v>5016</v>
      </c>
      <c r="AE17" s="111">
        <f t="shared" si="1"/>
        <v>1334.3000000000002</v>
      </c>
      <c r="AF17" s="111">
        <f t="shared" si="1"/>
        <v>1318.6</v>
      </c>
      <c r="AG17" s="111">
        <f t="shared" si="1"/>
        <v>1265.2999999999997</v>
      </c>
      <c r="AH17" s="111">
        <f t="shared" si="1"/>
        <v>1271.8000000000002</v>
      </c>
      <c r="AI17" s="266">
        <f t="shared" si="1"/>
        <v>5190</v>
      </c>
      <c r="AJ17" s="111">
        <f t="shared" si="1"/>
        <v>1235.9000000000001</v>
      </c>
      <c r="AK17" s="111">
        <f t="shared" si="1"/>
        <v>1250.5</v>
      </c>
      <c r="AL17" s="111">
        <f t="shared" si="1"/>
        <v>1251.2</v>
      </c>
      <c r="AM17" s="111">
        <f t="shared" si="1"/>
        <v>1277.8999999999996</v>
      </c>
      <c r="AN17" s="266">
        <f t="shared" si="1"/>
        <v>5015.5</v>
      </c>
      <c r="AO17" s="111">
        <f t="shared" si="1"/>
        <v>1235.4000000000001</v>
      </c>
      <c r="AP17" s="111">
        <f t="shared" si="1"/>
        <v>1243.0999999999999</v>
      </c>
      <c r="AQ17" s="111">
        <f t="shared" si="1"/>
        <v>1264.2</v>
      </c>
      <c r="AR17" s="111">
        <f t="shared" si="1"/>
        <v>1250</v>
      </c>
      <c r="AS17" s="266">
        <f>SUM(AO17:AR17)</f>
        <v>4992.7</v>
      </c>
      <c r="AT17" s="111">
        <f ca="1">SUM(AT15:AT16)</f>
        <v>1152.4335960000003</v>
      </c>
      <c r="AU17" s="111">
        <f ca="1">SUM(AU15:AU16)</f>
        <v>1235.9740799999997</v>
      </c>
      <c r="AV17" s="111">
        <f ca="1">SUM(AV15:AV16)</f>
        <v>1233.4009590000001</v>
      </c>
      <c r="AW17" s="111">
        <f ca="1">SUM(AW15:AW16)</f>
        <v>1753.8565562941199</v>
      </c>
      <c r="AX17" s="266">
        <f ca="1">SUM(AT17:AW17)</f>
        <v>5375.6651912941197</v>
      </c>
      <c r="AY17" s="111">
        <f ca="1">SUM(AY15:AY16)</f>
        <v>2175.4987755443603</v>
      </c>
      <c r="AZ17" s="111">
        <f ca="1">SUM(AZ15:AZ16)</f>
        <v>2199.6313145228573</v>
      </c>
      <c r="BA17" s="111">
        <f ca="1">SUM(BA15:BA16)</f>
        <v>2195.6537979900809</v>
      </c>
      <c r="BB17" s="111">
        <f ca="1">SUM(BB15:BB16)</f>
        <v>2209.4258175507566</v>
      </c>
      <c r="BC17" s="266">
        <f ca="1">SUM(AY17:BB17)</f>
        <v>8780.2097056080547</v>
      </c>
      <c r="BD17" s="111">
        <f ca="1">SUM(BD15:BD16)</f>
        <v>2235.8853889442767</v>
      </c>
      <c r="BE17" s="111">
        <f>SUM(BE15:BE16)</f>
        <v>2286.8928545870222</v>
      </c>
      <c r="BF17" s="111">
        <f>SUM(BF15:BF16)</f>
        <v>2371.0573398255997</v>
      </c>
      <c r="BG17" s="111">
        <f>SUM(BG15:BG16)</f>
        <v>2485.5120871466447</v>
      </c>
      <c r="BH17" s="266">
        <f ca="1">SUM(BD17:BG17)</f>
        <v>9379.3476705035428</v>
      </c>
      <c r="BI17" s="111">
        <f ca="1">SUM(BI15:BI16)</f>
        <v>2581.3141962132486</v>
      </c>
      <c r="BJ17" s="111">
        <f ca="1">SUM(BJ15:BJ16)</f>
        <v>6701.5696920417195</v>
      </c>
      <c r="BK17" s="111">
        <f ca="1">SUM(BK15:BK16)</f>
        <v>6369.3435253008192</v>
      </c>
      <c r="BL17" s="111">
        <f ca="1">SUM(BL15:BL16)</f>
        <v>6389.325833906214</v>
      </c>
      <c r="BM17" s="266">
        <f ca="1">SUM(BI17:BL17)</f>
        <v>22041.553247462001</v>
      </c>
      <c r="BN17" s="111">
        <f ca="1">SUM(BN15:BN16)</f>
        <v>5999.1304412183599</v>
      </c>
      <c r="BO17" s="111">
        <f ca="1">SUM(BO15:BO16)</f>
        <v>5955.360870384131</v>
      </c>
      <c r="BP17" s="111">
        <f ca="1">SUM(BP15:BP16)</f>
        <v>6214.9185323734782</v>
      </c>
      <c r="BQ17" s="111">
        <f ca="1">SUM(BQ15:BQ16)</f>
        <v>5999.4732092277054</v>
      </c>
      <c r="BR17" s="266">
        <f ca="1">SUM(BN17:BQ17)</f>
        <v>24168.883053203674</v>
      </c>
      <c r="BS17" s="111">
        <f ca="1">SUM(BS15:BS16)</f>
        <v>5320.9729046530647</v>
      </c>
      <c r="BT17" s="111">
        <f ca="1">SUM(BT15:BT16)</f>
        <v>5744.0326738591484</v>
      </c>
      <c r="BU17" s="111">
        <f ca="1">SUM(BU15:BU16)</f>
        <v>6112.3667069272078</v>
      </c>
      <c r="BV17" s="111">
        <f ca="1">SUM(BV15:BV16)</f>
        <v>6059.9012597826913</v>
      </c>
      <c r="BW17" s="266">
        <f ca="1">SUM(BS17:BV17)</f>
        <v>23237.273545222113</v>
      </c>
      <c r="BX17" s="111">
        <f ca="1">SUM(BX15:BX16)</f>
        <v>5298.6715419740949</v>
      </c>
      <c r="BY17" s="111">
        <f ca="1">SUM(BY15:BY16)</f>
        <v>5487.8311040982171</v>
      </c>
      <c r="BZ17" s="111">
        <f ca="1">SUM(BZ15:BZ16)</f>
        <v>5562.2756799121607</v>
      </c>
      <c r="CA17" s="111">
        <f ca="1">SUM(CA15:CA16)</f>
        <v>6110.605322417483</v>
      </c>
      <c r="CB17" s="266">
        <f ca="1">SUM(BX17:CA17)</f>
        <v>22459.383648401956</v>
      </c>
      <c r="CC17" s="111">
        <f ca="1">SUM(CC15:CC16)</f>
        <v>5681.3508127010246</v>
      </c>
      <c r="CD17" s="111">
        <f ca="1">SUM(CD15:CD16)</f>
        <v>5515.788775440109</v>
      </c>
      <c r="CE17" s="111">
        <f ca="1">SUM(CE15:CE16)</f>
        <v>5525.3393508650979</v>
      </c>
      <c r="CF17" s="111">
        <f ca="1">SUM(CF15:CF16)</f>
        <v>5820.5975863201547</v>
      </c>
      <c r="CG17" s="266">
        <f ca="1">SUM(CC17:CF17)</f>
        <v>22543.076525326389</v>
      </c>
      <c r="CH17" s="111">
        <f ca="1">SUM(CH15:CH16)</f>
        <v>5134.349481035526</v>
      </c>
      <c r="CI17" s="111">
        <f ca="1">SUM(CI15:CI16)</f>
        <v>5260.9729018637954</v>
      </c>
      <c r="CJ17" s="111">
        <f ca="1">SUM(CJ15:CJ16)</f>
        <v>4612.9059512463882</v>
      </c>
      <c r="CK17" s="111">
        <f ca="1">SUM(CK15:CK16)</f>
        <v>4974.5048828773251</v>
      </c>
      <c r="CL17" s="266">
        <f ca="1">SUM(CH17:CK17)</f>
        <v>19982.733217023037</v>
      </c>
      <c r="CM17" s="111">
        <f ca="1">SUM(CM15:CM16)</f>
        <v>4545.081738592261</v>
      </c>
      <c r="CN17" s="111">
        <f ca="1">SUM(CN15:CN16)</f>
        <v>4621.7381904459371</v>
      </c>
      <c r="CO17" s="111">
        <f ca="1">SUM(CO15:CO16)</f>
        <v>4162.7050836848684</v>
      </c>
      <c r="CP17" s="111">
        <f ca="1">SUM(CP15:CP16)</f>
        <v>4507.9248816571826</v>
      </c>
      <c r="CQ17" s="266">
        <f ca="1">SUM(CM17:CP17)</f>
        <v>17837.44989438025</v>
      </c>
      <c r="CR17" s="111">
        <f ca="1">SUM(CR15:CR16)</f>
        <v>4320.4091412314592</v>
      </c>
      <c r="CS17" s="111">
        <f ca="1">SUM(CS15:CS16)</f>
        <v>4509.7299796829939</v>
      </c>
      <c r="CT17" s="111">
        <f ca="1">SUM(CT15:CT16)</f>
        <v>4047.0747154514929</v>
      </c>
      <c r="CU17" s="111">
        <f ca="1">SUM(CU15:CU16)</f>
        <v>4428.797794313783</v>
      </c>
      <c r="CV17" s="266">
        <f ca="1">SUM(CR17:CU17)</f>
        <v>17306.011630679728</v>
      </c>
      <c r="CW17" s="111">
        <f ca="1">SUM(CW15:CW16)</f>
        <v>3732.5676534522809</v>
      </c>
      <c r="CX17" s="111">
        <f ca="1">SUM(CX15:CX16)</f>
        <v>3893.9872624971608</v>
      </c>
      <c r="CY17" s="111">
        <f ca="1">SUM(CY15:CY16)</f>
        <v>3482.2110126965767</v>
      </c>
      <c r="CZ17" s="111">
        <f ca="1">SUM(CZ15:CZ16)</f>
        <v>3814.5035698589818</v>
      </c>
      <c r="DA17" s="266">
        <f ca="1">SUM(CW17:CZ17)</f>
        <v>14923.269498505</v>
      </c>
      <c r="DB17" s="111">
        <f ca="1">SUM(DB15:DB16)</f>
        <v>3210.0798598905085</v>
      </c>
      <c r="DC17" s="111">
        <f ca="1">SUM(DC15:DC16)</f>
        <v>3346.7268911149886</v>
      </c>
      <c r="DD17" s="111">
        <f ca="1">SUM(DD15:DD16)</f>
        <v>2979.7011258780999</v>
      </c>
      <c r="DE17" s="111">
        <f ca="1">SUM(DE15:DE16)</f>
        <v>3268.2091506611919</v>
      </c>
      <c r="DF17" s="266">
        <f ca="1">SUM(DB17:DE17)</f>
        <v>12804.71702754479</v>
      </c>
    </row>
    <row r="18" spans="2:112" ht="11.25" customHeight="1" outlineLevel="1" x14ac:dyDescent="0.2">
      <c r="B18" s="59"/>
      <c r="P18" s="87"/>
      <c r="Q18" s="87"/>
      <c r="R18" s="87"/>
      <c r="S18" s="87"/>
      <c r="T18" s="266"/>
      <c r="U18" s="111"/>
      <c r="V18" s="111"/>
      <c r="W18" s="111"/>
      <c r="X18" s="111"/>
      <c r="Y18" s="266"/>
      <c r="Z18" s="111"/>
      <c r="AA18" s="111"/>
      <c r="AB18" s="111"/>
      <c r="AC18" s="111"/>
      <c r="AD18" s="266"/>
      <c r="AE18" s="111"/>
      <c r="AF18" s="111"/>
      <c r="AG18" s="111"/>
      <c r="AH18" s="111"/>
      <c r="AI18" s="266"/>
      <c r="AJ18" s="111"/>
      <c r="AK18" s="111"/>
      <c r="AL18" s="111"/>
      <c r="AM18" s="111"/>
      <c r="AN18" s="266"/>
      <c r="AO18" s="111"/>
      <c r="AP18" s="111"/>
      <c r="AQ18" s="111"/>
      <c r="AR18" s="111"/>
      <c r="AS18" s="266"/>
      <c r="AT18" s="111"/>
      <c r="AU18" s="111"/>
      <c r="AV18" s="111"/>
      <c r="AW18" s="111"/>
      <c r="AX18" s="266"/>
      <c r="AY18" s="111"/>
      <c r="AZ18" s="111"/>
      <c r="BA18" s="111"/>
      <c r="BB18" s="111"/>
      <c r="BC18" s="266"/>
      <c r="BD18" s="111"/>
      <c r="BE18" s="111"/>
      <c r="BF18" s="111"/>
      <c r="BG18" s="111"/>
      <c r="BH18" s="266"/>
      <c r="BI18" s="111"/>
      <c r="BJ18" s="111"/>
      <c r="BK18" s="111"/>
      <c r="BL18" s="111"/>
      <c r="BM18" s="266"/>
      <c r="BN18" s="111"/>
      <c r="BO18" s="111"/>
      <c r="BP18" s="111"/>
      <c r="BQ18" s="111"/>
      <c r="BR18" s="266"/>
      <c r="BS18" s="111"/>
      <c r="BT18" s="111"/>
      <c r="BU18" s="111"/>
      <c r="BV18" s="111"/>
      <c r="BW18" s="266"/>
      <c r="BX18" s="111"/>
      <c r="BY18" s="111"/>
      <c r="BZ18" s="111"/>
      <c r="CA18" s="111"/>
      <c r="CB18" s="266"/>
      <c r="CC18" s="111"/>
      <c r="CD18" s="111"/>
      <c r="CE18" s="111"/>
      <c r="CF18" s="111"/>
      <c r="CG18" s="266"/>
      <c r="CH18" s="111"/>
      <c r="CI18" s="111"/>
      <c r="CJ18" s="111"/>
      <c r="CK18" s="111"/>
      <c r="CL18" s="266"/>
      <c r="CM18" s="111"/>
      <c r="CN18" s="111"/>
      <c r="CO18" s="111"/>
      <c r="CP18" s="111"/>
      <c r="CQ18" s="266"/>
      <c r="CR18" s="111"/>
      <c r="CS18" s="111"/>
      <c r="CT18" s="111"/>
      <c r="CU18" s="111"/>
      <c r="CV18" s="266"/>
      <c r="CW18" s="111"/>
      <c r="CX18" s="111"/>
      <c r="CY18" s="111"/>
      <c r="CZ18" s="111"/>
      <c r="DA18" s="266"/>
      <c r="DB18" s="111"/>
      <c r="DC18" s="111"/>
      <c r="DD18" s="111"/>
      <c r="DE18" s="111"/>
      <c r="DF18" s="266"/>
    </row>
    <row r="19" spans="2:112" ht="11.25" customHeight="1" outlineLevel="1" x14ac:dyDescent="0.2">
      <c r="B19" s="59" t="s">
        <v>161</v>
      </c>
      <c r="P19" s="87"/>
      <c r="Q19" s="87"/>
      <c r="R19" s="87"/>
      <c r="S19" s="87"/>
      <c r="T19" s="266"/>
      <c r="U19" s="111"/>
      <c r="V19" s="111"/>
      <c r="W19" s="111"/>
      <c r="X19" s="111"/>
      <c r="Y19" s="266"/>
      <c r="Z19" s="111"/>
      <c r="AA19" s="111"/>
      <c r="AB19" s="111"/>
      <c r="AC19" s="111"/>
      <c r="AD19" s="266"/>
      <c r="AE19" s="111"/>
      <c r="AF19" s="111"/>
      <c r="AG19" s="111"/>
      <c r="AH19" s="111"/>
      <c r="AI19" s="266"/>
      <c r="AJ19" s="111"/>
      <c r="AK19" s="111"/>
      <c r="AL19" s="111"/>
      <c r="AM19" s="111"/>
      <c r="AN19" s="266"/>
      <c r="AO19" s="111">
        <f ca="1">Revenue!AO185</f>
        <v>541.19999999999982</v>
      </c>
      <c r="AP19" s="111">
        <f ca="1">Revenue!AP185</f>
        <v>546.80000000000018</v>
      </c>
      <c r="AQ19" s="111">
        <f ca="1">Revenue!AQ185</f>
        <v>567.29999999999995</v>
      </c>
      <c r="AR19" s="111">
        <f ca="1">Revenue!AR185</f>
        <v>577.70000000000005</v>
      </c>
      <c r="AS19" s="266">
        <f ca="1">SUM(AO19:AR19)</f>
        <v>2233</v>
      </c>
      <c r="AT19" s="111">
        <f>Revenue!AT185</f>
        <v>628.96640399999978</v>
      </c>
      <c r="AU19" s="111">
        <f>Revenue!AU185</f>
        <v>631.22592000000031</v>
      </c>
      <c r="AV19" s="111">
        <f>Revenue!AV185</f>
        <v>659.29904099999999</v>
      </c>
      <c r="AW19" s="111">
        <f>Revenue!AW185</f>
        <v>805.65546906899999</v>
      </c>
      <c r="AX19" s="266">
        <f>SUM(AT19:AW19)</f>
        <v>2725.1468340689999</v>
      </c>
      <c r="AY19" s="111">
        <f>Revenue!AY185</f>
        <v>1060.5373005450001</v>
      </c>
      <c r="AZ19" s="111">
        <f>Revenue!AZ185</f>
        <v>1095.2825762092816</v>
      </c>
      <c r="BA19" s="111">
        <f>Revenue!BA185</f>
        <v>1125.8822780992803</v>
      </c>
      <c r="BB19" s="111">
        <f>Revenue!BB185</f>
        <v>1153.3102585386048</v>
      </c>
      <c r="BC19" s="266">
        <f>SUM(AY19:BB19)</f>
        <v>4435.0124133921672</v>
      </c>
      <c r="BD19" s="111">
        <f ca="1">Revenue!BD185</f>
        <v>1231.8506871450841</v>
      </c>
      <c r="BE19" s="111">
        <f ca="1">Revenue!BE185</f>
        <v>1293.4432215023382</v>
      </c>
      <c r="BF19" s="111">
        <f ca="1">Revenue!BF185</f>
        <v>1312.7787362637609</v>
      </c>
      <c r="BG19" s="111">
        <f ca="1">Revenue!BG185</f>
        <v>1357.4461742999379</v>
      </c>
      <c r="BH19" s="266">
        <f ca="1">SUM(BD19:BG19)</f>
        <v>5195.5188192111218</v>
      </c>
      <c r="BI19" s="111">
        <f ca="1">Revenue!BI185</f>
        <v>1404.821879876112</v>
      </c>
      <c r="BJ19" s="111">
        <f ca="1">Revenue!BJ185</f>
        <v>3095.4663840476414</v>
      </c>
      <c r="BK19" s="111">
        <f ca="1">Revenue!BK185</f>
        <v>3216.4925507885414</v>
      </c>
      <c r="BL19" s="111">
        <f ca="1">Revenue!BL185</f>
        <v>3268.1102421831479</v>
      </c>
      <c r="BM19" s="266">
        <f ca="1">SUM(BI19:BL19)</f>
        <v>10984.891056895442</v>
      </c>
      <c r="BN19" s="111">
        <f ca="1">Revenue!BN185</f>
        <v>3232.5056348710027</v>
      </c>
      <c r="BO19" s="111">
        <f ca="1">Revenue!BO185</f>
        <v>3368.4752057052306</v>
      </c>
      <c r="BP19" s="111">
        <f ca="1">Revenue!BP185</f>
        <v>3496.2175437158835</v>
      </c>
      <c r="BQ19" s="111">
        <f ca="1">Revenue!BQ185</f>
        <v>3555.3146385935679</v>
      </c>
      <c r="BR19" s="266">
        <f ca="1">SUM(BN19:BQ19)</f>
        <v>13652.513022885683</v>
      </c>
      <c r="BS19" s="111">
        <f ca="1">Revenue!BS185</f>
        <v>3598.0631714362967</v>
      </c>
      <c r="BT19" s="111">
        <f ca="1">Revenue!BT185</f>
        <v>3821.1034022302138</v>
      </c>
      <c r="BU19" s="111">
        <f ca="1">Revenue!BU185</f>
        <v>3965.169369162154</v>
      </c>
      <c r="BV19" s="111">
        <f ca="1">Revenue!BV185</f>
        <v>4032.8296330876155</v>
      </c>
      <c r="BW19" s="266">
        <f ca="1">SUM(BS19:BV19)</f>
        <v>15417.165575916279</v>
      </c>
      <c r="BX19" s="111">
        <f ca="1">Revenue!BX185</f>
        <v>4332.0680584093016</v>
      </c>
      <c r="BY19" s="111">
        <f ca="1">Revenue!BY185</f>
        <v>4600.6084962851783</v>
      </c>
      <c r="BZ19" s="111">
        <f ca="1">Revenue!BZ185</f>
        <v>4774.0639204712343</v>
      </c>
      <c r="CA19" s="111">
        <f ca="1">Revenue!CA185</f>
        <v>4682.1152040147226</v>
      </c>
      <c r="CB19" s="266">
        <f ca="1">SUM(BX19:CA19)</f>
        <v>18388.855679180437</v>
      </c>
      <c r="CC19" s="111">
        <f ca="1">Revenue!CC185</f>
        <v>4936.3915525573993</v>
      </c>
      <c r="CD19" s="111">
        <f ca="1">Revenue!CD185</f>
        <v>5316.5781935195591</v>
      </c>
      <c r="CE19" s="111">
        <f ca="1">Revenue!CE185</f>
        <v>5517.0276180945702</v>
      </c>
      <c r="CF19" s="111">
        <f ca="1">Revenue!CF185</f>
        <v>5410.7693826395134</v>
      </c>
      <c r="CG19" s="266">
        <f ca="1">SUM(CC19:CF19)</f>
        <v>21180.766746811045</v>
      </c>
      <c r="CH19" s="111">
        <f ca="1">Revenue!CH185</f>
        <v>5704.6174879241435</v>
      </c>
      <c r="CI19" s="111">
        <f ca="1">Revenue!CI185</f>
        <v>6115.3940670958727</v>
      </c>
      <c r="CJ19" s="111">
        <f ca="1">Revenue!CJ185</f>
        <v>6345.9610177132799</v>
      </c>
      <c r="CK19" s="111">
        <f ca="1">Revenue!CK185</f>
        <v>6223.7374823810997</v>
      </c>
      <c r="CL19" s="266">
        <f ca="1">SUM(CH19:CK19)</f>
        <v>24389.710055114399</v>
      </c>
      <c r="CM19" s="111">
        <f ca="1">Revenue!CM185</f>
        <v>6086.8268596150619</v>
      </c>
      <c r="CN19" s="111">
        <f ca="1">Revenue!CN185</f>
        <v>6525.1254695912976</v>
      </c>
      <c r="CO19" s="111">
        <f ca="1">Revenue!CO185</f>
        <v>6771.1404059000706</v>
      </c>
      <c r="CP19" s="111">
        <f ca="1">Revenue!CP185</f>
        <v>6640.727893700634</v>
      </c>
      <c r="CQ19" s="266">
        <f ca="1">SUM(CM19:CP19)</f>
        <v>26023.820628807065</v>
      </c>
      <c r="CR19" s="111">
        <f ca="1">Revenue!CR185</f>
        <v>6645.5975653277246</v>
      </c>
      <c r="CS19" s="111">
        <f ca="1">Revenue!CS185</f>
        <v>7124.1319876997786</v>
      </c>
      <c r="CT19" s="111">
        <f ca="1">Revenue!CT185</f>
        <v>7392.7310951616964</v>
      </c>
      <c r="CU19" s="111">
        <f ca="1">Revenue!CU185</f>
        <v>7250.3467143423532</v>
      </c>
      <c r="CV19" s="266">
        <f ca="1">SUM(CR19:CU19)</f>
        <v>28412.807362531552</v>
      </c>
      <c r="CW19" s="111">
        <f ca="1">Revenue!CW185</f>
        <v>6489.4260225425223</v>
      </c>
      <c r="CX19" s="111">
        <f ca="1">Revenue!CX185</f>
        <v>6956.7148859888339</v>
      </c>
      <c r="CY19" s="111">
        <f ca="1">Revenue!CY185</f>
        <v>7219.0019144253965</v>
      </c>
      <c r="CZ19" s="111">
        <f ca="1">Revenue!CZ185</f>
        <v>7079.9635665553069</v>
      </c>
      <c r="DA19" s="266">
        <f ca="1">SUM(CW19:CZ19)</f>
        <v>27745.106389512061</v>
      </c>
      <c r="DB19" s="111">
        <f ca="1">Revenue!DB185</f>
        <v>6336.924511012774</v>
      </c>
      <c r="DC19" s="111">
        <f ca="1">Revenue!DC185</f>
        <v>6793.2320861680955</v>
      </c>
      <c r="DD19" s="111">
        <f ca="1">Revenue!DD185</f>
        <v>7049.3553694363991</v>
      </c>
      <c r="DE19" s="111">
        <f ca="1">Revenue!DE185</f>
        <v>6913.5844227412581</v>
      </c>
      <c r="DF19" s="266">
        <f ca="1">SUM(DB19:DE19)</f>
        <v>27093.096389358529</v>
      </c>
    </row>
    <row r="20" spans="2:112" ht="11.25" customHeight="1" outlineLevel="1" x14ac:dyDescent="0.2">
      <c r="B20" s="59"/>
      <c r="P20" s="87"/>
      <c r="Q20" s="87"/>
      <c r="R20" s="87"/>
      <c r="S20" s="87"/>
      <c r="T20" s="266"/>
      <c r="U20" s="111"/>
      <c r="V20" s="111"/>
      <c r="W20" s="111"/>
      <c r="X20" s="111"/>
      <c r="Y20" s="266"/>
      <c r="Z20" s="111"/>
      <c r="AA20" s="111"/>
      <c r="AB20" s="111"/>
      <c r="AC20" s="111"/>
      <c r="AD20" s="266"/>
      <c r="AE20" s="111"/>
      <c r="AF20" s="111"/>
      <c r="AG20" s="111"/>
      <c r="AH20" s="111"/>
      <c r="AI20" s="266"/>
      <c r="AJ20" s="111"/>
      <c r="AK20" s="111"/>
      <c r="AL20" s="111"/>
      <c r="AM20" s="111"/>
      <c r="AN20" s="266"/>
      <c r="AO20" s="111"/>
      <c r="AP20" s="111"/>
      <c r="AQ20" s="111"/>
      <c r="AR20" s="111"/>
      <c r="AS20" s="266"/>
      <c r="AT20" s="111"/>
      <c r="AU20" s="111"/>
      <c r="AV20" s="111"/>
      <c r="AW20" s="111"/>
      <c r="AX20" s="266"/>
      <c r="AY20" s="111"/>
      <c r="AZ20" s="111"/>
      <c r="BA20" s="111"/>
      <c r="BB20" s="111"/>
      <c r="BC20" s="266"/>
      <c r="BD20" s="111"/>
      <c r="BE20" s="111"/>
      <c r="BF20" s="111"/>
      <c r="BG20" s="111"/>
      <c r="BH20" s="266"/>
      <c r="BI20" s="111"/>
      <c r="BJ20" s="111"/>
      <c r="BK20" s="111"/>
      <c r="BL20" s="111"/>
      <c r="BM20" s="266"/>
      <c r="BN20" s="111"/>
      <c r="BO20" s="111"/>
      <c r="BP20" s="111"/>
      <c r="BQ20" s="111"/>
      <c r="BR20" s="266"/>
      <c r="BS20" s="111"/>
      <c r="BT20" s="111"/>
      <c r="BU20" s="111"/>
      <c r="BV20" s="111"/>
      <c r="BW20" s="266"/>
      <c r="BX20" s="111"/>
      <c r="BY20" s="111"/>
      <c r="BZ20" s="111"/>
      <c r="CA20" s="111"/>
      <c r="CB20" s="266"/>
      <c r="CC20" s="111"/>
      <c r="CD20" s="111"/>
      <c r="CE20" s="111"/>
      <c r="CF20" s="111"/>
      <c r="CG20" s="266"/>
      <c r="CH20" s="111"/>
      <c r="CI20" s="111"/>
      <c r="CJ20" s="111"/>
      <c r="CK20" s="111"/>
      <c r="CL20" s="266"/>
      <c r="CM20" s="111"/>
      <c r="CN20" s="111"/>
      <c r="CO20" s="111"/>
      <c r="CP20" s="111"/>
      <c r="CQ20" s="266"/>
      <c r="CR20" s="111"/>
      <c r="CS20" s="111"/>
      <c r="CT20" s="111"/>
      <c r="CU20" s="111"/>
      <c r="CV20" s="266"/>
      <c r="CW20" s="111"/>
      <c r="CX20" s="111"/>
      <c r="CY20" s="111"/>
      <c r="CZ20" s="111"/>
      <c r="DA20" s="266"/>
      <c r="DB20" s="111"/>
      <c r="DC20" s="111"/>
      <c r="DD20" s="111"/>
      <c r="DE20" s="111"/>
      <c r="DF20" s="266"/>
    </row>
    <row r="21" spans="2:112" ht="11.25" customHeight="1" outlineLevel="1" x14ac:dyDescent="0.2">
      <c r="B21" s="59" t="str">
        <f>Revenue!B17</f>
        <v>Services</v>
      </c>
      <c r="P21" s="87"/>
      <c r="Q21" s="87"/>
      <c r="R21" s="87"/>
      <c r="S21" s="87"/>
      <c r="T21" s="266"/>
      <c r="U21" s="111">
        <v>21.963000000000001</v>
      </c>
      <c r="V21" s="111">
        <v>19.021999999999998</v>
      </c>
      <c r="W21" s="111">
        <v>28.661000000000001</v>
      </c>
      <c r="X21" s="111">
        <v>31.082999999999998</v>
      </c>
      <c r="Y21" s="266">
        <v>101</v>
      </c>
      <c r="Z21" s="111">
        <v>33.799999999999997</v>
      </c>
      <c r="AA21" s="111">
        <v>38.299999999999997</v>
      </c>
      <c r="AB21" s="111">
        <v>38.6</v>
      </c>
      <c r="AC21" s="111">
        <v>41.3</v>
      </c>
      <c r="AD21" s="266">
        <v>152</v>
      </c>
      <c r="AE21" s="111">
        <v>39.799999999999997</v>
      </c>
      <c r="AF21" s="111">
        <v>41.3</v>
      </c>
      <c r="AG21" s="111">
        <v>40.5</v>
      </c>
      <c r="AH21" s="111">
        <v>41.4</v>
      </c>
      <c r="AI21" s="266">
        <v>163</v>
      </c>
      <c r="AJ21" s="111">
        <v>40.9</v>
      </c>
      <c r="AK21" s="111">
        <v>42</v>
      </c>
      <c r="AL21" s="111">
        <v>41.2</v>
      </c>
      <c r="AM21" s="111">
        <v>44.6</v>
      </c>
      <c r="AN21" s="266">
        <v>168.7</v>
      </c>
      <c r="AO21" s="111">
        <f>Revenue!AO186</f>
        <v>73.599999999999994</v>
      </c>
      <c r="AP21" s="111">
        <f>Revenue!AP186</f>
        <v>78.5</v>
      </c>
      <c r="AQ21" s="111">
        <f>Revenue!AQ186</f>
        <v>78.7</v>
      </c>
      <c r="AR21" s="111">
        <f>Revenue!AR186</f>
        <v>74.5</v>
      </c>
      <c r="AS21" s="266">
        <f>SUM(AO21:AR21)</f>
        <v>305.3</v>
      </c>
      <c r="AT21" s="111">
        <f>Revenue!AT186</f>
        <v>80.5</v>
      </c>
      <c r="AU21" s="111">
        <f>Revenue!AU186</f>
        <v>89.3</v>
      </c>
      <c r="AV21" s="111">
        <f>Revenue!AV186</f>
        <v>89.5</v>
      </c>
      <c r="AW21" s="111">
        <f>Revenue!AW186</f>
        <v>89.300000000000011</v>
      </c>
      <c r="AX21" s="266">
        <f>SUM(AT21:AW21)</f>
        <v>348.6</v>
      </c>
      <c r="AY21" s="111">
        <f>Revenue!AY186</f>
        <v>59.3</v>
      </c>
      <c r="AZ21" s="111">
        <f>Revenue!AZ186</f>
        <v>65.8</v>
      </c>
      <c r="BA21" s="111">
        <f>Revenue!BA186</f>
        <v>62.6</v>
      </c>
      <c r="BB21" s="111">
        <f>Revenue!BB186</f>
        <v>73.199999999999989</v>
      </c>
      <c r="BC21" s="266">
        <f>SUM(AY21:BB21)</f>
        <v>260.89999999999998</v>
      </c>
      <c r="BD21" s="111">
        <f>Revenue!BD186</f>
        <v>73.5</v>
      </c>
      <c r="BE21" s="111">
        <f>Revenue!BE186</f>
        <v>65.900000000000006</v>
      </c>
      <c r="BF21" s="111">
        <f>Revenue!BF186</f>
        <v>65.8</v>
      </c>
      <c r="BG21" s="111">
        <f>Revenue!BG186</f>
        <v>67.8</v>
      </c>
      <c r="BH21" s="266">
        <f>SUM(BD21:BG21)</f>
        <v>273</v>
      </c>
      <c r="BI21" s="111">
        <f>Revenue!BI186</f>
        <v>90.1</v>
      </c>
      <c r="BJ21" s="111">
        <f>Revenue!BJ186</f>
        <v>239.8</v>
      </c>
      <c r="BK21" s="111">
        <f>Revenue!BK186</f>
        <v>233.7</v>
      </c>
      <c r="BL21" s="111">
        <f>Revenue!BL186</f>
        <v>242.2</v>
      </c>
      <c r="BM21" s="266">
        <f>SUM(BI21:BL21)</f>
        <v>805.8</v>
      </c>
      <c r="BN21" s="111">
        <f>Revenue!BN186</f>
        <v>235.7</v>
      </c>
      <c r="BO21" s="111">
        <f>Revenue!BO186</f>
        <v>277.10000000000002</v>
      </c>
      <c r="BP21" s="111">
        <f>Revenue!BP186</f>
        <v>237.7</v>
      </c>
      <c r="BQ21" s="111">
        <f>Revenue!BQ186</f>
        <v>269.60000000000008</v>
      </c>
      <c r="BR21" s="266">
        <f>SUM(BN21:BQ21)</f>
        <v>1020.1000000000001</v>
      </c>
      <c r="BS21" s="111">
        <f>Revenue!BS186</f>
        <v>282.3</v>
      </c>
      <c r="BT21" s="111">
        <f>Revenue!BT186</f>
        <v>311.7</v>
      </c>
      <c r="BU21" s="111">
        <f>Revenue!BU186</f>
        <v>339</v>
      </c>
      <c r="BV21" s="111">
        <f>Revenue!BV186</f>
        <v>344.99999999999994</v>
      </c>
      <c r="BW21" s="266">
        <f>SUM(BS21:BV21)</f>
        <v>1278</v>
      </c>
      <c r="BX21" s="111">
        <f>Revenue!BX186</f>
        <v>382.2</v>
      </c>
      <c r="BY21" s="111">
        <f>Revenue!BY186</f>
        <v>399.3</v>
      </c>
      <c r="BZ21" s="111">
        <f>Revenue!BZ186</f>
        <v>432.4</v>
      </c>
      <c r="CA21" s="111">
        <f>Revenue!CA186</f>
        <v>443.69999999999982</v>
      </c>
      <c r="CB21" s="266">
        <f>SUM(BX21:CA21)</f>
        <v>1657.6</v>
      </c>
      <c r="CC21" s="111">
        <f>Revenue!CC186</f>
        <v>342.2</v>
      </c>
      <c r="CD21" s="111">
        <f>Revenue!CD186</f>
        <v>328</v>
      </c>
      <c r="CE21" s="111">
        <f>Revenue!CE186</f>
        <v>377</v>
      </c>
      <c r="CF21" s="111">
        <f>Revenue!CF186</f>
        <v>374.2000000000001</v>
      </c>
      <c r="CG21" s="266">
        <f>SUM(CC21:CF21)</f>
        <v>1421.4</v>
      </c>
      <c r="CH21" s="111">
        <f>Revenue!CH186</f>
        <v>326.5</v>
      </c>
      <c r="CI21" s="111">
        <f>Revenue!CI186</f>
        <v>373</v>
      </c>
      <c r="CJ21" s="111">
        <f>Revenue!CJ186</f>
        <v>341.9</v>
      </c>
      <c r="CK21" s="111">
        <f>Revenue!CK186</f>
        <v>322.19999999999993</v>
      </c>
      <c r="CL21" s="266">
        <f>SUM(CH21:CK21)</f>
        <v>1363.6</v>
      </c>
      <c r="CM21" s="111">
        <f>Revenue!CM186</f>
        <v>277.52499999999998</v>
      </c>
      <c r="CN21" s="111">
        <f>Revenue!CN186</f>
        <v>317.05</v>
      </c>
      <c r="CO21" s="111">
        <f>Revenue!CO186</f>
        <v>307.70999999999998</v>
      </c>
      <c r="CP21" s="111">
        <f>Revenue!CP186</f>
        <v>306.08999999999992</v>
      </c>
      <c r="CQ21" s="266">
        <f>SUM(CM21:CP21)</f>
        <v>1208.375</v>
      </c>
      <c r="CR21" s="111">
        <f>Revenue!CR186</f>
        <v>283.07549999999998</v>
      </c>
      <c r="CS21" s="111">
        <f>Revenue!CS186</f>
        <v>323.39100000000002</v>
      </c>
      <c r="CT21" s="111">
        <f>Revenue!CT186</f>
        <v>313.86419999999998</v>
      </c>
      <c r="CU21" s="111">
        <f>Revenue!CU186</f>
        <v>312.21179999999993</v>
      </c>
      <c r="CV21" s="266">
        <f>SUM(CR21:CU21)</f>
        <v>1232.5425</v>
      </c>
      <c r="CW21" s="111">
        <f>Revenue!CW186</f>
        <v>288.73701</v>
      </c>
      <c r="CX21" s="111">
        <f>Revenue!CX186</f>
        <v>329.85882000000004</v>
      </c>
      <c r="CY21" s="111">
        <f>Revenue!CY186</f>
        <v>320.14148399999999</v>
      </c>
      <c r="CZ21" s="111">
        <f>Revenue!CZ186</f>
        <v>318.45603599999993</v>
      </c>
      <c r="DA21" s="266">
        <f>SUM(CW21:CZ21)</f>
        <v>1257.19335</v>
      </c>
      <c r="DB21" s="111">
        <f>Revenue!DB186</f>
        <v>294.51175019999999</v>
      </c>
      <c r="DC21" s="111">
        <f>Revenue!DC186</f>
        <v>336.45599640000006</v>
      </c>
      <c r="DD21" s="111">
        <f>Revenue!DD186</f>
        <v>326.54431368000002</v>
      </c>
      <c r="DE21" s="111">
        <f>Revenue!DE186</f>
        <v>324.82515671999994</v>
      </c>
      <c r="DF21" s="266">
        <f>SUM(DB21:DE21)</f>
        <v>1282.337217</v>
      </c>
    </row>
    <row r="22" spans="2:112" ht="12" customHeight="1" outlineLevel="1" thickBot="1" x14ac:dyDescent="0.25">
      <c r="B22" s="58" t="s">
        <v>298</v>
      </c>
      <c r="C22" s="55"/>
      <c r="D22" s="55"/>
      <c r="E22" s="55"/>
      <c r="F22" s="55"/>
      <c r="G22" s="55"/>
      <c r="H22" s="55"/>
      <c r="I22" s="55"/>
      <c r="J22" s="55"/>
      <c r="K22" s="55"/>
      <c r="L22" s="55"/>
      <c r="M22" s="55"/>
      <c r="N22" s="55"/>
      <c r="O22" s="55"/>
      <c r="P22" s="492"/>
      <c r="Q22" s="492"/>
      <c r="R22" s="492"/>
      <c r="S22" s="492"/>
      <c r="T22" s="494"/>
      <c r="U22" s="493">
        <f t="shared" ref="U22:AD22" si="2">U13+U17+U21</f>
        <v>3498.797</v>
      </c>
      <c r="V22" s="493">
        <f t="shared" si="2"/>
        <v>3565.6350000000002</v>
      </c>
      <c r="W22" s="493">
        <f t="shared" si="2"/>
        <v>3520.3070000000002</v>
      </c>
      <c r="X22" s="493">
        <f t="shared" si="2"/>
        <v>3673.9900000000002</v>
      </c>
      <c r="Y22" s="494">
        <f t="shared" si="2"/>
        <v>14259</v>
      </c>
      <c r="Z22" s="493">
        <f t="shared" si="2"/>
        <v>3549</v>
      </c>
      <c r="AA22" s="493">
        <f t="shared" si="2"/>
        <v>3618.8</v>
      </c>
      <c r="AB22" s="493">
        <f t="shared" si="2"/>
        <v>3491.2</v>
      </c>
      <c r="AC22" s="493">
        <f t="shared" si="2"/>
        <v>3680.0000000000005</v>
      </c>
      <c r="AD22" s="494">
        <f t="shared" si="2"/>
        <v>14339</v>
      </c>
      <c r="AE22" s="493">
        <f>AE13+AE17+AE21+AE19</f>
        <v>3571.2000000000007</v>
      </c>
      <c r="AF22" s="493">
        <f>AF13+AF17+AF21+AF19</f>
        <v>3559.4</v>
      </c>
      <c r="AG22" s="493">
        <f>AG13+AG17+AG21+AG19</f>
        <v>3465.1</v>
      </c>
      <c r="AH22" s="493">
        <f>AH13+AH17+AH21+AH19</f>
        <v>3626.2999999999997</v>
      </c>
      <c r="AI22" s="494">
        <f>SUM(AE22:AH22)</f>
        <v>14222</v>
      </c>
      <c r="AJ22" s="493">
        <f>AJ13+AJ17+AJ21+AJ19</f>
        <v>3608.9000000000005</v>
      </c>
      <c r="AK22" s="493">
        <f>AK13+AK17+AK21+AK19</f>
        <v>3669.3</v>
      </c>
      <c r="AL22" s="493">
        <f>AL13+AL17+AL21+AL19</f>
        <v>3612.3999999999996</v>
      </c>
      <c r="AM22" s="493">
        <f>AM13+AM17+AM21+AM19</f>
        <v>3762.3999999999992</v>
      </c>
      <c r="AN22" s="494">
        <f>SUM(AJ22:AM22)</f>
        <v>14653</v>
      </c>
      <c r="AO22" s="493">
        <f ca="1">AO13+AO17+AO21+AO19</f>
        <v>5128.7</v>
      </c>
      <c r="AP22" s="493">
        <f ca="1">AP13+AP17+AP21+AP19</f>
        <v>5167.5999999999995</v>
      </c>
      <c r="AQ22" s="493">
        <f ca="1">AQ13+AQ17+AQ21+AQ19</f>
        <v>5091.5</v>
      </c>
      <c r="AR22" s="493">
        <f ca="1">AR13+AR17+AR21+AR19</f>
        <v>5183.0999999999995</v>
      </c>
      <c r="AS22" s="494">
        <f ca="1">SUM(AO22:AR22)</f>
        <v>20570.899999999998</v>
      </c>
      <c r="AT22" s="493">
        <f ca="1">AT13+AT17+AT21+AT19</f>
        <v>5112.5</v>
      </c>
      <c r="AU22" s="493">
        <f ca="1">AU13+AU17+AU21+AU19</f>
        <v>5189.3999999999996</v>
      </c>
      <c r="AV22" s="493">
        <f ca="1">AV13+AV17+AV21+AV19</f>
        <v>5271</v>
      </c>
      <c r="AW22" s="493">
        <f ca="1">AW13+AW17+AW21+AW19</f>
        <v>7903.5</v>
      </c>
      <c r="AX22" s="494">
        <f ca="1">SUM(AT22:AW22)</f>
        <v>23476.400000000001</v>
      </c>
      <c r="AY22" s="493">
        <f ca="1">AY13+AY17+AY21+AY19</f>
        <v>10839.9</v>
      </c>
      <c r="AZ22" s="493">
        <f ca="1">AZ13+AZ17+AZ21+AZ19</f>
        <v>10950.1</v>
      </c>
      <c r="BA22" s="493">
        <f ca="1">BA13+BA17+BA21+BA19</f>
        <v>10898.1</v>
      </c>
      <c r="BB22" s="493">
        <f ca="1">BB13+BB17+BB21+BB19</f>
        <v>11003.800000000001</v>
      </c>
      <c r="BC22" s="494">
        <f ca="1">SUM(AY22:BB22)</f>
        <v>43691.9</v>
      </c>
      <c r="BD22" s="493">
        <f ca="1">BD13+BD17+BD21+BD19</f>
        <v>10822.400000000001</v>
      </c>
      <c r="BE22" s="493">
        <f ca="1">BE13+BE17+BE21+BE19</f>
        <v>11058.300000000001</v>
      </c>
      <c r="BF22" s="493">
        <f ca="1">BF13+BF17+BF21+BF19</f>
        <v>11263.699999999999</v>
      </c>
      <c r="BG22" s="493">
        <f ca="1">BG13+BG17+BG21+BG19</f>
        <v>11827.299999999997</v>
      </c>
      <c r="BH22" s="494">
        <f ca="1">SUM(BD22:BG22)</f>
        <v>44971.7</v>
      </c>
      <c r="BI22" s="493">
        <f ca="1">BI13+BI17+BI21+BI19</f>
        <v>11783.1</v>
      </c>
      <c r="BJ22" s="493">
        <f ca="1">BJ13+BJ17+BJ21+BJ19</f>
        <v>26894.7</v>
      </c>
      <c r="BK22" s="493">
        <f ca="1">BK13+BK17+BK21+BK19</f>
        <v>26184.5</v>
      </c>
      <c r="BL22" s="493">
        <f ca="1">BL13+BL17+BL21+BL19</f>
        <v>26827.700000000004</v>
      </c>
      <c r="BM22" s="494">
        <f ca="1">SUM(BI22:BL22)</f>
        <v>91690</v>
      </c>
      <c r="BN22" s="493">
        <f ca="1">BN13+BN17+BN21+BN19</f>
        <v>25588.2</v>
      </c>
      <c r="BO22" s="493">
        <f ca="1">BO13+BO17+BO21+BO19</f>
        <v>25897.7</v>
      </c>
      <c r="BP22" s="493">
        <f ca="1">BP13+BP17+BP21+BP19</f>
        <v>25359.200000000001</v>
      </c>
      <c r="BQ22" s="493">
        <f ca="1">BQ13+BQ17+BQ21+BQ19</f>
        <v>25240.796076089362</v>
      </c>
      <c r="BR22" s="494">
        <f ca="1">SUM(BN22:BQ22)</f>
        <v>102085.89607608937</v>
      </c>
      <c r="BS22" s="493">
        <f ca="1">BS13+BS17+BS21+BS19</f>
        <v>23136.7</v>
      </c>
      <c r="BT22" s="493">
        <f ca="1">BT13+BT17+BT21+BT19</f>
        <v>24504.9</v>
      </c>
      <c r="BU22" s="493">
        <f ca="1">BU13+BU17+BU21+BU19</f>
        <v>25161.600000000002</v>
      </c>
      <c r="BV22" s="493">
        <f ca="1">BV13+BV17+BV21+BV19</f>
        <v>25688.799999999999</v>
      </c>
      <c r="BW22" s="494">
        <f ca="1">SUM(BS22:BV22)</f>
        <v>98492.000000000015</v>
      </c>
      <c r="BX22" s="493">
        <f ca="1">BX13+BX17+BX21+BX19</f>
        <v>24274.2</v>
      </c>
      <c r="BY22" s="493">
        <f ca="1">BY13+BY17+BY21+BY19</f>
        <v>24784</v>
      </c>
      <c r="BZ22" s="493">
        <f ca="1">BZ13+BZ17+BZ21+BZ19</f>
        <v>24535.200000000001</v>
      </c>
      <c r="CA22" s="493">
        <f ca="1">CA13+CA17+CA21+CA19</f>
        <v>25462.000000000007</v>
      </c>
      <c r="CB22" s="494">
        <f ca="1">SUM(BX22:CA22)</f>
        <v>99055.4</v>
      </c>
      <c r="CC22" s="493">
        <f ca="1">CC13+CC17+CC21+CC19</f>
        <v>23988.300000000003</v>
      </c>
      <c r="CD22" s="493">
        <f ca="1">CD13+CD17+CD21+CD19</f>
        <v>24289.3</v>
      </c>
      <c r="CE22" s="493">
        <f ca="1">CE13+CE17+CE21+CE19</f>
        <v>24464.799999999999</v>
      </c>
      <c r="CF22" s="493">
        <f ca="1">CF13+CF17+CF21+CF19</f>
        <v>23967.599999999999</v>
      </c>
      <c r="CG22" s="494">
        <f ca="1">SUM(CC22:CF22)</f>
        <v>96710</v>
      </c>
      <c r="CH22" s="493">
        <f ca="1">CH13+CH17+CH21+CH19</f>
        <v>23616.7</v>
      </c>
      <c r="CI22" s="493">
        <f ca="1">CI13+CI17+CI21+CI19</f>
        <v>24187.1</v>
      </c>
      <c r="CJ22" s="493">
        <f ca="1">CJ13+CJ17+CJ21+CJ19</f>
        <v>23528.5</v>
      </c>
      <c r="CK22" s="493">
        <f ca="1">CK13+CK17+CK21+CK19</f>
        <v>24010.776303177758</v>
      </c>
      <c r="CL22" s="494">
        <f ca="1">SUM(CH22:CK22)</f>
        <v>95343.076303177761</v>
      </c>
      <c r="CM22" s="493">
        <f ca="1">CM13+CM17+CM21+CM19</f>
        <v>23246.182211636711</v>
      </c>
      <c r="CN22" s="493">
        <f ca="1">CN13+CN17+CN21+CN19</f>
        <v>23786.394339957955</v>
      </c>
      <c r="CO22" s="493">
        <f ca="1">CO13+CO17+CO21+CO19</f>
        <v>23768.458138025941</v>
      </c>
      <c r="CP22" s="493">
        <f ca="1">CP13+CP17+CP21+CP19</f>
        <v>24253.583806121322</v>
      </c>
      <c r="CQ22" s="494">
        <f ca="1">SUM(CM22:CP22)</f>
        <v>95054.618495741917</v>
      </c>
      <c r="CR22" s="493">
        <f ca="1">CR13+CR17+CR21+CR19</f>
        <v>24316.883958633545</v>
      </c>
      <c r="CS22" s="493">
        <f ca="1">CS13+CS17+CS21+CS19</f>
        <v>25012.916253370015</v>
      </c>
      <c r="CT22" s="493">
        <f ca="1">CT13+CT17+CT21+CT19</f>
        <v>25052.89610879495</v>
      </c>
      <c r="CU22" s="493">
        <f ca="1">CU13+CU17+CU21+CU19</f>
        <v>25563.171247189843</v>
      </c>
      <c r="CV22" s="494">
        <f ca="1">SUM(CR22:CU22)</f>
        <v>99945.867567988345</v>
      </c>
      <c r="CW22" s="493">
        <f ca="1">CW13+CW17+CW21+CW19</f>
        <v>22843.114510688571</v>
      </c>
      <c r="CX22" s="493">
        <f ca="1">CX13+CX17+CX21+CX19</f>
        <v>23504.279205760933</v>
      </c>
      <c r="CY22" s="493">
        <f ca="1">CY13+CY17+CY21+CY19</f>
        <v>23589.95995807842</v>
      </c>
      <c r="CZ22" s="493">
        <f ca="1">CZ13+CZ17+CZ21+CZ19</f>
        <v>24024.526317761873</v>
      </c>
      <c r="DA22" s="494">
        <f ca="1">SUM(CW22:CZ22)</f>
        <v>93961.879992289803</v>
      </c>
      <c r="DB22" s="493">
        <f ca="1">DB13+DB17+DB21+DB19</f>
        <v>21537.114177106785</v>
      </c>
      <c r="DC22" s="493">
        <f ca="1">DC13+DC17+DC21+DC19</f>
        <v>22166.433065132223</v>
      </c>
      <c r="DD22" s="493">
        <f ca="1">DD13+DD17+DD21+DD19</f>
        <v>22294.466459764961</v>
      </c>
      <c r="DE22" s="493">
        <f ca="1">DE13+DE17+DE21+DE19</f>
        <v>22662.401726855802</v>
      </c>
      <c r="DF22" s="494">
        <f ca="1">SUM(DB22:DE22)</f>
        <v>88660.415428859764</v>
      </c>
      <c r="DH22" s="111"/>
    </row>
    <row r="23" spans="2:112" ht="12" customHeight="1" outlineLevel="1" thickBot="1" x14ac:dyDescent="0.25">
      <c r="AC23" s="117"/>
      <c r="AW23" s="42"/>
      <c r="AY23" s="42"/>
      <c r="AZ23" s="42"/>
      <c r="BA23" s="42"/>
      <c r="BB23" s="42"/>
      <c r="BC23" s="787"/>
      <c r="BD23" s="42"/>
      <c r="BE23" s="42"/>
      <c r="BF23" s="42"/>
      <c r="BG23" s="42"/>
      <c r="BH23" s="42"/>
      <c r="BI23" s="42"/>
      <c r="BJ23" s="42"/>
      <c r="BK23" s="42"/>
      <c r="BL23" s="42"/>
      <c r="BM23" s="42"/>
      <c r="BN23" s="42"/>
      <c r="BO23" s="42"/>
      <c r="BP23" s="42"/>
      <c r="BQ23" s="42"/>
      <c r="BR23" s="42"/>
      <c r="BS23" s="42"/>
      <c r="BT23" s="42"/>
      <c r="BU23" s="42"/>
      <c r="BV23" s="42"/>
      <c r="BW23" s="42"/>
      <c r="BX23" s="42"/>
      <c r="BY23" s="42"/>
      <c r="BZ23" s="42"/>
      <c r="CA23" s="42"/>
      <c r="CB23" s="42"/>
      <c r="CC23" s="42"/>
      <c r="CD23" s="42"/>
      <c r="CE23" s="42"/>
      <c r="CF23" s="42"/>
      <c r="CG23" s="42"/>
      <c r="CH23" s="42"/>
      <c r="CI23" s="42"/>
      <c r="CJ23" s="42"/>
      <c r="CK23" s="42"/>
      <c r="CL23" s="42"/>
      <c r="CM23" s="42"/>
      <c r="CN23" s="42"/>
      <c r="CO23" s="42"/>
      <c r="CP23" s="42"/>
      <c r="CQ23" s="42"/>
      <c r="CR23" s="42"/>
      <c r="CS23" s="42"/>
      <c r="CT23" s="42"/>
      <c r="CU23" s="42"/>
      <c r="CV23" s="42"/>
      <c r="CW23" s="42"/>
      <c r="CX23" s="42"/>
      <c r="CY23" s="42"/>
      <c r="CZ23" s="42"/>
      <c r="DA23" s="42"/>
      <c r="DB23" s="42"/>
      <c r="DC23" s="42"/>
      <c r="DD23" s="42"/>
      <c r="DE23" s="42"/>
      <c r="DF23" s="42"/>
      <c r="DH23" s="1949"/>
    </row>
    <row r="24" spans="2:112" ht="12" thickBot="1" x14ac:dyDescent="0.25">
      <c r="B24" s="855" t="s">
        <v>305</v>
      </c>
      <c r="C24" s="819"/>
      <c r="D24" s="819"/>
      <c r="E24" s="819"/>
      <c r="F24" s="819"/>
      <c r="G24" s="819"/>
      <c r="H24" s="819"/>
      <c r="I24" s="819"/>
      <c r="J24" s="819"/>
      <c r="K24" s="819"/>
      <c r="L24" s="819"/>
      <c r="M24" s="819"/>
      <c r="N24" s="819"/>
      <c r="O24" s="819"/>
      <c r="P24" s="819"/>
      <c r="Q24" s="819"/>
      <c r="R24" s="819"/>
      <c r="S24" s="819"/>
      <c r="T24" s="819"/>
      <c r="U24" s="819"/>
      <c r="V24" s="819"/>
      <c r="W24" s="819"/>
      <c r="X24" s="819"/>
      <c r="Y24" s="819"/>
      <c r="Z24" s="819"/>
      <c r="AA24" s="819"/>
      <c r="AB24" s="819"/>
      <c r="AC24" s="819"/>
      <c r="AD24" s="819"/>
      <c r="AE24" s="819"/>
      <c r="AF24" s="819"/>
      <c r="AG24" s="819"/>
      <c r="AH24" s="819"/>
      <c r="AI24" s="819"/>
      <c r="AJ24" s="819"/>
      <c r="AK24" s="819"/>
      <c r="AL24" s="819"/>
      <c r="AM24" s="819"/>
      <c r="AN24" s="819"/>
      <c r="AO24" s="819"/>
      <c r="AP24" s="819"/>
      <c r="AQ24" s="819"/>
      <c r="AR24" s="819"/>
      <c r="AS24" s="819"/>
      <c r="AT24" s="819"/>
      <c r="AU24" s="819"/>
      <c r="AV24" s="819"/>
      <c r="AW24" s="821"/>
      <c r="AX24" s="819"/>
      <c r="AY24" s="819"/>
      <c r="AZ24" s="819"/>
      <c r="BA24" s="819"/>
      <c r="BB24" s="819"/>
      <c r="BC24" s="819"/>
      <c r="BD24" s="1053"/>
      <c r="BE24" s="1053"/>
      <c r="BF24" s="1053"/>
      <c r="BG24" s="1053"/>
      <c r="BH24" s="819"/>
      <c r="BI24" s="819"/>
      <c r="BJ24" s="819"/>
      <c r="BK24" s="819"/>
      <c r="BL24" s="819"/>
      <c r="BM24" s="819"/>
      <c r="BN24" s="820"/>
      <c r="BO24" s="819"/>
      <c r="BP24" s="819"/>
      <c r="BQ24" s="819"/>
      <c r="BR24" s="819"/>
      <c r="BS24" s="819"/>
      <c r="BT24" s="819"/>
      <c r="BU24" s="819"/>
      <c r="BV24" s="819"/>
      <c r="BW24" s="819"/>
      <c r="BX24" s="819"/>
      <c r="BY24" s="819"/>
      <c r="BZ24" s="819"/>
      <c r="CA24" s="819"/>
      <c r="CB24" s="872"/>
      <c r="CC24" s="819"/>
      <c r="CD24" s="819"/>
      <c r="CE24" s="819"/>
      <c r="CF24" s="819"/>
      <c r="CG24" s="872"/>
      <c r="CH24" s="819"/>
      <c r="CI24" s="819"/>
      <c r="CJ24" s="819"/>
      <c r="CK24" s="819"/>
      <c r="CL24" s="872"/>
      <c r="CM24" s="819"/>
      <c r="CN24" s="819"/>
      <c r="CO24" s="819"/>
      <c r="CP24" s="819"/>
      <c r="CQ24" s="872"/>
      <c r="CR24" s="819"/>
      <c r="CS24" s="819"/>
      <c r="CT24" s="819"/>
      <c r="CU24" s="819"/>
      <c r="CV24" s="872"/>
      <c r="CW24" s="819"/>
      <c r="CX24" s="819"/>
      <c r="CY24" s="819"/>
      <c r="CZ24" s="819"/>
      <c r="DA24" s="872"/>
      <c r="DB24" s="819"/>
      <c r="DC24" s="819"/>
      <c r="DD24" s="819"/>
      <c r="DE24" s="819"/>
      <c r="DF24" s="872"/>
    </row>
    <row r="25" spans="2:112" s="77" customFormat="1" x14ac:dyDescent="0.2">
      <c r="B25" s="376" t="str">
        <f>B11</f>
        <v>Retail / Network - generics</v>
      </c>
      <c r="P25" s="267">
        <v>0.1</v>
      </c>
      <c r="Q25" s="267">
        <v>0.1</v>
      </c>
      <c r="R25" s="267">
        <v>0.1</v>
      </c>
      <c r="S25" s="267">
        <v>0.1</v>
      </c>
      <c r="T25" s="231"/>
      <c r="U25" s="267">
        <v>0.1</v>
      </c>
      <c r="V25" s="267">
        <v>0.1</v>
      </c>
      <c r="W25" s="267">
        <v>0.1</v>
      </c>
      <c r="X25" s="267">
        <v>0.1</v>
      </c>
      <c r="Y25" s="231">
        <v>0.1</v>
      </c>
      <c r="Z25" s="267">
        <v>0.1</v>
      </c>
      <c r="AA25" s="267">
        <v>0.1</v>
      </c>
      <c r="AB25" s="267">
        <v>0.1</v>
      </c>
      <c r="AC25" s="267">
        <v>0.1</v>
      </c>
      <c r="AD25" s="231">
        <v>0.1</v>
      </c>
      <c r="AE25" s="267">
        <v>0.1</v>
      </c>
      <c r="AF25" s="267">
        <v>0.1</v>
      </c>
      <c r="AG25" s="267">
        <v>0.1</v>
      </c>
      <c r="AH25" s="267">
        <v>0.1</v>
      </c>
      <c r="AI25" s="231">
        <v>0.1</v>
      </c>
      <c r="AJ25" s="267">
        <v>0.11</v>
      </c>
      <c r="AK25" s="267">
        <v>0.11</v>
      </c>
      <c r="AL25" s="267">
        <v>0.11319024465654598</v>
      </c>
      <c r="AM25" s="267">
        <v>0.1132</v>
      </c>
      <c r="AN25" s="136">
        <v>0.11162885165917161</v>
      </c>
      <c r="AO25" s="196">
        <v>0.11899999999999999</v>
      </c>
      <c r="AP25" s="196">
        <v>0.125</v>
      </c>
      <c r="AQ25" s="196">
        <v>0.13</v>
      </c>
      <c r="AR25" s="196">
        <v>0.14499999999999999</v>
      </c>
      <c r="AS25" s="136">
        <f>AS37/AS11</f>
        <v>0.13008937383829511</v>
      </c>
      <c r="AT25" s="196">
        <v>0.14499999999999999</v>
      </c>
      <c r="AU25" s="196">
        <v>0.16</v>
      </c>
      <c r="AV25" s="196">
        <v>0.16500000000000001</v>
      </c>
      <c r="AW25" s="768">
        <v>0.119424858899908</v>
      </c>
      <c r="AX25" s="136">
        <f>AX37/AX11</f>
        <v>0.14311591343420121</v>
      </c>
      <c r="AY25" s="196">
        <v>0.09</v>
      </c>
      <c r="AZ25" s="196">
        <v>9.2999999999999999E-2</v>
      </c>
      <c r="BA25" s="196">
        <v>9.6000000000000002E-2</v>
      </c>
      <c r="BB25" s="196">
        <v>9.6000000000000002E-2</v>
      </c>
      <c r="BC25" s="136">
        <f>BC37/BC11</f>
        <v>9.3813698081268659E-2</v>
      </c>
      <c r="BD25" s="196">
        <v>9.0999999999999998E-2</v>
      </c>
      <c r="BE25" s="196">
        <v>9.4E-2</v>
      </c>
      <c r="BF25" s="196">
        <v>9.8000000000000004E-2</v>
      </c>
      <c r="BG25" s="196">
        <v>9.4E-2</v>
      </c>
      <c r="BH25" s="136">
        <f>BH37/BH11</f>
        <v>9.4233460901553961E-2</v>
      </c>
      <c r="BI25" s="196">
        <v>0.09</v>
      </c>
      <c r="BJ25" s="196">
        <v>8.4000000000000005E-2</v>
      </c>
      <c r="BK25" s="196">
        <v>8.3798999999999998E-2</v>
      </c>
      <c r="BL25" s="196">
        <v>8.7999999999999995E-2</v>
      </c>
      <c r="BM25" s="136">
        <f>BM37/BM11</f>
        <v>8.5896027602327465E-2</v>
      </c>
      <c r="BN25" s="196">
        <v>8.5703000000000001E-2</v>
      </c>
      <c r="BO25" s="196">
        <v>0.102455</v>
      </c>
      <c r="BP25" s="196">
        <v>8.5000000000000006E-2</v>
      </c>
      <c r="BQ25" s="196">
        <v>0.08</v>
      </c>
      <c r="BR25" s="136">
        <f>BR37/BR11</f>
        <v>8.8443648885820556E-2</v>
      </c>
      <c r="BS25" s="196">
        <v>8.5000000000000006E-2</v>
      </c>
      <c r="BT25" s="196">
        <v>9.8000000000000004E-2</v>
      </c>
      <c r="BU25" s="196">
        <v>0.09</v>
      </c>
      <c r="BV25" s="196">
        <v>0.08</v>
      </c>
      <c r="BW25" s="136">
        <f>BW37/BW11</f>
        <v>8.8216561939518864E-2</v>
      </c>
      <c r="BX25" s="196">
        <v>0.08</v>
      </c>
      <c r="BY25" s="196">
        <v>9.5000000000000001E-2</v>
      </c>
      <c r="BZ25" s="196">
        <v>8.6999999999999994E-2</v>
      </c>
      <c r="CA25" s="196">
        <v>8.5000000000000006E-2</v>
      </c>
      <c r="CB25" s="136">
        <f>CB37/CB11</f>
        <v>8.6751043423053661E-2</v>
      </c>
      <c r="CC25" s="196">
        <v>7.8E-2</v>
      </c>
      <c r="CD25" s="196">
        <v>9.2999999999999999E-2</v>
      </c>
      <c r="CE25" s="196">
        <v>0.09</v>
      </c>
      <c r="CF25" s="196">
        <v>0.105</v>
      </c>
      <c r="CG25" s="136">
        <f>CG37/CG11</f>
        <v>9.1243355718279698E-2</v>
      </c>
      <c r="CH25" s="196">
        <v>0.11</v>
      </c>
      <c r="CI25" s="196">
        <v>0.1</v>
      </c>
      <c r="CJ25" s="196">
        <v>0.112</v>
      </c>
      <c r="CK25" s="196">
        <v>0.111</v>
      </c>
      <c r="CL25" s="136">
        <f>CL37/CL11</f>
        <v>0.10812425148192327</v>
      </c>
      <c r="CM25" s="678">
        <f>CHOOSE(Scenarios!$C$9,Scenarios!AX17,Scenarios!AX18,Scenarios!AX19)</f>
        <v>0.09</v>
      </c>
      <c r="CN25" s="678">
        <f>CHOOSE(Scenarios!$C$9,Scenarios!AY17,Scenarios!AY18,Scenarios!AY19)</f>
        <v>9.2999999999999999E-2</v>
      </c>
      <c r="CO25" s="678">
        <f>CHOOSE(Scenarios!$C$9,Scenarios!AZ17,Scenarios!AZ18,Scenarios!AZ19)</f>
        <v>0.1</v>
      </c>
      <c r="CP25" s="678">
        <f>CHOOSE(Scenarios!$C$9,Scenarios!BA17,Scenarios!BA18,Scenarios!BA19)</f>
        <v>0.112</v>
      </c>
      <c r="CQ25" s="136">
        <f>CQ37/CQ11</f>
        <v>9.8620018232919132E-2</v>
      </c>
      <c r="CR25" s="678">
        <f>CHOOSE(Scenarios!$C$9,Scenarios!BC17,Scenarios!BC18,Scenarios!BC19)</f>
        <v>8.4999999999999992E-2</v>
      </c>
      <c r="CS25" s="678">
        <f>CHOOSE(Scenarios!$C$9,Scenarios!BD17,Scenarios!BD18,Scenarios!BD19)</f>
        <v>8.7999999999999995E-2</v>
      </c>
      <c r="CT25" s="678">
        <f>CHOOSE(Scenarios!$C$9,Scenarios!BE17,Scenarios!BE18,Scenarios!BE19)</f>
        <v>8.4999999999999992E-2</v>
      </c>
      <c r="CU25" s="678">
        <f>CHOOSE(Scenarios!$C$9,Scenarios!BF17,Scenarios!BF18,Scenarios!BF19)</f>
        <v>9.8999999999999991E-2</v>
      </c>
      <c r="CV25" s="136">
        <f>CV37/CV11</f>
        <v>8.9228623207001687E-2</v>
      </c>
      <c r="CW25" s="678">
        <f>CHOOSE(Scenarios!$C$9,Scenarios!BH17,Scenarios!BH18,Scenarios!BH19)</f>
        <v>7.4999999999999997E-2</v>
      </c>
      <c r="CX25" s="678">
        <f>CHOOSE(Scenarios!$C$9,Scenarios!BI17,Scenarios!BI18,Scenarios!BI19)</f>
        <v>7.4999999999999997E-2</v>
      </c>
      <c r="CY25" s="678">
        <f>CHOOSE(Scenarios!$C$9,Scenarios!BJ17,Scenarios!BJ18,Scenarios!BJ19)</f>
        <v>6.9999999999999993E-2</v>
      </c>
      <c r="CZ25" s="678">
        <f>CHOOSE(Scenarios!$C$9,Scenarios!BK17,Scenarios!BK18,Scenarios!BK19)</f>
        <v>8.4000000000000005E-2</v>
      </c>
      <c r="DA25" s="136">
        <f>DA37/DA11</f>
        <v>7.6018958218830576E-2</v>
      </c>
      <c r="DB25" s="678">
        <f>CHOOSE(Scenarios!$C$9,Scenarios!BM17,Scenarios!BM18,Scenarios!BM19)</f>
        <v>0.06</v>
      </c>
      <c r="DC25" s="678">
        <f>CHOOSE(Scenarios!$C$9,Scenarios!BN17,Scenarios!BN18,Scenarios!BN19)</f>
        <v>0.06</v>
      </c>
      <c r="DD25" s="678">
        <f>CHOOSE(Scenarios!$C$9,Scenarios!BO17,Scenarios!BO18,Scenarios!BO19)</f>
        <v>0.06</v>
      </c>
      <c r="DE25" s="678">
        <f>CHOOSE(Scenarios!$C$9,Scenarios!BP17,Scenarios!BP18,Scenarios!BP19)</f>
        <v>6.8999999999999992E-2</v>
      </c>
      <c r="DF25" s="136">
        <f>DF37/DF11</f>
        <v>6.2225261310798211E-2</v>
      </c>
    </row>
    <row r="26" spans="2:112" s="77" customFormat="1" x14ac:dyDescent="0.2">
      <c r="B26" s="376" t="str">
        <f>B12</f>
        <v>Retail / Network - brand</v>
      </c>
      <c r="P26" s="267">
        <v>9.0690000000000007E-3</v>
      </c>
      <c r="Q26" s="267">
        <v>1.6622999999999999E-2</v>
      </c>
      <c r="R26" s="267">
        <v>9.5809999999999992E-3</v>
      </c>
      <c r="S26" s="267">
        <v>1.5824999999999999E-2</v>
      </c>
      <c r="T26" s="231"/>
      <c r="U26" s="267">
        <v>5.4224195951936551E-3</v>
      </c>
      <c r="V26" s="267">
        <v>-1.2052737242368985E-4</v>
      </c>
      <c r="W26" s="267">
        <v>1.0049602784626043E-4</v>
      </c>
      <c r="X26" s="267">
        <v>4.2348344775552018E-3</v>
      </c>
      <c r="Y26" s="231">
        <v>2.424235012139655E-3</v>
      </c>
      <c r="Z26" s="267">
        <v>0.02</v>
      </c>
      <c r="AA26" s="267">
        <v>0.02</v>
      </c>
      <c r="AB26" s="267">
        <v>0.02</v>
      </c>
      <c r="AC26" s="267">
        <v>0.02</v>
      </c>
      <c r="AD26" s="231">
        <v>0.02</v>
      </c>
      <c r="AE26" s="267">
        <v>0.02</v>
      </c>
      <c r="AF26" s="267">
        <v>0.02</v>
      </c>
      <c r="AG26" s="267">
        <v>0.02</v>
      </c>
      <c r="AH26" s="267">
        <v>0.02</v>
      </c>
      <c r="AI26" s="231">
        <v>0.02</v>
      </c>
      <c r="AJ26" s="267">
        <v>0.02</v>
      </c>
      <c r="AK26" s="267">
        <v>0.02</v>
      </c>
      <c r="AL26" s="267">
        <v>4.1848000000000003E-2</v>
      </c>
      <c r="AM26" s="267">
        <v>4.1848000000000003E-2</v>
      </c>
      <c r="AN26" s="136">
        <v>3.0949159506907537E-2</v>
      </c>
      <c r="AO26" s="196">
        <v>1.6923099792364761E-2</v>
      </c>
      <c r="AP26" s="196">
        <v>2.1929475860980856E-2</v>
      </c>
      <c r="AQ26" s="196">
        <v>0.02</v>
      </c>
      <c r="AR26" s="196">
        <v>2.2050758832107706E-2</v>
      </c>
      <c r="AS26" s="136">
        <f>AS38/AS12</f>
        <v>2.021630455249375E-2</v>
      </c>
      <c r="AT26" s="196">
        <v>2.0500000000000001E-2</v>
      </c>
      <c r="AU26" s="196">
        <v>2.5000000000000001E-2</v>
      </c>
      <c r="AV26" s="196">
        <v>2.7441463710345053E-2</v>
      </c>
      <c r="AW26" s="196">
        <v>1.8794063933170718E-2</v>
      </c>
      <c r="AX26" s="136">
        <f>AX38/AX12</f>
        <v>2.2421945589486153E-2</v>
      </c>
      <c r="AY26" s="196">
        <v>1.7000000000000001E-2</v>
      </c>
      <c r="AZ26" s="196">
        <v>1.7000000000000001E-2</v>
      </c>
      <c r="BA26" s="196">
        <v>1.7500000000000002E-2</v>
      </c>
      <c r="BB26" s="196">
        <v>1.8499999999999999E-2</v>
      </c>
      <c r="BC26" s="136">
        <f>BC38/BC12</f>
        <v>1.7493603081598523E-2</v>
      </c>
      <c r="BD26" s="196">
        <v>1.7000000000000001E-2</v>
      </c>
      <c r="BE26" s="196">
        <v>1.7399999999999999E-2</v>
      </c>
      <c r="BF26" s="196">
        <v>1.9E-2</v>
      </c>
      <c r="BG26" s="196">
        <v>1.7000000000000001E-2</v>
      </c>
      <c r="BH26" s="136">
        <f>BH38/BH12</f>
        <v>1.7606288927022411E-2</v>
      </c>
      <c r="BI26" s="196">
        <v>1.1908999999999999E-2</v>
      </c>
      <c r="BJ26" s="196">
        <v>0.01</v>
      </c>
      <c r="BK26" s="196">
        <v>0.01</v>
      </c>
      <c r="BL26" s="196">
        <v>0.01</v>
      </c>
      <c r="BM26" s="136">
        <f>BM38/BM12</f>
        <v>1.0262692492906391E-2</v>
      </c>
      <c r="BN26" s="196">
        <v>0.01</v>
      </c>
      <c r="BO26" s="196">
        <v>1.2999999999999999E-2</v>
      </c>
      <c r="BP26" s="196">
        <v>1.0999999999999999E-2</v>
      </c>
      <c r="BQ26" s="196">
        <v>1.0999999999999999E-2</v>
      </c>
      <c r="BR26" s="136">
        <f>BR38/BR12</f>
        <v>1.1261055120996203E-2</v>
      </c>
      <c r="BS26" s="196">
        <v>9.4999999999999998E-3</v>
      </c>
      <c r="BT26" s="196">
        <v>1.0999999999999999E-2</v>
      </c>
      <c r="BU26" s="196">
        <v>1.2999999999999999E-2</v>
      </c>
      <c r="BV26" s="196">
        <v>1.2999999999999999E-2</v>
      </c>
      <c r="BW26" s="136">
        <f>BW38/BW12</f>
        <v>1.1685557446612666E-2</v>
      </c>
      <c r="BX26" s="196">
        <v>1.0999999999999999E-2</v>
      </c>
      <c r="BY26" s="196">
        <v>1.2999999999999999E-2</v>
      </c>
      <c r="BZ26" s="196">
        <v>1.2999999999999999E-2</v>
      </c>
      <c r="CA26" s="196">
        <v>1.2E-2</v>
      </c>
      <c r="CB26" s="136">
        <f>CB38/CB12</f>
        <v>1.224378893974825E-2</v>
      </c>
      <c r="CC26" s="196">
        <v>0.01</v>
      </c>
      <c r="CD26" s="196">
        <v>1.2E-2</v>
      </c>
      <c r="CE26" s="196">
        <v>1.2E-2</v>
      </c>
      <c r="CF26" s="196">
        <v>1.2999999999999999E-2</v>
      </c>
      <c r="CG26" s="136">
        <f>CG38/CG12</f>
        <v>1.1739542417603983E-2</v>
      </c>
      <c r="CH26" s="196">
        <v>1.6E-2</v>
      </c>
      <c r="CI26" s="196">
        <v>1.2500000000000001E-2</v>
      </c>
      <c r="CJ26" s="196">
        <v>1.7999999999999999E-2</v>
      </c>
      <c r="CK26" s="196">
        <v>1.6500000000000001E-2</v>
      </c>
      <c r="CL26" s="136">
        <f>CL38/CL12</f>
        <v>1.5768913803986984E-2</v>
      </c>
      <c r="CM26" s="196">
        <v>0.01</v>
      </c>
      <c r="CN26" s="196">
        <v>1.2999999999999999E-2</v>
      </c>
      <c r="CO26" s="196">
        <v>1.7999999999999999E-2</v>
      </c>
      <c r="CP26" s="196">
        <v>1.7000000000000001E-2</v>
      </c>
      <c r="CQ26" s="136">
        <f>CQ38/CQ12</f>
        <v>1.4588822248506293E-2</v>
      </c>
      <c r="CR26" s="196">
        <v>0.01</v>
      </c>
      <c r="CS26" s="196">
        <f t="shared" ref="CS26" si="3">CN26</f>
        <v>1.2999999999999999E-2</v>
      </c>
      <c r="CT26" s="196">
        <f t="shared" ref="CT26" si="4">CO26</f>
        <v>1.7999999999999999E-2</v>
      </c>
      <c r="CU26" s="196">
        <f t="shared" ref="CU26" si="5">CP26</f>
        <v>1.7000000000000001E-2</v>
      </c>
      <c r="CV26" s="136">
        <f>CV38/CV12</f>
        <v>1.4584999206427755E-2</v>
      </c>
      <c r="CW26" s="196">
        <f>CR26</f>
        <v>0.01</v>
      </c>
      <c r="CX26" s="196">
        <f t="shared" ref="CX26" si="6">CS26</f>
        <v>1.2999999999999999E-2</v>
      </c>
      <c r="CY26" s="196">
        <f t="shared" ref="CY26" si="7">CT26</f>
        <v>1.7999999999999999E-2</v>
      </c>
      <c r="CZ26" s="196">
        <f t="shared" ref="CZ26" si="8">CU26</f>
        <v>1.7000000000000001E-2</v>
      </c>
      <c r="DA26" s="136">
        <f>DA38/DA12</f>
        <v>1.4581471861288629E-2</v>
      </c>
      <c r="DB26" s="196">
        <f>CW26</f>
        <v>0.01</v>
      </c>
      <c r="DC26" s="196">
        <f t="shared" ref="DC26" si="9">CX26</f>
        <v>1.2999999999999999E-2</v>
      </c>
      <c r="DD26" s="196">
        <f t="shared" ref="DD26" si="10">CY26</f>
        <v>1.7999999999999999E-2</v>
      </c>
      <c r="DE26" s="196">
        <f t="shared" ref="DE26" si="11">CZ26</f>
        <v>1.7000000000000001E-2</v>
      </c>
      <c r="DF26" s="136">
        <f>DF38/DF12</f>
        <v>1.4578207183969032E-2</v>
      </c>
    </row>
    <row r="27" spans="2:112" s="77" customFormat="1" x14ac:dyDescent="0.2">
      <c r="B27" s="95" t="s">
        <v>285</v>
      </c>
      <c r="P27" s="267"/>
      <c r="Q27" s="267"/>
      <c r="R27" s="267"/>
      <c r="S27" s="267"/>
      <c r="T27" s="231"/>
      <c r="U27" s="146">
        <f t="shared" ref="U27:AR27" si="12">U39/U13</f>
        <v>2.0638031661189944E-2</v>
      </c>
      <c r="V27" s="146">
        <f t="shared" si="12"/>
        <v>1.5794299192208341E-2</v>
      </c>
      <c r="W27" s="146">
        <f t="shared" si="12"/>
        <v>1.5951818623536198E-2</v>
      </c>
      <c r="X27" s="146">
        <f t="shared" si="12"/>
        <v>1.9693201615931008E-2</v>
      </c>
      <c r="Y27" s="231">
        <f t="shared" si="12"/>
        <v>1.8036008999277823E-2</v>
      </c>
      <c r="Z27" s="146">
        <f t="shared" si="12"/>
        <v>3.2870375411061414E-2</v>
      </c>
      <c r="AA27" s="146">
        <f t="shared" si="12"/>
        <v>3.2716534346993835E-2</v>
      </c>
      <c r="AB27" s="146">
        <f t="shared" si="12"/>
        <v>3.2693814856264651E-2</v>
      </c>
      <c r="AC27" s="146">
        <f t="shared" si="12"/>
        <v>3.2913561672696344E-2</v>
      </c>
      <c r="AD27" s="231">
        <f t="shared" si="12"/>
        <v>3.2799909629605363E-2</v>
      </c>
      <c r="AE27" s="146">
        <f t="shared" si="12"/>
        <v>3.2913561672696344E-2</v>
      </c>
      <c r="AF27" s="146">
        <f t="shared" si="12"/>
        <v>3.3079999999999998E-2</v>
      </c>
      <c r="AG27" s="146">
        <f t="shared" si="12"/>
        <v>3.3360000000000008E-2</v>
      </c>
      <c r="AH27" s="146">
        <f t="shared" si="12"/>
        <v>3.3919999999999999E-2</v>
      </c>
      <c r="AI27" s="231">
        <f t="shared" si="12"/>
        <v>3.3326017177932252E-2</v>
      </c>
      <c r="AJ27" s="146">
        <f t="shared" si="12"/>
        <v>3.5659999999999997E-2</v>
      </c>
      <c r="AK27" s="146">
        <f t="shared" si="12"/>
        <v>3.6279068583260195E-2</v>
      </c>
      <c r="AL27" s="146">
        <f t="shared" si="12"/>
        <v>5.3859170132567406E-2</v>
      </c>
      <c r="AM27" s="146">
        <f t="shared" si="12"/>
        <v>5.5832991999999998E-2</v>
      </c>
      <c r="AN27" s="136">
        <f t="shared" si="12"/>
        <v>4.5472601395852616E-2</v>
      </c>
      <c r="AO27" s="66">
        <f t="shared" si="12"/>
        <v>4.1563882891133115E-2</v>
      </c>
      <c r="AP27" s="66">
        <f t="shared" si="12"/>
        <v>4.7072240471932154E-2</v>
      </c>
      <c r="AQ27" s="66">
        <f t="shared" si="12"/>
        <v>4.8679006556978772E-2</v>
      </c>
      <c r="AR27" s="66">
        <f t="shared" si="12"/>
        <v>5.4588155380485955E-2</v>
      </c>
      <c r="AS27" s="136">
        <f>AS39/AS13</f>
        <v>4.7970362377865734E-2</v>
      </c>
      <c r="AT27" s="66">
        <f>AT39/AT13</f>
        <v>5.3616999999999998E-2</v>
      </c>
      <c r="AU27" s="66">
        <f>AU39/AU13</f>
        <v>6.0579190340840756E-2</v>
      </c>
      <c r="AV27" s="66">
        <f>AV39/AV13</f>
        <v>6.3783063199632617E-2</v>
      </c>
      <c r="AW27" s="66">
        <f>AW39/AW13</f>
        <v>4.7109943053663353E-2</v>
      </c>
      <c r="AX27" s="136">
        <f>AX39/AX13</f>
        <v>5.5064373216400599E-2</v>
      </c>
      <c r="AY27" s="66">
        <f>AY39/AY13</f>
        <v>3.7821156558182287E-2</v>
      </c>
      <c r="AZ27" s="66">
        <f>AZ39/AZ13</f>
        <v>3.9240950541149094E-2</v>
      </c>
      <c r="BA27" s="66">
        <f>BA39/BA13</f>
        <v>4.1078435169520817E-2</v>
      </c>
      <c r="BB27" s="66">
        <f>BB39/BB13</f>
        <v>4.2292499999999997E-2</v>
      </c>
      <c r="BC27" s="136">
        <f>BC39/BC13</f>
        <v>4.0107675796737616E-2</v>
      </c>
      <c r="BD27" s="66">
        <f>BD39/BD13</f>
        <v>4.2018069005141198E-2</v>
      </c>
      <c r="BE27" s="66">
        <f>BE39/BE13</f>
        <v>4.2694841605466521E-2</v>
      </c>
      <c r="BF27" s="66">
        <f t="shared" ref="BF27:BZ27" si="13">BF39/BF13</f>
        <v>4.4605313833178221E-2</v>
      </c>
      <c r="BG27" s="66">
        <f t="shared" si="13"/>
        <v>4.3754651876827845E-2</v>
      </c>
      <c r="BH27" s="136">
        <f t="shared" si="13"/>
        <v>4.3286325104530399E-2</v>
      </c>
      <c r="BI27" s="66">
        <f t="shared" si="13"/>
        <v>3.9913098292383035E-2</v>
      </c>
      <c r="BJ27" s="66">
        <f t="shared" si="13"/>
        <v>3.767038139513005E-2</v>
      </c>
      <c r="BK27" s="66">
        <f t="shared" si="13"/>
        <v>3.8409679075946571E-2</v>
      </c>
      <c r="BL27" s="66">
        <f t="shared" si="13"/>
        <v>4.0266818559737849E-2</v>
      </c>
      <c r="BM27" s="136">
        <f>BM39/BM13</f>
        <v>3.8937895961461529E-2</v>
      </c>
      <c r="BN27" s="66">
        <f t="shared" si="13"/>
        <v>3.9675915202233146E-2</v>
      </c>
      <c r="BO27" s="66">
        <f t="shared" si="13"/>
        <v>4.8025162616976716E-2</v>
      </c>
      <c r="BP27" s="66">
        <f t="shared" si="13"/>
        <v>4.0065127980261253E-2</v>
      </c>
      <c r="BQ27" s="66">
        <f t="shared" si="13"/>
        <v>3.816148458491795E-2</v>
      </c>
      <c r="BR27" s="136">
        <f>BR39/BR13</f>
        <v>4.1553022803597496E-2</v>
      </c>
      <c r="BS27" s="66">
        <v>3.6638555136573929E-2</v>
      </c>
      <c r="BT27" s="66">
        <v>4.2119949060515707E-2</v>
      </c>
      <c r="BU27" s="66">
        <f t="shared" si="13"/>
        <v>4.2394022873440511E-2</v>
      </c>
      <c r="BV27" s="66">
        <f t="shared" si="13"/>
        <v>3.8222793632248599E-2</v>
      </c>
      <c r="BW27" s="136">
        <f>BW39/BW13</f>
        <v>4.1157640158979894E-2</v>
      </c>
      <c r="BX27" s="66">
        <f t="shared" si="13"/>
        <v>3.697972683095857E-2</v>
      </c>
      <c r="BY27" s="66">
        <f t="shared" si="13"/>
        <v>4.3744819528724659E-2</v>
      </c>
      <c r="BZ27" s="66">
        <f t="shared" si="13"/>
        <v>4.0933146415365426E-2</v>
      </c>
      <c r="CA27" s="66">
        <v>4.3314823254610668E-2</v>
      </c>
      <c r="CB27" s="136">
        <f>CB39/CB13</f>
        <v>4.0194593145177135E-2</v>
      </c>
      <c r="CC27" s="66">
        <f t="shared" ref="CC27:CD27" si="14">CC39/CC13</f>
        <v>3.4876879615928252E-2</v>
      </c>
      <c r="CD27" s="66">
        <f t="shared" si="14"/>
        <v>4.1715838263684628E-2</v>
      </c>
      <c r="CE27" s="66">
        <f t="shared" ref="CE27" si="15">CE39/CE13</f>
        <v>4.0173536872620506E-2</v>
      </c>
      <c r="CF27" s="66">
        <f>CF39/CF13</f>
        <v>4.5739842869354258E-2</v>
      </c>
      <c r="CG27" s="136">
        <f>CG39/CG13</f>
        <v>4.0562424293663843E-2</v>
      </c>
      <c r="CH27" s="66">
        <f>CH39/CH13</f>
        <v>4.9451578583905434E-2</v>
      </c>
      <c r="CI27" s="66">
        <f>CI39/CI13</f>
        <v>4.3638437511614107E-2</v>
      </c>
      <c r="CJ27" s="66">
        <f>CJ39/CJ13</f>
        <v>4.9151131279328152E-2</v>
      </c>
      <c r="CK27" s="66">
        <f>CK39/CK13</f>
        <v>4.7920231655644498E-2</v>
      </c>
      <c r="CL27" s="136">
        <f>CL39/CL13</f>
        <v>4.7534448796915769E-2</v>
      </c>
      <c r="CM27" s="66">
        <f>CM39/CM13</f>
        <v>3.681064391465743E-2</v>
      </c>
      <c r="CN27" s="66">
        <f>CN39/CN13</f>
        <v>3.9812523007516594E-2</v>
      </c>
      <c r="CO27" s="66">
        <f>CO39/CO13</f>
        <v>4.352401157165952E-2</v>
      </c>
      <c r="CP27" s="66">
        <f>CP39/CP13</f>
        <v>4.6661735655441364E-2</v>
      </c>
      <c r="CQ27" s="136">
        <f>CQ39/CQ13</f>
        <v>4.1755547206155631E-2</v>
      </c>
      <c r="CR27" s="66">
        <f>CR39/CR13</f>
        <v>3.2597471253741378E-2</v>
      </c>
      <c r="CS27" s="66">
        <f>CS39/CS13</f>
        <v>3.5594069459683679E-2</v>
      </c>
      <c r="CT27" s="66">
        <f>CT39/CT13</f>
        <v>3.6706446383738947E-2</v>
      </c>
      <c r="CU27" s="66">
        <f>CU39/CU13</f>
        <v>3.9991510709344098E-2</v>
      </c>
      <c r="CV27" s="136">
        <f>CV39/CV13</f>
        <v>3.6260479289547336E-2</v>
      </c>
      <c r="CW27" s="66">
        <f>CW39/CW13</f>
        <v>2.7901903318430669E-2</v>
      </c>
      <c r="CX27" s="66">
        <f>CX39/CX13</f>
        <v>3.0069351658231949E-2</v>
      </c>
      <c r="CY27" s="66">
        <f>CY39/CY13</f>
        <v>3.1251699039337485E-2</v>
      </c>
      <c r="CZ27" s="66">
        <f>CZ39/CZ13</f>
        <v>3.4165603143064945E-2</v>
      </c>
      <c r="DA27" s="136">
        <f>DA39/DA13</f>
        <v>3.0880966279714036E-2</v>
      </c>
      <c r="DB27" s="66">
        <f>DB39/DB13</f>
        <v>2.2385534834488224E-2</v>
      </c>
      <c r="DC27" s="66">
        <f>DC39/DC13</f>
        <v>2.4635560699049323E-2</v>
      </c>
      <c r="DD27" s="66">
        <f>DD39/DD13</f>
        <v>2.7610728182448131E-2</v>
      </c>
      <c r="DE27" s="66">
        <f>DE39/DE13</f>
        <v>2.8975851130046366E-2</v>
      </c>
      <c r="DF27" s="136">
        <f>DF39/DF13</f>
        <v>2.5940615665252909E-2</v>
      </c>
    </row>
    <row r="28" spans="2:112" s="77" customFormat="1" ht="4.5" customHeight="1" x14ac:dyDescent="0.2">
      <c r="B28" s="95"/>
      <c r="P28" s="267"/>
      <c r="Q28" s="267"/>
      <c r="R28" s="267"/>
      <c r="S28" s="267"/>
      <c r="T28" s="231"/>
      <c r="U28" s="146"/>
      <c r="V28" s="146"/>
      <c r="W28" s="146"/>
      <c r="X28" s="146"/>
      <c r="Y28" s="231"/>
      <c r="Z28" s="146"/>
      <c r="AA28" s="146"/>
      <c r="AB28" s="146"/>
      <c r="AC28" s="146"/>
      <c r="AD28" s="231"/>
      <c r="AE28" s="146"/>
      <c r="AF28" s="146"/>
      <c r="AG28" s="146"/>
      <c r="AH28" s="146"/>
      <c r="AI28" s="231"/>
      <c r="AJ28" s="146"/>
      <c r="AK28" s="146"/>
      <c r="AL28" s="146"/>
      <c r="AM28" s="146"/>
      <c r="AN28" s="136"/>
      <c r="AO28" s="66"/>
      <c r="AP28" s="66"/>
      <c r="AQ28" s="66"/>
      <c r="AR28" s="66"/>
      <c r="AS28" s="136"/>
      <c r="AT28" s="66"/>
      <c r="AU28" s="66"/>
      <c r="AV28" s="66"/>
      <c r="AW28" s="66"/>
      <c r="AX28" s="136"/>
      <c r="AY28" s="66"/>
      <c r="AZ28" s="66"/>
      <c r="BA28" s="66"/>
      <c r="BB28" s="66"/>
      <c r="BC28" s="136"/>
      <c r="BD28" s="66"/>
      <c r="BE28" s="66"/>
      <c r="BF28" s="66"/>
      <c r="BG28" s="66"/>
      <c r="BH28" s="136"/>
      <c r="BI28" s="66"/>
      <c r="BJ28" s="66"/>
      <c r="BK28" s="66"/>
      <c r="BL28" s="66"/>
      <c r="BM28" s="136"/>
      <c r="BN28" s="66"/>
      <c r="BO28" s="66"/>
      <c r="BP28" s="66"/>
      <c r="BQ28" s="66"/>
      <c r="BR28" s="136"/>
      <c r="BS28" s="196"/>
      <c r="BT28" s="196"/>
      <c r="BU28" s="66"/>
      <c r="BV28" s="66"/>
      <c r="BW28" s="136"/>
      <c r="BX28" s="66"/>
      <c r="BY28" s="66"/>
      <c r="BZ28" s="66"/>
      <c r="CA28" s="66"/>
      <c r="CB28" s="136"/>
      <c r="CC28" s="66"/>
      <c r="CD28" s="66"/>
      <c r="CE28" s="66"/>
      <c r="CF28" s="66"/>
      <c r="CG28" s="136"/>
      <c r="CH28" s="66"/>
      <c r="CI28" s="66"/>
      <c r="CJ28" s="66"/>
      <c r="CK28" s="66"/>
      <c r="CL28" s="136"/>
      <c r="CM28" s="66"/>
      <c r="CN28" s="66"/>
      <c r="CO28" s="66"/>
      <c r="CP28" s="66"/>
      <c r="CQ28" s="136"/>
      <c r="CR28" s="66"/>
      <c r="CS28" s="66"/>
      <c r="CT28" s="66"/>
      <c r="CU28" s="66"/>
      <c r="CV28" s="136"/>
      <c r="CW28" s="66"/>
      <c r="CX28" s="66"/>
      <c r="CY28" s="66"/>
      <c r="CZ28" s="66"/>
      <c r="DA28" s="136"/>
      <c r="DB28" s="66"/>
      <c r="DC28" s="66"/>
      <c r="DD28" s="66"/>
      <c r="DE28" s="66"/>
      <c r="DF28" s="136"/>
    </row>
    <row r="29" spans="2:112" s="77" customFormat="1" x14ac:dyDescent="0.2">
      <c r="B29" s="376" t="str">
        <f>B15</f>
        <v>Mail / Home Delivery - generics - core</v>
      </c>
      <c r="P29" s="267">
        <v>0.9</v>
      </c>
      <c r="Q29" s="267">
        <v>0.9</v>
      </c>
      <c r="R29" s="267">
        <v>0.9</v>
      </c>
      <c r="S29" s="267">
        <v>0.9</v>
      </c>
      <c r="T29" s="231"/>
      <c r="U29" s="267">
        <v>0.9</v>
      </c>
      <c r="V29" s="267">
        <v>0.9</v>
      </c>
      <c r="W29" s="267">
        <v>0.9</v>
      </c>
      <c r="X29" s="267">
        <v>0.9</v>
      </c>
      <c r="Y29" s="231">
        <v>0.9</v>
      </c>
      <c r="Z29" s="267">
        <v>0.85</v>
      </c>
      <c r="AA29" s="267">
        <v>0.85</v>
      </c>
      <c r="AB29" s="267">
        <v>0.85</v>
      </c>
      <c r="AC29" s="267">
        <v>0.85</v>
      </c>
      <c r="AD29" s="231">
        <v>0.85</v>
      </c>
      <c r="AE29" s="267">
        <v>0.9</v>
      </c>
      <c r="AF29" s="267">
        <v>0.9</v>
      </c>
      <c r="AG29" s="267">
        <v>0.9</v>
      </c>
      <c r="AH29" s="267">
        <v>0.92500000000000004</v>
      </c>
      <c r="AI29" s="231">
        <v>0.90667059421479601</v>
      </c>
      <c r="AJ29" s="267">
        <v>0.95</v>
      </c>
      <c r="AK29" s="267">
        <v>0.95</v>
      </c>
      <c r="AL29" s="267">
        <v>0.92500000000000004</v>
      </c>
      <c r="AM29" s="267">
        <v>0.92500000000000004</v>
      </c>
      <c r="AN29" s="136">
        <v>0.93719675158891391</v>
      </c>
      <c r="AO29" s="196">
        <v>0.89</v>
      </c>
      <c r="AP29" s="196">
        <v>0.90500000000000003</v>
      </c>
      <c r="AQ29" s="196">
        <v>0.92500000000000004</v>
      </c>
      <c r="AR29" s="196">
        <v>0.95</v>
      </c>
      <c r="AS29" s="136">
        <f>AS41/AS15</f>
        <v>0.9183731082868033</v>
      </c>
      <c r="AT29" s="196">
        <v>0.94761047344609595</v>
      </c>
      <c r="AU29" s="196">
        <v>0.98</v>
      </c>
      <c r="AV29" s="196">
        <v>0.98</v>
      </c>
      <c r="AW29" s="196">
        <v>0.78607303508657445</v>
      </c>
      <c r="AX29" s="136">
        <f ca="1">AX41/AX15</f>
        <v>0.90946362294899596</v>
      </c>
      <c r="AY29" s="196">
        <v>0.57596015759799934</v>
      </c>
      <c r="AZ29" s="196">
        <v>0.63023927225615606</v>
      </c>
      <c r="BA29" s="196">
        <v>0.6591533627586581</v>
      </c>
      <c r="BB29" s="196">
        <v>0.65918050868370814</v>
      </c>
      <c r="BC29" s="136">
        <f ca="1">BC41/BC15</f>
        <v>0.63155835090792567</v>
      </c>
      <c r="BD29" s="196">
        <v>0.51193</v>
      </c>
      <c r="BE29" s="196">
        <v>0.54693999999999998</v>
      </c>
      <c r="BF29" s="196">
        <v>0.59215700000000004</v>
      </c>
      <c r="BG29" s="196">
        <v>0.53624000000000005</v>
      </c>
      <c r="BH29" s="136">
        <f ca="1">BH41/BH15</f>
        <v>0.54677546513124142</v>
      </c>
      <c r="BI29" s="196">
        <v>0.54017712514503213</v>
      </c>
      <c r="BJ29" s="196">
        <v>0.61450000000000005</v>
      </c>
      <c r="BK29" s="196">
        <v>0.65</v>
      </c>
      <c r="BL29" s="196">
        <v>0.71036999999999995</v>
      </c>
      <c r="BM29" s="136">
        <f ca="1">BM41/BM15</f>
        <v>0.64482139640347458</v>
      </c>
      <c r="BN29" s="196">
        <v>0.58547499999999997</v>
      </c>
      <c r="BO29" s="196">
        <v>0.60921000000000003</v>
      </c>
      <c r="BP29" s="196">
        <v>0.64656999999999998</v>
      </c>
      <c r="BQ29" s="196">
        <v>0.61070999999999998</v>
      </c>
      <c r="BR29" s="136">
        <f ca="1">BR41/BR15</f>
        <v>0.61282566528605797</v>
      </c>
      <c r="BS29" s="196">
        <v>0.54108999999999996</v>
      </c>
      <c r="BT29" s="196">
        <v>0.57162800000000002</v>
      </c>
      <c r="BU29" s="196">
        <v>0.59118999999999999</v>
      </c>
      <c r="BV29" s="196">
        <v>0.56613000000000002</v>
      </c>
      <c r="BW29" s="136">
        <f ca="1">BW41/BW15</f>
        <v>0.56863050851954611</v>
      </c>
      <c r="BX29" s="196">
        <v>0.52339999999999998</v>
      </c>
      <c r="BY29" s="196">
        <v>0.58677999999999997</v>
      </c>
      <c r="BZ29" s="196">
        <v>0.64178000000000002</v>
      </c>
      <c r="CA29" s="196">
        <v>0.68711999999999995</v>
      </c>
      <c r="CB29" s="136">
        <f ca="1">CB41/CB15</f>
        <v>0.61349871192189398</v>
      </c>
      <c r="CC29" s="196">
        <v>0.52725999999999995</v>
      </c>
      <c r="CD29" s="196">
        <v>0.65031399999999995</v>
      </c>
      <c r="CE29" s="196">
        <v>0.68504500000000002</v>
      </c>
      <c r="CF29" s="196">
        <v>0.72992999999999997</v>
      </c>
      <c r="CG29" s="136">
        <f ca="1">CG41/CG15</f>
        <v>0.65027084295356208</v>
      </c>
      <c r="CH29" s="196">
        <v>0.73</v>
      </c>
      <c r="CI29" s="196">
        <v>0.69699999999999995</v>
      </c>
      <c r="CJ29" s="196">
        <v>0.74</v>
      </c>
      <c r="CK29" s="196">
        <v>0.69</v>
      </c>
      <c r="CL29" s="136">
        <f ca="1">CL41/CL15</f>
        <v>0.71355963475766693</v>
      </c>
      <c r="CM29" s="678">
        <f>CHOOSE(Scenarios!$C$9,Scenarios!AX12,Scenarios!AX13,Scenarios!AX14)</f>
        <v>0.59</v>
      </c>
      <c r="CN29" s="678">
        <f>CHOOSE(Scenarios!$C$9,Scenarios!AY12,Scenarios!AY13,Scenarios!AY14)</f>
        <v>0.68176999999999999</v>
      </c>
      <c r="CO29" s="678">
        <f>CHOOSE(Scenarios!$C$9,Scenarios!AZ12,Scenarios!AZ13,Scenarios!AZ14)</f>
        <v>0.7</v>
      </c>
      <c r="CP29" s="678">
        <f>CHOOSE(Scenarios!$C$9,Scenarios!BA12,Scenarios!BA13,Scenarios!BA14)</f>
        <v>0.73499999999999999</v>
      </c>
      <c r="CQ29" s="136">
        <f ca="1">CQ41/CQ15</f>
        <v>0.67736901068607935</v>
      </c>
      <c r="CR29" s="678">
        <f>CHOOSE(Scenarios!$C$9,Scenarios!BC12,Scenarios!BC13,Scenarios!BC14)</f>
        <v>0.52500000000000002</v>
      </c>
      <c r="CS29" s="678">
        <f>CHOOSE(Scenarios!$C$9,Scenarios!BD12,Scenarios!BD13,Scenarios!BD14)</f>
        <v>0.61677000000000004</v>
      </c>
      <c r="CT29" s="678">
        <f>CHOOSE(Scenarios!$C$9,Scenarios!BE12,Scenarios!BE13,Scenarios!BE14)</f>
        <v>0.63500000000000001</v>
      </c>
      <c r="CU29" s="678">
        <f>CHOOSE(Scenarios!$C$9,Scenarios!BF12,Scenarios!BF13,Scenarios!BF14)</f>
        <v>0.66500000000000004</v>
      </c>
      <c r="CV29" s="136">
        <f ca="1">CV41/CV15</f>
        <v>0.61089130869869679</v>
      </c>
      <c r="CW29" s="678">
        <f>CHOOSE(Scenarios!$C$9,Scenarios!BH12,Scenarios!BH13,Scenarios!BH14)</f>
        <v>0.5</v>
      </c>
      <c r="CX29" s="678">
        <f>CHOOSE(Scenarios!$C$9,Scenarios!BI12,Scenarios!BI13,Scenarios!BI14)</f>
        <v>0.56999999999999995</v>
      </c>
      <c r="CY29" s="678">
        <f>CHOOSE(Scenarios!$C$9,Scenarios!BJ12,Scenarios!BJ13,Scenarios!BJ14)</f>
        <v>0.56999999999999995</v>
      </c>
      <c r="CZ29" s="678">
        <f>CHOOSE(Scenarios!$C$9,Scenarios!BK12,Scenarios!BK13,Scenarios!BK14)</f>
        <v>0.6</v>
      </c>
      <c r="DA29" s="136">
        <f ca="1">DA41/DA15</f>
        <v>0.56044843983298431</v>
      </c>
      <c r="DB29" s="678">
        <f>CHOOSE(Scenarios!$C$9,Scenarios!BM12,Scenarios!BM13,Scenarios!BM14)</f>
        <v>0.45</v>
      </c>
      <c r="DC29" s="678">
        <f>CHOOSE(Scenarios!$C$9,Scenarios!BN12,Scenarios!BN13,Scenarios!BN14)</f>
        <v>0.48</v>
      </c>
      <c r="DD29" s="678">
        <f>CHOOSE(Scenarios!$C$9,Scenarios!BO12,Scenarios!BO13,Scenarios!BO14)</f>
        <v>0.5</v>
      </c>
      <c r="DE29" s="678">
        <f>CHOOSE(Scenarios!$C$9,Scenarios!BP12,Scenarios!BP13,Scenarios!BP14)</f>
        <v>0.53</v>
      </c>
      <c r="DF29" s="136">
        <f ca="1">DF41/DF15</f>
        <v>0.49024485698328868</v>
      </c>
    </row>
    <row r="30" spans="2:112" s="77" customFormat="1" x14ac:dyDescent="0.2">
      <c r="B30" s="376" t="str">
        <f>B16</f>
        <v>Mail / Home Delivery - brand - core</v>
      </c>
      <c r="P30" s="267">
        <v>0.01</v>
      </c>
      <c r="Q30" s="267">
        <v>0.01</v>
      </c>
      <c r="R30" s="267">
        <v>0.01</v>
      </c>
      <c r="S30" s="267">
        <v>0.01</v>
      </c>
      <c r="T30" s="231"/>
      <c r="U30" s="267">
        <v>0.01</v>
      </c>
      <c r="V30" s="267">
        <v>0.01</v>
      </c>
      <c r="W30" s="267">
        <v>0.01</v>
      </c>
      <c r="X30" s="267">
        <v>0.01</v>
      </c>
      <c r="Y30" s="231">
        <v>0.01</v>
      </c>
      <c r="Z30" s="267">
        <v>2.5118745426892738E-2</v>
      </c>
      <c r="AA30" s="267">
        <v>2.707742122925259E-2</v>
      </c>
      <c r="AB30" s="267">
        <v>4.0224243234292217E-2</v>
      </c>
      <c r="AC30" s="267">
        <v>5.8266705033018298E-2</v>
      </c>
      <c r="AD30" s="231">
        <v>3.7954986284100059E-2</v>
      </c>
      <c r="AE30" s="267">
        <v>-1.3750307252254425E-2</v>
      </c>
      <c r="AF30" s="267">
        <v>2.6605861043601638E-2</v>
      </c>
      <c r="AG30" s="267">
        <v>7.7198974401632564E-2</v>
      </c>
      <c r="AH30" s="267">
        <v>8.8275689024827603E-2</v>
      </c>
      <c r="AI30" s="231">
        <v>4.3319692143552746E-2</v>
      </c>
      <c r="AJ30" s="267">
        <v>9.7988662647205002E-2</v>
      </c>
      <c r="AK30" s="267">
        <v>9.7988662647205002E-2</v>
      </c>
      <c r="AL30" s="267">
        <v>8.1900000000000001E-2</v>
      </c>
      <c r="AM30" s="267">
        <v>8.0199999999999994E-2</v>
      </c>
      <c r="AN30" s="136">
        <v>8.9471526140420254E-2</v>
      </c>
      <c r="AO30" s="196">
        <v>2.8000000000000001E-2</v>
      </c>
      <c r="AP30" s="196">
        <v>0.03</v>
      </c>
      <c r="AQ30" s="196">
        <v>3.1164247206691826E-2</v>
      </c>
      <c r="AR30" s="196">
        <v>3.5000000000000003E-2</v>
      </c>
      <c r="AS30" s="136">
        <f>AS42/AS16</f>
        <v>3.1036358893740849E-2</v>
      </c>
      <c r="AT30" s="196">
        <v>3.5000000000000003E-2</v>
      </c>
      <c r="AU30" s="196">
        <v>4.0300183771105447E-2</v>
      </c>
      <c r="AV30" s="196">
        <v>4.4999999999999998E-2</v>
      </c>
      <c r="AW30" s="196">
        <v>3.2716056017828808E-2</v>
      </c>
      <c r="AX30" s="136">
        <f ca="1">AX42/AX16</f>
        <v>3.7770082710656246E-2</v>
      </c>
      <c r="AY30" s="196">
        <v>2.2499999999999999E-2</v>
      </c>
      <c r="AZ30" s="196">
        <v>2.7E-2</v>
      </c>
      <c r="BA30" s="196">
        <v>2.9000000000000001E-2</v>
      </c>
      <c r="BB30" s="196">
        <v>0.03</v>
      </c>
      <c r="BC30" s="136">
        <f ca="1">BC42/BC16</f>
        <v>2.7135290965363462E-2</v>
      </c>
      <c r="BD30" s="196">
        <v>2.4E-2</v>
      </c>
      <c r="BE30" s="196">
        <v>2.7E-2</v>
      </c>
      <c r="BF30" s="196">
        <v>0.03</v>
      </c>
      <c r="BG30" s="196">
        <v>2.7E-2</v>
      </c>
      <c r="BH30" s="136">
        <f ca="1">BH42/BH16</f>
        <v>2.7049960546077903E-2</v>
      </c>
      <c r="BI30" s="196">
        <v>2.75E-2</v>
      </c>
      <c r="BJ30" s="196">
        <v>1.3395000000000001E-2</v>
      </c>
      <c r="BK30" s="196">
        <v>1.4565E-2</v>
      </c>
      <c r="BL30" s="196">
        <v>1.7000000000000001E-2</v>
      </c>
      <c r="BM30" s="136">
        <f ca="1">BM42/BM16</f>
        <v>1.6448263927775177E-2</v>
      </c>
      <c r="BN30" s="196">
        <v>1.6E-2</v>
      </c>
      <c r="BO30" s="196">
        <v>1.7000000000000001E-2</v>
      </c>
      <c r="BP30" s="196">
        <v>1.6E-2</v>
      </c>
      <c r="BQ30" s="196">
        <v>1.6E-2</v>
      </c>
      <c r="BR30" s="136">
        <f ca="1">BR42/BR16</f>
        <v>1.6243370376652428E-2</v>
      </c>
      <c r="BS30" s="196">
        <v>1.2999999999999999E-2</v>
      </c>
      <c r="BT30" s="196">
        <v>1.6E-2</v>
      </c>
      <c r="BU30" s="196">
        <v>1.7000000000000001E-2</v>
      </c>
      <c r="BV30" s="196">
        <v>1.2999999999999999E-2</v>
      </c>
      <c r="BW30" s="136">
        <f ca="1">BW42/BW16</f>
        <v>1.4793240365937184E-2</v>
      </c>
      <c r="BX30" s="196">
        <v>1.2E-2</v>
      </c>
      <c r="BY30" s="196">
        <v>1.7000000000000001E-2</v>
      </c>
      <c r="BZ30" s="196">
        <v>1.2999999999999999E-2</v>
      </c>
      <c r="CA30" s="196">
        <v>1.2E-2</v>
      </c>
      <c r="CB30" s="136">
        <f ca="1">CB42/CB16</f>
        <v>1.3465762432695105E-2</v>
      </c>
      <c r="CC30" s="196">
        <f>BX30</f>
        <v>1.2E-2</v>
      </c>
      <c r="CD30" s="196">
        <v>1.35E-2</v>
      </c>
      <c r="CE30" s="196">
        <v>1.7000000000000001E-2</v>
      </c>
      <c r="CF30" s="196">
        <v>1.7000000000000001E-2</v>
      </c>
      <c r="CG30" s="136">
        <f ca="1">CG42/CG16</f>
        <v>1.4866425167222197E-2</v>
      </c>
      <c r="CH30" s="196">
        <v>1.55E-2</v>
      </c>
      <c r="CI30" s="196">
        <v>1.6E-2</v>
      </c>
      <c r="CJ30" s="196">
        <v>1.7999999999999999E-2</v>
      </c>
      <c r="CK30" s="196">
        <v>1.6500000000000001E-2</v>
      </c>
      <c r="CL30" s="136">
        <f ca="1">CL42/CL16</f>
        <v>1.645179760515916E-2</v>
      </c>
      <c r="CM30" s="196">
        <v>1.0999999999999999E-2</v>
      </c>
      <c r="CN30" s="196">
        <v>1.7000000000000001E-2</v>
      </c>
      <c r="CO30" s="196">
        <v>1.7999999999999999E-2</v>
      </c>
      <c r="CP30" s="196">
        <v>1.7000000000000001E-2</v>
      </c>
      <c r="CQ30" s="136">
        <f ca="1">CQ42/CQ16</f>
        <v>1.5679089866387486E-2</v>
      </c>
      <c r="CR30" s="196">
        <f>CM30</f>
        <v>1.0999999999999999E-2</v>
      </c>
      <c r="CS30" s="196">
        <f>CN30</f>
        <v>1.7000000000000001E-2</v>
      </c>
      <c r="CT30" s="196">
        <f>CO30</f>
        <v>1.7999999999999999E-2</v>
      </c>
      <c r="CU30" s="196">
        <f>CP30</f>
        <v>1.7000000000000001E-2</v>
      </c>
      <c r="CV30" s="136">
        <f ca="1">CV42/CV16</f>
        <v>1.5727058606182471E-2</v>
      </c>
      <c r="CW30" s="196">
        <f>CR30</f>
        <v>1.0999999999999999E-2</v>
      </c>
      <c r="CX30" s="196">
        <f>CS30</f>
        <v>1.7000000000000001E-2</v>
      </c>
      <c r="CY30" s="196">
        <f>CT30</f>
        <v>1.7999999999999999E-2</v>
      </c>
      <c r="CZ30" s="196">
        <f>CU30</f>
        <v>1.7000000000000001E-2</v>
      </c>
      <c r="DA30" s="136">
        <f ca="1">DA42/DA16</f>
        <v>1.5722117985703825E-2</v>
      </c>
      <c r="DB30" s="196">
        <f>CW30</f>
        <v>1.0999999999999999E-2</v>
      </c>
      <c r="DC30" s="196">
        <f>CX30</f>
        <v>1.7000000000000001E-2</v>
      </c>
      <c r="DD30" s="196">
        <f>CY30</f>
        <v>1.7999999999999999E-2</v>
      </c>
      <c r="DE30" s="196">
        <f>CZ30</f>
        <v>1.7000000000000001E-2</v>
      </c>
      <c r="DF30" s="136">
        <f ca="1">DF42/DF16</f>
        <v>1.5716102126517223E-2</v>
      </c>
    </row>
    <row r="31" spans="2:112" s="77" customFormat="1" x14ac:dyDescent="0.2">
      <c r="B31" s="95" t="s">
        <v>295</v>
      </c>
      <c r="P31" s="267"/>
      <c r="Q31" s="267"/>
      <c r="R31" s="267"/>
      <c r="S31" s="267"/>
      <c r="T31" s="231"/>
      <c r="U31" s="146">
        <f t="shared" ref="U31:AR31" si="16">U43/U17</f>
        <v>0.12625304155937417</v>
      </c>
      <c r="V31" s="146">
        <f t="shared" si="16"/>
        <v>0.12796221132140997</v>
      </c>
      <c r="W31" s="146">
        <f t="shared" si="16"/>
        <v>0.12401813962231413</v>
      </c>
      <c r="X31" s="146">
        <f t="shared" si="16"/>
        <v>0.13212673812799838</v>
      </c>
      <c r="Y31" s="231">
        <f t="shared" si="16"/>
        <v>0.12763862915756402</v>
      </c>
      <c r="Z31" s="146">
        <f t="shared" si="16"/>
        <v>0.13389902154560121</v>
      </c>
      <c r="AA31" s="146">
        <f t="shared" si="16"/>
        <v>0.13570320162699126</v>
      </c>
      <c r="AB31" s="146">
        <f t="shared" si="16"/>
        <v>0.14785866298348094</v>
      </c>
      <c r="AC31" s="146">
        <f t="shared" si="16"/>
        <v>0.16277549996865989</v>
      </c>
      <c r="AD31" s="231">
        <f t="shared" si="16"/>
        <v>0.14530542838654098</v>
      </c>
      <c r="AE31" s="146">
        <f t="shared" si="16"/>
        <v>0.10686473330504316</v>
      </c>
      <c r="AF31" s="146">
        <f t="shared" si="16"/>
        <v>0.14888104049749742</v>
      </c>
      <c r="AG31" s="146">
        <f t="shared" si="16"/>
        <v>0.19485952106219914</v>
      </c>
      <c r="AH31" s="146">
        <f t="shared" si="16"/>
        <v>0.21796795722597931</v>
      </c>
      <c r="AI31" s="231">
        <f t="shared" si="16"/>
        <v>0.16621802575123704</v>
      </c>
      <c r="AJ31" s="146">
        <f t="shared" si="16"/>
        <v>0.23005041993688824</v>
      </c>
      <c r="AK31" s="146">
        <f t="shared" si="16"/>
        <v>0.2417348142246657</v>
      </c>
      <c r="AL31" s="146">
        <f t="shared" si="16"/>
        <v>0.21852588402346584</v>
      </c>
      <c r="AM31" s="146">
        <f t="shared" si="16"/>
        <v>0.2255056</v>
      </c>
      <c r="AN31" s="136">
        <f t="shared" si="16"/>
        <v>0.22893069315484099</v>
      </c>
      <c r="AO31" s="66">
        <f t="shared" si="16"/>
        <v>0.16441056252341008</v>
      </c>
      <c r="AP31" s="66">
        <f t="shared" si="16"/>
        <v>0.17411653385488024</v>
      </c>
      <c r="AQ31" s="66">
        <f t="shared" si="16"/>
        <v>0.18785198183854115</v>
      </c>
      <c r="AR31" s="66">
        <f t="shared" si="16"/>
        <v>0.1927653776097315</v>
      </c>
      <c r="AS31" s="136">
        <f>AS43/AS17</f>
        <v>0.17986185223002998</v>
      </c>
      <c r="AT31" s="66">
        <f ca="1">AT43/AT17</f>
        <v>0.19249780566098629</v>
      </c>
      <c r="AU31" s="66">
        <f ca="1">AU43/AU17</f>
        <v>0.20563209913519889</v>
      </c>
      <c r="AV31" s="66">
        <f ca="1">AV43/AV17</f>
        <v>0.2070497471123241</v>
      </c>
      <c r="AW31" s="66">
        <f ca="1">AW43/AW17</f>
        <v>0.16501429481479904</v>
      </c>
      <c r="AX31" s="136">
        <f ca="1">AX43/AX17</f>
        <v>0.18988973570982196</v>
      </c>
      <c r="AY31" s="66">
        <f ca="1">AY43/AY17</f>
        <v>0.12322974868283587</v>
      </c>
      <c r="AZ31" s="66">
        <f ca="1">AZ43/AZ17</f>
        <v>0.13780192585338144</v>
      </c>
      <c r="BA31" s="66">
        <f ca="1">BA43/BA17</f>
        <v>0.14596451335054092</v>
      </c>
      <c r="BB31" s="66">
        <f ca="1">BB43/BB17</f>
        <v>0.14650187317833704</v>
      </c>
      <c r="BC31" s="136">
        <f ca="1">BC43/BC17</f>
        <v>0.13842176877987097</v>
      </c>
      <c r="BD31" s="66">
        <f ca="1">BD43/BD17</f>
        <v>0.12224025668105776</v>
      </c>
      <c r="BE31" s="66">
        <f>BE43/BE17</f>
        <v>0.13068501629507262</v>
      </c>
      <c r="BF31" s="66">
        <f>BF43/BF17</f>
        <v>0.13911951087155447</v>
      </c>
      <c r="BG31" s="66">
        <f>BG43/BG17</f>
        <v>0.12958281089310633</v>
      </c>
      <c r="BH31" s="136">
        <f ca="1">BH43/BH17</f>
        <v>0.13051204166326069</v>
      </c>
      <c r="BI31" s="66">
        <f ca="1">BI43/BI17</f>
        <v>0.13381785594493639</v>
      </c>
      <c r="BJ31" s="66">
        <f ca="1">BJ43/BJ17</f>
        <v>0.14488185187405056</v>
      </c>
      <c r="BK31" s="66">
        <f ca="1">BK43/BK17</f>
        <v>0.15381535056466669</v>
      </c>
      <c r="BL31" s="66">
        <f ca="1">BL43/BL17</f>
        <v>0.17136030060142443</v>
      </c>
      <c r="BM31" s="136">
        <f ca="1">BM43/BM17</f>
        <v>0.15384312182461568</v>
      </c>
      <c r="BN31" s="66">
        <f ca="1">BN43/BN17</f>
        <v>0.14198512676375866</v>
      </c>
      <c r="BO31" s="66">
        <f ca="1">BO43/BO17</f>
        <v>0.14747416913547121</v>
      </c>
      <c r="BP31" s="66">
        <f ca="1">BP43/BP17</f>
        <v>0.14679539985962176</v>
      </c>
      <c r="BQ31" s="66">
        <f ca="1">BQ43/BQ17</f>
        <v>0.13112474689750273</v>
      </c>
      <c r="BR31" s="136">
        <f ca="1">BR43/BR17</f>
        <v>0.14187871413069067</v>
      </c>
      <c r="BS31" s="66">
        <v>0.1524870194918104</v>
      </c>
      <c r="BT31" s="66">
        <v>0.15444028131313339</v>
      </c>
      <c r="BU31" s="66">
        <f ca="1">BU43/BU17</f>
        <v>0.14193301820833198</v>
      </c>
      <c r="BV31" s="66">
        <f ca="1">BV43/BV17</f>
        <v>0.13611640560628829</v>
      </c>
      <c r="BW31" s="136">
        <f ca="1">BW43/BW17</f>
        <v>0.13380360210099723</v>
      </c>
      <c r="BX31" s="66">
        <f ca="1">BX43/BX17</f>
        <v>0.12991928711705353</v>
      </c>
      <c r="BY31" s="66">
        <f ca="1">BY43/BY17</f>
        <v>0.15293886458653647</v>
      </c>
      <c r="BZ31" s="66">
        <f ca="1">BZ43/BZ17</f>
        <v>0.16741662247450317</v>
      </c>
      <c r="CA31" s="66">
        <v>0.16660048060629348</v>
      </c>
      <c r="CB31" s="136">
        <f ca="1">CB43/CB17</f>
        <v>0.15620364598855532</v>
      </c>
      <c r="CC31" s="66">
        <f ca="1">CC43/CC17</f>
        <v>0.13596193101277473</v>
      </c>
      <c r="CD31" s="66">
        <f ca="1">CD43/CD17</f>
        <v>0.17371050680046798</v>
      </c>
      <c r="CE31" s="66">
        <f ca="1">CE43/CE17</f>
        <v>0.18773982300960498</v>
      </c>
      <c r="CF31" s="66">
        <f ca="1">CF43/CF17</f>
        <v>0.19992452056386575</v>
      </c>
      <c r="CG31" s="136">
        <f ca="1">CG43/CG17</f>
        <v>0.17440407036122632</v>
      </c>
      <c r="CH31" s="66">
        <f ca="1">CH43/CH17</f>
        <v>0.20384239529302084</v>
      </c>
      <c r="CI31" s="66">
        <f ca="1">CI43/CI17</f>
        <v>0.20027878613652517</v>
      </c>
      <c r="CJ31" s="66">
        <f ca="1">CJ43/CJ17</f>
        <v>0.21842739734298264</v>
      </c>
      <c r="CK31" s="66">
        <f ca="1">CK43/CK17</f>
        <v>0.2034637840865634</v>
      </c>
      <c r="CL31" s="136">
        <f ca="1">CL43/CL17</f>
        <v>0.2061768000888112</v>
      </c>
      <c r="CM31" s="66">
        <f ca="1">CM43/CM17</f>
        <v>0.17333535752579596</v>
      </c>
      <c r="CN31" s="66">
        <f ca="1">CN43/CN17</f>
        <v>0.20914957650896263</v>
      </c>
      <c r="CO31" s="66">
        <f ca="1">CO43/CO17</f>
        <v>0.22116576240528496</v>
      </c>
      <c r="CP31" s="66">
        <f ca="1">CP43/CP17</f>
        <v>0.23089005484896569</v>
      </c>
      <c r="CQ31" s="136">
        <f ca="1">CQ43/CQ17</f>
        <v>0.20832242512776486</v>
      </c>
      <c r="CR31" s="66">
        <f ca="1">CR43/CR17</f>
        <v>0.16058213876146277</v>
      </c>
      <c r="CS31" s="66">
        <f ca="1">CS43/CS17</f>
        <v>0.19105783958047476</v>
      </c>
      <c r="CT31" s="66">
        <f ca="1">CT43/CT17</f>
        <v>0.20318628505720734</v>
      </c>
      <c r="CU31" s="66">
        <f ca="1">CU43/CU17</f>
        <v>0.20902719901793856</v>
      </c>
      <c r="CV31" s="136">
        <f ca="1">CV43/CV17</f>
        <v>0.19088448294583063</v>
      </c>
      <c r="CW31" s="66">
        <f ca="1">CW43/CW17</f>
        <v>0.15577860780756761</v>
      </c>
      <c r="CX31" s="66">
        <f ca="1">CX43/CX17</f>
        <v>0.18035651955574414</v>
      </c>
      <c r="CY31" s="66">
        <f ca="1">CY43/CY17</f>
        <v>0.1872156905980851</v>
      </c>
      <c r="CZ31" s="66">
        <f ca="1">CZ43/CZ17</f>
        <v>0.19328302286065113</v>
      </c>
      <c r="DA31" s="136">
        <f ca="1">DA43/DA17</f>
        <v>0.17911379962506571</v>
      </c>
      <c r="DB31" s="66">
        <f ca="1">DB43/DB17</f>
        <v>0.14229075509016809</v>
      </c>
      <c r="DC31" s="66">
        <f ca="1">DC43/DC17</f>
        <v>0.15523902507358231</v>
      </c>
      <c r="DD31" s="66">
        <f ca="1">DD43/DD17</f>
        <v>0.16798167931968352</v>
      </c>
      <c r="DE31" s="66">
        <f ca="1">DE43/DE17</f>
        <v>0.17425686086983849</v>
      </c>
      <c r="DF31" s="136">
        <f ca="1">DF43/DF17</f>
        <v>0.15981222925753488</v>
      </c>
    </row>
    <row r="32" spans="2:112" s="77" customFormat="1" x14ac:dyDescent="0.2">
      <c r="B32" s="376" t="str">
        <f>B19</f>
        <v>Specialty</v>
      </c>
      <c r="P32" s="267"/>
      <c r="Q32" s="267"/>
      <c r="R32" s="267"/>
      <c r="S32" s="267"/>
      <c r="T32" s="231"/>
      <c r="U32" s="267"/>
      <c r="V32" s="267"/>
      <c r="W32" s="267"/>
      <c r="X32" s="267"/>
      <c r="Y32" s="231"/>
      <c r="Z32" s="267"/>
      <c r="AA32" s="267"/>
      <c r="AB32" s="267"/>
      <c r="AC32" s="267"/>
      <c r="AD32" s="231"/>
      <c r="AE32" s="267"/>
      <c r="AF32" s="267"/>
      <c r="AG32" s="267"/>
      <c r="AH32" s="267"/>
      <c r="AI32" s="231"/>
      <c r="AJ32" s="267"/>
      <c r="AK32" s="267"/>
      <c r="AL32" s="267"/>
      <c r="AM32" s="267"/>
      <c r="AN32" s="136"/>
      <c r="AO32" s="196">
        <v>0.1</v>
      </c>
      <c r="AP32" s="196">
        <v>0.1</v>
      </c>
      <c r="AQ32" s="196">
        <v>0.1</v>
      </c>
      <c r="AR32" s="196">
        <v>0.1</v>
      </c>
      <c r="AS32" s="136">
        <f ca="1">AS44/AS19</f>
        <v>0.1</v>
      </c>
      <c r="AT32" s="196">
        <v>0.1</v>
      </c>
      <c r="AU32" s="196">
        <v>0.1</v>
      </c>
      <c r="AV32" s="196">
        <v>0.1</v>
      </c>
      <c r="AW32" s="196">
        <v>0.1</v>
      </c>
      <c r="AX32" s="136">
        <f>AX44/AX19</f>
        <v>0.10000000000000002</v>
      </c>
      <c r="AY32" s="196">
        <v>9.2499999999999999E-2</v>
      </c>
      <c r="AZ32" s="196">
        <v>9.5000000000000001E-2</v>
      </c>
      <c r="BA32" s="196">
        <v>9.7000000000000003E-2</v>
      </c>
      <c r="BB32" s="196">
        <v>9.7000000000000003E-2</v>
      </c>
      <c r="BC32" s="136">
        <f>BC44/BC19</f>
        <v>9.5429996952467289E-2</v>
      </c>
      <c r="BD32" s="196">
        <v>9.4E-2</v>
      </c>
      <c r="BE32" s="196">
        <v>9.6000000000000002E-2</v>
      </c>
      <c r="BF32" s="196">
        <v>9.8000000000000004E-2</v>
      </c>
      <c r="BG32" s="196">
        <v>9.6000000000000002E-2</v>
      </c>
      <c r="BH32" s="136">
        <f ca="1">BH44/BH19</f>
        <v>9.6031153019336346E-2</v>
      </c>
      <c r="BI32" s="196">
        <v>0.1</v>
      </c>
      <c r="BJ32" s="66">
        <f t="shared" ref="BJ32:CB32" ca="1" si="17">BJ44/BJ19</f>
        <v>9.5488419413384124E-2</v>
      </c>
      <c r="BK32" s="66">
        <f t="shared" ca="1" si="17"/>
        <v>9.4436610510643768E-2</v>
      </c>
      <c r="BL32" s="66">
        <f t="shared" ca="1" si="17"/>
        <v>9.4031369704037207E-2</v>
      </c>
      <c r="BM32" s="136">
        <f t="shared" ca="1" si="17"/>
        <v>9.5323923702981289E-2</v>
      </c>
      <c r="BN32" s="66">
        <f t="shared" ca="1" si="17"/>
        <v>9.0200347883019255E-2</v>
      </c>
      <c r="BO32" s="66">
        <f t="shared" ca="1" si="17"/>
        <v>6.9999999999999993E-2</v>
      </c>
      <c r="BP32" s="66">
        <f t="shared" ca="1" si="17"/>
        <v>6.9999999999999993E-2</v>
      </c>
      <c r="BQ32" s="66">
        <f t="shared" ca="1" si="17"/>
        <v>7.0000000000000007E-2</v>
      </c>
      <c r="BR32" s="136">
        <f t="shared" ca="1" si="17"/>
        <v>7.4782836555347426E-2</v>
      </c>
      <c r="BS32" s="66">
        <v>6.6707644271473854E-2</v>
      </c>
      <c r="BT32" s="66">
        <v>7.0000000000000007E-2</v>
      </c>
      <c r="BU32" s="66">
        <f t="shared" ca="1" si="17"/>
        <v>7.0000000000000021E-2</v>
      </c>
      <c r="BV32" s="66">
        <f t="shared" ca="1" si="17"/>
        <v>7.0000000000000007E-2</v>
      </c>
      <c r="BW32" s="136">
        <f t="shared" ca="1" si="17"/>
        <v>7.0000000000000007E-2</v>
      </c>
      <c r="BX32" s="66">
        <f t="shared" ca="1" si="17"/>
        <v>7.0000000000000007E-2</v>
      </c>
      <c r="BY32" s="66">
        <f t="shared" ca="1" si="17"/>
        <v>7.0000000000000007E-2</v>
      </c>
      <c r="BZ32" s="66">
        <f t="shared" ca="1" si="17"/>
        <v>6.5000000000000002E-2</v>
      </c>
      <c r="CA32" s="66">
        <v>6.6867419082636562E-2</v>
      </c>
      <c r="CB32" s="136">
        <f t="shared" ca="1" si="17"/>
        <v>6.7428828827235804E-2</v>
      </c>
      <c r="CC32" s="66">
        <f t="shared" ref="CC32:CD32" ca="1" si="18">CC44/CC19</f>
        <v>5.9999999999999991E-2</v>
      </c>
      <c r="CD32" s="66">
        <f t="shared" ca="1" si="18"/>
        <v>6.9999999999999993E-2</v>
      </c>
      <c r="CE32" s="66">
        <f t="shared" ref="CE32" ca="1" si="19">CE44/CE19</f>
        <v>7.0000000000000007E-2</v>
      </c>
      <c r="CF32" s="66">
        <f t="shared" ref="CF32:CL32" ca="1" si="20">CF44/CF19</f>
        <v>6.4999999999999988E-2</v>
      </c>
      <c r="CG32" s="136">
        <f t="shared" ca="1" si="20"/>
        <v>6.6392115386933431E-2</v>
      </c>
      <c r="CH32" s="66">
        <f t="shared" ca="1" si="20"/>
        <v>6.7544529297811656E-2</v>
      </c>
      <c r="CI32" s="66">
        <f t="shared" ref="CI32" ca="1" si="21">CI44/CI19</f>
        <v>6.7563723753258267E-2</v>
      </c>
      <c r="CJ32" s="66">
        <f t="shared" ref="CJ32:CK32" ca="1" si="22">CJ44/CJ19</f>
        <v>6.7507508646571263E-2</v>
      </c>
      <c r="CK32" s="66">
        <f t="shared" ca="1" si="22"/>
        <v>6.7549326089445944E-2</v>
      </c>
      <c r="CL32" s="136">
        <f t="shared" ca="1" si="20"/>
        <v>6.7540933683982091E-2</v>
      </c>
      <c r="CM32" s="66">
        <f t="shared" ref="CM32:CV32" ca="1" si="23">CM44/CM19</f>
        <v>6.0000000000000005E-2</v>
      </c>
      <c r="CN32" s="66">
        <f t="shared" ca="1" si="23"/>
        <v>7.0000000000000007E-2</v>
      </c>
      <c r="CO32" s="66">
        <f t="shared" ca="1" si="23"/>
        <v>7.0000000000000007E-2</v>
      </c>
      <c r="CP32" s="66">
        <f t="shared" ca="1" si="23"/>
        <v>7.0000000000000007E-2</v>
      </c>
      <c r="CQ32" s="136">
        <f t="shared" ca="1" si="23"/>
        <v>6.7661055635744261E-2</v>
      </c>
      <c r="CR32" s="66">
        <f t="shared" ca="1" si="23"/>
        <v>7.0000000000000007E-2</v>
      </c>
      <c r="CS32" s="66">
        <f t="shared" ca="1" si="23"/>
        <v>7.0000000000000007E-2</v>
      </c>
      <c r="CT32" s="66">
        <f t="shared" ca="1" si="23"/>
        <v>7.0000000000000007E-2</v>
      </c>
      <c r="CU32" s="66">
        <f t="shared" ca="1" si="23"/>
        <v>7.0000000000000007E-2</v>
      </c>
      <c r="CV32" s="136">
        <f t="shared" ca="1" si="23"/>
        <v>7.0000000000000007E-2</v>
      </c>
      <c r="CW32" s="66">
        <f t="shared" ref="CW32:DF32" ca="1" si="24">CW44/CW19</f>
        <v>6.8000000000000019E-2</v>
      </c>
      <c r="CX32" s="66">
        <f t="shared" ca="1" si="24"/>
        <v>6.8000000000000005E-2</v>
      </c>
      <c r="CY32" s="66">
        <f t="shared" ca="1" si="24"/>
        <v>6.8000000000000005E-2</v>
      </c>
      <c r="CZ32" s="66">
        <f t="shared" ca="1" si="24"/>
        <v>6.8000000000000005E-2</v>
      </c>
      <c r="DA32" s="136">
        <f t="shared" ca="1" si="24"/>
        <v>6.8000000000000005E-2</v>
      </c>
      <c r="DB32" s="66">
        <f t="shared" ca="1" si="24"/>
        <v>6.7500000000000004E-2</v>
      </c>
      <c r="DC32" s="66">
        <f t="shared" ca="1" si="24"/>
        <v>6.7500000000000004E-2</v>
      </c>
      <c r="DD32" s="66">
        <f t="shared" ca="1" si="24"/>
        <v>6.7500000000000004E-2</v>
      </c>
      <c r="DE32" s="66">
        <f t="shared" ca="1" si="24"/>
        <v>6.7500000000000004E-2</v>
      </c>
      <c r="DF32" s="136">
        <f t="shared" ca="1" si="24"/>
        <v>6.7499999999999991E-2</v>
      </c>
    </row>
    <row r="33" spans="2:112" s="77" customFormat="1" ht="4.5" customHeight="1" x14ac:dyDescent="0.2">
      <c r="B33" s="95"/>
      <c r="P33" s="267"/>
      <c r="Q33" s="267"/>
      <c r="R33" s="267"/>
      <c r="S33" s="267"/>
      <c r="T33" s="231"/>
      <c r="U33" s="146"/>
      <c r="V33" s="146"/>
      <c r="W33" s="146"/>
      <c r="X33" s="146"/>
      <c r="Y33" s="231"/>
      <c r="Z33" s="146"/>
      <c r="AA33" s="146"/>
      <c r="AB33" s="146"/>
      <c r="AC33" s="146"/>
      <c r="AD33" s="231"/>
      <c r="AE33" s="146"/>
      <c r="AF33" s="146"/>
      <c r="AG33" s="146"/>
      <c r="AH33" s="146"/>
      <c r="AI33" s="231"/>
      <c r="AJ33" s="146"/>
      <c r="AK33" s="146"/>
      <c r="AL33" s="146"/>
      <c r="AM33" s="146"/>
      <c r="AN33" s="136"/>
      <c r="AO33" s="66"/>
      <c r="AP33" s="66"/>
      <c r="AQ33" s="66"/>
      <c r="AR33" s="66"/>
      <c r="AS33" s="136"/>
      <c r="AT33" s="66"/>
      <c r="AU33" s="66"/>
      <c r="AV33" s="66"/>
      <c r="AW33" s="66"/>
      <c r="AX33" s="136"/>
      <c r="AY33" s="66"/>
      <c r="AZ33" s="66"/>
      <c r="BA33" s="66"/>
      <c r="BB33" s="66"/>
      <c r="BC33" s="136"/>
      <c r="BD33" s="66"/>
      <c r="BE33" s="66"/>
      <c r="BF33" s="66"/>
      <c r="BG33" s="66"/>
      <c r="BH33" s="136"/>
      <c r="BI33" s="66"/>
      <c r="BJ33" s="66"/>
      <c r="BK33" s="66"/>
      <c r="BL33" s="66"/>
      <c r="BM33" s="136"/>
      <c r="BN33" s="66"/>
      <c r="BO33" s="66"/>
      <c r="BP33" s="66"/>
      <c r="BQ33" s="66"/>
      <c r="BR33" s="136"/>
      <c r="BS33" s="66"/>
      <c r="BT33" s="66"/>
      <c r="BU33" s="66"/>
      <c r="BV33" s="66"/>
      <c r="BW33" s="136"/>
      <c r="BX33" s="66"/>
      <c r="BY33" s="66"/>
      <c r="BZ33" s="66"/>
      <c r="CA33" s="66"/>
      <c r="CB33" s="136"/>
      <c r="CC33" s="66"/>
      <c r="CD33" s="66"/>
      <c r="CE33" s="66"/>
      <c r="CF33" s="66"/>
      <c r="CG33" s="136"/>
      <c r="CH33" s="66"/>
      <c r="CI33" s="66"/>
      <c r="CJ33" s="66"/>
      <c r="CK33" s="66"/>
      <c r="CL33" s="136"/>
      <c r="CM33" s="66"/>
      <c r="CN33" s="66"/>
      <c r="CO33" s="66"/>
      <c r="CP33" s="66"/>
      <c r="CQ33" s="136"/>
      <c r="CR33" s="66"/>
      <c r="CS33" s="66"/>
      <c r="CT33" s="66"/>
      <c r="CU33" s="66"/>
      <c r="CV33" s="136"/>
      <c r="CW33" s="66"/>
      <c r="CX33" s="66"/>
      <c r="CY33" s="66"/>
      <c r="CZ33" s="66"/>
      <c r="DA33" s="136"/>
      <c r="DB33" s="66"/>
      <c r="DC33" s="66"/>
      <c r="DD33" s="66"/>
      <c r="DE33" s="66"/>
      <c r="DF33" s="136"/>
    </row>
    <row r="34" spans="2:112" s="77" customFormat="1" ht="12" thickBot="1" x14ac:dyDescent="0.25">
      <c r="B34" s="272" t="str">
        <f>B21</f>
        <v>Services</v>
      </c>
      <c r="C34" s="269"/>
      <c r="D34" s="269"/>
      <c r="E34" s="269"/>
      <c r="F34" s="269"/>
      <c r="G34" s="269"/>
      <c r="H34" s="269"/>
      <c r="I34" s="269"/>
      <c r="J34" s="269"/>
      <c r="K34" s="269"/>
      <c r="L34" s="269"/>
      <c r="M34" s="269"/>
      <c r="N34" s="269"/>
      <c r="O34" s="269"/>
      <c r="P34" s="268"/>
      <c r="Q34" s="268"/>
      <c r="R34" s="268"/>
      <c r="S34" s="268"/>
      <c r="T34" s="276"/>
      <c r="U34" s="268">
        <v>0.01</v>
      </c>
      <c r="V34" s="268">
        <v>0.01</v>
      </c>
      <c r="W34" s="268">
        <v>0.01</v>
      </c>
      <c r="X34" s="268">
        <v>0.01</v>
      </c>
      <c r="Y34" s="276">
        <v>0</v>
      </c>
      <c r="Z34" s="268">
        <v>0.02</v>
      </c>
      <c r="AA34" s="268">
        <v>0.02</v>
      </c>
      <c r="AB34" s="268">
        <v>0.02</v>
      </c>
      <c r="AC34" s="268">
        <v>0.02</v>
      </c>
      <c r="AD34" s="276">
        <v>0</v>
      </c>
      <c r="AE34" s="268">
        <v>0.02</v>
      </c>
      <c r="AF34" s="268">
        <v>0.02</v>
      </c>
      <c r="AG34" s="268">
        <v>0.02</v>
      </c>
      <c r="AH34" s="268">
        <v>0.02</v>
      </c>
      <c r="AI34" s="276">
        <v>0.02</v>
      </c>
      <c r="AJ34" s="268">
        <v>0.02</v>
      </c>
      <c r="AK34" s="268">
        <v>0.02</v>
      </c>
      <c r="AL34" s="268">
        <v>2.0176354447586739E-2</v>
      </c>
      <c r="AM34" s="268">
        <v>2.0176354447586739E-2</v>
      </c>
      <c r="AN34" s="141">
        <v>2.0089693014836648E-2</v>
      </c>
      <c r="AO34" s="769">
        <v>0.75</v>
      </c>
      <c r="AP34" s="769">
        <v>0.75</v>
      </c>
      <c r="AQ34" s="769">
        <v>0.75</v>
      </c>
      <c r="AR34" s="769">
        <v>0.75</v>
      </c>
      <c r="AS34" s="141">
        <f>AS46/AS21</f>
        <v>0.75</v>
      </c>
      <c r="AT34" s="769">
        <v>0.75</v>
      </c>
      <c r="AU34" s="769">
        <v>0.75</v>
      </c>
      <c r="AV34" s="769">
        <v>0.75</v>
      </c>
      <c r="AW34" s="770">
        <v>0.75</v>
      </c>
      <c r="AX34" s="771">
        <f>AX46/AX21</f>
        <v>0.74999999999999989</v>
      </c>
      <c r="AY34" s="770">
        <v>0.9</v>
      </c>
      <c r="AZ34" s="770">
        <v>0.9</v>
      </c>
      <c r="BA34" s="770">
        <v>0.9</v>
      </c>
      <c r="BB34" s="770">
        <v>0.9</v>
      </c>
      <c r="BC34" s="771">
        <f>BC46/BC21</f>
        <v>0.90000000000000013</v>
      </c>
      <c r="BD34" s="770">
        <f>BB34</f>
        <v>0.9</v>
      </c>
      <c r="BE34" s="770">
        <f>BD34</f>
        <v>0.9</v>
      </c>
      <c r="BF34" s="770">
        <v>0.9</v>
      </c>
      <c r="BG34" s="770">
        <v>0.9</v>
      </c>
      <c r="BH34" s="771">
        <f>BH46/BH21</f>
        <v>0.89999999999999991</v>
      </c>
      <c r="BI34" s="770">
        <v>0.9</v>
      </c>
      <c r="BJ34" s="770">
        <v>0.9</v>
      </c>
      <c r="BK34" s="770">
        <v>0.9</v>
      </c>
      <c r="BL34" s="770">
        <v>0.9</v>
      </c>
      <c r="BM34" s="771">
        <f>BM46/BM21</f>
        <v>0.90000000000000013</v>
      </c>
      <c r="BN34" s="770">
        <v>0.9</v>
      </c>
      <c r="BO34" s="770">
        <v>0.9</v>
      </c>
      <c r="BP34" s="770">
        <v>0.9</v>
      </c>
      <c r="BQ34" s="770">
        <v>0.9</v>
      </c>
      <c r="BR34" s="771">
        <f>BR46/BR21</f>
        <v>0.9</v>
      </c>
      <c r="BS34" s="770">
        <v>0.9</v>
      </c>
      <c r="BT34" s="770">
        <v>0.9</v>
      </c>
      <c r="BU34" s="770">
        <v>0.9</v>
      </c>
      <c r="BV34" s="770">
        <v>0.9</v>
      </c>
      <c r="BW34" s="771">
        <f>BW46/BW21</f>
        <v>0.9</v>
      </c>
      <c r="BX34" s="770">
        <v>0.9</v>
      </c>
      <c r="BY34" s="770">
        <v>0.9</v>
      </c>
      <c r="BZ34" s="770">
        <v>0.9</v>
      </c>
      <c r="CA34" s="770">
        <v>0.9</v>
      </c>
      <c r="CB34" s="771">
        <f>CB46/CB21</f>
        <v>0.9</v>
      </c>
      <c r="CC34" s="770">
        <v>0.9</v>
      </c>
      <c r="CD34" s="770">
        <v>0.9</v>
      </c>
      <c r="CE34" s="770">
        <v>0.9</v>
      </c>
      <c r="CF34" s="770">
        <v>0.9</v>
      </c>
      <c r="CG34" s="771">
        <f>CG46/CG21</f>
        <v>0.90000000000000013</v>
      </c>
      <c r="CH34" s="770">
        <v>0.9</v>
      </c>
      <c r="CI34" s="770">
        <v>0.9</v>
      </c>
      <c r="CJ34" s="770">
        <v>0.9</v>
      </c>
      <c r="CK34" s="770">
        <v>0.9</v>
      </c>
      <c r="CL34" s="771">
        <f>CL46/CL21</f>
        <v>0.9</v>
      </c>
      <c r="CM34" s="770">
        <v>0.9</v>
      </c>
      <c r="CN34" s="770">
        <v>0.9</v>
      </c>
      <c r="CO34" s="770">
        <v>0.9</v>
      </c>
      <c r="CP34" s="770">
        <v>0.9</v>
      </c>
      <c r="CQ34" s="771">
        <f>CQ46/CQ21</f>
        <v>0.89999999999999991</v>
      </c>
      <c r="CR34" s="770">
        <v>0.9</v>
      </c>
      <c r="CS34" s="770">
        <v>0.9</v>
      </c>
      <c r="CT34" s="770">
        <v>0.9</v>
      </c>
      <c r="CU34" s="770">
        <v>0.9</v>
      </c>
      <c r="CV34" s="771">
        <f>CV46/CV21</f>
        <v>0.9</v>
      </c>
      <c r="CW34" s="770">
        <v>0.9</v>
      </c>
      <c r="CX34" s="770">
        <v>0.9</v>
      </c>
      <c r="CY34" s="770">
        <v>0.9</v>
      </c>
      <c r="CZ34" s="770">
        <v>0.9</v>
      </c>
      <c r="DA34" s="771">
        <f>DA46/DA21</f>
        <v>0.8999999999999998</v>
      </c>
      <c r="DB34" s="770">
        <v>0.9</v>
      </c>
      <c r="DC34" s="770">
        <v>0.9</v>
      </c>
      <c r="DD34" s="770">
        <v>0.9</v>
      </c>
      <c r="DE34" s="770">
        <v>0.9</v>
      </c>
      <c r="DF34" s="771">
        <f>DF46/DF21</f>
        <v>0.9</v>
      </c>
    </row>
    <row r="35" spans="2:112" ht="12" thickBot="1" x14ac:dyDescent="0.25">
      <c r="AO35" s="113"/>
      <c r="AP35" s="113"/>
      <c r="AQ35" s="113"/>
      <c r="AR35" s="113"/>
      <c r="AS35" s="113"/>
      <c r="AT35" s="113"/>
      <c r="AU35" s="113"/>
      <c r="AV35" s="113"/>
      <c r="AW35" s="113"/>
      <c r="AX35" s="113"/>
      <c r="AY35" s="113"/>
      <c r="AZ35" s="113"/>
      <c r="BA35" s="113"/>
      <c r="BB35" s="113"/>
      <c r="BC35" s="113"/>
      <c r="BD35" s="113"/>
      <c r="BE35" s="113"/>
      <c r="BF35" s="113"/>
      <c r="BG35" s="113"/>
      <c r="BH35" s="113"/>
      <c r="BR35" s="1131"/>
      <c r="CS35" s="10">
        <v>333</v>
      </c>
      <c r="CT35" s="1949">
        <f>CS35/CV11</f>
        <v>2.1639009421969686E-2</v>
      </c>
      <c r="CW35" s="1949">
        <f ca="1">CV35/CV15</f>
        <v>0</v>
      </c>
      <c r="CX35" s="10">
        <f>500/3</f>
        <v>166.66666666666666</v>
      </c>
      <c r="CY35" s="1949">
        <f>CX35/DA11</f>
        <v>1.2555175093168879E-2</v>
      </c>
      <c r="DB35" s="1949">
        <f ca="1">DA35/DA15</f>
        <v>0</v>
      </c>
    </row>
    <row r="36" spans="2:112" s="77" customFormat="1" ht="13.5" customHeight="1" outlineLevel="1" thickBot="1" x14ac:dyDescent="0.25">
      <c r="B36" s="1007" t="s">
        <v>306</v>
      </c>
      <c r="C36" s="819"/>
      <c r="D36" s="819"/>
      <c r="E36" s="819"/>
      <c r="F36" s="819"/>
      <c r="G36" s="819"/>
      <c r="H36" s="819"/>
      <c r="I36" s="819"/>
      <c r="J36" s="819"/>
      <c r="K36" s="819"/>
      <c r="L36" s="819"/>
      <c r="M36" s="819"/>
      <c r="N36" s="819"/>
      <c r="O36" s="819"/>
      <c r="P36" s="819"/>
      <c r="Q36" s="819"/>
      <c r="R36" s="819"/>
      <c r="S36" s="819"/>
      <c r="T36" s="819"/>
      <c r="U36" s="819"/>
      <c r="V36" s="819"/>
      <c r="W36" s="819"/>
      <c r="X36" s="819"/>
      <c r="Y36" s="819"/>
      <c r="Z36" s="819"/>
      <c r="AA36" s="819"/>
      <c r="AB36" s="819"/>
      <c r="AC36" s="819"/>
      <c r="AD36" s="819"/>
      <c r="AE36" s="819"/>
      <c r="AF36" s="819"/>
      <c r="AG36" s="819"/>
      <c r="AH36" s="819"/>
      <c r="AI36" s="819"/>
      <c r="AJ36" s="819"/>
      <c r="AK36" s="819"/>
      <c r="AL36" s="819"/>
      <c r="AM36" s="819"/>
      <c r="AN36" s="819"/>
      <c r="AO36" s="819"/>
      <c r="AP36" s="819"/>
      <c r="AQ36" s="819"/>
      <c r="AR36" s="819"/>
      <c r="AS36" s="878"/>
      <c r="AT36" s="878"/>
      <c r="AU36" s="878"/>
      <c r="AV36" s="878"/>
      <c r="AW36" s="878"/>
      <c r="AX36" s="819"/>
      <c r="AY36" s="819"/>
      <c r="AZ36" s="819"/>
      <c r="BA36" s="819"/>
      <c r="BB36" s="819"/>
      <c r="BC36" s="819"/>
      <c r="BD36" s="819"/>
      <c r="BE36" s="819"/>
      <c r="BF36" s="819"/>
      <c r="BG36" s="819"/>
      <c r="BH36" s="819"/>
      <c r="BI36" s="819"/>
      <c r="BJ36" s="819"/>
      <c r="BK36" s="819"/>
      <c r="BL36" s="819"/>
      <c r="BM36" s="819"/>
      <c r="BN36" s="820"/>
      <c r="BO36" s="819"/>
      <c r="BP36" s="819"/>
      <c r="BQ36" s="819"/>
      <c r="BR36" s="819"/>
      <c r="BS36" s="819"/>
      <c r="BT36" s="819"/>
      <c r="BU36" s="819"/>
      <c r="BV36" s="819"/>
      <c r="BW36" s="819"/>
      <c r="BX36" s="819"/>
      <c r="BY36" s="819"/>
      <c r="BZ36" s="819"/>
      <c r="CA36" s="819"/>
      <c r="CB36" s="872"/>
      <c r="CC36" s="819"/>
      <c r="CD36" s="819"/>
      <c r="CE36" s="819"/>
      <c r="CF36" s="819"/>
      <c r="CG36" s="872"/>
      <c r="CH36" s="819"/>
      <c r="CI36" s="819"/>
      <c r="CJ36" s="819"/>
      <c r="CK36" s="819"/>
      <c r="CL36" s="872"/>
      <c r="CM36" s="819"/>
      <c r="CN36" s="819"/>
      <c r="CO36" s="819"/>
      <c r="CP36" s="819"/>
      <c r="CQ36" s="872"/>
      <c r="CR36" s="819"/>
      <c r="CS36" s="819"/>
      <c r="CT36" s="819"/>
      <c r="CU36" s="819"/>
      <c r="CV36" s="872"/>
      <c r="CW36" s="819"/>
      <c r="CX36" s="819"/>
      <c r="CY36" s="819"/>
      <c r="CZ36" s="819"/>
      <c r="DA36" s="872"/>
      <c r="DB36" s="819"/>
      <c r="DC36" s="819"/>
      <c r="DD36" s="819"/>
      <c r="DE36" s="819"/>
      <c r="DF36" s="872"/>
    </row>
    <row r="37" spans="2:112" s="77" customFormat="1" ht="11.25" customHeight="1" outlineLevel="1" x14ac:dyDescent="0.2">
      <c r="B37" s="98" t="str">
        <f>B25</f>
        <v>Retail / Network - generics</v>
      </c>
      <c r="P37" s="79">
        <v>35.203823046859831</v>
      </c>
      <c r="Q37" s="79">
        <v>36.612666804135905</v>
      </c>
      <c r="R37" s="79">
        <v>34.928634171137809</v>
      </c>
      <c r="S37" s="79">
        <v>37.839641252376673</v>
      </c>
      <c r="T37" s="271">
        <v>144.58476527451023</v>
      </c>
      <c r="U37" s="79">
        <v>37.601670513756154</v>
      </c>
      <c r="V37" s="79">
        <v>37.600821001236994</v>
      </c>
      <c r="W37" s="79">
        <v>36.225132818750964</v>
      </c>
      <c r="X37" s="79">
        <v>38.761023877723538</v>
      </c>
      <c r="Y37" s="271">
        <v>150.18864821146764</v>
      </c>
      <c r="Z37" s="79">
        <v>37.032896448402823</v>
      </c>
      <c r="AA37" s="79">
        <v>36.94312184481047</v>
      </c>
      <c r="AB37" s="79">
        <v>35.019061734720111</v>
      </c>
      <c r="AC37" s="79">
        <v>37.73988398845507</v>
      </c>
      <c r="AD37" s="271">
        <v>146.73496401638846</v>
      </c>
      <c r="AE37" s="79">
        <v>35.46548293885143</v>
      </c>
      <c r="AF37" s="79">
        <v>35.961824999999997</v>
      </c>
      <c r="AG37" s="79">
        <v>36.060310000000008</v>
      </c>
      <c r="AH37" s="79">
        <v>40.247939999999993</v>
      </c>
      <c r="AI37" s="271">
        <v>147.73555793885143</v>
      </c>
      <c r="AJ37" s="79">
        <v>44.636393999999996</v>
      </c>
      <c r="AK37" s="79">
        <v>47.29033247729123</v>
      </c>
      <c r="AL37" s="79">
        <v>44.211528786504765</v>
      </c>
      <c r="AM37" s="79">
        <v>54.13454927999998</v>
      </c>
      <c r="AN37" s="247">
        <v>190.27280454379598</v>
      </c>
      <c r="AO37" s="19">
        <f t="shared" ref="AO37:AR38" si="25">AO11*AO25</f>
        <v>94.177938982996892</v>
      </c>
      <c r="AP37" s="19">
        <f t="shared" si="25"/>
        <v>100.59981951358873</v>
      </c>
      <c r="AQ37" s="19">
        <f t="shared" si="25"/>
        <v>107.82498238875597</v>
      </c>
      <c r="AR37" s="19">
        <f t="shared" si="25"/>
        <v>125.89774269140054</v>
      </c>
      <c r="AS37" s="247">
        <f>SUM(AO37:AR37)</f>
        <v>428.50048357674211</v>
      </c>
      <c r="AT37" s="19">
        <f t="shared" ref="AT37:AW38" si="26">AT11*AT25</f>
        <v>125.375642</v>
      </c>
      <c r="AU37" s="19">
        <f t="shared" si="26"/>
        <v>136.32469861084928</v>
      </c>
      <c r="AV37" s="19">
        <f t="shared" si="26"/>
        <v>143.36327048824506</v>
      </c>
      <c r="AW37" s="19">
        <f t="shared" si="26"/>
        <v>176.57971661811266</v>
      </c>
      <c r="AX37" s="247">
        <f>SUM(AT37:AW37)</f>
        <v>581.64332771720694</v>
      </c>
      <c r="AY37" s="19">
        <f t="shared" ref="AY37:BB38" si="27">AY11*AY25</f>
        <v>193.6683451515915</v>
      </c>
      <c r="AZ37" s="19">
        <f t="shared" si="27"/>
        <v>206.55197344386414</v>
      </c>
      <c r="BA37" s="19">
        <f t="shared" si="27"/>
        <v>216.66345324357133</v>
      </c>
      <c r="BB37" s="19">
        <f t="shared" si="27"/>
        <v>223.04008556549434</v>
      </c>
      <c r="BC37" s="247">
        <f>SUM(AY37:BB37)</f>
        <v>839.9238574045213</v>
      </c>
      <c r="BD37" s="19">
        <f t="shared" ref="BD37:BG38" si="28">BD11*BD25</f>
        <v>224.00838101674105</v>
      </c>
      <c r="BE37" s="19">
        <f t="shared" si="28"/>
        <v>230.07540985563654</v>
      </c>
      <c r="BF37" s="19">
        <f t="shared" si="28"/>
        <v>238.67337422228943</v>
      </c>
      <c r="BG37" s="19">
        <f t="shared" si="28"/>
        <v>258.5663106316515</v>
      </c>
      <c r="BH37" s="247">
        <f>SUM(BD37:BG37)</f>
        <v>951.32347572631852</v>
      </c>
      <c r="BI37" s="19">
        <f t="shared" ref="BI37:BK38" si="29">BI11*BI25</f>
        <v>248.73723907504441</v>
      </c>
      <c r="BJ37" s="19">
        <f t="shared" si="29"/>
        <v>529.49913567124486</v>
      </c>
      <c r="BK37" s="19">
        <f t="shared" si="29"/>
        <v>527.92197384901999</v>
      </c>
      <c r="BL37" s="19">
        <f>BL11*BL25</f>
        <v>578.04564439785838</v>
      </c>
      <c r="BM37" s="247">
        <f>SUM(BI37:BL37)</f>
        <v>1884.2039929931675</v>
      </c>
      <c r="BN37" s="19">
        <f t="shared" ref="BN37:BQ38" si="30">BN11*BN25</f>
        <v>541.59589970156742</v>
      </c>
      <c r="BO37" s="19">
        <f t="shared" si="30"/>
        <v>653.74754699751998</v>
      </c>
      <c r="BP37" s="19">
        <f t="shared" si="30"/>
        <v>514.48455367599206</v>
      </c>
      <c r="BQ37" s="19">
        <f t="shared" si="30"/>
        <v>485.48699646018088</v>
      </c>
      <c r="BR37" s="247">
        <f>SUM(BN37:BQ37)</f>
        <v>2195.3149968352604</v>
      </c>
      <c r="BS37" s="19">
        <f t="shared" ref="BS37:BV38" si="31">BS11*BS25</f>
        <v>472.425733001352</v>
      </c>
      <c r="BT37" s="19">
        <f t="shared" si="31"/>
        <v>551.06686364344944</v>
      </c>
      <c r="BU37" s="19">
        <f t="shared" si="31"/>
        <v>506.59100211012287</v>
      </c>
      <c r="BV37" s="19">
        <f t="shared" si="31"/>
        <v>459.31291792273925</v>
      </c>
      <c r="BW37" s="247">
        <f>SUM(BS37:BV37)</f>
        <v>1989.3965166776636</v>
      </c>
      <c r="BX37" s="19">
        <f t="shared" ref="BX37:CA38" si="32">BX11*BX25</f>
        <v>429.56944863444227</v>
      </c>
      <c r="BY37" s="19">
        <f t="shared" si="32"/>
        <v>509.21847393386849</v>
      </c>
      <c r="BZ37" s="19">
        <f t="shared" si="32"/>
        <v>452.09497560611334</v>
      </c>
      <c r="CA37" s="19">
        <f t="shared" si="32"/>
        <v>449.46398502752425</v>
      </c>
      <c r="CB37" s="247">
        <f>SUM(BX37:CA37)</f>
        <v>1840.3468832019485</v>
      </c>
      <c r="CC37" s="19">
        <f t="shared" ref="CC37:CD37" si="33">CC11*CC25</f>
        <v>371.76736748342091</v>
      </c>
      <c r="CD37" s="19">
        <f t="shared" si="33"/>
        <v>447.935361714051</v>
      </c>
      <c r="CE37" s="19">
        <f t="shared" ref="CE37" si="34">CE11*CE25</f>
        <v>424.07998675305726</v>
      </c>
      <c r="CF37" s="19">
        <f t="shared" ref="CF37:CF38" si="35">CF11*CF25</f>
        <v>461.92127166427048</v>
      </c>
      <c r="CG37" s="247">
        <f>SUM(CC37:CF37)</f>
        <v>1705.7039876147996</v>
      </c>
      <c r="CH37" s="19">
        <f t="shared" ref="CH37:CH38" si="36">CH11*CH25</f>
        <v>487.40929811149061</v>
      </c>
      <c r="CI37" s="19">
        <f t="shared" ref="CI37" si="37">CI11*CI25</f>
        <v>442.61894031221493</v>
      </c>
      <c r="CJ37" s="19">
        <f t="shared" ref="CJ37:CK37" si="38">CJ11*CJ25</f>
        <v>453.84749247482586</v>
      </c>
      <c r="CK37" s="19">
        <f t="shared" si="38"/>
        <v>460.97205949441269</v>
      </c>
      <c r="CL37" s="247">
        <f>SUM(CH37:CK37)</f>
        <v>1844.847790392944</v>
      </c>
      <c r="CM37" s="19">
        <f t="shared" ref="CM37:CP38" si="39">CM11*CM25</f>
        <v>372.10069590671151</v>
      </c>
      <c r="CN37" s="19">
        <f t="shared" si="39"/>
        <v>384.08627621031172</v>
      </c>
      <c r="CO37" s="19">
        <f t="shared" si="39"/>
        <v>389.9229367754395</v>
      </c>
      <c r="CP37" s="19">
        <f t="shared" si="39"/>
        <v>447.57067376061752</v>
      </c>
      <c r="CQ37" s="247">
        <f>SUM(CM37:CP37)</f>
        <v>1593.6805826530804</v>
      </c>
      <c r="CR37" s="19">
        <f t="shared" ref="CR37:CU37" si="40">CR11*CR25</f>
        <v>334.67251103437047</v>
      </c>
      <c r="CS37" s="19">
        <f t="shared" si="40"/>
        <v>346.11052740098307</v>
      </c>
      <c r="CT37" s="19">
        <f t="shared" si="40"/>
        <v>315.61801635556725</v>
      </c>
      <c r="CU37" s="19">
        <f t="shared" si="40"/>
        <v>376.72702831644955</v>
      </c>
      <c r="CV37" s="247">
        <f>SUM(CR37:CU37)</f>
        <v>1373.1280831073705</v>
      </c>
      <c r="CW37" s="19">
        <f t="shared" ref="CW37:CZ37" si="41">CW11*CW25</f>
        <v>254.73824182551465</v>
      </c>
      <c r="CX37" s="19">
        <f t="shared" si="41"/>
        <v>254.46517781735361</v>
      </c>
      <c r="CY37" s="19">
        <f t="shared" si="41"/>
        <v>224.20916276286579</v>
      </c>
      <c r="CZ37" s="19">
        <f t="shared" si="41"/>
        <v>275.71921191695901</v>
      </c>
      <c r="DA37" s="247">
        <f>SUM(CW37:CZ37)</f>
        <v>1009.1317943226931</v>
      </c>
      <c r="DB37" s="19">
        <f t="shared" ref="DB37:DE37" si="42">DB11*DB25</f>
        <v>173.82748455936499</v>
      </c>
      <c r="DC37" s="19">
        <f t="shared" si="42"/>
        <v>173.64244477792488</v>
      </c>
      <c r="DD37" s="19">
        <f t="shared" si="42"/>
        <v>163.91598939474514</v>
      </c>
      <c r="DE37" s="19">
        <f t="shared" si="42"/>
        <v>193.16795154084431</v>
      </c>
      <c r="DF37" s="247">
        <f>SUM(DB37:DE37)</f>
        <v>704.55387027287929</v>
      </c>
      <c r="DH37" s="78"/>
    </row>
    <row r="38" spans="2:112" s="77" customFormat="1" ht="11.25" customHeight="1" outlineLevel="1" x14ac:dyDescent="0.2">
      <c r="B38" s="98" t="str">
        <f>B26</f>
        <v>Retail / Network - brand</v>
      </c>
      <c r="P38" s="79">
        <v>16.652223639880283</v>
      </c>
      <c r="Q38" s="79">
        <v>32.201815150148484</v>
      </c>
      <c r="R38" s="79">
        <v>17.744152441063285</v>
      </c>
      <c r="S38" s="79">
        <v>31.108525271811402</v>
      </c>
      <c r="T38" s="271">
        <v>97.706716502903447</v>
      </c>
      <c r="U38" s="79">
        <v>10.634651538486683</v>
      </c>
      <c r="V38" s="79">
        <v>-0.23978532524877427</v>
      </c>
      <c r="W38" s="79">
        <v>0.19302861696841428</v>
      </c>
      <c r="X38" s="79">
        <v>8.5274734345469643</v>
      </c>
      <c r="Y38" s="271">
        <v>19.115368264753286</v>
      </c>
      <c r="Z38" s="79">
        <v>38.631420710319439</v>
      </c>
      <c r="AA38" s="79">
        <v>39.093375631037901</v>
      </c>
      <c r="AB38" s="79">
        <v>37.136187653055977</v>
      </c>
      <c r="AC38" s="79">
        <v>39.212023202308984</v>
      </c>
      <c r="AD38" s="271">
        <v>154.0730071967223</v>
      </c>
      <c r="AE38" s="79">
        <v>36.848903412229724</v>
      </c>
      <c r="AF38" s="79">
        <v>36.797635</v>
      </c>
      <c r="AG38" s="79">
        <v>35.973938000000004</v>
      </c>
      <c r="AH38" s="79">
        <v>38.212411999999993</v>
      </c>
      <c r="AI38" s="271">
        <v>147.83288841222972</v>
      </c>
      <c r="AJ38" s="79">
        <v>38.526292000000005</v>
      </c>
      <c r="AK38" s="79">
        <v>38.937757731401597</v>
      </c>
      <c r="AL38" s="79">
        <v>80.741745921051617</v>
      </c>
      <c r="AM38" s="79">
        <v>82.092367900799999</v>
      </c>
      <c r="AN38" s="247">
        <v>240.29816355325323</v>
      </c>
      <c r="AO38" s="19">
        <f t="shared" si="25"/>
        <v>42.089251075583029</v>
      </c>
      <c r="AP38" s="19">
        <f t="shared" si="25"/>
        <v>54.700916251409836</v>
      </c>
      <c r="AQ38" s="19">
        <f t="shared" si="25"/>
        <v>47.037541170960623</v>
      </c>
      <c r="AR38" s="19">
        <f t="shared" si="25"/>
        <v>53.2005362964358</v>
      </c>
      <c r="AS38" s="247">
        <f>SUM(AO38:AR38)</f>
        <v>197.02824479438931</v>
      </c>
      <c r="AT38" s="19">
        <f t="shared" si="26"/>
        <v>48.911778200000001</v>
      </c>
      <c r="AU38" s="19">
        <f t="shared" si="26"/>
        <v>59.521765842054805</v>
      </c>
      <c r="AV38" s="19">
        <f t="shared" si="26"/>
        <v>66.406467762706711</v>
      </c>
      <c r="AW38" s="19">
        <f t="shared" si="26"/>
        <v>70.96833463180036</v>
      </c>
      <c r="AX38" s="247">
        <f>SUM(AT38:AW38)</f>
        <v>245.80834643656186</v>
      </c>
      <c r="AY38" s="19">
        <f t="shared" si="27"/>
        <v>91.67578817784694</v>
      </c>
      <c r="AZ38" s="19">
        <f t="shared" si="27"/>
        <v>91.262751507600015</v>
      </c>
      <c r="BA38" s="19">
        <f t="shared" si="27"/>
        <v>91.998426670910163</v>
      </c>
      <c r="BB38" s="19">
        <f t="shared" si="27"/>
        <v>97.023799436496347</v>
      </c>
      <c r="BC38" s="247">
        <f>SUM(AY38:BB38)</f>
        <v>371.96076579285346</v>
      </c>
      <c r="BD38" s="19">
        <f t="shared" si="28"/>
        <v>81.932067175880903</v>
      </c>
      <c r="BE38" s="19">
        <f t="shared" si="28"/>
        <v>86.381485345320911</v>
      </c>
      <c r="BF38" s="19">
        <f t="shared" si="28"/>
        <v>96.493805266307263</v>
      </c>
      <c r="BG38" s="19">
        <f t="shared" si="28"/>
        <v>87.819217207130691</v>
      </c>
      <c r="BH38" s="247">
        <f>SUM(BD38:BG38)</f>
        <v>352.62657499463978</v>
      </c>
      <c r="BI38" s="19">
        <f t="shared" si="29"/>
        <v>58.867578246021758</v>
      </c>
      <c r="BJ38" s="19">
        <f t="shared" si="29"/>
        <v>105.54302784967247</v>
      </c>
      <c r="BK38" s="19">
        <f t="shared" si="29"/>
        <v>100.65103855783094</v>
      </c>
      <c r="BL38" s="19">
        <f>BL12*BL26</f>
        <v>103.5936341938952</v>
      </c>
      <c r="BM38" s="247">
        <f>SUM(BI38:BL38)</f>
        <v>368.65527884742033</v>
      </c>
      <c r="BN38" s="19">
        <f t="shared" si="30"/>
        <v>98.014130330250509</v>
      </c>
      <c r="BO38" s="19">
        <f t="shared" si="30"/>
        <v>128.90719057876805</v>
      </c>
      <c r="BP38" s="19">
        <f t="shared" si="30"/>
        <v>102.93364915788862</v>
      </c>
      <c r="BQ38" s="19">
        <f t="shared" si="30"/>
        <v>102.82602849767413</v>
      </c>
      <c r="BR38" s="247">
        <f>SUM(BN38:BQ38)</f>
        <v>432.68099856458133</v>
      </c>
      <c r="BS38" s="19">
        <f t="shared" si="31"/>
        <v>79.585434176999954</v>
      </c>
      <c r="BT38" s="19">
        <f t="shared" si="31"/>
        <v>99.05425928467065</v>
      </c>
      <c r="BU38" s="19">
        <f t="shared" si="31"/>
        <v>118.5115751504872</v>
      </c>
      <c r="BV38" s="19">
        <f t="shared" si="31"/>
        <v>123.62554923024088</v>
      </c>
      <c r="BW38" s="247">
        <f>SUM(BS38:BV38)</f>
        <v>420.77681784239871</v>
      </c>
      <c r="BX38" s="19">
        <f t="shared" si="32"/>
        <v>97.808065208546822</v>
      </c>
      <c r="BY38" s="19">
        <f t="shared" si="32"/>
        <v>116.16885718301279</v>
      </c>
      <c r="BZ38" s="19">
        <f t="shared" si="32"/>
        <v>111.40956355272306</v>
      </c>
      <c r="CA38" s="19">
        <f t="shared" si="32"/>
        <v>107.25321462010429</v>
      </c>
      <c r="CB38" s="247">
        <f>SUM(BX38:CA38)</f>
        <v>432.63970056438694</v>
      </c>
      <c r="CC38" s="19">
        <f t="shared" ref="CC38:CD38" si="43">CC12*CC26</f>
        <v>82.621093336720776</v>
      </c>
      <c r="CD38" s="19">
        <f t="shared" si="43"/>
        <v>99.749085183574181</v>
      </c>
      <c r="CE38" s="19">
        <f t="shared" ref="CE38" si="44">CE12*CE26</f>
        <v>100.00119813874302</v>
      </c>
      <c r="CF38" s="19">
        <f t="shared" si="35"/>
        <v>103.51617672128124</v>
      </c>
      <c r="CG38" s="247">
        <f>SUM(CC38:CF38)</f>
        <v>385.88755338031922</v>
      </c>
      <c r="CH38" s="19">
        <f t="shared" si="36"/>
        <v>128.32383058951939</v>
      </c>
      <c r="CI38" s="19">
        <f t="shared" ref="CI38" si="45">CI12*CI26</f>
        <v>100.14429534897727</v>
      </c>
      <c r="CJ38" s="19">
        <f t="shared" ref="CJ38:CK38" si="46">CJ12*CJ26</f>
        <v>147.15941898241465</v>
      </c>
      <c r="CK38" s="19">
        <f t="shared" si="46"/>
        <v>137.56763626704009</v>
      </c>
      <c r="CL38" s="247">
        <f>SUM(CH38:CK38)</f>
        <v>513.19518118795145</v>
      </c>
      <c r="CM38" s="19">
        <f t="shared" si="39"/>
        <v>82.022964366881482</v>
      </c>
      <c r="CN38" s="19">
        <f t="shared" si="39"/>
        <v>106.50276936871074</v>
      </c>
      <c r="CO38" s="19">
        <f t="shared" si="39"/>
        <v>155.29811905235889</v>
      </c>
      <c r="CP38" s="19">
        <f t="shared" si="39"/>
        <v>149.64546311288586</v>
      </c>
      <c r="CQ38" s="247">
        <f>SUM(CM38:CP38)</f>
        <v>493.46931590083693</v>
      </c>
      <c r="CR38" s="19">
        <f t="shared" ref="CR38:CU38" si="47">CR12*CR26</f>
        <v>91.304780928464751</v>
      </c>
      <c r="CS38" s="19">
        <f t="shared" si="47"/>
        <v>118.59365844268893</v>
      </c>
      <c r="CT38" s="19">
        <f t="shared" si="47"/>
        <v>172.54931336256328</v>
      </c>
      <c r="CU38" s="19">
        <f t="shared" si="47"/>
        <v>166.0303541431575</v>
      </c>
      <c r="CV38" s="247">
        <f>SUM(CR38:CU38)</f>
        <v>548.47810687687445</v>
      </c>
      <c r="CW38" s="19">
        <f t="shared" ref="CW38:CZ38" si="48">CW12*CW26</f>
        <v>89.358739336869036</v>
      </c>
      <c r="CX38" s="19">
        <f t="shared" si="48"/>
        <v>116.10103959623291</v>
      </c>
      <c r="CY38" s="19">
        <f t="shared" si="48"/>
        <v>168.58111513476481</v>
      </c>
      <c r="CZ38" s="19">
        <f t="shared" si="48"/>
        <v>161.99693677342918</v>
      </c>
      <c r="DA38" s="247">
        <f>SUM(CW38:CZ38)</f>
        <v>536.037830841296</v>
      </c>
      <c r="DB38" s="19">
        <f t="shared" ref="DB38:DE38" si="49">DB12*DB26</f>
        <v>87.98473313347418</v>
      </c>
      <c r="DC38" s="19">
        <f t="shared" si="49"/>
        <v>114.34770548695506</v>
      </c>
      <c r="DD38" s="19">
        <f t="shared" si="49"/>
        <v>165.72478489544474</v>
      </c>
      <c r="DE38" s="19">
        <f t="shared" si="49"/>
        <v>159.05620694165026</v>
      </c>
      <c r="DF38" s="247">
        <f>SUM(DB38:DE38)</f>
        <v>527.11343045752415</v>
      </c>
      <c r="DH38" s="78"/>
    </row>
    <row r="39" spans="2:112" s="77" customFormat="1" ht="11.25" customHeight="1" outlineLevel="1" x14ac:dyDescent="0.2">
      <c r="B39" s="495" t="str">
        <f>B27</f>
        <v>Total Retail / Network</v>
      </c>
      <c r="P39" s="79"/>
      <c r="Q39" s="79"/>
      <c r="R39" s="79"/>
      <c r="S39" s="79"/>
      <c r="T39" s="271">
        <f t="shared" ref="T39:AY39" si="50">SUM(T37:T38)</f>
        <v>242.29148177741368</v>
      </c>
      <c r="U39" s="79">
        <f t="shared" si="50"/>
        <v>48.236322052242841</v>
      </c>
      <c r="V39" s="79">
        <f t="shared" si="50"/>
        <v>37.361035675988219</v>
      </c>
      <c r="W39" s="79">
        <f t="shared" si="50"/>
        <v>36.418161435719377</v>
      </c>
      <c r="X39" s="79">
        <f t="shared" si="50"/>
        <v>47.288497312270501</v>
      </c>
      <c r="Y39" s="271">
        <f t="shared" si="50"/>
        <v>169.30401647622091</v>
      </c>
      <c r="Z39" s="79">
        <f t="shared" si="50"/>
        <v>75.66431715872227</v>
      </c>
      <c r="AA39" s="79">
        <f t="shared" si="50"/>
        <v>76.036497475848364</v>
      </c>
      <c r="AB39" s="79">
        <f t="shared" si="50"/>
        <v>72.155249387776081</v>
      </c>
      <c r="AC39" s="79">
        <f t="shared" si="50"/>
        <v>76.951907190764047</v>
      </c>
      <c r="AD39" s="271">
        <f t="shared" si="50"/>
        <v>300.80797121311076</v>
      </c>
      <c r="AE39" s="79">
        <f t="shared" si="50"/>
        <v>72.314386351081154</v>
      </c>
      <c r="AF39" s="79">
        <f t="shared" si="50"/>
        <v>72.75945999999999</v>
      </c>
      <c r="AG39" s="79">
        <f t="shared" si="50"/>
        <v>72.034248000000019</v>
      </c>
      <c r="AH39" s="79">
        <f t="shared" si="50"/>
        <v>78.460351999999986</v>
      </c>
      <c r="AI39" s="271">
        <f t="shared" si="50"/>
        <v>295.56844635108115</v>
      </c>
      <c r="AJ39" s="79">
        <f t="shared" si="50"/>
        <v>83.162686000000008</v>
      </c>
      <c r="AK39" s="79">
        <f t="shared" si="50"/>
        <v>86.228090208692834</v>
      </c>
      <c r="AL39" s="79">
        <f t="shared" si="50"/>
        <v>124.95327470755637</v>
      </c>
      <c r="AM39" s="79">
        <f t="shared" si="50"/>
        <v>136.22691718079997</v>
      </c>
      <c r="AN39" s="247">
        <f t="shared" si="50"/>
        <v>430.57096809704922</v>
      </c>
      <c r="AO39" s="19">
        <f t="shared" si="50"/>
        <v>136.26719005857993</v>
      </c>
      <c r="AP39" s="19">
        <f t="shared" si="50"/>
        <v>155.30073576499856</v>
      </c>
      <c r="AQ39" s="19">
        <f t="shared" si="50"/>
        <v>154.86252355971658</v>
      </c>
      <c r="AR39" s="19">
        <f t="shared" si="50"/>
        <v>179.09827898783635</v>
      </c>
      <c r="AS39" s="247">
        <f t="shared" si="50"/>
        <v>625.52872837113136</v>
      </c>
      <c r="AT39" s="19">
        <f t="shared" si="50"/>
        <v>174.28742019999999</v>
      </c>
      <c r="AU39" s="19">
        <f t="shared" si="50"/>
        <v>195.84646445290409</v>
      </c>
      <c r="AV39" s="19">
        <f t="shared" si="50"/>
        <v>209.76973825095178</v>
      </c>
      <c r="AW39" s="19">
        <f t="shared" si="50"/>
        <v>247.54805124991302</v>
      </c>
      <c r="AX39" s="247">
        <f t="shared" si="50"/>
        <v>827.45167415376886</v>
      </c>
      <c r="AY39" s="19">
        <f t="shared" si="50"/>
        <v>285.34413332943842</v>
      </c>
      <c r="AZ39" s="19">
        <f t="shared" ref="AZ39:CB39" si="51">SUM(AZ37:AZ38)</f>
        <v>297.81472495146414</v>
      </c>
      <c r="BA39" s="19">
        <f t="shared" si="51"/>
        <v>308.66187991448146</v>
      </c>
      <c r="BB39" s="19">
        <f t="shared" si="51"/>
        <v>320.06388500199068</v>
      </c>
      <c r="BC39" s="247">
        <f t="shared" si="51"/>
        <v>1211.8846231973748</v>
      </c>
      <c r="BD39" s="19">
        <f t="shared" si="51"/>
        <v>305.94044819262194</v>
      </c>
      <c r="BE39" s="19">
        <f t="shared" si="51"/>
        <v>316.45689520095743</v>
      </c>
      <c r="BF39" s="19">
        <f t="shared" si="51"/>
        <v>335.16717948859667</v>
      </c>
      <c r="BG39" s="19">
        <f t="shared" si="51"/>
        <v>346.3855278387822</v>
      </c>
      <c r="BH39" s="247">
        <f t="shared" si="51"/>
        <v>1303.9500507209582</v>
      </c>
      <c r="BI39" s="19">
        <f t="shared" si="51"/>
        <v>307.60481732106615</v>
      </c>
      <c r="BJ39" s="19">
        <f t="shared" si="51"/>
        <v>635.04216352091737</v>
      </c>
      <c r="BK39" s="19">
        <f>SUM(BK37:BK38)</f>
        <v>628.57301240685092</v>
      </c>
      <c r="BL39" s="19">
        <f>SUM(BL37:BL38)</f>
        <v>681.63927859175362</v>
      </c>
      <c r="BM39" s="247">
        <f t="shared" si="51"/>
        <v>2252.859271840588</v>
      </c>
      <c r="BN39" s="19">
        <f t="shared" si="51"/>
        <v>639.61003003181793</v>
      </c>
      <c r="BO39" s="19">
        <f>SUM(BO37:BO38)</f>
        <v>782.65473757628797</v>
      </c>
      <c r="BP39" s="19">
        <f>SUM(BP37:BP38)</f>
        <v>617.41820283388074</v>
      </c>
      <c r="BQ39" s="19">
        <f>SUM(BQ37:BQ38)</f>
        <v>588.31302495785496</v>
      </c>
      <c r="BR39" s="247">
        <f t="shared" si="51"/>
        <v>2627.9959953998418</v>
      </c>
      <c r="BS39" s="19">
        <f>SUM(BS37:BS38)</f>
        <v>552.01116717835191</v>
      </c>
      <c r="BT39" s="19">
        <f>SUM(BT37:BT38)</f>
        <v>650.12112292812003</v>
      </c>
      <c r="BU39" s="19">
        <f>SUM(BU37:BU38)</f>
        <v>625.10257726061013</v>
      </c>
      <c r="BV39" s="19">
        <f>SUM(BV37:BV38)</f>
        <v>582.93846715298014</v>
      </c>
      <c r="BW39" s="247">
        <f t="shared" si="51"/>
        <v>2410.1733345200623</v>
      </c>
      <c r="BX39" s="19">
        <f>SUM(BX37:BX38)</f>
        <v>527.37751384298906</v>
      </c>
      <c r="BY39" s="19">
        <f>SUM(BY37:BY38)</f>
        <v>625.38733111688134</v>
      </c>
      <c r="BZ39" s="19">
        <f>SUM(BZ37:BZ38)</f>
        <v>563.50453915883645</v>
      </c>
      <c r="CA39" s="19">
        <f>SUM(CA37:CA38)</f>
        <v>556.71719964762849</v>
      </c>
      <c r="CB39" s="247">
        <f t="shared" si="51"/>
        <v>2272.9865837663356</v>
      </c>
      <c r="CC39" s="19">
        <f>SUM(CC37:CC38)</f>
        <v>454.38846082014169</v>
      </c>
      <c r="CD39" s="19">
        <f>SUM(CD37:CD38)</f>
        <v>547.68444689762521</v>
      </c>
      <c r="CE39" s="19">
        <f>SUM(CE37:CE38)</f>
        <v>524.08118489180026</v>
      </c>
      <c r="CF39" s="19">
        <f t="shared" ref="CF39:CL39" si="52">SUM(CF37:CF38)</f>
        <v>565.43744838555176</v>
      </c>
      <c r="CG39" s="247">
        <f t="shared" si="52"/>
        <v>2091.591540995119</v>
      </c>
      <c r="CH39" s="19">
        <f t="shared" si="52"/>
        <v>615.73312870100995</v>
      </c>
      <c r="CI39" s="19">
        <f t="shared" ref="CI39" si="53">SUM(CI37:CI38)</f>
        <v>542.7632356611922</v>
      </c>
      <c r="CJ39" s="19">
        <f t="shared" ref="CJ39:CK39" si="54">SUM(CJ37:CJ38)</f>
        <v>601.00691145724045</v>
      </c>
      <c r="CK39" s="19">
        <f t="shared" si="54"/>
        <v>598.53969576145278</v>
      </c>
      <c r="CL39" s="247">
        <f t="shared" si="52"/>
        <v>2358.0429715808955</v>
      </c>
      <c r="CM39" s="19">
        <f t="shared" ref="CM39:CV39" si="55">SUM(CM37:CM38)</f>
        <v>454.12366027359298</v>
      </c>
      <c r="CN39" s="19">
        <f t="shared" si="55"/>
        <v>490.58904557902247</v>
      </c>
      <c r="CO39" s="19">
        <f t="shared" si="55"/>
        <v>545.22105582779841</v>
      </c>
      <c r="CP39" s="19">
        <f t="shared" si="55"/>
        <v>597.21613687350339</v>
      </c>
      <c r="CQ39" s="247">
        <f t="shared" si="55"/>
        <v>2087.1498985539174</v>
      </c>
      <c r="CR39" s="19">
        <f t="shared" si="55"/>
        <v>425.97729196283524</v>
      </c>
      <c r="CS39" s="19">
        <f t="shared" si="55"/>
        <v>464.70418584367201</v>
      </c>
      <c r="CT39" s="19">
        <f t="shared" si="55"/>
        <v>488.16732971813053</v>
      </c>
      <c r="CU39" s="19">
        <f t="shared" si="55"/>
        <v>542.75738245960702</v>
      </c>
      <c r="CV39" s="247">
        <f t="shared" si="55"/>
        <v>1921.6061899842448</v>
      </c>
      <c r="CW39" s="19">
        <f t="shared" ref="CW39:DF39" si="56">SUM(CW37:CW38)</f>
        <v>344.09698116238371</v>
      </c>
      <c r="CX39" s="19">
        <f t="shared" si="56"/>
        <v>370.56621741358651</v>
      </c>
      <c r="CY39" s="19">
        <f t="shared" si="56"/>
        <v>392.79027789763063</v>
      </c>
      <c r="CZ39" s="19">
        <f t="shared" si="56"/>
        <v>437.7161486903882</v>
      </c>
      <c r="DA39" s="247">
        <f t="shared" si="56"/>
        <v>1545.1696251639892</v>
      </c>
      <c r="DB39" s="19">
        <f t="shared" si="56"/>
        <v>261.81221769283917</v>
      </c>
      <c r="DC39" s="19">
        <f t="shared" si="56"/>
        <v>287.99015026487996</v>
      </c>
      <c r="DD39" s="19">
        <f t="shared" si="56"/>
        <v>329.64077429018988</v>
      </c>
      <c r="DE39" s="19">
        <f t="shared" si="56"/>
        <v>352.22415848249454</v>
      </c>
      <c r="DF39" s="247">
        <f t="shared" si="56"/>
        <v>1231.6673007304034</v>
      </c>
      <c r="DH39" s="78"/>
    </row>
    <row r="40" spans="2:112" s="77" customFormat="1" ht="4.5" customHeight="1" outlineLevel="1" x14ac:dyDescent="0.2">
      <c r="B40" s="495"/>
      <c r="P40" s="79"/>
      <c r="Q40" s="79"/>
      <c r="R40" s="79"/>
      <c r="S40" s="79"/>
      <c r="T40" s="271"/>
      <c r="U40" s="79"/>
      <c r="V40" s="79"/>
      <c r="W40" s="79"/>
      <c r="X40" s="79"/>
      <c r="Y40" s="271"/>
      <c r="Z40" s="79"/>
      <c r="AA40" s="79"/>
      <c r="AB40" s="79"/>
      <c r="AC40" s="79"/>
      <c r="AD40" s="271"/>
      <c r="AE40" s="79"/>
      <c r="AF40" s="79"/>
      <c r="AG40" s="79"/>
      <c r="AH40" s="79"/>
      <c r="AI40" s="271"/>
      <c r="AJ40" s="79"/>
      <c r="AK40" s="79"/>
      <c r="AL40" s="79"/>
      <c r="AM40" s="79"/>
      <c r="AN40" s="247"/>
      <c r="AO40" s="19"/>
      <c r="AP40" s="19"/>
      <c r="AQ40" s="19"/>
      <c r="AR40" s="19"/>
      <c r="AS40" s="247"/>
      <c r="AT40" s="19"/>
      <c r="AU40" s="19"/>
      <c r="AV40" s="19"/>
      <c r="AW40" s="19"/>
      <c r="AX40" s="247"/>
      <c r="AY40" s="19"/>
      <c r="AZ40" s="19"/>
      <c r="BA40" s="19"/>
      <c r="BB40" s="19"/>
      <c r="BC40" s="247"/>
      <c r="BD40" s="19"/>
      <c r="BE40" s="19"/>
      <c r="BF40" s="19"/>
      <c r="BG40" s="19"/>
      <c r="BH40" s="247"/>
      <c r="BI40" s="19"/>
      <c r="BJ40" s="19"/>
      <c r="BK40" s="19"/>
      <c r="BL40" s="19"/>
      <c r="BM40" s="247"/>
      <c r="BN40" s="19"/>
      <c r="BO40" s="19"/>
      <c r="BP40" s="19"/>
      <c r="BQ40" s="19"/>
      <c r="BR40" s="247"/>
      <c r="BS40" s="19"/>
      <c r="BT40" s="19"/>
      <c r="BU40" s="19"/>
      <c r="BV40" s="19"/>
      <c r="BW40" s="247"/>
      <c r="BX40" s="19"/>
      <c r="BY40" s="19"/>
      <c r="BZ40" s="19"/>
      <c r="CA40" s="19"/>
      <c r="CB40" s="247"/>
      <c r="CC40" s="19"/>
      <c r="CD40" s="19"/>
      <c r="CE40" s="19"/>
      <c r="CF40" s="19"/>
      <c r="CG40" s="247"/>
      <c r="CH40" s="19"/>
      <c r="CI40" s="19"/>
      <c r="CJ40" s="19"/>
      <c r="CK40" s="19"/>
      <c r="CL40" s="247"/>
      <c r="CM40" s="19"/>
      <c r="CN40" s="19"/>
      <c r="CO40" s="19"/>
      <c r="CP40" s="19"/>
      <c r="CQ40" s="247"/>
      <c r="CR40" s="19"/>
      <c r="CS40" s="19"/>
      <c r="CT40" s="19"/>
      <c r="CU40" s="19"/>
      <c r="CV40" s="247"/>
      <c r="CW40" s="19"/>
      <c r="CX40" s="19"/>
      <c r="CY40" s="19"/>
      <c r="CZ40" s="19"/>
      <c r="DA40" s="247"/>
      <c r="DB40" s="19"/>
      <c r="DC40" s="19"/>
      <c r="DD40" s="19"/>
      <c r="DE40" s="19"/>
      <c r="DF40" s="247"/>
    </row>
    <row r="41" spans="2:112" s="77" customFormat="1" ht="11.25" customHeight="1" outlineLevel="1" x14ac:dyDescent="0.2">
      <c r="B41" s="98" t="str">
        <f>B29</f>
        <v>Mail / Home Delivery - generics - core</v>
      </c>
      <c r="P41" s="79">
        <v>113.20162905234366</v>
      </c>
      <c r="Q41" s="79">
        <v>102.00382040448119</v>
      </c>
      <c r="R41" s="79">
        <v>109.24795659537102</v>
      </c>
      <c r="S41" s="79">
        <v>119.83153905139486</v>
      </c>
      <c r="T41" s="271">
        <v>444.28494510359076</v>
      </c>
      <c r="U41" s="79">
        <v>133.96817639349263</v>
      </c>
      <c r="V41" s="79">
        <v>140.89503275750855</v>
      </c>
      <c r="W41" s="79">
        <v>139.35481503426936</v>
      </c>
      <c r="X41" s="79">
        <v>153.34209911772282</v>
      </c>
      <c r="Y41" s="271">
        <v>567.56012330299336</v>
      </c>
      <c r="Z41" s="79">
        <v>136.00217248319331</v>
      </c>
      <c r="AA41" s="79">
        <v>140.96808000000001</v>
      </c>
      <c r="AB41" s="79">
        <v>140.7291059302764</v>
      </c>
      <c r="AC41" s="79">
        <v>145.93854000000005</v>
      </c>
      <c r="AD41" s="271">
        <v>563.63789841346988</v>
      </c>
      <c r="AE41" s="79">
        <v>158.51484000000002</v>
      </c>
      <c r="AF41" s="79">
        <v>166.14360000000002</v>
      </c>
      <c r="AG41" s="79">
        <v>162.84411</v>
      </c>
      <c r="AH41" s="79">
        <v>182.34432500000003</v>
      </c>
      <c r="AI41" s="271">
        <v>669.84687500000007</v>
      </c>
      <c r="AJ41" s="79">
        <v>181.98627500000001</v>
      </c>
      <c r="AK41" s="79">
        <v>200.42788978701572</v>
      </c>
      <c r="AL41" s="79">
        <v>187.55228695694274</v>
      </c>
      <c r="AM41" s="79">
        <v>203.3138899999999</v>
      </c>
      <c r="AN41" s="247">
        <v>773.28034174395839</v>
      </c>
      <c r="AO41" s="19">
        <f t="shared" ref="AO41:AR42" si="57">AO15*AO29</f>
        <v>173.99562872142059</v>
      </c>
      <c r="AP41" s="19">
        <f t="shared" si="57"/>
        <v>185.29359226020168</v>
      </c>
      <c r="AQ41" s="19">
        <f t="shared" si="57"/>
        <v>204.99100197084542</v>
      </c>
      <c r="AR41" s="19">
        <f t="shared" si="57"/>
        <v>204.75014853721981</v>
      </c>
      <c r="AS41" s="247">
        <f>SUM(AO41:AR41)</f>
        <v>769.03037148968758</v>
      </c>
      <c r="AT41" s="19">
        <f t="shared" ref="AT41:AW42" ca="1" si="58">AT15*AT29</f>
        <v>188.4667846559432</v>
      </c>
      <c r="AU41" s="19">
        <f t="shared" ca="1" si="58"/>
        <v>213.10959019944954</v>
      </c>
      <c r="AV41" s="19">
        <f t="shared" ca="1" si="58"/>
        <v>209.49183660338724</v>
      </c>
      <c r="AW41" s="19">
        <f t="shared" ca="1" si="58"/>
        <v>242.10859988793723</v>
      </c>
      <c r="AX41" s="247">
        <f ca="1">SUM(AT41:AW41)</f>
        <v>853.17681134671716</v>
      </c>
      <c r="AY41" s="19">
        <f t="shared" ref="AY41:BB42" ca="1" si="59">AY15*AY29</f>
        <v>228.04611240625476</v>
      </c>
      <c r="AZ41" s="19">
        <f t="shared" ca="1" si="59"/>
        <v>254.63204465175383</v>
      </c>
      <c r="BA41" s="19">
        <f t="shared" ca="1" si="59"/>
        <v>268.63227830562056</v>
      </c>
      <c r="BB41" s="19">
        <f t="shared" ca="1" si="59"/>
        <v>269.67546097192047</v>
      </c>
      <c r="BC41" s="247">
        <f ca="1">SUM(AY41:BB41)</f>
        <v>1020.9858963355496</v>
      </c>
      <c r="BD41" s="19">
        <f ca="1">BD15*BD29</f>
        <v>230.45815780352021</v>
      </c>
      <c r="BE41" s="19">
        <f t="shared" ref="BE41:BG42" si="60">BE15*BE29</f>
        <v>249.42976310932971</v>
      </c>
      <c r="BF41" s="19">
        <f t="shared" si="60"/>
        <v>272.53589612446598</v>
      </c>
      <c r="BG41" s="19">
        <f t="shared" si="60"/>
        <v>268.48941675984548</v>
      </c>
      <c r="BH41" s="247">
        <f ca="1">SUM(BD41:BG41)</f>
        <v>1020.9132337971614</v>
      </c>
      <c r="BI41" s="19">
        <f t="shared" ref="BI41:BK42" ca="1" si="61">BI15*BI29</f>
        <v>289.16074071199461</v>
      </c>
      <c r="BJ41" s="19">
        <f t="shared" ca="1" si="61"/>
        <v>900.80422093191032</v>
      </c>
      <c r="BK41" s="19">
        <f t="shared" ca="1" si="61"/>
        <v>907.26298865691058</v>
      </c>
      <c r="BL41" s="19">
        <f ca="1">BL15*BL29</f>
        <v>1010.4392713443372</v>
      </c>
      <c r="BM41" s="247">
        <f ca="1">SUM(BI41:BL41)</f>
        <v>3107.6672216451525</v>
      </c>
      <c r="BN41" s="19">
        <f t="shared" ref="BN41:BQ42" ca="1" si="62">BN15*BN29</f>
        <v>777.03624022691019</v>
      </c>
      <c r="BO41" s="19">
        <f ca="1">BO15*BO29</f>
        <v>799.32594534414272</v>
      </c>
      <c r="BP41" s="19">
        <f t="shared" ca="1" si="62"/>
        <v>833.50873432106607</v>
      </c>
      <c r="BQ41" s="19">
        <f t="shared" ca="1" si="62"/>
        <v>709.27000983400046</v>
      </c>
      <c r="BR41" s="247">
        <f ca="1">SUM(BN41:BQ41)</f>
        <v>3119.1409297261198</v>
      </c>
      <c r="BS41" s="19">
        <f t="shared" ref="BS41:BV42" ca="1" si="63">BS15*BS29</f>
        <v>594.77349063649126</v>
      </c>
      <c r="BT41" s="19">
        <f t="shared" ca="1" si="63"/>
        <v>694.71666640540082</v>
      </c>
      <c r="BU41" s="19">
        <f t="shared" ca="1" si="63"/>
        <v>786.24534698566356</v>
      </c>
      <c r="BV41" s="19">
        <f t="shared" ca="1" si="63"/>
        <v>763.60793212323779</v>
      </c>
      <c r="BW41" s="247">
        <f ca="1">SUM(BS41:BV41)</f>
        <v>2839.3434361507934</v>
      </c>
      <c r="BX41" s="19">
        <f t="shared" ref="BX41:CA42" ca="1" si="64">BX15*BX29</f>
        <v>639.47686704632758</v>
      </c>
      <c r="BY41" s="19">
        <f t="shared" ca="1" si="64"/>
        <v>768.26752715518546</v>
      </c>
      <c r="BZ41" s="19">
        <f t="shared" ca="1" si="64"/>
        <v>876.66570682166787</v>
      </c>
      <c r="CA41" s="19">
        <f t="shared" ca="1" si="64"/>
        <v>993.33851444801996</v>
      </c>
      <c r="CB41" s="247">
        <f ca="1">SUM(BX41:CA41)</f>
        <v>3277.7486154712005</v>
      </c>
      <c r="CC41" s="19">
        <f t="shared" ref="CC41:CD41" ca="1" si="65">CC15*CC29</f>
        <v>720.67314004745401</v>
      </c>
      <c r="CD41" s="19">
        <f t="shared" ca="1" si="65"/>
        <v>902.42085231069359</v>
      </c>
      <c r="CE41" s="19">
        <f t="shared" ref="CE41" ca="1" si="66">CE15*CE29</f>
        <v>967.40241276801066</v>
      </c>
      <c r="CF41" s="19">
        <f t="shared" ref="CF41:CF42" ca="1" si="67">CF15*CF29</f>
        <v>1090.1187852882458</v>
      </c>
      <c r="CG41" s="247">
        <f ca="1">SUM(CC41:CF41)</f>
        <v>3680.6151904144044</v>
      </c>
      <c r="CH41" s="19">
        <f t="shared" ref="CH41:CH42" ca="1" si="68">CH15*CH29</f>
        <v>987.99362639144579</v>
      </c>
      <c r="CI41" s="19">
        <f t="shared" ref="CI41" ca="1" si="69">CI15*CI29</f>
        <v>992.26363153608077</v>
      </c>
      <c r="CJ41" s="19">
        <f t="shared" ref="CJ41:CK41" ca="1" si="70">CJ15*CJ29</f>
        <v>947.60252514853073</v>
      </c>
      <c r="CK41" s="19">
        <f t="shared" ca="1" si="70"/>
        <v>952.83750145996123</v>
      </c>
      <c r="CL41" s="247">
        <f ca="1">SUM(CH41:CK41)</f>
        <v>3880.6972845360187</v>
      </c>
      <c r="CM41" s="19">
        <f t="shared" ref="CM41:CP42" ca="1" si="71">CM15*CM29</f>
        <v>751.84491661627146</v>
      </c>
      <c r="CN41" s="19">
        <f t="shared" ca="1" si="71"/>
        <v>910.7753051639254</v>
      </c>
      <c r="CO41" s="19">
        <f t="shared" ca="1" si="71"/>
        <v>868.04018533230828</v>
      </c>
      <c r="CP41" s="19">
        <f t="shared" ca="1" si="71"/>
        <v>987.02955521116132</v>
      </c>
      <c r="CQ41" s="247">
        <f ca="1">SUM(CM41:CP41)</f>
        <v>3517.6899623236668</v>
      </c>
      <c r="CR41" s="19">
        <f t="shared" ref="CR41:CU41" ca="1" si="72">CR15*CR29</f>
        <v>660.08642184190194</v>
      </c>
      <c r="CS41" s="19">
        <f t="shared" ca="1" si="72"/>
        <v>807.2027453870553</v>
      </c>
      <c r="CT41" s="19">
        <f t="shared" ca="1" si="72"/>
        <v>771.32712278552583</v>
      </c>
      <c r="CU41" s="19">
        <f t="shared" ca="1" si="72"/>
        <v>872.76081416692682</v>
      </c>
      <c r="CV41" s="247">
        <f ca="1">SUM(CR41:CU41)</f>
        <v>3111.3771041814098</v>
      </c>
      <c r="CW41" s="19">
        <f t="shared" ref="CW41:CZ41" ca="1" si="73">CW15*CW29</f>
        <v>552.55209449323172</v>
      </c>
      <c r="CX41" s="19">
        <f t="shared" ca="1" si="73"/>
        <v>655.66306988369536</v>
      </c>
      <c r="CY41" s="19">
        <f t="shared" ca="1" si="73"/>
        <v>608.45924375611207</v>
      </c>
      <c r="CZ41" s="19">
        <f t="shared" ca="1" si="73"/>
        <v>692.04002059089498</v>
      </c>
      <c r="DA41" s="247">
        <f ca="1">SUM(CW41:CZ41)</f>
        <v>2508.7144287239344</v>
      </c>
      <c r="DB41" s="19">
        <f t="shared" ref="DB41:DE41" ca="1" si="74">DB15*DB29</f>
        <v>432.01415470875764</v>
      </c>
      <c r="DC41" s="19">
        <f t="shared" ca="1" si="74"/>
        <v>479.63534785169111</v>
      </c>
      <c r="DD41" s="19">
        <f t="shared" ca="1" si="74"/>
        <v>463.58981196052815</v>
      </c>
      <c r="DE41" s="19">
        <f t="shared" ca="1" si="74"/>
        <v>530.97973723294706</v>
      </c>
      <c r="DF41" s="247">
        <f ca="1">SUM(DB41:DE41)</f>
        <v>1906.2190517539238</v>
      </c>
      <c r="DH41" s="78"/>
    </row>
    <row r="42" spans="2:112" s="77" customFormat="1" ht="11.25" customHeight="1" outlineLevel="1" x14ac:dyDescent="0.2">
      <c r="B42" s="98" t="str">
        <f>B30</f>
        <v>Mail / Home Delivery - brand - core</v>
      </c>
      <c r="P42" s="79">
        <v>8.4647541216406257</v>
      </c>
      <c r="Q42" s="79">
        <v>8.5078142177279865</v>
      </c>
      <c r="R42" s="79">
        <v>8.6308138156069898</v>
      </c>
      <c r="S42" s="79">
        <v>9.3401184549845002</v>
      </c>
      <c r="T42" s="271">
        <v>34.943500609960104</v>
      </c>
      <c r="U42" s="79">
        <v>9.9072647067389692</v>
      </c>
      <c r="V42" s="79">
        <v>10.245869636027685</v>
      </c>
      <c r="W42" s="79">
        <v>10.537973166285896</v>
      </c>
      <c r="X42" s="79">
        <v>10.712668898691968</v>
      </c>
      <c r="Y42" s="271">
        <v>41.403776407744516</v>
      </c>
      <c r="Z42" s="79">
        <v>26.457510358084608</v>
      </c>
      <c r="AA42" s="79">
        <v>29.529422524151805</v>
      </c>
      <c r="AB42" s="79">
        <v>43.443644681947426</v>
      </c>
      <c r="AC42" s="79">
        <v>65.783552809235914</v>
      </c>
      <c r="AD42" s="271">
        <v>165.21413037341975</v>
      </c>
      <c r="AE42" s="79">
        <v>-15.925226351080916</v>
      </c>
      <c r="AF42" s="79">
        <v>30.17094000000008</v>
      </c>
      <c r="AG42" s="79">
        <v>83.711642000000523</v>
      </c>
      <c r="AH42" s="79">
        <v>94.867323000000511</v>
      </c>
      <c r="AI42" s="271">
        <v>192.82467864892021</v>
      </c>
      <c r="AJ42" s="79">
        <v>102.33303900000017</v>
      </c>
      <c r="AK42" s="79">
        <v>101.86149540092873</v>
      </c>
      <c r="AL42" s="79">
        <v>85.867299133217713</v>
      </c>
      <c r="AM42" s="79">
        <v>84.859716239999983</v>
      </c>
      <c r="AN42" s="247">
        <v>374.92154977414657</v>
      </c>
      <c r="AO42" s="19">
        <f t="shared" si="57"/>
        <v>29.11718022000025</v>
      </c>
      <c r="AP42" s="19">
        <f t="shared" si="57"/>
        <v>31.15067097479994</v>
      </c>
      <c r="AQ42" s="19">
        <f t="shared" si="57"/>
        <v>32.491473469438318</v>
      </c>
      <c r="AR42" s="19">
        <f t="shared" si="57"/>
        <v>36.206573474944541</v>
      </c>
      <c r="AS42" s="247">
        <f>SUM(AO42:AR42)</f>
        <v>128.96589813918305</v>
      </c>
      <c r="AT42" s="19">
        <f t="shared" ca="1" si="58"/>
        <v>33.374153744056464</v>
      </c>
      <c r="AU42" s="19">
        <f t="shared" ca="1" si="58"/>
        <v>41.046354347646663</v>
      </c>
      <c r="AV42" s="19">
        <f t="shared" ca="1" si="58"/>
        <v>45.883520045660788</v>
      </c>
      <c r="AW42" s="19">
        <f t="shared" ca="1" si="58"/>
        <v>47.302802955248815</v>
      </c>
      <c r="AX42" s="247">
        <f ca="1">SUM(AT42:AW42)</f>
        <v>167.60683109261274</v>
      </c>
      <c r="AY42" s="19">
        <f t="shared" ca="1" si="59"/>
        <v>40.040054963893951</v>
      </c>
      <c r="AZ42" s="19">
        <f t="shared" ca="1" si="59"/>
        <v>48.481386656900931</v>
      </c>
      <c r="BA42" s="19">
        <f t="shared" ca="1" si="59"/>
        <v>51.855259804268499</v>
      </c>
      <c r="BB42" s="19">
        <f t="shared" ca="1" si="59"/>
        <v>54.009559947844167</v>
      </c>
      <c r="BC42" s="247">
        <f ca="1">SUM(AY42:BB42)</f>
        <v>194.38626137290757</v>
      </c>
      <c r="BD42" s="19">
        <f ca="1">BD16*BD30</f>
        <v>42.857046050454869</v>
      </c>
      <c r="BE42" s="19">
        <f t="shared" si="60"/>
        <v>49.432866857460411</v>
      </c>
      <c r="BF42" s="19">
        <f t="shared" si="60"/>
        <v>57.32444124048056</v>
      </c>
      <c r="BG42" s="19">
        <f t="shared" si="60"/>
        <v>53.590226001408183</v>
      </c>
      <c r="BH42" s="247">
        <f ca="1">SUM(BD42:BG42)</f>
        <v>203.20458014980403</v>
      </c>
      <c r="BI42" s="19">
        <f t="shared" ca="1" si="61"/>
        <v>56.265190545489162</v>
      </c>
      <c r="BJ42" s="19">
        <f t="shared" ca="1" si="61"/>
        <v>70.131606514104803</v>
      </c>
      <c r="BK42" s="19">
        <f t="shared" ca="1" si="61"/>
        <v>72.439818554025038</v>
      </c>
      <c r="BL42" s="19">
        <f ca="1">BL16*BL30</f>
        <v>84.437524194278396</v>
      </c>
      <c r="BM42" s="247">
        <f ca="1">SUM(BI42:BL42)</f>
        <v>283.27413980789743</v>
      </c>
      <c r="BN42" s="19">
        <f t="shared" ca="1" si="62"/>
        <v>74.751055941802022</v>
      </c>
      <c r="BO42" s="19">
        <f t="shared" ca="1" si="62"/>
        <v>78.935950917653614</v>
      </c>
      <c r="BP42" s="19">
        <f t="shared" ca="1" si="62"/>
        <v>78.812716733672232</v>
      </c>
      <c r="BQ42" s="19">
        <f t="shared" ca="1" si="62"/>
        <v>77.409396244330736</v>
      </c>
      <c r="BR42" s="247">
        <f ca="1">SUM(BN42:BQ42)</f>
        <v>309.9091198374586</v>
      </c>
      <c r="BS42" s="19">
        <f t="shared" ca="1" si="63"/>
        <v>54.882870868892532</v>
      </c>
      <c r="BT42" s="19">
        <f t="shared" ca="1" si="63"/>
        <v>72.459242525204687</v>
      </c>
      <c r="BU42" s="19">
        <f t="shared" ca="1" si="63"/>
        <v>81.301308124638027</v>
      </c>
      <c r="BV42" s="19">
        <f t="shared" ca="1" si="63"/>
        <v>61.244045687400394</v>
      </c>
      <c r="BW42" s="247">
        <f ca="1">SUM(BS42:BV42)</f>
        <v>269.88746720613563</v>
      </c>
      <c r="BX42" s="19">
        <f t="shared" ca="1" si="64"/>
        <v>48.922762354365616</v>
      </c>
      <c r="BY42" s="19">
        <f t="shared" ca="1" si="64"/>
        <v>71.035130948274698</v>
      </c>
      <c r="BZ42" s="19">
        <f t="shared" ca="1" si="64"/>
        <v>54.551700781296802</v>
      </c>
      <c r="CA42" s="19">
        <f t="shared" ca="1" si="64"/>
        <v>55.979402980989889</v>
      </c>
      <c r="CB42" s="247">
        <f ca="1">SUM(BX42:CA42)</f>
        <v>230.48899706492699</v>
      </c>
      <c r="CC42" s="19">
        <f t="shared" ref="CC42:CD42" ca="1" si="75">CC16*CC30</f>
        <v>51.774287208374346</v>
      </c>
      <c r="CD42" s="19">
        <f t="shared" ca="1" si="75"/>
        <v>55.729611275340346</v>
      </c>
      <c r="CE42" s="19">
        <f t="shared" ref="CE42" ca="1" si="76">CE16*CE30</f>
        <v>69.923819031408584</v>
      </c>
      <c r="CF42" s="19">
        <f t="shared" ca="1" si="67"/>
        <v>73.561396552005291</v>
      </c>
      <c r="CG42" s="247">
        <f ca="1">SUM(CC42:CF42)</f>
        <v>250.98911406712858</v>
      </c>
      <c r="CH42" s="19">
        <f t="shared" ca="1" si="68"/>
        <v>58.604470094314465</v>
      </c>
      <c r="CI42" s="19">
        <f t="shared" ref="CI42" ca="1" si="77">CI16*CI30</f>
        <v>61.397635146352577</v>
      </c>
      <c r="CJ42" s="19">
        <f t="shared" ref="CJ42:CK42" ca="1" si="78">CJ16*CJ30</f>
        <v>59.982515970173431</v>
      </c>
      <c r="CK42" s="19">
        <f t="shared" ca="1" si="78"/>
        <v>59.294085967346348</v>
      </c>
      <c r="CL42" s="247">
        <f ca="1">SUM(CH42:CK42)</f>
        <v>239.27870717818683</v>
      </c>
      <c r="CM42" s="19">
        <f t="shared" ca="1" si="71"/>
        <v>35.978451526584379</v>
      </c>
      <c r="CN42" s="19">
        <f t="shared" ca="1" si="71"/>
        <v>55.859280103141565</v>
      </c>
      <c r="CO42" s="19">
        <f t="shared" ca="1" si="71"/>
        <v>52.607658169211135</v>
      </c>
      <c r="CP42" s="19">
        <f t="shared" ca="1" si="71"/>
        <v>53.805467969682667</v>
      </c>
      <c r="CQ42" s="247">
        <f ca="1">SUM(CM42:CP42)</f>
        <v>198.25085776861974</v>
      </c>
      <c r="CR42" s="19">
        <f t="shared" ref="CR42:CU42" ca="1" si="79">CR16*CR30</f>
        <v>33.694118381620484</v>
      </c>
      <c r="CS42" s="19">
        <f t="shared" ca="1" si="79"/>
        <v>54.416521622475834</v>
      </c>
      <c r="CT42" s="19">
        <f t="shared" ca="1" si="79"/>
        <v>50.982953996017471</v>
      </c>
      <c r="CU42" s="19">
        <f t="shared" ca="1" si="79"/>
        <v>52.978383795307622</v>
      </c>
      <c r="CV42" s="247">
        <f ca="1">SUM(CR42:CU42)</f>
        <v>192.07197779542142</v>
      </c>
      <c r="CW42" s="19">
        <f t="shared" ref="CW42:CZ42" ca="1" si="80">CW16*CW30</f>
        <v>28.902098109123994</v>
      </c>
      <c r="CX42" s="19">
        <f t="shared" ca="1" si="80"/>
        <v>46.642919974692404</v>
      </c>
      <c r="CY42" s="19">
        <f t="shared" ca="1" si="80"/>
        <v>43.465295794134839</v>
      </c>
      <c r="CZ42" s="19">
        <f t="shared" ca="1" si="80"/>
        <v>45.238760104194</v>
      </c>
      <c r="DA42" s="247">
        <f ca="1">SUM(CW42:CZ42)</f>
        <v>164.24907398214523</v>
      </c>
      <c r="DB42" s="19">
        <f t="shared" ref="DB42:DE42" ca="1" si="81">DB16*DB30</f>
        <v>24.750532454803743</v>
      </c>
      <c r="DC42" s="19">
        <f t="shared" ca="1" si="81"/>
        <v>39.907271912540743</v>
      </c>
      <c r="DD42" s="19">
        <f t="shared" ca="1" si="81"/>
        <v>36.945387035226787</v>
      </c>
      <c r="DE42" s="19">
        <f t="shared" ca="1" si="81"/>
        <v>38.528130027353285</v>
      </c>
      <c r="DF42" s="247">
        <f ca="1">SUM(DB42:DE42)</f>
        <v>140.13132142992455</v>
      </c>
      <c r="DH42" s="78"/>
    </row>
    <row r="43" spans="2:112" s="77" customFormat="1" ht="11.25" customHeight="1" outlineLevel="1" x14ac:dyDescent="0.2">
      <c r="B43" s="495" t="str">
        <f>B31</f>
        <v>Total Mail / Home Delivery</v>
      </c>
      <c r="P43" s="79"/>
      <c r="Q43" s="79"/>
      <c r="R43" s="79"/>
      <c r="S43" s="79"/>
      <c r="T43" s="271">
        <f t="shared" ref="T43:BG43" si="82">SUM(T41:T42)</f>
        <v>479.22844571355085</v>
      </c>
      <c r="U43" s="79">
        <f t="shared" si="82"/>
        <v>143.8754411002316</v>
      </c>
      <c r="V43" s="79">
        <f t="shared" si="82"/>
        <v>151.14090239353624</v>
      </c>
      <c r="W43" s="79">
        <f t="shared" si="82"/>
        <v>149.89278820055526</v>
      </c>
      <c r="X43" s="79">
        <f t="shared" si="82"/>
        <v>164.05476801641478</v>
      </c>
      <c r="Y43" s="271">
        <f t="shared" si="82"/>
        <v>608.96389971073791</v>
      </c>
      <c r="Z43" s="79">
        <f t="shared" si="82"/>
        <v>162.45968284127792</v>
      </c>
      <c r="AA43" s="79">
        <f t="shared" si="82"/>
        <v>170.49750252415183</v>
      </c>
      <c r="AB43" s="79">
        <f t="shared" si="82"/>
        <v>184.17275061222384</v>
      </c>
      <c r="AC43" s="79">
        <f t="shared" si="82"/>
        <v>211.72209280923596</v>
      </c>
      <c r="AD43" s="271">
        <f t="shared" si="82"/>
        <v>728.8520287868896</v>
      </c>
      <c r="AE43" s="79">
        <f t="shared" si="82"/>
        <v>142.58961364891911</v>
      </c>
      <c r="AF43" s="79">
        <f t="shared" si="82"/>
        <v>196.31454000000011</v>
      </c>
      <c r="AG43" s="79">
        <f t="shared" si="82"/>
        <v>246.55575200000052</v>
      </c>
      <c r="AH43" s="79">
        <f t="shared" si="82"/>
        <v>277.21164800000054</v>
      </c>
      <c r="AI43" s="271">
        <f t="shared" si="82"/>
        <v>862.67155364892028</v>
      </c>
      <c r="AJ43" s="79">
        <f t="shared" si="82"/>
        <v>284.31931400000019</v>
      </c>
      <c r="AK43" s="79">
        <f t="shared" si="82"/>
        <v>302.28938518794445</v>
      </c>
      <c r="AL43" s="79">
        <f t="shared" si="82"/>
        <v>273.41958609016046</v>
      </c>
      <c r="AM43" s="79">
        <f t="shared" si="82"/>
        <v>288.17360623999991</v>
      </c>
      <c r="AN43" s="247">
        <f t="shared" si="82"/>
        <v>1148.201891518105</v>
      </c>
      <c r="AO43" s="19">
        <f t="shared" si="82"/>
        <v>203.11280894142084</v>
      </c>
      <c r="AP43" s="19">
        <f t="shared" si="82"/>
        <v>216.44426323500161</v>
      </c>
      <c r="AQ43" s="19">
        <f t="shared" si="82"/>
        <v>237.48247544028374</v>
      </c>
      <c r="AR43" s="19">
        <f t="shared" si="82"/>
        <v>240.95672201216436</v>
      </c>
      <c r="AS43" s="247">
        <f t="shared" si="82"/>
        <v>897.99626962887066</v>
      </c>
      <c r="AT43" s="19">
        <f t="shared" ref="AT43:BD43" ca="1" si="83">SUM(AT41:AT42)</f>
        <v>221.84093839999966</v>
      </c>
      <c r="AU43" s="19">
        <f t="shared" ca="1" si="83"/>
        <v>254.1559445470962</v>
      </c>
      <c r="AV43" s="19">
        <f t="shared" ca="1" si="83"/>
        <v>255.37535664904803</v>
      </c>
      <c r="AW43" s="19">
        <f t="shared" ca="1" si="83"/>
        <v>289.41140284318607</v>
      </c>
      <c r="AX43" s="247">
        <f t="shared" ca="1" si="83"/>
        <v>1020.7836424393299</v>
      </c>
      <c r="AY43" s="19">
        <f t="shared" ca="1" si="83"/>
        <v>268.0861673701487</v>
      </c>
      <c r="AZ43" s="19">
        <f t="shared" ca="1" si="83"/>
        <v>303.11343130865475</v>
      </c>
      <c r="BA43" s="19">
        <f t="shared" ca="1" si="83"/>
        <v>320.48753810988904</v>
      </c>
      <c r="BB43" s="19">
        <f t="shared" ca="1" si="83"/>
        <v>323.68502091976461</v>
      </c>
      <c r="BC43" s="247">
        <f t="shared" ca="1" si="83"/>
        <v>1215.3721577084571</v>
      </c>
      <c r="BD43" s="19">
        <f t="shared" ca="1" si="83"/>
        <v>273.31520385397505</v>
      </c>
      <c r="BE43" s="19">
        <f t="shared" si="82"/>
        <v>298.86262996679011</v>
      </c>
      <c r="BF43" s="19">
        <f t="shared" si="82"/>
        <v>329.86033736494653</v>
      </c>
      <c r="BG43" s="19">
        <f t="shared" si="82"/>
        <v>322.07964276125369</v>
      </c>
      <c r="BH43" s="247">
        <f t="shared" ref="BH43:CB43" ca="1" si="84">SUM(BH41:BH42)</f>
        <v>1224.1178139469655</v>
      </c>
      <c r="BI43" s="19">
        <f t="shared" ca="1" si="84"/>
        <v>345.42593125748374</v>
      </c>
      <c r="BJ43" s="19">
        <f t="shared" ca="1" si="84"/>
        <v>970.93582744601508</v>
      </c>
      <c r="BK43" s="19">
        <f t="shared" ca="1" si="84"/>
        <v>979.70280721093559</v>
      </c>
      <c r="BL43" s="19">
        <f t="shared" ca="1" si="84"/>
        <v>1094.8767955386156</v>
      </c>
      <c r="BM43" s="247">
        <f t="shared" ca="1" si="84"/>
        <v>3390.9413614530499</v>
      </c>
      <c r="BN43" s="19">
        <f t="shared" ca="1" si="84"/>
        <v>851.78729616871226</v>
      </c>
      <c r="BO43" s="19">
        <f t="shared" ca="1" si="84"/>
        <v>878.26189626179632</v>
      </c>
      <c r="BP43" s="19">
        <f t="shared" ca="1" si="84"/>
        <v>912.3214510547383</v>
      </c>
      <c r="BQ43" s="19">
        <f t="shared" ca="1" si="84"/>
        <v>786.67940607833123</v>
      </c>
      <c r="BR43" s="247">
        <f t="shared" ca="1" si="84"/>
        <v>3429.0500495635783</v>
      </c>
      <c r="BS43" s="19">
        <f t="shared" ca="1" si="84"/>
        <v>649.65636150538376</v>
      </c>
      <c r="BT43" s="19">
        <f t="shared" ca="1" si="84"/>
        <v>767.17590893060549</v>
      </c>
      <c r="BU43" s="19">
        <f t="shared" ca="1" si="84"/>
        <v>867.54665511030157</v>
      </c>
      <c r="BV43" s="19">
        <f t="shared" ca="1" si="84"/>
        <v>824.85197781063823</v>
      </c>
      <c r="BW43" s="247">
        <f t="shared" ca="1" si="84"/>
        <v>3109.230903356929</v>
      </c>
      <c r="BX43" s="19">
        <f t="shared" ca="1" si="84"/>
        <v>688.39962940069324</v>
      </c>
      <c r="BY43" s="19">
        <f t="shared" ca="1" si="84"/>
        <v>839.3026581034602</v>
      </c>
      <c r="BZ43" s="19">
        <f t="shared" ca="1" si="84"/>
        <v>931.21740760296461</v>
      </c>
      <c r="CA43" s="19">
        <f t="shared" ca="1" si="84"/>
        <v>1049.3179174290099</v>
      </c>
      <c r="CB43" s="247">
        <f t="shared" ca="1" si="84"/>
        <v>3508.2376125361275</v>
      </c>
      <c r="CC43" s="19">
        <f t="shared" ref="CC43:CD43" ca="1" si="85">SUM(CC41:CC42)</f>
        <v>772.44742725582842</v>
      </c>
      <c r="CD43" s="19">
        <f t="shared" ca="1" si="85"/>
        <v>958.15046358603399</v>
      </c>
      <c r="CE43" s="19">
        <f t="shared" ref="CE43" ca="1" si="86">SUM(CE41:CE42)</f>
        <v>1037.3262317994192</v>
      </c>
      <c r="CF43" s="19">
        <f t="shared" ref="CF43:CL43" ca="1" si="87">SUM(CF41:CF42)</f>
        <v>1163.6801818402512</v>
      </c>
      <c r="CG43" s="247">
        <f t="shared" ca="1" si="87"/>
        <v>3931.6043044815328</v>
      </c>
      <c r="CH43" s="19">
        <f t="shared" ca="1" si="87"/>
        <v>1046.5980964857602</v>
      </c>
      <c r="CI43" s="19">
        <f t="shared" ref="CI43" ca="1" si="88">SUM(CI41:CI42)</f>
        <v>1053.6612666824333</v>
      </c>
      <c r="CJ43" s="19">
        <f t="shared" ref="CJ43:CK43" ca="1" si="89">SUM(CJ41:CJ42)</f>
        <v>1007.5850411187041</v>
      </c>
      <c r="CK43" s="19">
        <f t="shared" ca="1" si="89"/>
        <v>1012.1315874273075</v>
      </c>
      <c r="CL43" s="247">
        <f t="shared" ca="1" si="87"/>
        <v>4119.9759917142055</v>
      </c>
      <c r="CM43" s="19">
        <f t="shared" ref="CM43:CV43" ca="1" si="90">SUM(CM41:CM42)</f>
        <v>787.82336814285588</v>
      </c>
      <c r="CN43" s="19">
        <f t="shared" ca="1" si="90"/>
        <v>966.634585267067</v>
      </c>
      <c r="CO43" s="19">
        <f t="shared" ca="1" si="90"/>
        <v>920.64784350151945</v>
      </c>
      <c r="CP43" s="19">
        <f t="shared" ca="1" si="90"/>
        <v>1040.835023180844</v>
      </c>
      <c r="CQ43" s="247">
        <f t="shared" ca="1" si="90"/>
        <v>3715.9408200922867</v>
      </c>
      <c r="CR43" s="19">
        <f t="shared" ca="1" si="90"/>
        <v>693.78054022352239</v>
      </c>
      <c r="CS43" s="19">
        <f t="shared" ca="1" si="90"/>
        <v>861.61926700953109</v>
      </c>
      <c r="CT43" s="19">
        <f t="shared" ca="1" si="90"/>
        <v>822.31007678154333</v>
      </c>
      <c r="CU43" s="19">
        <f t="shared" ca="1" si="90"/>
        <v>925.73919796223447</v>
      </c>
      <c r="CV43" s="247">
        <f t="shared" ca="1" si="90"/>
        <v>3303.4490819768312</v>
      </c>
      <c r="CW43" s="19">
        <f t="shared" ref="CW43:DF43" ca="1" si="91">SUM(CW41:CW42)</f>
        <v>581.45419260235576</v>
      </c>
      <c r="CX43" s="19">
        <f t="shared" ca="1" si="91"/>
        <v>702.30598985838776</v>
      </c>
      <c r="CY43" s="19">
        <f t="shared" ca="1" si="91"/>
        <v>651.92453955024689</v>
      </c>
      <c r="CZ43" s="19">
        <f t="shared" ca="1" si="91"/>
        <v>737.27878069508893</v>
      </c>
      <c r="DA43" s="247">
        <f t="shared" ca="1" si="91"/>
        <v>2672.9635027060795</v>
      </c>
      <c r="DB43" s="19">
        <f t="shared" ca="1" si="91"/>
        <v>456.7646871635614</v>
      </c>
      <c r="DC43" s="19">
        <f t="shared" ca="1" si="91"/>
        <v>519.54261976423186</v>
      </c>
      <c r="DD43" s="19">
        <f t="shared" ca="1" si="91"/>
        <v>500.53519899575497</v>
      </c>
      <c r="DE43" s="19">
        <f t="shared" ca="1" si="91"/>
        <v>569.50786726030037</v>
      </c>
      <c r="DF43" s="247">
        <f t="shared" ca="1" si="91"/>
        <v>2046.3503731838484</v>
      </c>
      <c r="DH43" s="78"/>
    </row>
    <row r="44" spans="2:112" s="77" customFormat="1" ht="11.25" customHeight="1" outlineLevel="1" x14ac:dyDescent="0.2">
      <c r="B44" s="495" t="str">
        <f>B32</f>
        <v>Specialty</v>
      </c>
      <c r="P44" s="79"/>
      <c r="Q44" s="79"/>
      <c r="R44" s="79"/>
      <c r="S44" s="79"/>
      <c r="T44" s="271"/>
      <c r="U44" s="79"/>
      <c r="V44" s="79"/>
      <c r="W44" s="79"/>
      <c r="X44" s="79"/>
      <c r="Y44" s="271"/>
      <c r="Z44" s="79"/>
      <c r="AA44" s="79"/>
      <c r="AB44" s="79"/>
      <c r="AC44" s="79"/>
      <c r="AD44" s="271"/>
      <c r="AE44" s="79"/>
      <c r="AF44" s="79"/>
      <c r="AG44" s="79"/>
      <c r="AH44" s="79"/>
      <c r="AI44" s="271"/>
      <c r="AJ44" s="79"/>
      <c r="AK44" s="79"/>
      <c r="AL44" s="79"/>
      <c r="AM44" s="79"/>
      <c r="AN44" s="247"/>
      <c r="AO44" s="19">
        <f ca="1">AO19*AO32</f>
        <v>54.119999999999983</v>
      </c>
      <c r="AP44" s="19">
        <f ca="1">AP19*AP32</f>
        <v>54.680000000000021</v>
      </c>
      <c r="AQ44" s="19">
        <f ca="1">AQ19*AQ32</f>
        <v>56.73</v>
      </c>
      <c r="AR44" s="19">
        <f ca="1">AR19*AR32</f>
        <v>57.77000000000001</v>
      </c>
      <c r="AS44" s="247">
        <f ca="1">SUM(AO44:AR44)</f>
        <v>223.3</v>
      </c>
      <c r="AT44" s="19">
        <f>AT19*AT32</f>
        <v>62.896640399999981</v>
      </c>
      <c r="AU44" s="19">
        <f>AU19*AU32</f>
        <v>63.122592000000033</v>
      </c>
      <c r="AV44" s="19">
        <f>AV19*AV32</f>
        <v>65.929904100000002</v>
      </c>
      <c r="AW44" s="19">
        <f>AW19*AW32</f>
        <v>80.565546906900011</v>
      </c>
      <c r="AX44" s="247">
        <f>SUM(AT44:AW44)</f>
        <v>272.51468340690002</v>
      </c>
      <c r="AY44" s="19">
        <f>AY19*AY32</f>
        <v>98.099700300412508</v>
      </c>
      <c r="AZ44" s="19">
        <f>AZ19*AZ32</f>
        <v>104.05184473988176</v>
      </c>
      <c r="BA44" s="19">
        <f>BA19*BA32</f>
        <v>109.21058097563019</v>
      </c>
      <c r="BB44" s="19">
        <f>BB19*BB32</f>
        <v>111.87109507824466</v>
      </c>
      <c r="BC44" s="247">
        <f>SUM(AY44:BB44)</f>
        <v>423.2332210941691</v>
      </c>
      <c r="BD44" s="19">
        <f ca="1">BD19*BD32</f>
        <v>115.7939645916379</v>
      </c>
      <c r="BE44" s="19">
        <f ca="1">BE19*BE32</f>
        <v>124.17054926422448</v>
      </c>
      <c r="BF44" s="19">
        <f ca="1">BF19*BF32</f>
        <v>128.65231615384857</v>
      </c>
      <c r="BG44" s="19">
        <f ca="1">BG19*BG32</f>
        <v>130.31483273279403</v>
      </c>
      <c r="BH44" s="247">
        <f ca="1">SUM(BD44:BG44)</f>
        <v>498.93166274250495</v>
      </c>
      <c r="BI44" s="19">
        <v>140.48218798761121</v>
      </c>
      <c r="BJ44" s="1266">
        <v>295.58119235997276</v>
      </c>
      <c r="BK44" s="1266">
        <v>303.75465422920456</v>
      </c>
      <c r="BL44" s="1266">
        <v>307.30488241627415</v>
      </c>
      <c r="BM44" s="247">
        <f>SUM(BI44:BL44)</f>
        <v>1047.1229169930625</v>
      </c>
      <c r="BN44" s="1266">
        <v>291.57313279918446</v>
      </c>
      <c r="BO44" s="1266">
        <f ca="1">Specialty!BC15</f>
        <v>235.79326439936614</v>
      </c>
      <c r="BP44" s="1266">
        <f ca="1">Specialty!BD15</f>
        <v>244.73522806011184</v>
      </c>
      <c r="BQ44" s="1266">
        <f ca="1">Specialty!BE15</f>
        <v>248.87202470154978</v>
      </c>
      <c r="BR44" s="247">
        <f ca="1">SUM(BN44:BQ44)</f>
        <v>1020.9736499602122</v>
      </c>
      <c r="BS44" s="1266">
        <f ca="1">Specialty!BG15</f>
        <v>251.8644220005408</v>
      </c>
      <c r="BT44" s="1266">
        <f ca="1">Specialty!BH15</f>
        <v>267.47723815611499</v>
      </c>
      <c r="BU44" s="1266">
        <f ca="1">Specialty!BI15</f>
        <v>277.56185584135085</v>
      </c>
      <c r="BV44" s="1266">
        <f ca="1">Specialty!BJ15</f>
        <v>282.29807431613312</v>
      </c>
      <c r="BW44" s="247">
        <f ca="1">SUM(BS44:BV44)</f>
        <v>1079.2015903141396</v>
      </c>
      <c r="BX44" s="1266">
        <f ca="1">Specialty!BL15</f>
        <v>303.24476408865115</v>
      </c>
      <c r="BY44" s="1266">
        <f ca="1">Specialty!BM15</f>
        <v>322.04259473996251</v>
      </c>
      <c r="BZ44" s="1266">
        <f ca="1">Specialty!BN15</f>
        <v>310.31415483063023</v>
      </c>
      <c r="CA44" s="1266">
        <f ca="1">Specialty!BO15</f>
        <v>304.33748826095695</v>
      </c>
      <c r="CB44" s="247">
        <f ca="1">SUM(BX44:CA44)</f>
        <v>1239.9390019202008</v>
      </c>
      <c r="CC44" s="1266">
        <f ca="1">Specialty!BQ15</f>
        <v>296.18349315344392</v>
      </c>
      <c r="CD44" s="1266">
        <f ca="1">Specialty!BR15</f>
        <v>372.16047354636913</v>
      </c>
      <c r="CE44" s="1266">
        <f ca="1">Specialty!BS15</f>
        <v>386.19193326661997</v>
      </c>
      <c r="CF44" s="1266">
        <f ca="1">Specialty!BT15</f>
        <v>351.70000987156834</v>
      </c>
      <c r="CG44" s="247">
        <f ca="1">SUM(CC44:CF44)</f>
        <v>1406.2359098380016</v>
      </c>
      <c r="CH44" s="1266">
        <f ca="1">Specialty!BV15</f>
        <v>385.31570304590105</v>
      </c>
      <c r="CI44" s="1266">
        <f ca="1">Specialty!BW15</f>
        <v>413.17879539158014</v>
      </c>
      <c r="CJ44" s="1266">
        <f ca="1">Specialty!BX15</f>
        <v>428.40001827408344</v>
      </c>
      <c r="CK44" s="1266">
        <f ca="1">Specialty!BY15</f>
        <v>420.40927269246822</v>
      </c>
      <c r="CL44" s="247">
        <f ca="1">SUM(CH44:CK44)</f>
        <v>1647.3037894040328</v>
      </c>
      <c r="CM44" s="1266">
        <f ca="1">Specialty!CA15</f>
        <v>365.20961157690374</v>
      </c>
      <c r="CN44" s="1266">
        <f ca="1">Specialty!CB15</f>
        <v>456.75878287139085</v>
      </c>
      <c r="CO44" s="1266">
        <f ca="1">Specialty!CC15</f>
        <v>473.97982841300495</v>
      </c>
      <c r="CP44" s="1266">
        <f ca="1">Specialty!CD15</f>
        <v>464.85095255904446</v>
      </c>
      <c r="CQ44" s="247">
        <f ca="1">SUM(CM44:CP44)</f>
        <v>1760.799175420344</v>
      </c>
      <c r="CR44" s="1266">
        <f ca="1">Specialty!CF15</f>
        <v>465.19182957294078</v>
      </c>
      <c r="CS44" s="1266">
        <f ca="1">Specialty!CG15</f>
        <v>498.68923913898453</v>
      </c>
      <c r="CT44" s="1266">
        <f ca="1">Specialty!CH15</f>
        <v>517.49117666131883</v>
      </c>
      <c r="CU44" s="1266">
        <f ca="1">Specialty!CI15</f>
        <v>507.52427000396477</v>
      </c>
      <c r="CV44" s="247">
        <f ca="1">SUM(CR44:CU44)</f>
        <v>1988.896515377209</v>
      </c>
      <c r="CW44" s="1266">
        <f ca="1">Specialty!CK15</f>
        <v>441.28096953289162</v>
      </c>
      <c r="CX44" s="1266">
        <f ca="1">Specialty!CL15</f>
        <v>473.05661224724076</v>
      </c>
      <c r="CY44" s="1266">
        <f ca="1">Specialty!CM15</f>
        <v>490.89213018092698</v>
      </c>
      <c r="CZ44" s="1266">
        <f ca="1">Specialty!CN15</f>
        <v>481.43752252576093</v>
      </c>
      <c r="DA44" s="247">
        <f ca="1">SUM(CW44:CZ44)</f>
        <v>1886.6672344868202</v>
      </c>
      <c r="DB44" s="1266">
        <f ca="1">Specialty!CP15</f>
        <v>427.74240449336224</v>
      </c>
      <c r="DC44" s="1266">
        <f ca="1">Specialty!CQ15</f>
        <v>458.54316581634646</v>
      </c>
      <c r="DD44" s="1266">
        <f ca="1">Specialty!CR15</f>
        <v>475.83148743695699</v>
      </c>
      <c r="DE44" s="1266">
        <f ca="1">Specialty!CS15</f>
        <v>466.66694853503492</v>
      </c>
      <c r="DF44" s="247">
        <f ca="1">SUM(DB44:DE44)</f>
        <v>1828.7840062817004</v>
      </c>
      <c r="DH44" s="78"/>
    </row>
    <row r="45" spans="2:112" s="77" customFormat="1" ht="4.5" customHeight="1" outlineLevel="1" x14ac:dyDescent="0.2">
      <c r="B45" s="495"/>
      <c r="P45" s="79"/>
      <c r="Q45" s="79"/>
      <c r="R45" s="79"/>
      <c r="S45" s="79"/>
      <c r="T45" s="271"/>
      <c r="U45" s="79"/>
      <c r="V45" s="79"/>
      <c r="W45" s="79"/>
      <c r="X45" s="79"/>
      <c r="Y45" s="271"/>
      <c r="Z45" s="79"/>
      <c r="AA45" s="79"/>
      <c r="AB45" s="79"/>
      <c r="AC45" s="79"/>
      <c r="AD45" s="271"/>
      <c r="AE45" s="79"/>
      <c r="AF45" s="79"/>
      <c r="AG45" s="79"/>
      <c r="AH45" s="79"/>
      <c r="AI45" s="271"/>
      <c r="AJ45" s="79"/>
      <c r="AK45" s="79"/>
      <c r="AL45" s="79"/>
      <c r="AM45" s="79"/>
      <c r="AN45" s="247"/>
      <c r="AO45" s="19"/>
      <c r="AP45" s="19"/>
      <c r="AQ45" s="19"/>
      <c r="AR45" s="19"/>
      <c r="AS45" s="247"/>
      <c r="AT45" s="19"/>
      <c r="AU45" s="19"/>
      <c r="AV45" s="19"/>
      <c r="AW45" s="19"/>
      <c r="AX45" s="247"/>
      <c r="AY45" s="19"/>
      <c r="AZ45" s="19"/>
      <c r="BA45" s="19"/>
      <c r="BB45" s="19"/>
      <c r="BC45" s="247"/>
      <c r="BD45" s="19"/>
      <c r="BE45" s="19"/>
      <c r="BF45" s="19"/>
      <c r="BG45" s="19"/>
      <c r="BH45" s="247"/>
      <c r="BI45" s="19"/>
      <c r="BJ45" s="19"/>
      <c r="BK45" s="19"/>
      <c r="BL45" s="19"/>
      <c r="BM45" s="247"/>
      <c r="BN45" s="19"/>
      <c r="BO45" s="19"/>
      <c r="BP45" s="19"/>
      <c r="BQ45" s="19"/>
      <c r="BR45" s="247"/>
      <c r="BS45" s="19"/>
      <c r="BT45" s="19"/>
      <c r="BU45" s="19"/>
      <c r="BV45" s="19"/>
      <c r="BW45" s="247"/>
      <c r="BX45" s="19"/>
      <c r="BY45" s="19"/>
      <c r="BZ45" s="19"/>
      <c r="CA45" s="19"/>
      <c r="CB45" s="247"/>
      <c r="CC45" s="19"/>
      <c r="CD45" s="19"/>
      <c r="CE45" s="19"/>
      <c r="CF45" s="19"/>
      <c r="CG45" s="247"/>
      <c r="CH45" s="19"/>
      <c r="CI45" s="19"/>
      <c r="CJ45" s="19"/>
      <c r="CK45" s="19"/>
      <c r="CL45" s="247"/>
      <c r="CM45" s="19"/>
      <c r="CN45" s="19"/>
      <c r="CO45" s="19"/>
      <c r="CP45" s="19"/>
      <c r="CQ45" s="247"/>
      <c r="CR45" s="19"/>
      <c r="CS45" s="19"/>
      <c r="CT45" s="19"/>
      <c r="CU45" s="19"/>
      <c r="CV45" s="247"/>
      <c r="CW45" s="19"/>
      <c r="CX45" s="19"/>
      <c r="CY45" s="19"/>
      <c r="CZ45" s="19"/>
      <c r="DA45" s="247"/>
      <c r="DB45" s="19"/>
      <c r="DC45" s="19"/>
      <c r="DD45" s="19"/>
      <c r="DE45" s="19"/>
      <c r="DF45" s="247"/>
    </row>
    <row r="46" spans="2:112" s="77" customFormat="1" ht="11.25" customHeight="1" outlineLevel="1" x14ac:dyDescent="0.2">
      <c r="B46" s="59" t="s">
        <v>280</v>
      </c>
      <c r="P46" s="79"/>
      <c r="Q46" s="79"/>
      <c r="R46" s="79"/>
      <c r="S46" s="79"/>
      <c r="T46" s="271"/>
      <c r="U46" s="79"/>
      <c r="V46" s="79"/>
      <c r="W46" s="79"/>
      <c r="X46" s="79"/>
      <c r="Y46" s="271"/>
      <c r="Z46" s="79">
        <v>0.67599999999999993</v>
      </c>
      <c r="AA46" s="79">
        <v>0.76600000000000001</v>
      </c>
      <c r="AB46" s="79">
        <v>0.77200000000000002</v>
      </c>
      <c r="AC46" s="79">
        <v>0.82599999999999996</v>
      </c>
      <c r="AD46" s="271"/>
      <c r="AE46" s="79">
        <v>0.79599999999999993</v>
      </c>
      <c r="AF46" s="79">
        <v>0.82599999999999996</v>
      </c>
      <c r="AG46" s="79">
        <v>0.81</v>
      </c>
      <c r="AH46" s="79">
        <v>0.82799999999999996</v>
      </c>
      <c r="AI46" s="271">
        <v>3.26</v>
      </c>
      <c r="AJ46" s="79">
        <v>0.81799999999999995</v>
      </c>
      <c r="AK46" s="79">
        <v>0.84</v>
      </c>
      <c r="AL46" s="79">
        <v>0.83126580324057375</v>
      </c>
      <c r="AM46" s="79">
        <v>0.89986540836236861</v>
      </c>
      <c r="AN46" s="247">
        <v>3.3891312116029422</v>
      </c>
      <c r="AO46" s="19">
        <f>AO21*AO34</f>
        <v>55.199999999999996</v>
      </c>
      <c r="AP46" s="19">
        <f>AP21*AP34</f>
        <v>58.875</v>
      </c>
      <c r="AQ46" s="19">
        <f>AQ21*AQ34</f>
        <v>59.025000000000006</v>
      </c>
      <c r="AR46" s="19">
        <f>AR21*AR34</f>
        <v>55.875</v>
      </c>
      <c r="AS46" s="247">
        <f>SUM(AO46:AR46)</f>
        <v>228.97499999999999</v>
      </c>
      <c r="AT46" s="19">
        <f>AT21*AT34</f>
        <v>60.375</v>
      </c>
      <c r="AU46" s="19">
        <f>AU21*AU34</f>
        <v>66.974999999999994</v>
      </c>
      <c r="AV46" s="19">
        <f>AV21*AV34</f>
        <v>67.125</v>
      </c>
      <c r="AW46" s="19">
        <f>AW21*AW34</f>
        <v>66.975000000000009</v>
      </c>
      <c r="AX46" s="247">
        <f>SUM(AT46:AW46)</f>
        <v>261.45</v>
      </c>
      <c r="AY46" s="19">
        <f>AY21*AY34</f>
        <v>53.37</v>
      </c>
      <c r="AZ46" s="19">
        <f>AZ21*AZ34</f>
        <v>59.22</v>
      </c>
      <c r="BA46" s="19">
        <f>BA21*BA34</f>
        <v>56.34</v>
      </c>
      <c r="BB46" s="19">
        <f>BB21*BB34</f>
        <v>65.88</v>
      </c>
      <c r="BC46" s="247">
        <f>SUM(AY46:BB46)</f>
        <v>234.81</v>
      </c>
      <c r="BD46" s="19">
        <f>BD21*BD34</f>
        <v>66.150000000000006</v>
      </c>
      <c r="BE46" s="19">
        <f>BE21*BE34</f>
        <v>59.310000000000009</v>
      </c>
      <c r="BF46" s="19">
        <f>BF21*BF34</f>
        <v>59.22</v>
      </c>
      <c r="BG46" s="19">
        <f>BG21*BG34</f>
        <v>61.019999999999996</v>
      </c>
      <c r="BH46" s="247">
        <f>SUM(BD46:BG46)</f>
        <v>245.7</v>
      </c>
      <c r="BI46" s="19">
        <f>BI21*BI34</f>
        <v>81.09</v>
      </c>
      <c r="BJ46" s="19">
        <f>BJ21*BJ34</f>
        <v>215.82000000000002</v>
      </c>
      <c r="BK46" s="19">
        <f>BK21*BK34</f>
        <v>210.32999999999998</v>
      </c>
      <c r="BL46" s="19">
        <f>BL21*BL34</f>
        <v>217.98</v>
      </c>
      <c r="BM46" s="247">
        <f>SUM(BI46:BL46)</f>
        <v>725.22</v>
      </c>
      <c r="BN46" s="19">
        <f>BN21*BN34</f>
        <v>212.13</v>
      </c>
      <c r="BO46" s="19">
        <f>BO21*BO34</f>
        <v>249.39000000000001</v>
      </c>
      <c r="BP46" s="19">
        <f>BP21*BP34</f>
        <v>213.93</v>
      </c>
      <c r="BQ46" s="19">
        <f>BQ21*BQ34</f>
        <v>242.64000000000007</v>
      </c>
      <c r="BR46" s="247">
        <f>SUM(BN46:BQ46)</f>
        <v>918.09000000000015</v>
      </c>
      <c r="BS46" s="19">
        <f>BS21*BS34</f>
        <v>254.07000000000002</v>
      </c>
      <c r="BT46" s="19">
        <f>BT21*BT34</f>
        <v>280.52999999999997</v>
      </c>
      <c r="BU46" s="19">
        <f>BU21*BU34</f>
        <v>305.10000000000002</v>
      </c>
      <c r="BV46" s="19">
        <f>BV21*BV34</f>
        <v>310.49999999999994</v>
      </c>
      <c r="BW46" s="247">
        <f>SUM(BS46:BV46)</f>
        <v>1150.2</v>
      </c>
      <c r="BX46" s="19">
        <f>BX21*BX34</f>
        <v>343.98</v>
      </c>
      <c r="BY46" s="19">
        <f>BY21*BY34</f>
        <v>359.37</v>
      </c>
      <c r="BZ46" s="19">
        <f>BZ21*BZ34</f>
        <v>389.15999999999997</v>
      </c>
      <c r="CA46" s="19">
        <f>CA21*CA34</f>
        <v>399.32999999999987</v>
      </c>
      <c r="CB46" s="247">
        <f>SUM(BX46:CA46)</f>
        <v>1491.84</v>
      </c>
      <c r="CC46" s="19">
        <f>CC21*CC34</f>
        <v>307.98</v>
      </c>
      <c r="CD46" s="19">
        <f>CD21*CD34</f>
        <v>295.2</v>
      </c>
      <c r="CE46" s="19">
        <f>CE21*CE34</f>
        <v>339.3</v>
      </c>
      <c r="CF46" s="19">
        <f>CF21*CF34</f>
        <v>336.78000000000009</v>
      </c>
      <c r="CG46" s="247">
        <f>SUM(CC46:CF46)</f>
        <v>1279.2600000000002</v>
      </c>
      <c r="CH46" s="19">
        <f>CH21*CH34</f>
        <v>293.85000000000002</v>
      </c>
      <c r="CI46" s="19">
        <f>CI21*CI34</f>
        <v>335.7</v>
      </c>
      <c r="CJ46" s="19">
        <f>CJ21*CJ34</f>
        <v>307.70999999999998</v>
      </c>
      <c r="CK46" s="19">
        <f>CK21*CK34</f>
        <v>289.97999999999996</v>
      </c>
      <c r="CL46" s="247">
        <f>SUM(CH46:CK46)</f>
        <v>1227.24</v>
      </c>
      <c r="CM46" s="19">
        <f>CM21*CM34</f>
        <v>249.77249999999998</v>
      </c>
      <c r="CN46" s="19">
        <f>CN21*CN34</f>
        <v>285.34500000000003</v>
      </c>
      <c r="CO46" s="19">
        <f>CO21*CO34</f>
        <v>276.93899999999996</v>
      </c>
      <c r="CP46" s="19">
        <f>CP21*CP34</f>
        <v>275.48099999999994</v>
      </c>
      <c r="CQ46" s="247">
        <f>SUM(CM46:CP46)</f>
        <v>1087.5374999999999</v>
      </c>
      <c r="CR46" s="19">
        <f>CR21*CR34</f>
        <v>254.76794999999998</v>
      </c>
      <c r="CS46" s="19">
        <f>CS21*CS34</f>
        <v>291.05190000000005</v>
      </c>
      <c r="CT46" s="19">
        <f>CT21*CT34</f>
        <v>282.47778</v>
      </c>
      <c r="CU46" s="19">
        <f>CU21*CU34</f>
        <v>280.99061999999992</v>
      </c>
      <c r="CV46" s="247">
        <f>SUM(CR46:CU46)</f>
        <v>1109.2882500000001</v>
      </c>
      <c r="CW46" s="19">
        <f>CW21*CW34</f>
        <v>259.86330900000002</v>
      </c>
      <c r="CX46" s="19">
        <f>CX21*CX34</f>
        <v>296.87293800000003</v>
      </c>
      <c r="CY46" s="19">
        <f>CY21*CY34</f>
        <v>288.12733559999998</v>
      </c>
      <c r="CZ46" s="19">
        <f>CZ21*CZ34</f>
        <v>286.61043239999992</v>
      </c>
      <c r="DA46" s="247">
        <f>SUM(CW46:CZ46)</f>
        <v>1131.4740149999998</v>
      </c>
      <c r="DB46" s="19">
        <f>DB21*DB34</f>
        <v>265.06057518</v>
      </c>
      <c r="DC46" s="19">
        <f>DC21*DC34</f>
        <v>302.81039676000006</v>
      </c>
      <c r="DD46" s="19">
        <f>DD21*DD34</f>
        <v>293.889882312</v>
      </c>
      <c r="DE46" s="19">
        <f>DE21*DE34</f>
        <v>292.34264104799996</v>
      </c>
      <c r="DF46" s="247">
        <f>SUM(DB46:DE46)</f>
        <v>1154.1034953000001</v>
      </c>
      <c r="DH46" s="78"/>
    </row>
    <row r="47" spans="2:112" s="77" customFormat="1" ht="11.25" customHeight="1" outlineLevel="1" x14ac:dyDescent="0.2">
      <c r="B47" s="496" t="s">
        <v>296</v>
      </c>
      <c r="P47" s="79">
        <v>173.5224298607244</v>
      </c>
      <c r="Q47" s="79">
        <v>179.32611657649358</v>
      </c>
      <c r="R47" s="79">
        <v>170.5515570231791</v>
      </c>
      <c r="S47" s="79">
        <v>198.11982403056743</v>
      </c>
      <c r="T47" s="139">
        <v>721.51992749096451</v>
      </c>
      <c r="U47" s="79">
        <v>196.41176315247441</v>
      </c>
      <c r="V47" s="79">
        <v>195.00193806952444</v>
      </c>
      <c r="W47" s="79">
        <v>199.71094963627462</v>
      </c>
      <c r="X47" s="79">
        <v>233.73326532868526</v>
      </c>
      <c r="Y47" s="139">
        <v>824.85791618695873</v>
      </c>
      <c r="Z47" s="79">
        <v>238.8</v>
      </c>
      <c r="AA47" s="79">
        <v>247.3</v>
      </c>
      <c r="AB47" s="79">
        <v>257.10000000000002</v>
      </c>
      <c r="AC47" s="79">
        <v>289.5</v>
      </c>
      <c r="AD47" s="139">
        <v>1184.6973963526709</v>
      </c>
      <c r="AE47" s="79">
        <v>215.7</v>
      </c>
      <c r="AF47" s="79">
        <v>269.89999999999998</v>
      </c>
      <c r="AG47" s="79">
        <v>319.40000000000055</v>
      </c>
      <c r="AH47" s="79">
        <v>356.50000000000051</v>
      </c>
      <c r="AI47" s="139">
        <v>1161.5</v>
      </c>
      <c r="AJ47" s="79">
        <f>AJ39+AJ43+AJ46</f>
        <v>368.30000000000018</v>
      </c>
      <c r="AK47" s="79">
        <f>AK39+AK43+AK46</f>
        <v>389.35747539663726</v>
      </c>
      <c r="AL47" s="79">
        <f>AL39+AL43+AL46</f>
        <v>399.20412660095741</v>
      </c>
      <c r="AM47" s="79">
        <f>AM39+AM43+AM46</f>
        <v>425.30038882916227</v>
      </c>
      <c r="AN47" s="27">
        <f>SUM(AJ47:AM47)</f>
        <v>1582.1619908267571</v>
      </c>
      <c r="AO47" s="19">
        <f ca="1">AO39+AO43+AO46+AO44</f>
        <v>448.69999900000079</v>
      </c>
      <c r="AP47" s="19">
        <f ca="1">AP39+AP43+AP46+AP44</f>
        <v>485.29999900000018</v>
      </c>
      <c r="AQ47" s="19">
        <f ca="1">AQ39+AQ43+AQ46+AQ44</f>
        <v>508.09999900000037</v>
      </c>
      <c r="AR47" s="19">
        <f ca="1">AR39+AR43+AR46+AR44</f>
        <v>533.70000100000073</v>
      </c>
      <c r="AS47" s="27">
        <f ca="1">SUM(AO47:AR47)</f>
        <v>1975.7999980000018</v>
      </c>
      <c r="AT47" s="19">
        <f ca="1">AT39+AT43+AT46+AT44</f>
        <v>519.39999899999964</v>
      </c>
      <c r="AU47" s="19">
        <f ca="1">AU39+AU43+AU46+AU44</f>
        <v>580.10000100000036</v>
      </c>
      <c r="AV47" s="19">
        <f ca="1">AV39+AV43+AV46+AV44</f>
        <v>598.19999899999982</v>
      </c>
      <c r="AW47" s="19">
        <f ca="1">AW39+AW43+AW46+AW44</f>
        <v>684.5000009999992</v>
      </c>
      <c r="AX47" s="27">
        <f ca="1">SUM(AT47:AW47)</f>
        <v>2382.1999999999989</v>
      </c>
      <c r="AY47" s="19">
        <f ca="1">AY39+AY43+AY46+AY44</f>
        <v>704.90000099999975</v>
      </c>
      <c r="AZ47" s="19">
        <f ca="1">AZ39+AZ43+AZ46+AZ44</f>
        <v>764.20000100000061</v>
      </c>
      <c r="BA47" s="19">
        <f ca="1">BA39+BA43+BA46+BA44</f>
        <v>794.69999900000084</v>
      </c>
      <c r="BB47" s="19">
        <f ca="1">BB39+BB43+BB46+BB44</f>
        <v>821.500001</v>
      </c>
      <c r="BC47" s="27">
        <f ca="1">SUM(AY47:BB47)</f>
        <v>3085.3000020000013</v>
      </c>
      <c r="BD47" s="19">
        <f ca="1">BD39+BD43+BD46+BD44</f>
        <v>761.19961663823483</v>
      </c>
      <c r="BE47" s="19">
        <f ca="1">BE39+BE43+BE46+BE44</f>
        <v>798.80007443197212</v>
      </c>
      <c r="BF47" s="19">
        <f ca="1">BF39+BF43+BF46+BF44</f>
        <v>852.89983300739175</v>
      </c>
      <c r="BG47" s="19">
        <f ca="1">BG39+BG43+BG46+BG44</f>
        <v>859.80000333282987</v>
      </c>
      <c r="BH47" s="27">
        <f ca="1">SUM(BD47:BG47)</f>
        <v>3272.6995274104288</v>
      </c>
      <c r="BI47" s="19">
        <f ca="1">BI39+BI43+BI46+BI44</f>
        <v>874.60293656616113</v>
      </c>
      <c r="BJ47" s="19">
        <f ca="1">BJ39+BJ43+BJ46+BJ44</f>
        <v>2117.3791833269051</v>
      </c>
      <c r="BK47" s="19">
        <f ca="1">BK39+BK43+BK46+BK44</f>
        <v>2122.3604738469912</v>
      </c>
      <c r="BL47" s="19">
        <f ca="1">BL39+BL43+BL46+BL44</f>
        <v>2301.8009565466436</v>
      </c>
      <c r="BM47" s="27">
        <f ca="1">SUM(BI47:BL47)</f>
        <v>7416.1435502867007</v>
      </c>
      <c r="BN47" s="19">
        <f ca="1">BN39+BN43+BN46+BN44</f>
        <v>1995.1004589997146</v>
      </c>
      <c r="BO47" s="19">
        <f ca="1">BO39+BO43+BO46+BO44</f>
        <v>2146.0998982374504</v>
      </c>
      <c r="BP47" s="19">
        <f ca="1">BP39+BP43+BP46+BP44</f>
        <v>1988.4048819487311</v>
      </c>
      <c r="BQ47" s="19">
        <f ca="1">BQ39+BQ43+BQ46+BQ44</f>
        <v>1866.504455737736</v>
      </c>
      <c r="BR47" s="27">
        <f ca="1">SUM(BN47:BQ47)</f>
        <v>7996.1096949236317</v>
      </c>
      <c r="BS47" s="19">
        <f ca="1">BS39+BS43+BS46+BS44</f>
        <v>1707.6019506842765</v>
      </c>
      <c r="BT47" s="19">
        <f ca="1">BT39+BT43+BT46+BT44</f>
        <v>1965.3042700148403</v>
      </c>
      <c r="BU47" s="19">
        <f ca="1">BU39+BU43+BU46+BU44</f>
        <v>2075.3110882122623</v>
      </c>
      <c r="BV47" s="19">
        <f ca="1">BV39+BV43+BV46+BV44</f>
        <v>2000.5885192797516</v>
      </c>
      <c r="BW47" s="27">
        <f ca="1">SUM(BS47:BV47)</f>
        <v>7748.8058281911299</v>
      </c>
      <c r="BX47" s="19">
        <f ca="1">BX39+BX43+BX46+BX44</f>
        <v>1863.0019073323335</v>
      </c>
      <c r="BY47" s="19">
        <f ca="1">BY39+BY43+BY46+BY44</f>
        <v>2146.1025839603039</v>
      </c>
      <c r="BZ47" s="19">
        <f ca="1">BZ39+BZ43+BZ46+BZ44</f>
        <v>2194.1961015924312</v>
      </c>
      <c r="CA47" s="19">
        <f ca="1">CA39+CA43+CA46+CA44</f>
        <v>2309.7026053375953</v>
      </c>
      <c r="CB47" s="27">
        <f ca="1">SUM(BX47:CA47)</f>
        <v>8513.0031982226647</v>
      </c>
      <c r="CC47" s="19">
        <f ca="1">CC39+CC43+CC46+CC44</f>
        <v>1830.9993812294142</v>
      </c>
      <c r="CD47" s="19">
        <f ca="1">CD39+CD43+CD46+CD44</f>
        <v>2173.1953840300284</v>
      </c>
      <c r="CE47" s="19">
        <f ca="1">CE39+CE43+CE46+CE44</f>
        <v>2286.8993499578396</v>
      </c>
      <c r="CF47" s="19">
        <f ca="1">CF39+CF43+CF46+CF44</f>
        <v>2417.5976400973714</v>
      </c>
      <c r="CG47" s="27">
        <f ca="1">SUM(CC47:CF47)</f>
        <v>8708.6917553146523</v>
      </c>
      <c r="CH47" s="19">
        <f ca="1">CH39+CH43+CH46+CH44</f>
        <v>2341.4969282326711</v>
      </c>
      <c r="CI47" s="19">
        <f ca="1">CI39+CI43+CI46+CI44</f>
        <v>2345.3032977352059</v>
      </c>
      <c r="CJ47" s="19">
        <f ca="1">CJ39+CJ43+CJ46+CJ44</f>
        <v>2344.7019708500279</v>
      </c>
      <c r="CK47" s="19">
        <f ca="1">CK39+CK43+CK46+CK44</f>
        <v>2321.0605558812285</v>
      </c>
      <c r="CL47" s="27">
        <f ca="1">SUM(CH47:CK47)</f>
        <v>9352.5627526991339</v>
      </c>
      <c r="CM47" s="19">
        <f ca="1">CM39+CM43+CM46+CM44</f>
        <v>1856.9291399933527</v>
      </c>
      <c r="CN47" s="19">
        <f ca="1">CN39+CN43+CN46+CN44</f>
        <v>2199.3274137174803</v>
      </c>
      <c r="CO47" s="19">
        <f ca="1">CO39+CO43+CO46+CO44</f>
        <v>2216.7877277423231</v>
      </c>
      <c r="CP47" s="19">
        <f ca="1">CP39+CP43+CP46+CP44</f>
        <v>2378.3831126133919</v>
      </c>
      <c r="CQ47" s="27">
        <f ca="1">SUM(CM47:CP47)</f>
        <v>8651.427394066548</v>
      </c>
      <c r="CR47" s="19">
        <f ca="1">CR39+CR43+CR46+CR44</f>
        <v>1839.7176117592983</v>
      </c>
      <c r="CS47" s="19">
        <f ca="1">CS39+CS43+CS46+CS44</f>
        <v>2116.0645919921876</v>
      </c>
      <c r="CT47" s="19">
        <f ca="1">CT39+CT43+CT46+CT44</f>
        <v>2110.4463631609924</v>
      </c>
      <c r="CU47" s="19">
        <f ca="1">CU39+CU43+CU46+CU44</f>
        <v>2257.0114704258062</v>
      </c>
      <c r="CV47" s="27">
        <f ca="1">SUM(CR47:CU47)</f>
        <v>8323.2400373382843</v>
      </c>
      <c r="CW47" s="19">
        <f ca="1">CW39+CW43+CW46+CW44</f>
        <v>1626.6954522976312</v>
      </c>
      <c r="CX47" s="19">
        <f ca="1">CX39+CX43+CX46+CX44</f>
        <v>1842.801757519215</v>
      </c>
      <c r="CY47" s="19">
        <f ca="1">CY39+CY43+CY46+CY44</f>
        <v>1823.7342832288045</v>
      </c>
      <c r="CZ47" s="19">
        <f ca="1">CZ39+CZ43+CZ46+CZ44</f>
        <v>1943.0428843112377</v>
      </c>
      <c r="DA47" s="27">
        <f ca="1">SUM(CW47:CZ47)</f>
        <v>7236.2743773568882</v>
      </c>
      <c r="DB47" s="19">
        <f ca="1">DB39+DB43+DB46+DB44</f>
        <v>1411.3798845297629</v>
      </c>
      <c r="DC47" s="19">
        <f ca="1">DC39+DC43+DC46+DC44</f>
        <v>1568.8863326054584</v>
      </c>
      <c r="DD47" s="19">
        <f ca="1">DD39+DD43+DD46+DD44</f>
        <v>1599.897343034902</v>
      </c>
      <c r="DE47" s="19">
        <f ca="1">DE39+DE43+DE46+DE44</f>
        <v>1680.7416153258298</v>
      </c>
      <c r="DF47" s="27">
        <f ca="1">SUM(DB47:DE47)</f>
        <v>6260.9051754959537</v>
      </c>
      <c r="DH47" s="78"/>
    </row>
    <row r="48" spans="2:112" s="77" customFormat="1" ht="12" customHeight="1" outlineLevel="1" thickBot="1" x14ac:dyDescent="0.25">
      <c r="B48" s="497" t="s">
        <v>297</v>
      </c>
      <c r="C48" s="269"/>
      <c r="D48" s="269"/>
      <c r="E48" s="269"/>
      <c r="F48" s="269"/>
      <c r="G48" s="269"/>
      <c r="H48" s="269"/>
      <c r="I48" s="269"/>
      <c r="J48" s="269"/>
      <c r="K48" s="269"/>
      <c r="L48" s="269"/>
      <c r="M48" s="269"/>
      <c r="N48" s="269"/>
      <c r="O48" s="269"/>
      <c r="P48" s="236"/>
      <c r="Q48" s="236"/>
      <c r="R48" s="236"/>
      <c r="S48" s="236"/>
      <c r="T48" s="237"/>
      <c r="U48" s="140">
        <f t="shared" ref="U48:AN48" si="92">U47/U22</f>
        <v>5.6136941683805723E-2</v>
      </c>
      <c r="V48" s="140">
        <f t="shared" si="92"/>
        <v>5.4689259576351595E-2</v>
      </c>
      <c r="W48" s="140">
        <f t="shared" si="92"/>
        <v>5.6731117381601831E-2</v>
      </c>
      <c r="X48" s="140">
        <f t="shared" si="92"/>
        <v>6.3618372757869579E-2</v>
      </c>
      <c r="Y48" s="141">
        <f t="shared" si="92"/>
        <v>5.7848230323792604E-2</v>
      </c>
      <c r="Z48" s="140">
        <f t="shared" si="92"/>
        <v>6.7286559594251907E-2</v>
      </c>
      <c r="AA48" s="140">
        <f t="shared" si="92"/>
        <v>6.8337570465347636E-2</v>
      </c>
      <c r="AB48" s="140">
        <f t="shared" si="92"/>
        <v>7.3642300641613215E-2</v>
      </c>
      <c r="AC48" s="140">
        <f t="shared" si="92"/>
        <v>7.8668478260869562E-2</v>
      </c>
      <c r="AD48" s="141">
        <f t="shared" si="92"/>
        <v>8.2620642747239764E-2</v>
      </c>
      <c r="AE48" s="140">
        <f t="shared" si="92"/>
        <v>6.0399865591397831E-2</v>
      </c>
      <c r="AF48" s="140">
        <f t="shared" si="92"/>
        <v>7.5827386638197436E-2</v>
      </c>
      <c r="AG48" s="140">
        <f t="shared" si="92"/>
        <v>9.2176271969063098E-2</v>
      </c>
      <c r="AH48" s="140">
        <f t="shared" si="92"/>
        <v>9.8309571739790019E-2</v>
      </c>
      <c r="AI48" s="141">
        <f t="shared" si="92"/>
        <v>8.1669244831950497E-2</v>
      </c>
      <c r="AJ48" s="140">
        <f t="shared" si="92"/>
        <v>0.1020532572251933</v>
      </c>
      <c r="AK48" s="140">
        <f t="shared" si="92"/>
        <v>0.10611219453210073</v>
      </c>
      <c r="AL48" s="140">
        <f t="shared" si="92"/>
        <v>0.11050939170660985</v>
      </c>
      <c r="AM48" s="140">
        <f t="shared" si="92"/>
        <v>0.11303965256994535</v>
      </c>
      <c r="AN48" s="141">
        <f t="shared" si="92"/>
        <v>0.10797529453536867</v>
      </c>
      <c r="AO48" s="140">
        <f t="shared" ref="AO48:CB48" ca="1" si="93">AO47/AO22</f>
        <v>8.7488057207479639E-2</v>
      </c>
      <c r="AP48" s="140">
        <f t="shared" ca="1" si="93"/>
        <v>9.3912067303970947E-2</v>
      </c>
      <c r="AQ48" s="140">
        <f t="shared" ca="1" si="93"/>
        <v>9.9793773740548042E-2</v>
      </c>
      <c r="AR48" s="140">
        <f t="shared" ca="1" si="93"/>
        <v>0.10296926569041709</v>
      </c>
      <c r="AS48" s="141">
        <f t="shared" ca="1" si="93"/>
        <v>9.6048301143848935E-2</v>
      </c>
      <c r="AT48" s="140">
        <f t="shared" ca="1" si="93"/>
        <v>0.10159413183374076</v>
      </c>
      <c r="AU48" s="140">
        <f t="shared" ca="1" si="93"/>
        <v>0.11178556307087532</v>
      </c>
      <c r="AV48" s="140">
        <f t="shared" ca="1" si="93"/>
        <v>0.11348890134699295</v>
      </c>
      <c r="AW48" s="140">
        <f t="shared" ca="1" si="93"/>
        <v>8.660719946858976E-2</v>
      </c>
      <c r="AX48" s="141">
        <f t="shared" ca="1" si="93"/>
        <v>0.10147211667887746</v>
      </c>
      <c r="AY48" s="140">
        <f t="shared" ca="1" si="93"/>
        <v>6.5028275260841872E-2</v>
      </c>
      <c r="AZ48" s="140">
        <f t="shared" ca="1" si="93"/>
        <v>6.9789317083862296E-2</v>
      </c>
      <c r="BA48" s="140">
        <f t="shared" ca="1" si="93"/>
        <v>7.292096778337516E-2</v>
      </c>
      <c r="BB48" s="140">
        <f t="shared" ca="1" si="93"/>
        <v>7.465602800850614E-2</v>
      </c>
      <c r="BC48" s="141">
        <f t="shared" ca="1" si="93"/>
        <v>7.0614919515974386E-2</v>
      </c>
      <c r="BD48" s="140">
        <f t="shared" ca="1" si="93"/>
        <v>7.0335564813556586E-2</v>
      </c>
      <c r="BE48" s="140">
        <f t="shared" ca="1" si="93"/>
        <v>7.2235341275962137E-2</v>
      </c>
      <c r="BF48" s="140">
        <f t="shared" ca="1" si="93"/>
        <v>7.5721107008122721E-2</v>
      </c>
      <c r="BG48" s="140">
        <f t="shared" ca="1" si="93"/>
        <v>7.2696220044543555E-2</v>
      </c>
      <c r="BH48" s="141">
        <f t="shared" ca="1" si="93"/>
        <v>7.2772421932246922E-2</v>
      </c>
      <c r="BI48" s="140">
        <f t="shared" ca="1" si="93"/>
        <v>7.4225198510252915E-2</v>
      </c>
      <c r="BJ48" s="140">
        <f t="shared" ca="1" si="93"/>
        <v>7.8728492354512417E-2</v>
      </c>
      <c r="BK48" s="140">
        <f t="shared" ca="1" si="93"/>
        <v>8.1054076795317509E-2</v>
      </c>
      <c r="BL48" s="140">
        <f t="shared" ca="1" si="93"/>
        <v>8.5799414655249734E-2</v>
      </c>
      <c r="BM48" s="141">
        <f t="shared" ca="1" si="93"/>
        <v>8.0882795836914614E-2</v>
      </c>
      <c r="BN48" s="140">
        <f t="shared" ca="1" si="93"/>
        <v>7.7969550769484156E-2</v>
      </c>
      <c r="BO48" s="140">
        <f t="shared" ca="1" si="93"/>
        <v>8.2868358898182087E-2</v>
      </c>
      <c r="BP48" s="140">
        <f t="shared" ca="1" si="93"/>
        <v>7.8409606058106374E-2</v>
      </c>
      <c r="BQ48" s="140">
        <f t="shared" ca="1" si="93"/>
        <v>7.3947923437560598E-2</v>
      </c>
      <c r="BR48" s="276">
        <f t="shared" ca="1" si="93"/>
        <v>7.8327271467194245E-2</v>
      </c>
      <c r="BS48" s="140">
        <f t="shared" ca="1" si="93"/>
        <v>7.3804905223488065E-2</v>
      </c>
      <c r="BT48" s="140">
        <f t="shared" ca="1" si="93"/>
        <v>8.0200460724787301E-2</v>
      </c>
      <c r="BU48" s="140">
        <f t="shared" ca="1" si="93"/>
        <v>8.2479297350417383E-2</v>
      </c>
      <c r="BV48" s="140">
        <f t="shared" ca="1" si="93"/>
        <v>7.7877850241340654E-2</v>
      </c>
      <c r="BW48" s="141">
        <f t="shared" ca="1" si="93"/>
        <v>7.8674469278633072E-2</v>
      </c>
      <c r="BX48" s="140">
        <f t="shared" ca="1" si="93"/>
        <v>7.6748230933762332E-2</v>
      </c>
      <c r="BY48" s="140">
        <f t="shared" ca="1" si="93"/>
        <v>8.659226048903744E-2</v>
      </c>
      <c r="BZ48" s="140">
        <f t="shared" ca="1" si="93"/>
        <v>8.9430536600167559E-2</v>
      </c>
      <c r="CA48" s="140">
        <f t="shared" ca="1" si="93"/>
        <v>9.0711751054025402E-2</v>
      </c>
      <c r="CB48" s="141">
        <f t="shared" ca="1" si="93"/>
        <v>8.5941838589543476E-2</v>
      </c>
      <c r="CC48" s="140">
        <f t="shared" ref="CC48:CD48" ca="1" si="94">CC47/CC22</f>
        <v>7.6328851199518682E-2</v>
      </c>
      <c r="CD48" s="140">
        <f t="shared" ca="1" si="94"/>
        <v>8.9471305637874643E-2</v>
      </c>
      <c r="CE48" s="140">
        <f t="shared" ref="CE48" ca="1" si="95">CE47/CE22</f>
        <v>9.3477132449798883E-2</v>
      </c>
      <c r="CF48" s="140">
        <f t="shared" ref="CF48:CL48" ca="1" si="96">CF47/CF22</f>
        <v>0.10086940870580999</v>
      </c>
      <c r="CG48" s="141">
        <f t="shared" ca="1" si="96"/>
        <v>9.0049547671540192E-2</v>
      </c>
      <c r="CH48" s="140">
        <f t="shared" ca="1" si="96"/>
        <v>9.9145813269113425E-2</v>
      </c>
      <c r="CI48" s="140">
        <f t="shared" ref="CI48" ca="1" si="97">CI47/CI22</f>
        <v>9.6965047390352957E-2</v>
      </c>
      <c r="CJ48" s="140">
        <f t="shared" ref="CJ48:CK48" ca="1" si="98">CJ47/CJ22</f>
        <v>9.9653695341820683E-2</v>
      </c>
      <c r="CK48" s="140">
        <f t="shared" ca="1" si="98"/>
        <v>9.6667451588145561E-2</v>
      </c>
      <c r="CL48" s="141">
        <f t="shared" ca="1" si="96"/>
        <v>9.8093780013551082E-2</v>
      </c>
      <c r="CM48" s="140">
        <f t="shared" ref="CM48:CV48" ca="1" si="99">CM47/CM22</f>
        <v>7.9881036941360645E-2</v>
      </c>
      <c r="CN48" s="140">
        <f t="shared" ca="1" si="99"/>
        <v>9.2461572035022768E-2</v>
      </c>
      <c r="CO48" s="140">
        <f t="shared" ca="1" si="99"/>
        <v>9.3265945770196923E-2</v>
      </c>
      <c r="CP48" s="140">
        <f t="shared" ca="1" si="99"/>
        <v>9.8063161783666614E-2</v>
      </c>
      <c r="CQ48" s="141">
        <f t="shared" ca="1" si="99"/>
        <v>9.1015329196803829E-2</v>
      </c>
      <c r="CR48" s="140">
        <f t="shared" ca="1" si="99"/>
        <v>7.5655976928989663E-2</v>
      </c>
      <c r="CS48" s="140">
        <f t="shared" ca="1" si="99"/>
        <v>8.4598875659174219E-2</v>
      </c>
      <c r="CT48" s="140">
        <f t="shared" ca="1" si="99"/>
        <v>8.4239616609438989E-2</v>
      </c>
      <c r="CU48" s="140">
        <f t="shared" ca="1" si="99"/>
        <v>8.8291528801377459E-2</v>
      </c>
      <c r="CV48" s="141">
        <f t="shared" ca="1" si="99"/>
        <v>8.3277480498894926E-2</v>
      </c>
      <c r="CW48" s="140">
        <f t="shared" ref="CW48:DF48" ca="1" si="100">CW47/CW22</f>
        <v>7.1211631475930334E-2</v>
      </c>
      <c r="CX48" s="140">
        <f t="shared" ca="1" si="100"/>
        <v>7.8402819392459466E-2</v>
      </c>
      <c r="CY48" s="140">
        <f t="shared" ca="1" si="100"/>
        <v>7.730976595423443E-2</v>
      </c>
      <c r="CZ48" s="140">
        <f t="shared" ca="1" si="100"/>
        <v>8.0877469075205127E-2</v>
      </c>
      <c r="DA48" s="141">
        <f t="shared" ca="1" si="100"/>
        <v>7.7012873496684744E-2</v>
      </c>
      <c r="DB48" s="140">
        <f t="shared" ca="1" si="100"/>
        <v>6.5532451233880323E-2</v>
      </c>
      <c r="DC48" s="140">
        <f t="shared" ca="1" si="100"/>
        <v>7.0777572918275022E-2</v>
      </c>
      <c r="DD48" s="140">
        <f t="shared" ca="1" si="100"/>
        <v>7.1762082574268027E-2</v>
      </c>
      <c r="DE48" s="140">
        <f t="shared" ca="1" si="100"/>
        <v>7.4164320074429163E-2</v>
      </c>
      <c r="DF48" s="141">
        <f t="shared" ca="1" si="100"/>
        <v>7.0616691171717344E-2</v>
      </c>
    </row>
    <row r="49" spans="2:110" s="77" customFormat="1" ht="12" customHeight="1" outlineLevel="1" thickBot="1" x14ac:dyDescent="0.25">
      <c r="B49" s="498"/>
      <c r="P49" s="79"/>
      <c r="Q49" s="79"/>
      <c r="R49" s="79"/>
      <c r="S49" s="79"/>
      <c r="T49" s="79"/>
      <c r="U49" s="66"/>
      <c r="V49" s="66"/>
      <c r="W49" s="66"/>
      <c r="X49" s="66"/>
      <c r="Y49" s="66"/>
      <c r="Z49" s="66"/>
      <c r="AA49" s="66"/>
      <c r="AB49" s="66"/>
      <c r="AC49" s="66"/>
      <c r="AD49" s="66"/>
      <c r="AE49" s="66"/>
      <c r="AF49" s="66"/>
      <c r="AG49" s="66"/>
      <c r="AH49" s="66"/>
      <c r="AI49" s="66"/>
      <c r="AJ49" s="66"/>
      <c r="AK49" s="66"/>
      <c r="AL49" s="66"/>
      <c r="AM49" s="66"/>
      <c r="AN49" s="66"/>
      <c r="AO49" s="66"/>
      <c r="AP49" s="66"/>
      <c r="AQ49" s="66"/>
      <c r="AR49" s="66"/>
      <c r="AS49" s="66"/>
      <c r="AT49" s="66"/>
      <c r="AU49" s="66"/>
      <c r="AV49" s="66"/>
      <c r="AW49" s="66"/>
      <c r="AX49" s="66"/>
      <c r="AY49" s="66"/>
      <c r="AZ49" s="66"/>
      <c r="BA49" s="66"/>
      <c r="BB49" s="66"/>
      <c r="BC49" s="66"/>
      <c r="BD49" s="66"/>
      <c r="BE49" s="66"/>
      <c r="BF49" s="66"/>
      <c r="BG49" s="66"/>
      <c r="BH49" s="66"/>
      <c r="BI49" s="66"/>
      <c r="BJ49" s="66"/>
      <c r="BK49" s="66"/>
      <c r="BL49" s="66"/>
      <c r="BM49" s="66"/>
      <c r="BN49" s="66"/>
      <c r="BO49" s="66"/>
      <c r="BP49" s="66"/>
      <c r="BQ49" s="66"/>
      <c r="BR49" s="66"/>
      <c r="BS49" s="66"/>
      <c r="BT49" s="66"/>
      <c r="BU49" s="66"/>
      <c r="BV49" s="66"/>
      <c r="BW49" s="66"/>
      <c r="BX49" s="66"/>
      <c r="BY49" s="66"/>
      <c r="BZ49" s="66"/>
      <c r="CA49" s="66"/>
      <c r="CB49" s="66"/>
      <c r="CC49" s="66"/>
      <c r="CD49" s="66"/>
      <c r="CE49" s="66"/>
      <c r="CF49" s="66"/>
      <c r="CG49" s="66"/>
      <c r="CH49" s="66"/>
      <c r="CI49" s="66"/>
      <c r="CJ49" s="66"/>
      <c r="CK49" s="66"/>
      <c r="CL49" s="66"/>
      <c r="CM49" s="66"/>
      <c r="CN49" s="66"/>
      <c r="CO49" s="66"/>
      <c r="CP49" s="66"/>
      <c r="CQ49" s="66"/>
      <c r="CR49" s="66"/>
      <c r="CS49" s="66"/>
      <c r="CT49" s="66"/>
      <c r="CU49" s="66"/>
      <c r="CV49" s="66"/>
      <c r="CW49" s="66"/>
      <c r="CX49" s="66"/>
      <c r="CY49" s="66"/>
      <c r="CZ49" s="66"/>
      <c r="DA49" s="66"/>
      <c r="DB49" s="66"/>
      <c r="DC49" s="66"/>
      <c r="DD49" s="66"/>
      <c r="DE49" s="66"/>
      <c r="DF49" s="66"/>
    </row>
    <row r="50" spans="2:110" s="77" customFormat="1" ht="11.25" customHeight="1" outlineLevel="2" x14ac:dyDescent="0.2">
      <c r="B50" s="1506" t="s">
        <v>507</v>
      </c>
      <c r="C50" s="60"/>
      <c r="D50" s="60"/>
      <c r="E50" s="60"/>
      <c r="F50" s="60"/>
      <c r="G50" s="60"/>
      <c r="H50" s="60"/>
      <c r="I50" s="60"/>
      <c r="J50" s="60"/>
      <c r="K50" s="60"/>
      <c r="L50" s="60"/>
      <c r="M50" s="60"/>
      <c r="N50" s="60"/>
      <c r="O50" s="60"/>
      <c r="P50" s="1507">
        <v>197.99600000000055</v>
      </c>
      <c r="Q50" s="1507">
        <v>204.03200000000015</v>
      </c>
      <c r="R50" s="1507">
        <v>192.61599999999999</v>
      </c>
      <c r="S50" s="1507">
        <v>221.35600000000068</v>
      </c>
      <c r="T50" s="1508"/>
      <c r="U50" s="1507">
        <v>137.29399999999987</v>
      </c>
      <c r="V50" s="1507">
        <v>54.125</v>
      </c>
      <c r="W50" s="1507">
        <v>35.37900000000036</v>
      </c>
      <c r="X50" s="1507">
        <v>48.285999999999603</v>
      </c>
      <c r="Y50" s="1508">
        <v>849</v>
      </c>
      <c r="Z50" s="1507">
        <v>238.8</v>
      </c>
      <c r="AA50" s="1507">
        <v>247.3</v>
      </c>
      <c r="AB50" s="1507">
        <v>257.10000000000002</v>
      </c>
      <c r="AC50" s="1507">
        <v>289.5</v>
      </c>
      <c r="AD50" s="1508">
        <v>1039</v>
      </c>
      <c r="AE50" s="1507">
        <v>215.7</v>
      </c>
      <c r="AF50" s="1507">
        <v>269.89999999999998</v>
      </c>
      <c r="AG50" s="1507">
        <v>319.39999999999998</v>
      </c>
      <c r="AH50" s="1507">
        <v>356.50000000000091</v>
      </c>
      <c r="AI50" s="1508">
        <v>1257.0999999999999</v>
      </c>
      <c r="AJ50" s="1507">
        <v>0</v>
      </c>
      <c r="AK50" s="1507">
        <v>0</v>
      </c>
      <c r="AL50" s="1507">
        <v>0</v>
      </c>
      <c r="AM50" s="1507">
        <v>0</v>
      </c>
      <c r="AN50" s="1508">
        <v>0</v>
      </c>
      <c r="AO50" s="1507">
        <v>0</v>
      </c>
      <c r="AP50" s="1507">
        <v>0</v>
      </c>
      <c r="AQ50" s="1507">
        <v>0</v>
      </c>
      <c r="AR50" s="1507">
        <v>0</v>
      </c>
      <c r="AS50" s="1508">
        <v>0</v>
      </c>
      <c r="AT50" s="1507">
        <v>0</v>
      </c>
      <c r="AU50" s="1507">
        <v>0</v>
      </c>
      <c r="AV50" s="1507">
        <v>0</v>
      </c>
      <c r="AW50" s="1507">
        <v>0</v>
      </c>
      <c r="AX50" s="1508">
        <v>0</v>
      </c>
      <c r="AY50" s="1516">
        <f ca="1">PBM!AY9</f>
        <v>704.90000099999975</v>
      </c>
      <c r="AZ50" s="1507">
        <f ca="1">PBM!AZ9</f>
        <v>764.20000100000061</v>
      </c>
      <c r="BA50" s="1507">
        <f ca="1">PBM!BA9</f>
        <v>794.69999900000084</v>
      </c>
      <c r="BB50" s="1517">
        <f ca="1">PBM!BB9</f>
        <v>821.500001</v>
      </c>
      <c r="BC50" s="1508">
        <f ca="1">SUM(AY50:BB50)</f>
        <v>3085.3000020000013</v>
      </c>
      <c r="BD50" s="1516">
        <f>PBM!BD9</f>
        <v>761.2</v>
      </c>
      <c r="BE50" s="1507">
        <f>PBM!BE9</f>
        <v>798.8</v>
      </c>
      <c r="BF50" s="1507">
        <f>PBM!BF9</f>
        <v>852.9</v>
      </c>
      <c r="BG50" s="1517">
        <f>PBM!BG9</f>
        <v>859.8</v>
      </c>
      <c r="BH50" s="1508">
        <f>SUM(BD50:BG50)</f>
        <v>3272.7</v>
      </c>
      <c r="BI50" s="1516">
        <f>PBM!BI9</f>
        <v>847.6</v>
      </c>
      <c r="BJ50" s="1507">
        <f>PBM!BJ9</f>
        <v>2037.8</v>
      </c>
      <c r="BK50" s="1507">
        <f>PBM!BK9</f>
        <v>2060.5</v>
      </c>
      <c r="BL50" s="1517">
        <f>PBM!BL9</f>
        <v>2266.1</v>
      </c>
      <c r="BM50" s="1508">
        <f>PBM!BM9</f>
        <v>7212</v>
      </c>
      <c r="BN50" s="1516">
        <f>PBM!BN9</f>
        <v>1995.1</v>
      </c>
      <c r="BO50" s="1507">
        <f>PBM!BO9</f>
        <v>2146.1</v>
      </c>
      <c r="BP50" s="1507">
        <f>PBM!BP9</f>
        <v>1988.4</v>
      </c>
      <c r="BQ50" s="1517">
        <f>PBM!BQ9</f>
        <v>1866.5000000000009</v>
      </c>
      <c r="BR50" s="1508">
        <f>PBM!BR9</f>
        <v>7996.1000000000013</v>
      </c>
      <c r="BS50" s="1516">
        <f>PBM!BS9</f>
        <v>1707.6</v>
      </c>
      <c r="BT50" s="1507">
        <f>PBM!BT9</f>
        <v>1965.3</v>
      </c>
      <c r="BU50" s="1507">
        <f>PBM!BU9</f>
        <v>2075.3139801890147</v>
      </c>
      <c r="BV50" s="1517">
        <f>PBM!BV9</f>
        <v>2000.5860198109854</v>
      </c>
      <c r="BW50" s="1508">
        <f>PBM!BW9</f>
        <v>7748.7999999999993</v>
      </c>
      <c r="BX50" s="1516">
        <f>PBM!BX9</f>
        <v>1863</v>
      </c>
      <c r="BY50" s="1507">
        <f>PBM!BY9</f>
        <v>2146.1</v>
      </c>
      <c r="BZ50" s="1507">
        <f>PBM!BZ9</f>
        <v>2194.1999999999998</v>
      </c>
      <c r="CA50" s="1517">
        <f>PBM!CA9</f>
        <v>2309.7000000000003</v>
      </c>
      <c r="CB50" s="1508">
        <f>PBM!CB9</f>
        <v>8513</v>
      </c>
      <c r="CC50" s="1516">
        <f>PBM!CC9</f>
        <v>1831</v>
      </c>
      <c r="CD50" s="1507">
        <f>PBM!CD9</f>
        <v>2173.1999999999998</v>
      </c>
      <c r="CE50" s="1507">
        <f>PBM!CE9</f>
        <v>2286.9</v>
      </c>
      <c r="CF50" s="1517">
        <f>PBM!CF9</f>
        <v>2417.6</v>
      </c>
      <c r="CG50" s="1508">
        <f>PBM!CG9</f>
        <v>8708.7000000000007</v>
      </c>
      <c r="CH50" s="1516">
        <f>PBM!CH9</f>
        <v>2341.8999999999996</v>
      </c>
      <c r="CI50" s="1507">
        <f>PBM!CI9</f>
        <v>2344.8000000000002</v>
      </c>
      <c r="CJ50" s="1507">
        <f>PBM!CJ9</f>
        <v>2346.3000000000002</v>
      </c>
      <c r="CK50" s="1507">
        <f>PBM!CK9</f>
        <v>2320.5999999999995</v>
      </c>
      <c r="CL50" s="1508">
        <f>PBM!CL9</f>
        <v>9353.5999999999985</v>
      </c>
      <c r="CM50" s="1516">
        <f ca="1">PBM!CM9</f>
        <v>1856.9291399933527</v>
      </c>
      <c r="CN50" s="1507">
        <f ca="1">PBM!CN9</f>
        <v>2199.3274137174803</v>
      </c>
      <c r="CO50" s="1507">
        <f ca="1">PBM!CO9</f>
        <v>2216.7877277423231</v>
      </c>
      <c r="CP50" s="1517">
        <f ca="1">PBM!CP9</f>
        <v>2378.3831126133919</v>
      </c>
      <c r="CQ50" s="1508">
        <f ca="1">PBM!CQ9</f>
        <v>8651.427394066548</v>
      </c>
      <c r="CR50" s="1516">
        <f ca="1">PBM!CR9</f>
        <v>1839.7176117592983</v>
      </c>
      <c r="CS50" s="1507">
        <f ca="1">PBM!CS9</f>
        <v>2116.0645919921876</v>
      </c>
      <c r="CT50" s="1507">
        <f ca="1">PBM!CT9</f>
        <v>2110.4463631609924</v>
      </c>
      <c r="CU50" s="1517">
        <f ca="1">PBM!CU9</f>
        <v>2257.0114704258062</v>
      </c>
      <c r="CV50" s="1508">
        <f ca="1">PBM!CV9</f>
        <v>8323.2400373382843</v>
      </c>
      <c r="CW50" s="1516">
        <f ca="1">PBM!CW9</f>
        <v>1626.6954522976312</v>
      </c>
      <c r="CX50" s="1507">
        <f ca="1">PBM!CX9</f>
        <v>1842.801757519215</v>
      </c>
      <c r="CY50" s="1507">
        <f ca="1">PBM!CY9</f>
        <v>1823.7342832288045</v>
      </c>
      <c r="CZ50" s="1517">
        <f ca="1">PBM!CZ9</f>
        <v>1943.0428843112377</v>
      </c>
      <c r="DA50" s="1508">
        <f ca="1">PBM!DA9</f>
        <v>7236.2743773568882</v>
      </c>
      <c r="DB50" s="1516">
        <f ca="1">PBM!DB9</f>
        <v>1411.3798845297629</v>
      </c>
      <c r="DC50" s="1507">
        <f ca="1">PBM!DC9</f>
        <v>1568.8863326054584</v>
      </c>
      <c r="DD50" s="1507">
        <f ca="1">PBM!DD9</f>
        <v>1599.897343034902</v>
      </c>
      <c r="DE50" s="1517">
        <f ca="1">PBM!DE9</f>
        <v>1680.7416153258298</v>
      </c>
      <c r="DF50" s="1508">
        <f ca="1">PBM!DF9</f>
        <v>6260.9051754959537</v>
      </c>
    </row>
    <row r="51" spans="2:110" s="77" customFormat="1" ht="11.25" customHeight="1" outlineLevel="2" thickBot="1" x14ac:dyDescent="0.25">
      <c r="B51" s="1513" t="s">
        <v>508</v>
      </c>
      <c r="C51" s="63"/>
      <c r="D51" s="63"/>
      <c r="E51" s="63"/>
      <c r="F51" s="63"/>
      <c r="G51" s="63"/>
      <c r="H51" s="63"/>
      <c r="I51" s="63"/>
      <c r="J51" s="63"/>
      <c r="K51" s="63"/>
      <c r="L51" s="63"/>
      <c r="M51" s="63"/>
      <c r="N51" s="63"/>
      <c r="O51" s="63"/>
      <c r="P51" s="1119"/>
      <c r="Q51" s="1119"/>
      <c r="R51" s="1119"/>
      <c r="S51" s="1119"/>
      <c r="T51" s="1121"/>
      <c r="U51" s="1119"/>
      <c r="V51" s="1119"/>
      <c r="W51" s="1119"/>
      <c r="X51" s="1119"/>
      <c r="Y51" s="1121"/>
      <c r="Z51" s="1119"/>
      <c r="AA51" s="1119"/>
      <c r="AB51" s="1119"/>
      <c r="AC51" s="1119"/>
      <c r="AD51" s="1121"/>
      <c r="AE51" s="1119"/>
      <c r="AF51" s="1119"/>
      <c r="AG51" s="1119"/>
      <c r="AH51" s="1119"/>
      <c r="AI51" s="1121"/>
      <c r="AJ51" s="1119"/>
      <c r="AK51" s="1119"/>
      <c r="AL51" s="1119"/>
      <c r="AM51" s="1119"/>
      <c r="AN51" s="1121"/>
      <c r="AO51" s="1119">
        <f t="shared" ref="AO51:AX51" si="101">AO74-AO50</f>
        <v>0</v>
      </c>
      <c r="AP51" s="1119">
        <f t="shared" si="101"/>
        <v>0</v>
      </c>
      <c r="AQ51" s="1119">
        <f t="shared" si="101"/>
        <v>0</v>
      </c>
      <c r="AR51" s="1119">
        <f t="shared" si="101"/>
        <v>0</v>
      </c>
      <c r="AS51" s="1121">
        <f t="shared" si="101"/>
        <v>0</v>
      </c>
      <c r="AT51" s="1119">
        <f t="shared" si="101"/>
        <v>0</v>
      </c>
      <c r="AU51" s="1119">
        <f t="shared" si="101"/>
        <v>0</v>
      </c>
      <c r="AV51" s="1119">
        <f t="shared" si="101"/>
        <v>0</v>
      </c>
      <c r="AW51" s="1119">
        <f t="shared" si="101"/>
        <v>0</v>
      </c>
      <c r="AX51" s="1121">
        <f t="shared" si="101"/>
        <v>0</v>
      </c>
      <c r="AY51" s="1555">
        <f t="shared" ref="AY51:BG51" ca="1" si="102">AY47-AY50</f>
        <v>0</v>
      </c>
      <c r="AZ51" s="1552">
        <f t="shared" ca="1" si="102"/>
        <v>0</v>
      </c>
      <c r="BA51" s="1552">
        <f t="shared" ca="1" si="102"/>
        <v>0</v>
      </c>
      <c r="BB51" s="1553">
        <f t="shared" ca="1" si="102"/>
        <v>0</v>
      </c>
      <c r="BC51" s="1554">
        <f t="shared" ca="1" si="102"/>
        <v>0</v>
      </c>
      <c r="BD51" s="1555">
        <f t="shared" ca="1" si="102"/>
        <v>-3.8336176521625021E-4</v>
      </c>
      <c r="BE51" s="1552">
        <f t="shared" ca="1" si="102"/>
        <v>7.4431972166166815E-5</v>
      </c>
      <c r="BF51" s="1552">
        <f t="shared" ca="1" si="102"/>
        <v>-1.6699260822861106E-4</v>
      </c>
      <c r="BG51" s="1553">
        <f t="shared" ca="1" si="102"/>
        <v>3.3328299196000444E-6</v>
      </c>
      <c r="BH51" s="1554">
        <v>0</v>
      </c>
      <c r="BI51" s="1555">
        <v>0</v>
      </c>
      <c r="BJ51" s="1552">
        <v>0</v>
      </c>
      <c r="BK51" s="1552">
        <v>0</v>
      </c>
      <c r="BL51" s="1553">
        <v>0</v>
      </c>
      <c r="BM51" s="1554">
        <v>0</v>
      </c>
      <c r="BN51" s="1122">
        <f t="shared" ref="BN51:BQ51" ca="1" si="103">BN47-BN50</f>
        <v>4.5899971473772894E-4</v>
      </c>
      <c r="BO51" s="1119">
        <f t="shared" ca="1" si="103"/>
        <v>-1.0176254954785691E-4</v>
      </c>
      <c r="BP51" s="1119">
        <f t="shared" ca="1" si="103"/>
        <v>4.8819487310538534E-3</v>
      </c>
      <c r="BQ51" s="1123">
        <f t="shared" ca="1" si="103"/>
        <v>4.4557377350429306E-3</v>
      </c>
      <c r="BR51" s="1121">
        <f t="shared" ref="BR51:BT51" ca="1" si="104">BR47-BR50</f>
        <v>9.6949236303771613E-3</v>
      </c>
      <c r="BS51" s="1122">
        <f t="shared" ca="1" si="104"/>
        <v>1.950684276607717E-3</v>
      </c>
      <c r="BT51" s="1119">
        <f t="shared" ca="1" si="104"/>
        <v>4.2700148403582716E-3</v>
      </c>
      <c r="BU51" s="1119">
        <f ca="1">BU47-BU50</f>
        <v>-2.8919767523802875E-3</v>
      </c>
      <c r="BV51" s="1123">
        <f ca="1">BV47-BV50</f>
        <v>2.4994687662456272E-3</v>
      </c>
      <c r="BW51" s="1121">
        <f ca="1">SUM(BS51:BV51)</f>
        <v>5.8281911308313283E-3</v>
      </c>
      <c r="BX51" s="1122">
        <f t="shared" ref="BX51:CG51" ca="1" si="105">BX47-BX50</f>
        <v>1.9073323335305759E-3</v>
      </c>
      <c r="BY51" s="1119">
        <f t="shared" ca="1" si="105"/>
        <v>2.5839603040367365E-3</v>
      </c>
      <c r="BZ51" s="1119">
        <f t="shared" ca="1" si="105"/>
        <v>-3.8984075686130382E-3</v>
      </c>
      <c r="CA51" s="1123">
        <f t="shared" ca="1" si="105"/>
        <v>2.6053375950141344E-3</v>
      </c>
      <c r="CB51" s="1121">
        <f t="shared" ca="1" si="105"/>
        <v>3.1982226646505296E-3</v>
      </c>
      <c r="CC51" s="1122">
        <f t="shared" ref="CC51:CD51" ca="1" si="106">CC47-CC50</f>
        <v>-6.1877058578829747E-4</v>
      </c>
      <c r="CD51" s="1119">
        <f t="shared" ca="1" si="106"/>
        <v>-4.615969971382583E-3</v>
      </c>
      <c r="CE51" s="1119">
        <f t="shared" ref="CE51" ca="1" si="107">CE47-CE50</f>
        <v>-6.5004216048691887E-4</v>
      </c>
      <c r="CF51" s="1123">
        <f t="shared" ca="1" si="105"/>
        <v>-2.3599026285410218E-3</v>
      </c>
      <c r="CG51" s="1121">
        <f t="shared" ca="1" si="105"/>
        <v>-8.244685348472558E-3</v>
      </c>
      <c r="CH51" s="1122">
        <f t="shared" ref="CH51:CQ51" ca="1" si="108">CH47-CH50</f>
        <v>-0.40307176732858352</v>
      </c>
      <c r="CI51" s="1119">
        <f t="shared" ref="CI51" ca="1" si="109">CI47-CI50</f>
        <v>0.50329773520570598</v>
      </c>
      <c r="CJ51" s="1119">
        <f t="shared" ref="CJ51:CK51" ca="1" si="110">CJ47-CJ50</f>
        <v>-1.5980291499722625</v>
      </c>
      <c r="CK51" s="1119">
        <f t="shared" ca="1" si="110"/>
        <v>0.46055588122908375</v>
      </c>
      <c r="CL51" s="1121">
        <f t="shared" ca="1" si="108"/>
        <v>-1.0372473008646921</v>
      </c>
      <c r="CM51" s="1122">
        <f t="shared" ca="1" si="108"/>
        <v>0</v>
      </c>
      <c r="CN51" s="1119">
        <f t="shared" ca="1" si="108"/>
        <v>0</v>
      </c>
      <c r="CO51" s="1119">
        <f t="shared" ca="1" si="108"/>
        <v>0</v>
      </c>
      <c r="CP51" s="1123">
        <f t="shared" ca="1" si="108"/>
        <v>0</v>
      </c>
      <c r="CQ51" s="1121">
        <f t="shared" ca="1" si="108"/>
        <v>0</v>
      </c>
      <c r="CR51" s="1122">
        <f t="shared" ref="CR51:CV51" ca="1" si="111">CR47-CR50</f>
        <v>0</v>
      </c>
      <c r="CS51" s="1119">
        <f t="shared" ca="1" si="111"/>
        <v>0</v>
      </c>
      <c r="CT51" s="1119">
        <f t="shared" ca="1" si="111"/>
        <v>0</v>
      </c>
      <c r="CU51" s="1123">
        <f t="shared" ca="1" si="111"/>
        <v>0</v>
      </c>
      <c r="CV51" s="1121">
        <f t="shared" ca="1" si="111"/>
        <v>0</v>
      </c>
      <c r="CW51" s="1122">
        <f t="shared" ref="CW51:DF51" ca="1" si="112">CW47-CW50</f>
        <v>0</v>
      </c>
      <c r="CX51" s="1119">
        <f t="shared" ca="1" si="112"/>
        <v>0</v>
      </c>
      <c r="CY51" s="1119">
        <f t="shared" ca="1" si="112"/>
        <v>0</v>
      </c>
      <c r="CZ51" s="1123">
        <f t="shared" ca="1" si="112"/>
        <v>0</v>
      </c>
      <c r="DA51" s="1121">
        <f t="shared" ca="1" si="112"/>
        <v>0</v>
      </c>
      <c r="DB51" s="1122">
        <f t="shared" ca="1" si="112"/>
        <v>0</v>
      </c>
      <c r="DC51" s="1119">
        <f t="shared" ca="1" si="112"/>
        <v>0</v>
      </c>
      <c r="DD51" s="1119">
        <f t="shared" ca="1" si="112"/>
        <v>0</v>
      </c>
      <c r="DE51" s="1123">
        <f t="shared" ca="1" si="112"/>
        <v>0</v>
      </c>
      <c r="DF51" s="1121">
        <f t="shared" ca="1" si="112"/>
        <v>0</v>
      </c>
    </row>
    <row r="52" spans="2:110" ht="12" thickBot="1" x14ac:dyDescent="0.25"/>
    <row r="53" spans="2:110" s="77" customFormat="1" ht="13.5" thickBot="1" x14ac:dyDescent="0.25">
      <c r="B53" s="963" t="s">
        <v>355</v>
      </c>
      <c r="C53" s="819"/>
      <c r="D53" s="819"/>
      <c r="E53" s="960"/>
      <c r="F53" s="960"/>
      <c r="G53" s="960"/>
      <c r="H53" s="819"/>
      <c r="I53" s="819"/>
      <c r="J53" s="819"/>
      <c r="K53" s="819"/>
      <c r="L53" s="819"/>
      <c r="M53" s="819"/>
      <c r="N53" s="819"/>
      <c r="O53" s="819"/>
      <c r="P53" s="819"/>
      <c r="Q53" s="819"/>
      <c r="R53" s="819"/>
      <c r="S53" s="819"/>
      <c r="T53" s="819"/>
      <c r="U53" s="819"/>
      <c r="V53" s="819"/>
      <c r="W53" s="819"/>
      <c r="X53" s="819"/>
      <c r="Y53" s="819"/>
      <c r="Z53" s="819"/>
      <c r="AA53" s="819"/>
      <c r="AB53" s="819"/>
      <c r="AC53" s="819"/>
      <c r="AD53" s="819"/>
      <c r="AE53" s="819"/>
      <c r="AF53" s="819"/>
      <c r="AG53" s="819"/>
      <c r="AH53" s="819"/>
      <c r="AI53" s="819"/>
      <c r="AJ53" s="819"/>
      <c r="AK53" s="819"/>
      <c r="AL53" s="819"/>
      <c r="AM53" s="819"/>
      <c r="AN53" s="819"/>
      <c r="AO53" s="819"/>
      <c r="AP53" s="819"/>
      <c r="AQ53" s="819"/>
      <c r="AR53" s="819"/>
      <c r="AS53" s="819"/>
      <c r="AT53" s="819"/>
      <c r="AU53" s="819"/>
      <c r="AV53" s="819"/>
      <c r="AW53" s="819"/>
      <c r="AX53" s="819"/>
      <c r="AY53" s="819"/>
      <c r="AZ53" s="819"/>
      <c r="BA53" s="819"/>
      <c r="BB53" s="819"/>
      <c r="BC53" s="819"/>
      <c r="BD53" s="819"/>
      <c r="BE53" s="819"/>
      <c r="BF53" s="819"/>
      <c r="BG53" s="819"/>
      <c r="BH53" s="819"/>
      <c r="BI53" s="819"/>
      <c r="BJ53" s="819"/>
      <c r="BK53" s="819"/>
      <c r="BL53" s="819"/>
      <c r="BM53" s="819"/>
      <c r="BN53" s="819"/>
      <c r="BO53" s="819"/>
      <c r="BP53" s="819"/>
      <c r="BQ53" s="819"/>
      <c r="BR53" s="819"/>
      <c r="BS53" s="819"/>
      <c r="BT53" s="819"/>
      <c r="BU53" s="819"/>
      <c r="BV53" s="819"/>
      <c r="BW53" s="819"/>
      <c r="BX53" s="819"/>
      <c r="BY53" s="819"/>
      <c r="BZ53" s="819"/>
      <c r="CA53" s="819"/>
      <c r="CB53" s="872"/>
      <c r="CC53" s="819"/>
      <c r="CD53" s="819"/>
      <c r="CE53" s="819"/>
      <c r="CF53" s="819"/>
      <c r="CG53" s="872"/>
      <c r="CH53" s="819"/>
      <c r="CI53" s="819"/>
      <c r="CJ53" s="819"/>
      <c r="CK53" s="819"/>
      <c r="CL53" s="872"/>
      <c r="CM53" s="819"/>
      <c r="CN53" s="819"/>
      <c r="CO53" s="819"/>
      <c r="CP53" s="819"/>
      <c r="CQ53" s="872"/>
      <c r="CR53" s="819"/>
      <c r="CS53" s="819"/>
      <c r="CT53" s="819"/>
      <c r="CU53" s="819"/>
      <c r="CV53" s="872"/>
      <c r="CW53" s="819"/>
      <c r="CX53" s="819"/>
      <c r="CY53" s="819"/>
      <c r="CZ53" s="819"/>
      <c r="DA53" s="872"/>
      <c r="DB53" s="819"/>
      <c r="DC53" s="819"/>
      <c r="DD53" s="819"/>
      <c r="DE53" s="819"/>
      <c r="DF53" s="872"/>
    </row>
    <row r="54" spans="2:110" x14ac:dyDescent="0.2">
      <c r="B54" s="273" t="s">
        <v>293</v>
      </c>
      <c r="C54" s="165"/>
      <c r="D54" s="274"/>
      <c r="E54" s="165"/>
      <c r="F54" s="165"/>
      <c r="G54" s="165"/>
      <c r="H54" s="165"/>
      <c r="I54" s="165"/>
      <c r="J54" s="165"/>
      <c r="K54" s="165"/>
      <c r="L54" s="165"/>
      <c r="M54" s="165"/>
      <c r="N54" s="165"/>
      <c r="O54" s="165"/>
      <c r="P54" s="167"/>
      <c r="Q54" s="167"/>
      <c r="R54" s="167"/>
      <c r="S54" s="167"/>
      <c r="T54" s="246"/>
      <c r="U54" s="166">
        <f t="shared" ref="U54:AN54" si="113">U37/U$47</f>
        <v>0.19144306792137489</v>
      </c>
      <c r="V54" s="166">
        <f t="shared" si="113"/>
        <v>0.19282280665247079</v>
      </c>
      <c r="W54" s="166">
        <f t="shared" si="113"/>
        <v>0.18138781516349661</v>
      </c>
      <c r="X54" s="166">
        <f t="shared" si="113"/>
        <v>0.16583443449188204</v>
      </c>
      <c r="Y54" s="214">
        <f t="shared" si="113"/>
        <v>0.18207820433577135</v>
      </c>
      <c r="Z54" s="166">
        <f t="shared" si="113"/>
        <v>0.1550791308559582</v>
      </c>
      <c r="AA54" s="166">
        <f t="shared" si="113"/>
        <v>0.14938585460901929</v>
      </c>
      <c r="AB54" s="166">
        <f t="shared" si="113"/>
        <v>0.13620794140303427</v>
      </c>
      <c r="AC54" s="166">
        <f t="shared" si="113"/>
        <v>0.13036229356979298</v>
      </c>
      <c r="AD54" s="214">
        <f t="shared" si="113"/>
        <v>0.12385860260024335</v>
      </c>
      <c r="AE54" s="166">
        <f t="shared" si="113"/>
        <v>0.16442041232661767</v>
      </c>
      <c r="AF54" s="166">
        <f t="shared" si="113"/>
        <v>0.13324129307150798</v>
      </c>
      <c r="AG54" s="166">
        <f t="shared" si="113"/>
        <v>0.11290015654351893</v>
      </c>
      <c r="AH54" s="166">
        <f t="shared" si="113"/>
        <v>0.11289744740532941</v>
      </c>
      <c r="AI54" s="214">
        <f t="shared" si="113"/>
        <v>0.1271937649064584</v>
      </c>
      <c r="AJ54" s="166">
        <f t="shared" si="113"/>
        <v>0.12119574803149599</v>
      </c>
      <c r="AK54" s="166">
        <f t="shared" si="113"/>
        <v>0.12145736364536655</v>
      </c>
      <c r="AL54" s="166">
        <f t="shared" si="113"/>
        <v>0.11074917777765961</v>
      </c>
      <c r="AM54" s="166">
        <f t="shared" si="113"/>
        <v>0.1272854450686739</v>
      </c>
      <c r="AN54" s="214">
        <f t="shared" si="113"/>
        <v>0.12026126632227407</v>
      </c>
      <c r="AO54" s="166">
        <f t="shared" ref="AO54:CB54" ca="1" si="114">AO37/AO$47</f>
        <v>0.2098906601134107</v>
      </c>
      <c r="AP54" s="166">
        <f t="shared" ca="1" si="114"/>
        <v>0.20729408555714562</v>
      </c>
      <c r="AQ54" s="166">
        <f t="shared" ca="1" si="114"/>
        <v>0.2122121287167251</v>
      </c>
      <c r="AR54" s="166">
        <f t="shared" ca="1" si="114"/>
        <v>0.23589608854319707</v>
      </c>
      <c r="AS54" s="214">
        <f t="shared" ca="1" si="114"/>
        <v>0.21687442251770958</v>
      </c>
      <c r="AT54" s="166">
        <f t="shared" ca="1" si="114"/>
        <v>0.24138552607120833</v>
      </c>
      <c r="AU54" s="166">
        <f t="shared" ca="1" si="114"/>
        <v>0.2350020658090797</v>
      </c>
      <c r="AV54" s="166">
        <f t="shared" ca="1" si="114"/>
        <v>0.23965775781996468</v>
      </c>
      <c r="AW54" s="166">
        <f t="shared" ca="1" si="114"/>
        <v>0.25796890629677716</v>
      </c>
      <c r="AX54" s="214">
        <f t="shared" ca="1" si="114"/>
        <v>0.24416225661875879</v>
      </c>
      <c r="AY54" s="166">
        <f t="shared" ca="1" si="114"/>
        <v>0.27474584320732831</v>
      </c>
      <c r="AZ54" s="166">
        <f t="shared" ca="1" si="114"/>
        <v>0.27028523053334041</v>
      </c>
      <c r="BA54" s="166">
        <f t="shared" ca="1" si="114"/>
        <v>0.27263552726337814</v>
      </c>
      <c r="BB54" s="166">
        <f t="shared" ca="1" si="114"/>
        <v>0.27150345136213133</v>
      </c>
      <c r="BC54" s="214">
        <f t="shared" ca="1" si="114"/>
        <v>0.2722340961527413</v>
      </c>
      <c r="BD54" s="166">
        <f t="shared" ca="1" si="114"/>
        <v>0.29428336026501511</v>
      </c>
      <c r="BE54" s="166">
        <f t="shared" ca="1" si="114"/>
        <v>0.28802627493399208</v>
      </c>
      <c r="BF54" s="166">
        <f t="shared" ca="1" si="114"/>
        <v>0.27983752017010999</v>
      </c>
      <c r="BG54" s="166">
        <f t="shared" ca="1" si="114"/>
        <v>0.3007284364147183</v>
      </c>
      <c r="BH54" s="214">
        <f t="shared" ca="1" si="114"/>
        <v>0.29068463748612666</v>
      </c>
      <c r="BI54" s="166">
        <f t="shared" ca="1" si="114"/>
        <v>0.28440018741719397</v>
      </c>
      <c r="BJ54" s="166">
        <f t="shared" ca="1" si="114"/>
        <v>0.25007289192258708</v>
      </c>
      <c r="BK54" s="166">
        <f ca="1">BK37/BK$47</f>
        <v>0.24874284098031116</v>
      </c>
      <c r="BL54" s="166">
        <f t="shared" ca="1" si="114"/>
        <v>0.25112755416745125</v>
      </c>
      <c r="BM54" s="214">
        <f t="shared" ca="1" si="114"/>
        <v>0.25406789663885698</v>
      </c>
      <c r="BN54" s="166">
        <f t="shared" ca="1" si="114"/>
        <v>0.2714629718310565</v>
      </c>
      <c r="BO54" s="166">
        <f t="shared" ca="1" si="114"/>
        <v>0.30462120963447692</v>
      </c>
      <c r="BP54" s="166">
        <f t="shared" ca="1" si="114"/>
        <v>0.25874235088971054</v>
      </c>
      <c r="BQ54" s="166">
        <f t="shared" ca="1" si="114"/>
        <v>0.26010492231495486</v>
      </c>
      <c r="BR54" s="214">
        <f t="shared" ca="1" si="114"/>
        <v>0.27454788398275309</v>
      </c>
      <c r="BS54" s="166">
        <f t="shared" ca="1" si="114"/>
        <v>0.27666033809111068</v>
      </c>
      <c r="BT54" s="166">
        <f t="shared" ca="1" si="114"/>
        <v>0.28039773385282896</v>
      </c>
      <c r="BU54" s="166">
        <f t="shared" ca="1" si="114"/>
        <v>0.24410364546672189</v>
      </c>
      <c r="BV54" s="166">
        <f t="shared" ca="1" si="114"/>
        <v>0.22958890021427308</v>
      </c>
      <c r="BW54" s="214">
        <f t="shared" ca="1" si="114"/>
        <v>0.25673588431394023</v>
      </c>
      <c r="BX54" s="166">
        <f t="shared" ca="1" si="114"/>
        <v>0.230579178123092</v>
      </c>
      <c r="BY54" s="166">
        <f t="shared" ca="1" si="114"/>
        <v>0.23727592415185658</v>
      </c>
      <c r="BZ54" s="166">
        <f t="shared" ca="1" si="114"/>
        <v>0.20604128103135666</v>
      </c>
      <c r="CA54" s="166">
        <f t="shared" ca="1" si="114"/>
        <v>0.19459820670801417</v>
      </c>
      <c r="CB54" s="214">
        <f t="shared" ca="1" si="114"/>
        <v>0.21618068739668442</v>
      </c>
      <c r="CC54" s="166">
        <f t="shared" ref="CC54:CD54" ca="1" si="115">CC37/CC$47</f>
        <v>0.20304068439051018</v>
      </c>
      <c r="CD54" s="166">
        <f t="shared" ca="1" si="115"/>
        <v>0.2061183108549533</v>
      </c>
      <c r="CE54" s="166">
        <f t="shared" ref="CE54" ca="1" si="116">CE37/CE$47</f>
        <v>0.18543885053833936</v>
      </c>
      <c r="CF54" s="166">
        <f t="shared" ref="CF54:CG56" ca="1" si="117">CF37/CF$47</f>
        <v>0.19106623203258344</v>
      </c>
      <c r="CG54" s="214">
        <f t="shared" ca="1" si="117"/>
        <v>0.19586225296972531</v>
      </c>
      <c r="CH54" s="166">
        <f t="shared" ref="CH54:CL56" ca="1" si="118">CH37/CH$47</f>
        <v>0.20816140830019381</v>
      </c>
      <c r="CI54" s="166">
        <f t="shared" ref="CI54" ca="1" si="119">CI37/CI$47</f>
        <v>0.18872567174558605</v>
      </c>
      <c r="CJ54" s="166">
        <f t="shared" ref="CJ54:CK54" ca="1" si="120">CJ37/CJ$47</f>
        <v>0.19356297649645082</v>
      </c>
      <c r="CK54" s="166">
        <f t="shared" ca="1" si="120"/>
        <v>0.19860406413196621</v>
      </c>
      <c r="CL54" s="214">
        <f t="shared" ca="1" si="118"/>
        <v>0.19725585801180795</v>
      </c>
      <c r="CM54" s="166">
        <f t="shared" ref="CM54:CQ56" ca="1" si="121">CM37/CM$47</f>
        <v>0.20038497317568268</v>
      </c>
      <c r="CN54" s="166">
        <f t="shared" ca="1" si="121"/>
        <v>0.17463806153404787</v>
      </c>
      <c r="CO54" s="166">
        <f t="shared" ca="1" si="121"/>
        <v>0.1758954779006083</v>
      </c>
      <c r="CP54" s="166">
        <f t="shared" ca="1" si="121"/>
        <v>0.18818274961127784</v>
      </c>
      <c r="CQ54" s="214">
        <f t="shared" ca="1" si="121"/>
        <v>0.18421013204665884</v>
      </c>
      <c r="CR54" s="166">
        <f t="shared" ref="CR54:CV54" ca="1" si="122">CR37/CR$47</f>
        <v>0.18191515311653045</v>
      </c>
      <c r="CS54" s="166">
        <f t="shared" ca="1" si="122"/>
        <v>0.16356330931993635</v>
      </c>
      <c r="CT54" s="166">
        <f t="shared" ca="1" si="122"/>
        <v>0.14955036141399003</v>
      </c>
      <c r="CU54" s="166">
        <f t="shared" ca="1" si="122"/>
        <v>0.16691409558737266</v>
      </c>
      <c r="CV54" s="214">
        <f t="shared" ca="1" si="122"/>
        <v>0.16497518718041052</v>
      </c>
      <c r="CW54" s="166">
        <f t="shared" ref="CW54:DF54" ca="1" si="123">CW37/CW$47</f>
        <v>0.15659860698922395</v>
      </c>
      <c r="CX54" s="166">
        <f t="shared" ca="1" si="123"/>
        <v>0.13808602948149742</v>
      </c>
      <c r="CY54" s="166">
        <f t="shared" ca="1" si="123"/>
        <v>0.12293959971291314</v>
      </c>
      <c r="CZ54" s="166">
        <f t="shared" ca="1" si="123"/>
        <v>0.14190073422630345</v>
      </c>
      <c r="DA54" s="214">
        <f t="shared" ca="1" si="123"/>
        <v>0.13945460629303655</v>
      </c>
      <c r="DB54" s="166">
        <f t="shared" ca="1" si="123"/>
        <v>0.12316137311059952</v>
      </c>
      <c r="DC54" s="166">
        <f t="shared" ca="1" si="123"/>
        <v>0.11067879244607599</v>
      </c>
      <c r="DD54" s="166">
        <f t="shared" ca="1" si="123"/>
        <v>0.10245406688644604</v>
      </c>
      <c r="DE54" s="166">
        <f t="shared" ca="1" si="123"/>
        <v>0.11493018901861167</v>
      </c>
      <c r="DF54" s="214">
        <f t="shared" ca="1" si="123"/>
        <v>0.11253226977951611</v>
      </c>
    </row>
    <row r="55" spans="2:110" x14ac:dyDescent="0.2">
      <c r="B55" s="95" t="s">
        <v>294</v>
      </c>
      <c r="C55" s="77"/>
      <c r="D55" s="203"/>
      <c r="E55" s="77"/>
      <c r="F55" s="77"/>
      <c r="G55" s="77"/>
      <c r="H55" s="77"/>
      <c r="I55" s="77"/>
      <c r="J55" s="77"/>
      <c r="K55" s="77"/>
      <c r="L55" s="77"/>
      <c r="M55" s="77"/>
      <c r="N55" s="77"/>
      <c r="O55" s="77"/>
      <c r="P55" s="78"/>
      <c r="Q55" s="78"/>
      <c r="R55" s="78"/>
      <c r="S55" s="78"/>
      <c r="T55" s="247"/>
      <c r="U55" s="66">
        <f t="shared" ref="U55:AN55" si="124">U38/U$47</f>
        <v>5.4144677323786382E-2</v>
      </c>
      <c r="V55" s="66">
        <f t="shared" si="124"/>
        <v>-1.2296561132806953E-3</v>
      </c>
      <c r="W55" s="66">
        <f t="shared" si="124"/>
        <v>9.6653997850377961E-4</v>
      </c>
      <c r="X55" s="66">
        <f t="shared" si="124"/>
        <v>3.6483781726812756E-2</v>
      </c>
      <c r="Y55" s="136">
        <f t="shared" si="124"/>
        <v>2.3174134465626779E-2</v>
      </c>
      <c r="Z55" s="66">
        <f t="shared" si="124"/>
        <v>0.16177311855242646</v>
      </c>
      <c r="AA55" s="66">
        <f t="shared" si="124"/>
        <v>0.15808077489299596</v>
      </c>
      <c r="AB55" s="66">
        <f t="shared" si="124"/>
        <v>0.14444258130321266</v>
      </c>
      <c r="AC55" s="66">
        <f t="shared" si="124"/>
        <v>0.13544740311678405</v>
      </c>
      <c r="AD55" s="136">
        <f t="shared" si="124"/>
        <v>0.1300526258191054</v>
      </c>
      <c r="AE55" s="66">
        <f t="shared" si="124"/>
        <v>0.17083404456295653</v>
      </c>
      <c r="AF55" s="66">
        <f t="shared" si="124"/>
        <v>0.1363380326046684</v>
      </c>
      <c r="AG55" s="66">
        <f t="shared" si="124"/>
        <v>0.11262973700688773</v>
      </c>
      <c r="AH55" s="66">
        <f t="shared" si="124"/>
        <v>0.10718769144460011</v>
      </c>
      <c r="AI55" s="136">
        <f t="shared" si="124"/>
        <v>0.12727756212848018</v>
      </c>
      <c r="AJ55" s="66">
        <f t="shared" si="124"/>
        <v>0.10460573445560681</v>
      </c>
      <c r="AK55" s="66">
        <f t="shared" si="124"/>
        <v>0.10000516284356895</v>
      </c>
      <c r="AL55" s="66">
        <f t="shared" si="124"/>
        <v>0.2022567918035594</v>
      </c>
      <c r="AM55" s="66">
        <f t="shared" si="124"/>
        <v>0.19302208522968328</v>
      </c>
      <c r="AN55" s="136">
        <f t="shared" si="124"/>
        <v>0.1518796210163573</v>
      </c>
      <c r="AO55" s="66">
        <f t="shared" ref="AO55:CB55" ca="1" si="125">AO38/AO$47</f>
        <v>9.3802654712247843E-2</v>
      </c>
      <c r="AP55" s="66">
        <f t="shared" ca="1" si="125"/>
        <v>0.11271567353003398</v>
      </c>
      <c r="AQ55" s="66">
        <f t="shared" ca="1" si="125"/>
        <v>9.25753616680495E-2</v>
      </c>
      <c r="AR55" s="66">
        <f t="shared" ca="1" si="125"/>
        <v>9.9682473668265423E-2</v>
      </c>
      <c r="AS55" s="136">
        <f t="shared" ca="1" si="125"/>
        <v>9.9720743493182815E-2</v>
      </c>
      <c r="AT55" s="66">
        <f t="shared" ca="1" si="125"/>
        <v>9.4169769530554115E-2</v>
      </c>
      <c r="AU55" s="66">
        <f t="shared" ca="1" si="125"/>
        <v>0.10260604333640531</v>
      </c>
      <c r="AV55" s="66">
        <f t="shared" ca="1" si="125"/>
        <v>0.11101047788986494</v>
      </c>
      <c r="AW55" s="66">
        <f t="shared" ca="1" si="125"/>
        <v>0.10367908623538548</v>
      </c>
      <c r="AX55" s="136">
        <f t="shared" ca="1" si="125"/>
        <v>0.10318543633471663</v>
      </c>
      <c r="AY55" s="66">
        <f t="shared" ca="1" si="125"/>
        <v>0.13005502631265703</v>
      </c>
      <c r="AZ55" s="66">
        <f t="shared" ca="1" si="125"/>
        <v>0.11942260061263719</v>
      </c>
      <c r="BA55" s="66">
        <f t="shared" ca="1" si="125"/>
        <v>0.11576497645234056</v>
      </c>
      <c r="BB55" s="66">
        <f t="shared" ca="1" si="125"/>
        <v>0.11810565954764539</v>
      </c>
      <c r="BC55" s="136">
        <f t="shared" ca="1" si="125"/>
        <v>0.12055902685370475</v>
      </c>
      <c r="BD55" s="66">
        <f t="shared" ca="1" si="125"/>
        <v>0.10763545512243691</v>
      </c>
      <c r="BE55" s="66">
        <f t="shared" ca="1" si="125"/>
        <v>0.10813905520320201</v>
      </c>
      <c r="BF55" s="66">
        <f t="shared" ca="1" si="125"/>
        <v>0.11313615213883034</v>
      </c>
      <c r="BG55" s="66">
        <f t="shared" ca="1" si="125"/>
        <v>0.10213912173379666</v>
      </c>
      <c r="BH55" s="136">
        <f t="shared" ca="1" si="125"/>
        <v>0.10774792248454923</v>
      </c>
      <c r="BI55" s="66">
        <f t="shared" ca="1" si="125"/>
        <v>6.7307775660056454E-2</v>
      </c>
      <c r="BJ55" s="66">
        <f t="shared" ca="1" si="125"/>
        <v>4.9846068517514809E-2</v>
      </c>
      <c r="BK55" s="66">
        <f t="shared" ca="1" si="125"/>
        <v>4.7424101512496999E-2</v>
      </c>
      <c r="BL55" s="66">
        <f t="shared" ca="1" si="125"/>
        <v>4.5005470129491618E-2</v>
      </c>
      <c r="BM55" s="136">
        <f t="shared" ca="1" si="125"/>
        <v>4.9709835893504042E-2</v>
      </c>
      <c r="BN55" s="66">
        <f t="shared" ca="1" si="125"/>
        <v>4.9127416059736632E-2</v>
      </c>
      <c r="BO55" s="66">
        <f t="shared" ca="1" si="125"/>
        <v>6.0065792223669083E-2</v>
      </c>
      <c r="BP55" s="66">
        <f t="shared" ca="1" si="125"/>
        <v>5.1766946506894895E-2</v>
      </c>
      <c r="BQ55" s="66">
        <f t="shared" ca="1" si="125"/>
        <v>5.5090159673383765E-2</v>
      </c>
      <c r="BR55" s="136">
        <f t="shared" ca="1" si="125"/>
        <v>5.4111438571093004E-2</v>
      </c>
      <c r="BS55" s="66">
        <f t="shared" ca="1" si="125"/>
        <v>4.6606549111230626E-2</v>
      </c>
      <c r="BT55" s="66">
        <f t="shared" ca="1" si="125"/>
        <v>5.040148784896431E-2</v>
      </c>
      <c r="BU55" s="66">
        <f t="shared" ca="1" si="125"/>
        <v>5.7105450755615038E-2</v>
      </c>
      <c r="BV55" s="66">
        <f t="shared" ca="1" si="125"/>
        <v>6.1794590961037975E-2</v>
      </c>
      <c r="BW55" s="136">
        <f t="shared" ca="1" si="125"/>
        <v>5.4302150185717615E-2</v>
      </c>
      <c r="BX55" s="66">
        <f t="shared" ca="1" si="125"/>
        <v>5.2500249636673733E-2</v>
      </c>
      <c r="BY55" s="66">
        <f t="shared" ca="1" si="125"/>
        <v>5.4130151117306305E-2</v>
      </c>
      <c r="BZ55" s="66">
        <f t="shared" ca="1" si="125"/>
        <v>5.0774661148959246E-2</v>
      </c>
      <c r="CA55" s="66">
        <f t="shared" ca="1" si="125"/>
        <v>4.6435941307875754E-2</v>
      </c>
      <c r="CB55" s="136">
        <f t="shared" ca="1" si="125"/>
        <v>5.0821042878817779E-2</v>
      </c>
      <c r="CC55" s="66">
        <f t="shared" ref="CC55:CD55" ca="1" si="126">CC38/CC$47</f>
        <v>4.5123496044682063E-2</v>
      </c>
      <c r="CD55" s="66">
        <f t="shared" ca="1" si="126"/>
        <v>4.5899731757480987E-2</v>
      </c>
      <c r="CE55" s="66">
        <f t="shared" ref="CE55" ca="1" si="127">CE38/CE$47</f>
        <v>4.3727852797975829E-2</v>
      </c>
      <c r="CF55" s="66">
        <f t="shared" ca="1" si="117"/>
        <v>4.2817785310673956E-2</v>
      </c>
      <c r="CG55" s="136">
        <f t="shared" ca="1" si="117"/>
        <v>4.4310622562203292E-2</v>
      </c>
      <c r="CH55" s="66">
        <f t="shared" ca="1" si="118"/>
        <v>5.4804184896529592E-2</v>
      </c>
      <c r="CI55" s="66">
        <f t="shared" ref="CI55" ca="1" si="128">CI38/CI$47</f>
        <v>4.2699933712489903E-2</v>
      </c>
      <c r="CJ55" s="66">
        <f t="shared" ref="CJ55:CK55" ca="1" si="129">CJ38/CJ$47</f>
        <v>6.2762526245100883E-2</v>
      </c>
      <c r="CK55" s="66">
        <f t="shared" ca="1" si="129"/>
        <v>5.9269300802369751E-2</v>
      </c>
      <c r="CL55" s="136">
        <f t="shared" ca="1" si="118"/>
        <v>5.4872145181794604E-2</v>
      </c>
      <c r="CM55" s="66">
        <f t="shared" ca="1" si="121"/>
        <v>4.4171294746968695E-2</v>
      </c>
      <c r="CN55" s="66">
        <f t="shared" ca="1" si="121"/>
        <v>4.8425154301464914E-2</v>
      </c>
      <c r="CO55" s="66">
        <f t="shared" ca="1" si="121"/>
        <v>7.0055475817037971E-2</v>
      </c>
      <c r="CP55" s="66">
        <f t="shared" ca="1" si="121"/>
        <v>6.2918989930286662E-2</v>
      </c>
      <c r="CQ55" s="136">
        <f t="shared" ca="1" si="121"/>
        <v>5.7039063431229331E-2</v>
      </c>
      <c r="CR55" s="66">
        <f t="shared" ref="CR55:CV55" ca="1" si="130">CR38/CR$47</f>
        <v>4.9629780323269923E-2</v>
      </c>
      <c r="CS55" s="66">
        <f t="shared" ca="1" si="130"/>
        <v>5.6044441597615832E-2</v>
      </c>
      <c r="CT55" s="66">
        <f t="shared" ca="1" si="130"/>
        <v>8.1759629798940595E-2</v>
      </c>
      <c r="CU55" s="66">
        <f t="shared" ca="1" si="130"/>
        <v>7.3562033830441423E-2</v>
      </c>
      <c r="CV55" s="136">
        <f t="shared" ca="1" si="130"/>
        <v>6.5897187203106791E-2</v>
      </c>
      <c r="CW55" s="66">
        <f t="shared" ref="CW55:DF55" ca="1" si="131">CW38/CW$47</f>
        <v>5.4932679138343939E-2</v>
      </c>
      <c r="CX55" s="66">
        <f t="shared" ca="1" si="131"/>
        <v>6.3002457601586223E-2</v>
      </c>
      <c r="CY55" s="66">
        <f t="shared" ca="1" si="131"/>
        <v>9.2437323071156374E-2</v>
      </c>
      <c r="CZ55" s="66">
        <f t="shared" ca="1" si="131"/>
        <v>8.3372805655214974E-2</v>
      </c>
      <c r="DA55" s="136">
        <f t="shared" ca="1" si="131"/>
        <v>7.4076493356666842E-2</v>
      </c>
      <c r="DB55" s="66">
        <f t="shared" ca="1" si="131"/>
        <v>6.2339511918712467E-2</v>
      </c>
      <c r="DC55" s="66">
        <f t="shared" ca="1" si="131"/>
        <v>7.2884633584038669E-2</v>
      </c>
      <c r="DD55" s="66">
        <f t="shared" ca="1" si="131"/>
        <v>0.10358463661241885</v>
      </c>
      <c r="DE55" s="66">
        <f t="shared" ca="1" si="131"/>
        <v>9.4634538403343751E-2</v>
      </c>
      <c r="DF55" s="136">
        <f t="shared" ca="1" si="131"/>
        <v>8.4191249616836619E-2</v>
      </c>
    </row>
    <row r="56" spans="2:110" x14ac:dyDescent="0.2">
      <c r="B56" s="275" t="s">
        <v>285</v>
      </c>
      <c r="C56" s="77"/>
      <c r="D56" s="203"/>
      <c r="E56" s="77"/>
      <c r="F56" s="77"/>
      <c r="G56" s="77"/>
      <c r="H56" s="77"/>
      <c r="I56" s="77"/>
      <c r="J56" s="77"/>
      <c r="K56" s="77"/>
      <c r="L56" s="77"/>
      <c r="M56" s="77"/>
      <c r="N56" s="77"/>
      <c r="O56" s="77"/>
      <c r="P56" s="146"/>
      <c r="Q56" s="146"/>
      <c r="R56" s="146"/>
      <c r="S56" s="146"/>
      <c r="T56" s="231"/>
      <c r="U56" s="66">
        <f t="shared" ref="U56:AN56" si="132">U39/U$47</f>
        <v>0.24558774524516128</v>
      </c>
      <c r="V56" s="66">
        <f t="shared" si="132"/>
        <v>0.1915931505391901</v>
      </c>
      <c r="W56" s="66">
        <f t="shared" si="132"/>
        <v>0.18235435514200041</v>
      </c>
      <c r="X56" s="66">
        <f t="shared" si="132"/>
        <v>0.20231821621869478</v>
      </c>
      <c r="Y56" s="136">
        <f t="shared" si="132"/>
        <v>0.20525233880139812</v>
      </c>
      <c r="Z56" s="66">
        <f t="shared" si="132"/>
        <v>0.31685224940838469</v>
      </c>
      <c r="AA56" s="66">
        <f t="shared" si="132"/>
        <v>0.3074666295020152</v>
      </c>
      <c r="AB56" s="66">
        <f t="shared" si="132"/>
        <v>0.28065052270624691</v>
      </c>
      <c r="AC56" s="66">
        <f t="shared" si="132"/>
        <v>0.265809696686577</v>
      </c>
      <c r="AD56" s="136">
        <f t="shared" si="132"/>
        <v>0.25391122841934877</v>
      </c>
      <c r="AE56" s="66">
        <f t="shared" si="132"/>
        <v>0.33525445688957423</v>
      </c>
      <c r="AF56" s="66">
        <f t="shared" si="132"/>
        <v>0.26957932567617637</v>
      </c>
      <c r="AG56" s="66">
        <f t="shared" si="132"/>
        <v>0.2255298935504067</v>
      </c>
      <c r="AH56" s="66">
        <f t="shared" si="132"/>
        <v>0.22008513884992953</v>
      </c>
      <c r="AI56" s="136">
        <f t="shared" si="132"/>
        <v>0.25447132703493858</v>
      </c>
      <c r="AJ56" s="66">
        <f t="shared" si="132"/>
        <v>0.22580148248710283</v>
      </c>
      <c r="AK56" s="66">
        <f t="shared" si="132"/>
        <v>0.2214625264889355</v>
      </c>
      <c r="AL56" s="66">
        <f t="shared" si="132"/>
        <v>0.31300596958121901</v>
      </c>
      <c r="AM56" s="66">
        <f t="shared" si="132"/>
        <v>0.32030753029835718</v>
      </c>
      <c r="AN56" s="136">
        <f t="shared" si="132"/>
        <v>0.27214088733863134</v>
      </c>
      <c r="AO56" s="66">
        <f t="shared" ref="AO56:CB56" ca="1" si="133">AO39/AO$47</f>
        <v>0.30369331482565859</v>
      </c>
      <c r="AP56" s="66">
        <f t="shared" ca="1" si="133"/>
        <v>0.3200097590871796</v>
      </c>
      <c r="AQ56" s="66">
        <f t="shared" ca="1" si="133"/>
        <v>0.30478749038477454</v>
      </c>
      <c r="AR56" s="66">
        <f t="shared" ca="1" si="133"/>
        <v>0.33557856221146254</v>
      </c>
      <c r="AS56" s="136">
        <f t="shared" ca="1" si="133"/>
        <v>0.31659516601089238</v>
      </c>
      <c r="AT56" s="66">
        <f t="shared" ca="1" si="133"/>
        <v>0.33555529560176245</v>
      </c>
      <c r="AU56" s="66">
        <f t="shared" ca="1" si="133"/>
        <v>0.337608109145485</v>
      </c>
      <c r="AV56" s="66">
        <f t="shared" ca="1" si="133"/>
        <v>0.35066823570982963</v>
      </c>
      <c r="AW56" s="66">
        <f t="shared" ca="1" si="133"/>
        <v>0.36164799253216262</v>
      </c>
      <c r="AX56" s="136">
        <f t="shared" ca="1" si="133"/>
        <v>0.34734769295347545</v>
      </c>
      <c r="AY56" s="66">
        <f t="shared" ca="1" si="133"/>
        <v>0.40480086951998534</v>
      </c>
      <c r="AZ56" s="66">
        <f t="shared" ca="1" si="133"/>
        <v>0.38970783114597757</v>
      </c>
      <c r="BA56" s="66">
        <f t="shared" ca="1" si="133"/>
        <v>0.38840050371571866</v>
      </c>
      <c r="BB56" s="66">
        <f t="shared" ca="1" si="133"/>
        <v>0.38960911090977673</v>
      </c>
      <c r="BC56" s="136">
        <f t="shared" ca="1" si="133"/>
        <v>0.39279312300644609</v>
      </c>
      <c r="BD56" s="66">
        <f t="shared" ca="1" si="133"/>
        <v>0.401918815387452</v>
      </c>
      <c r="BE56" s="66">
        <f t="shared" ca="1" si="133"/>
        <v>0.39616533013719407</v>
      </c>
      <c r="BF56" s="66">
        <f t="shared" ca="1" si="133"/>
        <v>0.39297367230894031</v>
      </c>
      <c r="BG56" s="66">
        <f t="shared" ca="1" si="133"/>
        <v>0.40286755814851494</v>
      </c>
      <c r="BH56" s="136">
        <f t="shared" ca="1" si="133"/>
        <v>0.39843255997067584</v>
      </c>
      <c r="BI56" s="66">
        <f t="shared" ca="1" si="133"/>
        <v>0.35170796307725039</v>
      </c>
      <c r="BJ56" s="66">
        <f t="shared" ca="1" si="133"/>
        <v>0.29991896044010191</v>
      </c>
      <c r="BK56" s="66">
        <f t="shared" ca="1" si="133"/>
        <v>0.29616694249280817</v>
      </c>
      <c r="BL56" s="66">
        <f t="shared" ca="1" si="133"/>
        <v>0.29613302429694288</v>
      </c>
      <c r="BM56" s="136">
        <f t="shared" ca="1" si="133"/>
        <v>0.30377773253236107</v>
      </c>
      <c r="BN56" s="66">
        <f t="shared" ca="1" si="133"/>
        <v>0.32059038789079314</v>
      </c>
      <c r="BO56" s="66">
        <f t="shared" ca="1" si="133"/>
        <v>0.36468700185814601</v>
      </c>
      <c r="BP56" s="66">
        <f t="shared" ca="1" si="133"/>
        <v>0.31050929739660549</v>
      </c>
      <c r="BQ56" s="66">
        <f t="shared" ca="1" si="133"/>
        <v>0.31519508198833857</v>
      </c>
      <c r="BR56" s="136">
        <f t="shared" ca="1" si="133"/>
        <v>0.32865932255384611</v>
      </c>
      <c r="BS56" s="66">
        <f t="shared" ca="1" si="133"/>
        <v>0.32326688720234126</v>
      </c>
      <c r="BT56" s="66">
        <f t="shared" ca="1" si="133"/>
        <v>0.33079922170179321</v>
      </c>
      <c r="BU56" s="66">
        <f t="shared" ca="1" si="133"/>
        <v>0.30120909622233694</v>
      </c>
      <c r="BV56" s="66">
        <f t="shared" ca="1" si="133"/>
        <v>0.29138349117531109</v>
      </c>
      <c r="BW56" s="136">
        <f t="shared" ca="1" si="133"/>
        <v>0.31103803449965783</v>
      </c>
      <c r="BX56" s="66">
        <f t="shared" ca="1" si="133"/>
        <v>0.28307942775976574</v>
      </c>
      <c r="BY56" s="66">
        <f t="shared" ca="1" si="133"/>
        <v>0.2914060752691629</v>
      </c>
      <c r="BZ56" s="66">
        <f t="shared" ca="1" si="133"/>
        <v>0.25681594218031595</v>
      </c>
      <c r="CA56" s="66">
        <f t="shared" ca="1" si="133"/>
        <v>0.2410341480158899</v>
      </c>
      <c r="CB56" s="136">
        <f t="shared" ca="1" si="133"/>
        <v>0.26700173027550222</v>
      </c>
      <c r="CC56" s="66">
        <f t="shared" ref="CC56:CD56" ca="1" si="134">CC39/CC$47</f>
        <v>0.24816418043519223</v>
      </c>
      <c r="CD56" s="66">
        <f t="shared" ca="1" si="134"/>
        <v>0.25201804261243427</v>
      </c>
      <c r="CE56" s="66">
        <f t="shared" ref="CE56" ca="1" si="135">CE39/CE$47</f>
        <v>0.22916670333631517</v>
      </c>
      <c r="CF56" s="66">
        <f t="shared" ca="1" si="117"/>
        <v>0.23388401734325739</v>
      </c>
      <c r="CG56" s="136">
        <f t="shared" ca="1" si="117"/>
        <v>0.24017287553192862</v>
      </c>
      <c r="CH56" s="66">
        <f t="shared" ca="1" si="118"/>
        <v>0.26296559319672336</v>
      </c>
      <c r="CI56" s="66">
        <f t="shared" ref="CI56" ca="1" si="136">CI39/CI$47</f>
        <v>0.23142560545807594</v>
      </c>
      <c r="CJ56" s="66">
        <f t="shared" ref="CJ56:CK56" ca="1" si="137">CJ39/CJ$47</f>
        <v>0.25632550274155169</v>
      </c>
      <c r="CK56" s="66">
        <f t="shared" ca="1" si="137"/>
        <v>0.25787336493433599</v>
      </c>
      <c r="CL56" s="136">
        <f t="shared" ca="1" si="118"/>
        <v>0.25212800319360257</v>
      </c>
      <c r="CM56" s="66">
        <f t="shared" ca="1" si="121"/>
        <v>0.24455626792265139</v>
      </c>
      <c r="CN56" s="66">
        <f t="shared" ca="1" si="121"/>
        <v>0.22306321583551281</v>
      </c>
      <c r="CO56" s="66">
        <f t="shared" ca="1" si="121"/>
        <v>0.2459509537176463</v>
      </c>
      <c r="CP56" s="66">
        <f t="shared" ca="1" si="121"/>
        <v>0.25110173954156451</v>
      </c>
      <c r="CQ56" s="136">
        <f t="shared" ca="1" si="121"/>
        <v>0.24124919547788817</v>
      </c>
      <c r="CR56" s="66">
        <f t="shared" ref="CR56:CV56" ca="1" si="138">CR39/CR$47</f>
        <v>0.23154493343980037</v>
      </c>
      <c r="CS56" s="66">
        <f t="shared" ca="1" si="138"/>
        <v>0.21960775091755216</v>
      </c>
      <c r="CT56" s="66">
        <f t="shared" ca="1" si="138"/>
        <v>0.23130999121293061</v>
      </c>
      <c r="CU56" s="66">
        <f t="shared" ca="1" si="138"/>
        <v>0.24047612941781407</v>
      </c>
      <c r="CV56" s="136">
        <f t="shared" ca="1" si="138"/>
        <v>0.23087237438351729</v>
      </c>
      <c r="CW56" s="66">
        <f t="shared" ref="CW56:DF56" ca="1" si="139">CW39/CW$47</f>
        <v>0.21153128612756791</v>
      </c>
      <c r="CX56" s="66">
        <f t="shared" ca="1" si="139"/>
        <v>0.20108848708308366</v>
      </c>
      <c r="CY56" s="66">
        <f t="shared" ca="1" si="139"/>
        <v>0.21537692278406953</v>
      </c>
      <c r="CZ56" s="66">
        <f t="shared" ca="1" si="139"/>
        <v>0.22527353988151844</v>
      </c>
      <c r="DA56" s="136">
        <f t="shared" ca="1" si="139"/>
        <v>0.2135310996497034</v>
      </c>
      <c r="DB56" s="66">
        <f t="shared" ca="1" si="139"/>
        <v>0.18550088502931197</v>
      </c>
      <c r="DC56" s="66">
        <f t="shared" ca="1" si="139"/>
        <v>0.18356342603011469</v>
      </c>
      <c r="DD56" s="66">
        <f t="shared" ca="1" si="139"/>
        <v>0.20603870349886488</v>
      </c>
      <c r="DE56" s="66">
        <f t="shared" ca="1" si="139"/>
        <v>0.20956472742195539</v>
      </c>
      <c r="DF56" s="136">
        <f t="shared" ca="1" si="139"/>
        <v>0.19672351939635274</v>
      </c>
    </row>
    <row r="57" spans="2:110" ht="4.5" customHeight="1" x14ac:dyDescent="0.2">
      <c r="B57" s="275"/>
      <c r="C57" s="77"/>
      <c r="D57" s="203"/>
      <c r="E57" s="77"/>
      <c r="F57" s="77"/>
      <c r="G57" s="77"/>
      <c r="H57" s="77"/>
      <c r="I57" s="77"/>
      <c r="J57" s="77"/>
      <c r="K57" s="77"/>
      <c r="L57" s="77"/>
      <c r="M57" s="77"/>
      <c r="N57" s="77"/>
      <c r="O57" s="77"/>
      <c r="P57" s="146"/>
      <c r="Q57" s="146"/>
      <c r="R57" s="146"/>
      <c r="S57" s="146"/>
      <c r="T57" s="231"/>
      <c r="U57" s="66"/>
      <c r="V57" s="66"/>
      <c r="W57" s="66"/>
      <c r="X57" s="66"/>
      <c r="Y57" s="136"/>
      <c r="Z57" s="66"/>
      <c r="AA57" s="66"/>
      <c r="AB57" s="66"/>
      <c r="AC57" s="66"/>
      <c r="AD57" s="136"/>
      <c r="AE57" s="66"/>
      <c r="AF57" s="66"/>
      <c r="AG57" s="66"/>
      <c r="AH57" s="66"/>
      <c r="AI57" s="136"/>
      <c r="AJ57" s="66"/>
      <c r="AK57" s="66"/>
      <c r="AL57" s="66"/>
      <c r="AM57" s="66"/>
      <c r="AN57" s="136"/>
      <c r="AO57" s="66"/>
      <c r="AP57" s="66"/>
      <c r="AQ57" s="66"/>
      <c r="AR57" s="66"/>
      <c r="AS57" s="136"/>
      <c r="AT57" s="66"/>
      <c r="AU57" s="66"/>
      <c r="AV57" s="66"/>
      <c r="AW57" s="66"/>
      <c r="AX57" s="136"/>
      <c r="AY57" s="66"/>
      <c r="AZ57" s="66"/>
      <c r="BA57" s="66"/>
      <c r="BB57" s="66"/>
      <c r="BC57" s="136"/>
      <c r="BD57" s="66"/>
      <c r="BE57" s="66"/>
      <c r="BF57" s="66"/>
      <c r="BG57" s="66"/>
      <c r="BH57" s="136"/>
      <c r="BI57" s="66"/>
      <c r="BJ57" s="66"/>
      <c r="BK57" s="66"/>
      <c r="BL57" s="66"/>
      <c r="BM57" s="136"/>
      <c r="BN57" s="66"/>
      <c r="BO57" s="66"/>
      <c r="BP57" s="66"/>
      <c r="BQ57" s="66"/>
      <c r="BR57" s="136"/>
      <c r="BS57" s="66"/>
      <c r="BT57" s="66"/>
      <c r="BU57" s="66"/>
      <c r="BV57" s="66"/>
      <c r="BW57" s="136"/>
      <c r="BX57" s="66"/>
      <c r="BY57" s="66"/>
      <c r="BZ57" s="66"/>
      <c r="CA57" s="66"/>
      <c r="CB57" s="136"/>
      <c r="CC57" s="66"/>
      <c r="CD57" s="66"/>
      <c r="CE57" s="66"/>
      <c r="CF57" s="66"/>
      <c r="CG57" s="136"/>
      <c r="CH57" s="66"/>
      <c r="CI57" s="66"/>
      <c r="CJ57" s="66"/>
      <c r="CK57" s="66"/>
      <c r="CL57" s="136"/>
      <c r="CM57" s="66"/>
      <c r="CN57" s="66"/>
      <c r="CO57" s="66"/>
      <c r="CP57" s="66"/>
      <c r="CQ57" s="136"/>
      <c r="CR57" s="66"/>
      <c r="CS57" s="66"/>
      <c r="CT57" s="66"/>
      <c r="CU57" s="66"/>
      <c r="CV57" s="136"/>
      <c r="CW57" s="66"/>
      <c r="CX57" s="66"/>
      <c r="CY57" s="66"/>
      <c r="CZ57" s="66"/>
      <c r="DA57" s="136"/>
      <c r="DB57" s="66"/>
      <c r="DC57" s="66"/>
      <c r="DD57" s="66"/>
      <c r="DE57" s="66"/>
      <c r="DF57" s="136"/>
    </row>
    <row r="58" spans="2:110" x14ac:dyDescent="0.2">
      <c r="B58" s="95" t="s">
        <v>292</v>
      </c>
      <c r="C58" s="77"/>
      <c r="D58" s="77"/>
      <c r="E58" s="77"/>
      <c r="F58" s="77"/>
      <c r="G58" s="77"/>
      <c r="H58" s="77"/>
      <c r="I58" s="77"/>
      <c r="J58" s="77"/>
      <c r="K58" s="77"/>
      <c r="L58" s="77"/>
      <c r="M58" s="77"/>
      <c r="N58" s="77"/>
      <c r="O58" s="77"/>
      <c r="P58" s="146"/>
      <c r="Q58" s="146"/>
      <c r="R58" s="146"/>
      <c r="S58" s="146"/>
      <c r="T58" s="231"/>
      <c r="U58" s="66">
        <f t="shared" ref="U58:AN58" si="140">U41/U$47</f>
        <v>0.68207817211789479</v>
      </c>
      <c r="V58" s="66">
        <f t="shared" si="140"/>
        <v>0.72253144841706629</v>
      </c>
      <c r="W58" s="66">
        <f t="shared" si="140"/>
        <v>0.69778254666592188</v>
      </c>
      <c r="X58" s="66">
        <f t="shared" si="140"/>
        <v>0.65605594865620387</v>
      </c>
      <c r="Y58" s="136">
        <f t="shared" si="140"/>
        <v>0.68807016598280746</v>
      </c>
      <c r="Z58" s="66">
        <f t="shared" si="140"/>
        <v>0.56952333535675581</v>
      </c>
      <c r="AA58" s="66">
        <f t="shared" si="140"/>
        <v>0.57002862919530939</v>
      </c>
      <c r="AB58" s="66">
        <f t="shared" si="140"/>
        <v>0.5473710849096709</v>
      </c>
      <c r="AC58" s="66">
        <f t="shared" si="140"/>
        <v>0.5041054922279794</v>
      </c>
      <c r="AD58" s="136">
        <f t="shared" si="140"/>
        <v>0.47576528837553156</v>
      </c>
      <c r="AE58" s="66">
        <f t="shared" si="140"/>
        <v>0.73488567454798348</v>
      </c>
      <c r="AF58" s="66">
        <f t="shared" si="140"/>
        <v>0.61557465728047434</v>
      </c>
      <c r="AG58" s="66">
        <f t="shared" si="140"/>
        <v>0.50984380087664283</v>
      </c>
      <c r="AH58" s="66">
        <f t="shared" si="140"/>
        <v>0.51148478260869501</v>
      </c>
      <c r="AI58" s="136">
        <f t="shared" si="140"/>
        <v>0.57670845888936728</v>
      </c>
      <c r="AJ58" s="66">
        <f t="shared" si="140"/>
        <v>0.49412510181916891</v>
      </c>
      <c r="AK58" s="66">
        <f t="shared" si="140"/>
        <v>0.51476574215723081</v>
      </c>
      <c r="AL58" s="66">
        <f t="shared" si="140"/>
        <v>0.46981550154269608</v>
      </c>
      <c r="AM58" s="66">
        <f t="shared" si="140"/>
        <v>0.47804774070326206</v>
      </c>
      <c r="AN58" s="136">
        <f t="shared" si="140"/>
        <v>0.48874915857375739</v>
      </c>
      <c r="AO58" s="66">
        <f t="shared" ref="AO58:CB58" ca="1" si="141">AO41/AO$47</f>
        <v>0.38777719881702133</v>
      </c>
      <c r="AP58" s="66">
        <f t="shared" ca="1" si="141"/>
        <v>0.38181247195964163</v>
      </c>
      <c r="AQ58" s="66">
        <f t="shared" ca="1" si="141"/>
        <v>0.40344617668626537</v>
      </c>
      <c r="AR58" s="66">
        <f t="shared" ca="1" si="141"/>
        <v>0.3836427733812568</v>
      </c>
      <c r="AS58" s="136">
        <f t="shared" ca="1" si="141"/>
        <v>0.38922480629017941</v>
      </c>
      <c r="AT58" s="66">
        <f t="shared" ca="1" si="141"/>
        <v>0.36285480365575307</v>
      </c>
      <c r="AU58" s="66">
        <f t="shared" ca="1" si="141"/>
        <v>0.36736698816080404</v>
      </c>
      <c r="AV58" s="66">
        <f t="shared" ca="1" si="141"/>
        <v>0.35020367260713969</v>
      </c>
      <c r="AW58" s="66">
        <f t="shared" ca="1" si="141"/>
        <v>0.35370138719391692</v>
      </c>
      <c r="AX58" s="136">
        <f t="shared" ca="1" si="141"/>
        <v>0.35814659195143883</v>
      </c>
      <c r="AY58" s="66">
        <f t="shared" ca="1" si="141"/>
        <v>0.3235155512593833</v>
      </c>
      <c r="AZ58" s="66">
        <f t="shared" ca="1" si="141"/>
        <v>0.33320079078585818</v>
      </c>
      <c r="BA58" s="66">
        <f t="shared" ca="1" si="141"/>
        <v>0.33802979570108227</v>
      </c>
      <c r="BB58" s="66">
        <f t="shared" ca="1" si="141"/>
        <v>0.32827201539092937</v>
      </c>
      <c r="BC58" s="136">
        <f t="shared" ca="1" si="141"/>
        <v>0.33091948778845176</v>
      </c>
      <c r="BD58" s="66">
        <f t="shared" ca="1" si="141"/>
        <v>0.3027565342469779</v>
      </c>
      <c r="BE58" s="66">
        <f t="shared" ca="1" si="141"/>
        <v>0.31225555817167339</v>
      </c>
      <c r="BF58" s="66">
        <f t="shared" ca="1" si="141"/>
        <v>0.31954033237816803</v>
      </c>
      <c r="BG58" s="66">
        <f t="shared" ca="1" si="141"/>
        <v>0.3122696158631123</v>
      </c>
      <c r="BH58" s="136">
        <f t="shared" ca="1" si="141"/>
        <v>0.31194835494261641</v>
      </c>
      <c r="BI58" s="66">
        <f t="shared" ca="1" si="141"/>
        <v>0.33061944869209853</v>
      </c>
      <c r="BJ58" s="66">
        <f t="shared" ca="1" si="141"/>
        <v>0.42543358696694711</v>
      </c>
      <c r="BK58" s="66">
        <f t="shared" ca="1" si="141"/>
        <v>0.42747827234664121</v>
      </c>
      <c r="BL58" s="66">
        <f t="shared" ca="1" si="141"/>
        <v>0.43897769199830533</v>
      </c>
      <c r="BM58" s="136">
        <f t="shared" ca="1" si="141"/>
        <v>0.41904086680266772</v>
      </c>
      <c r="BN58" s="66">
        <f t="shared" ca="1" si="141"/>
        <v>0.3894722377120266</v>
      </c>
      <c r="BO58" s="66">
        <f t="shared" ca="1" si="141"/>
        <v>0.37245514339785085</v>
      </c>
      <c r="BP58" s="66">
        <f t="shared" ca="1" si="141"/>
        <v>0.4191846147069343</v>
      </c>
      <c r="BQ58" s="66">
        <f t="shared" ca="1" si="141"/>
        <v>0.37999909812894683</v>
      </c>
      <c r="BR58" s="136">
        <f t="shared" ca="1" si="141"/>
        <v>0.39008230861394028</v>
      </c>
      <c r="BS58" s="66">
        <f t="shared" ca="1" si="141"/>
        <v>0.34830921245911639</v>
      </c>
      <c r="BT58" s="66">
        <f t="shared" ca="1" si="141"/>
        <v>0.35349064112100814</v>
      </c>
      <c r="BU58" s="66">
        <f t="shared" ca="1" si="141"/>
        <v>0.37885662128031117</v>
      </c>
      <c r="BV58" s="66">
        <f t="shared" ca="1" si="141"/>
        <v>0.38169164961425978</v>
      </c>
      <c r="BW58" s="136">
        <f t="shared" ca="1" si="141"/>
        <v>0.36642335594742936</v>
      </c>
      <c r="BX58" s="66">
        <f t="shared" ca="1" si="141"/>
        <v>0.34325078494525335</v>
      </c>
      <c r="BY58" s="66">
        <f t="shared" ca="1" si="141"/>
        <v>0.35798266722994448</v>
      </c>
      <c r="BZ58" s="66">
        <f t="shared" ca="1" si="141"/>
        <v>0.3995384488129527</v>
      </c>
      <c r="CA58" s="66">
        <f t="shared" ca="1" si="141"/>
        <v>0.43007204137557342</v>
      </c>
      <c r="CB58" s="136">
        <f t="shared" ca="1" si="141"/>
        <v>0.38502847222652581</v>
      </c>
      <c r="CC58" s="66">
        <f t="shared" ref="CC58:CD58" ca="1" si="142">CC41/CC$47</f>
        <v>0.39359551261211356</v>
      </c>
      <c r="CD58" s="66">
        <f t="shared" ca="1" si="142"/>
        <v>0.4152506760055884</v>
      </c>
      <c r="CE58" s="66">
        <f t="shared" ref="CE58" ca="1" si="143">CE41/CE$47</f>
        <v>0.42301923466192132</v>
      </c>
      <c r="CF58" s="66">
        <f t="shared" ref="CF58:CG59" ca="1" si="144">CF41/CF$47</f>
        <v>0.45090993108528188</v>
      </c>
      <c r="CG58" s="136">
        <f t="shared" ca="1" si="144"/>
        <v>0.42263698082645257</v>
      </c>
      <c r="CH58" s="66">
        <f t="shared" ref="CH58:CL59" ca="1" si="145">CH41/CH$47</f>
        <v>0.42194957186519544</v>
      </c>
      <c r="CI58" s="66">
        <f t="shared" ref="CI58" ca="1" si="146">CI41/CI$47</f>
        <v>0.42308542033530677</v>
      </c>
      <c r="CJ58" s="66">
        <f t="shared" ref="CJ58:CK58" ca="1" si="147">CJ41/CJ$47</f>
        <v>0.4041462569355862</v>
      </c>
      <c r="CK58" s="66">
        <f t="shared" ca="1" si="147"/>
        <v>0.41051815690271853</v>
      </c>
      <c r="CL58" s="136">
        <f t="shared" ca="1" si="145"/>
        <v>0.41493410813159803</v>
      </c>
      <c r="CM58" s="66">
        <f t="shared" ref="CM58:CQ59" ca="1" si="148">CM41/CM$47</f>
        <v>0.40488616416400403</v>
      </c>
      <c r="CN58" s="66">
        <f t="shared" ca="1" si="148"/>
        <v>0.41411537885778438</v>
      </c>
      <c r="CO58" s="66">
        <f t="shared" ca="1" si="148"/>
        <v>0.39157569056752206</v>
      </c>
      <c r="CP58" s="66">
        <f t="shared" ca="1" si="148"/>
        <v>0.41500023691582771</v>
      </c>
      <c r="CQ58" s="136">
        <f t="shared" ca="1" si="148"/>
        <v>0.40660226366070201</v>
      </c>
      <c r="CR58" s="66">
        <f t="shared" ref="CR58:CV58" ca="1" si="149">CR41/CR$47</f>
        <v>0.3587976859180414</v>
      </c>
      <c r="CS58" s="66">
        <f t="shared" ca="1" si="149"/>
        <v>0.38146413320356504</v>
      </c>
      <c r="CT58" s="66">
        <f t="shared" ca="1" si="149"/>
        <v>0.3654805619557393</v>
      </c>
      <c r="CU58" s="66">
        <f t="shared" ca="1" si="149"/>
        <v>0.38668869237171949</v>
      </c>
      <c r="CV58" s="136">
        <f t="shared" ca="1" si="149"/>
        <v>0.37381801921171159</v>
      </c>
      <c r="CW58" s="66">
        <f t="shared" ref="CW58:DF58" ca="1" si="150">CW41/CW$47</f>
        <v>0.33967765368297903</v>
      </c>
      <c r="CX58" s="66">
        <f t="shared" ca="1" si="150"/>
        <v>0.355796855092189</v>
      </c>
      <c r="CY58" s="66">
        <f t="shared" ca="1" si="150"/>
        <v>0.33363371481884629</v>
      </c>
      <c r="CZ58" s="66">
        <f t="shared" ca="1" si="150"/>
        <v>0.35616301944679241</v>
      </c>
      <c r="DA58" s="136">
        <f t="shared" ca="1" si="150"/>
        <v>0.34668591845742919</v>
      </c>
      <c r="DB58" s="66">
        <f t="shared" ca="1" si="150"/>
        <v>0.30609346175618352</v>
      </c>
      <c r="DC58" s="66">
        <f t="shared" ca="1" si="150"/>
        <v>0.30571707961478506</v>
      </c>
      <c r="DD58" s="66">
        <f t="shared" ca="1" si="150"/>
        <v>0.28976222379438932</v>
      </c>
      <c r="DE58" s="66">
        <f t="shared" ca="1" si="150"/>
        <v>0.31591990844470819</v>
      </c>
      <c r="DF58" s="136">
        <f t="shared" ca="1" si="150"/>
        <v>0.30446381127357097</v>
      </c>
    </row>
    <row r="59" spans="2:110" x14ac:dyDescent="0.2">
      <c r="B59" s="95" t="s">
        <v>270</v>
      </c>
      <c r="C59" s="77"/>
      <c r="D59" s="77"/>
      <c r="E59" s="77"/>
      <c r="F59" s="77"/>
      <c r="G59" s="77"/>
      <c r="H59" s="77"/>
      <c r="I59" s="77"/>
      <c r="J59" s="77"/>
      <c r="K59" s="77"/>
      <c r="L59" s="77"/>
      <c r="M59" s="77"/>
      <c r="N59" s="77"/>
      <c r="O59" s="77"/>
      <c r="P59" s="146"/>
      <c r="Q59" s="146"/>
      <c r="R59" s="146"/>
      <c r="S59" s="146"/>
      <c r="T59" s="231"/>
      <c r="U59" s="66">
        <f t="shared" ref="U59:AN59" si="151">U42/U$47</f>
        <v>5.0441300193654705E-2</v>
      </c>
      <c r="V59" s="66">
        <f t="shared" si="151"/>
        <v>5.2542399001053536E-2</v>
      </c>
      <c r="W59" s="66">
        <f t="shared" si="151"/>
        <v>5.2766126171240366E-2</v>
      </c>
      <c r="X59" s="66">
        <f t="shared" si="151"/>
        <v>4.5832880842302762E-2</v>
      </c>
      <c r="Y59" s="136">
        <f t="shared" si="151"/>
        <v>5.0195040376335695E-2</v>
      </c>
      <c r="Z59" s="66">
        <f t="shared" si="151"/>
        <v>0.11079359446434089</v>
      </c>
      <c r="AA59" s="66">
        <f t="shared" si="151"/>
        <v>0.11940728881581805</v>
      </c>
      <c r="AB59" s="66">
        <f t="shared" si="151"/>
        <v>0.1689756697080802</v>
      </c>
      <c r="AC59" s="66">
        <f t="shared" si="151"/>
        <v>0.22723161592136759</v>
      </c>
      <c r="AD59" s="136">
        <f t="shared" si="151"/>
        <v>0.13945681900041704</v>
      </c>
      <c r="AE59" s="66">
        <f t="shared" si="151"/>
        <v>-7.3830442054153525E-2</v>
      </c>
      <c r="AF59" s="66">
        <f t="shared" si="151"/>
        <v>0.11178562430529856</v>
      </c>
      <c r="AG59" s="66">
        <f t="shared" si="151"/>
        <v>0.26209030056355787</v>
      </c>
      <c r="AH59" s="66">
        <f t="shared" si="151"/>
        <v>0.26610749789621424</v>
      </c>
      <c r="AI59" s="136">
        <f t="shared" si="151"/>
        <v>0.1660134986215413</v>
      </c>
      <c r="AJ59" s="66">
        <f t="shared" si="151"/>
        <v>0.27785240021721458</v>
      </c>
      <c r="AK59" s="66">
        <f t="shared" si="151"/>
        <v>0.26161433088490915</v>
      </c>
      <c r="AL59" s="66">
        <f t="shared" si="151"/>
        <v>0.21509622123483274</v>
      </c>
      <c r="AM59" s="66">
        <f t="shared" si="151"/>
        <v>0.19952889409204619</v>
      </c>
      <c r="AN59" s="136">
        <f t="shared" si="151"/>
        <v>0.23696786545746287</v>
      </c>
      <c r="AO59" s="66">
        <f t="shared" ref="AO59:CB59" ca="1" si="152">AO42/AO$47</f>
        <v>6.4892311755944981E-2</v>
      </c>
      <c r="AP59" s="66">
        <f t="shared" ca="1" si="152"/>
        <v>6.4188483492661055E-2</v>
      </c>
      <c r="AQ59" s="66">
        <f t="shared" ca="1" si="152"/>
        <v>6.3947005576432403E-2</v>
      </c>
      <c r="AR59" s="66">
        <f t="shared" ca="1" si="152"/>
        <v>6.784068466761066E-2</v>
      </c>
      <c r="AS59" s="136">
        <f t="shared" ca="1" si="152"/>
        <v>6.527274940263611E-2</v>
      </c>
      <c r="AT59" s="66">
        <f t="shared" ca="1" si="152"/>
        <v>6.4255205637873875E-2</v>
      </c>
      <c r="AU59" s="66">
        <f t="shared" ca="1" si="152"/>
        <v>7.075737679174153E-2</v>
      </c>
      <c r="AV59" s="66">
        <f t="shared" ca="1" si="152"/>
        <v>7.6702641461657381E-2</v>
      </c>
      <c r="AW59" s="66">
        <f t="shared" ca="1" si="152"/>
        <v>6.9105628759887863E-2</v>
      </c>
      <c r="AX59" s="136">
        <f t="shared" ca="1" si="152"/>
        <v>7.0358001466129125E-2</v>
      </c>
      <c r="AY59" s="66">
        <f t="shared" ca="1" si="152"/>
        <v>5.6802461210230533E-2</v>
      </c>
      <c r="AZ59" s="66">
        <f t="shared" ca="1" si="152"/>
        <v>6.344070478076444E-2</v>
      </c>
      <c r="BA59" s="66">
        <f t="shared" ca="1" si="152"/>
        <v>6.5251365130891914E-2</v>
      </c>
      <c r="BB59" s="66">
        <f t="shared" ca="1" si="152"/>
        <v>6.5745051591112741E-2</v>
      </c>
      <c r="BC59" s="136">
        <f t="shared" ca="1" si="152"/>
        <v>6.3004006497552736E-2</v>
      </c>
      <c r="BD59" s="66">
        <f t="shared" ca="1" si="152"/>
        <v>5.6301980602314158E-2</v>
      </c>
      <c r="BE59" s="66">
        <f t="shared" ca="1" si="152"/>
        <v>6.1883903669653753E-2</v>
      </c>
      <c r="BF59" s="66">
        <f t="shared" ca="1" si="152"/>
        <v>6.7211223430950956E-2</v>
      </c>
      <c r="BG59" s="66">
        <f t="shared" ca="1" si="152"/>
        <v>6.2328711088249819E-2</v>
      </c>
      <c r="BH59" s="136">
        <f t="shared" ca="1" si="152"/>
        <v>6.2090814768623936E-2</v>
      </c>
      <c r="BI59" s="66">
        <f t="shared" ca="1" si="152"/>
        <v>6.4332268041993781E-2</v>
      </c>
      <c r="BJ59" s="66">
        <f t="shared" ca="1" si="152"/>
        <v>3.312189288831649E-2</v>
      </c>
      <c r="BK59" s="66">
        <f t="shared" ca="1" si="152"/>
        <v>3.413172241316792E-2</v>
      </c>
      <c r="BL59" s="66">
        <f t="shared" ca="1" si="152"/>
        <v>3.6683243159720776E-2</v>
      </c>
      <c r="BM59" s="136">
        <f t="shared" ca="1" si="152"/>
        <v>3.8196960170349771E-2</v>
      </c>
      <c r="BN59" s="66">
        <f t="shared" ca="1" si="152"/>
        <v>3.7467314292173551E-2</v>
      </c>
      <c r="BO59" s="66">
        <f t="shared" ca="1" si="152"/>
        <v>3.6781116751593047E-2</v>
      </c>
      <c r="BP59" s="66">
        <f t="shared" ca="1" si="152"/>
        <v>3.9636151293509211E-2</v>
      </c>
      <c r="BQ59" s="66">
        <f t="shared" ca="1" si="152"/>
        <v>4.1472923360225608E-2</v>
      </c>
      <c r="BR59" s="136">
        <f t="shared" ca="1" si="152"/>
        <v>3.8757487285874262E-2</v>
      </c>
      <c r="BS59" s="66">
        <f t="shared" ca="1" si="152"/>
        <v>3.2140318677253601E-2</v>
      </c>
      <c r="BT59" s="66">
        <f t="shared" ca="1" si="152"/>
        <v>3.6869223575572617E-2</v>
      </c>
      <c r="BU59" s="66">
        <f t="shared" ca="1" si="152"/>
        <v>3.9175480045583674E-2</v>
      </c>
      <c r="BV59" s="66">
        <f t="shared" ca="1" si="152"/>
        <v>3.0613014669028178E-2</v>
      </c>
      <c r="BW59" s="136">
        <f t="shared" ca="1" si="152"/>
        <v>3.4829556087758853E-2</v>
      </c>
      <c r="BX59" s="66">
        <f t="shared" ca="1" si="152"/>
        <v>2.6260178350766702E-2</v>
      </c>
      <c r="BY59" s="66">
        <f t="shared" ca="1" si="152"/>
        <v>3.3099597139103314E-2</v>
      </c>
      <c r="BZ59" s="66">
        <f t="shared" ca="1" si="152"/>
        <v>2.4861816471967144E-2</v>
      </c>
      <c r="CA59" s="66">
        <f t="shared" ca="1" si="152"/>
        <v>2.4236628062688493E-2</v>
      </c>
      <c r="CB59" s="136">
        <f t="shared" ca="1" si="152"/>
        <v>2.7074933686510094E-2</v>
      </c>
      <c r="CC59" s="66">
        <f t="shared" ref="CC59:CD59" ca="1" si="153">CC42/CC$47</f>
        <v>2.8276518134927382E-2</v>
      </c>
      <c r="CD59" s="66">
        <f t="shared" ca="1" si="153"/>
        <v>2.564408689843338E-2</v>
      </c>
      <c r="CE59" s="66">
        <f t="shared" ref="CE59" ca="1" si="154">CE42/CE$47</f>
        <v>3.0575818316052113E-2</v>
      </c>
      <c r="CF59" s="66">
        <f t="shared" ca="1" si="144"/>
        <v>3.04274769845666E-2</v>
      </c>
      <c r="CG59" s="136">
        <f t="shared" ca="1" si="144"/>
        <v>2.8820530237961113E-2</v>
      </c>
      <c r="CH59" s="66">
        <f t="shared" ca="1" si="145"/>
        <v>2.502863419878509E-2</v>
      </c>
      <c r="CI59" s="66">
        <f t="shared" ref="CI59" ca="1" si="155">CI42/CI$47</f>
        <v>2.6178974465964622E-2</v>
      </c>
      <c r="CJ59" s="66">
        <f t="shared" ref="CJ59:CK59" ca="1" si="156">CJ42/CJ$47</f>
        <v>2.558214933748185E-2</v>
      </c>
      <c r="CK59" s="66">
        <f t="shared" ca="1" si="156"/>
        <v>2.5546117621577685E-2</v>
      </c>
      <c r="CL59" s="136">
        <f t="shared" ca="1" si="145"/>
        <v>2.5584293151000928E-2</v>
      </c>
      <c r="CM59" s="66">
        <f t="shared" ca="1" si="148"/>
        <v>1.9375242033583023E-2</v>
      </c>
      <c r="CN59" s="66">
        <f t="shared" ca="1" si="148"/>
        <v>2.5398346673960522E-2</v>
      </c>
      <c r="CO59" s="66">
        <f t="shared" ca="1" si="148"/>
        <v>2.3731482049834853E-2</v>
      </c>
      <c r="CP59" s="66">
        <f t="shared" ca="1" si="148"/>
        <v>2.2622708546967719E-2</v>
      </c>
      <c r="CQ59" s="136">
        <f t="shared" ca="1" si="148"/>
        <v>2.2915392887026612E-2</v>
      </c>
      <c r="CR59" s="66">
        <f t="shared" ref="CR59:CV59" ca="1" si="157">CR42/CR$47</f>
        <v>1.8314831671040661E-2</v>
      </c>
      <c r="CS59" s="66">
        <f t="shared" ca="1" si="157"/>
        <v>2.5715907646866733E-2</v>
      </c>
      <c r="CT59" s="66">
        <f t="shared" ca="1" si="157"/>
        <v>2.4157427019209352E-2</v>
      </c>
      <c r="CU59" s="66">
        <f t="shared" ca="1" si="157"/>
        <v>2.3472802194183247E-2</v>
      </c>
      <c r="CV59" s="136">
        <f t="shared" ca="1" si="157"/>
        <v>2.3076587594948749E-2</v>
      </c>
      <c r="CW59" s="66">
        <f t="shared" ref="CW59:DF59" ca="1" si="158">CW42/CW$47</f>
        <v>1.7767368850943262E-2</v>
      </c>
      <c r="CX59" s="66">
        <f t="shared" ca="1" si="158"/>
        <v>2.53108723086325E-2</v>
      </c>
      <c r="CY59" s="66">
        <f t="shared" ca="1" si="158"/>
        <v>2.3833129745843413E-2</v>
      </c>
      <c r="CZ59" s="66">
        <f t="shared" ca="1" si="158"/>
        <v>2.328243008400201E-2</v>
      </c>
      <c r="DA59" s="136">
        <f t="shared" ca="1" si="158"/>
        <v>2.2698016329521578E-2</v>
      </c>
      <c r="DB59" s="66">
        <f t="shared" ca="1" si="158"/>
        <v>1.7536407260792166E-2</v>
      </c>
      <c r="DC59" s="66">
        <f t="shared" ca="1" si="158"/>
        <v>2.5436687848677038E-2</v>
      </c>
      <c r="DD59" s="66">
        <f t="shared" ca="1" si="158"/>
        <v>2.3092348516026519E-2</v>
      </c>
      <c r="DE59" s="66">
        <f t="shared" ca="1" si="158"/>
        <v>2.2923291525618703E-2</v>
      </c>
      <c r="DF59" s="136">
        <f t="shared" ca="1" si="158"/>
        <v>2.238195875867488E-2</v>
      </c>
    </row>
    <row r="60" spans="2:110" x14ac:dyDescent="0.2">
      <c r="B60" s="95" t="s">
        <v>264</v>
      </c>
      <c r="C60" s="77"/>
      <c r="D60" s="77"/>
      <c r="E60" s="77"/>
      <c r="F60" s="77"/>
      <c r="G60" s="77"/>
      <c r="H60" s="77"/>
      <c r="I60" s="77"/>
      <c r="J60" s="77"/>
      <c r="K60" s="77"/>
      <c r="L60" s="77"/>
      <c r="M60" s="77"/>
      <c r="N60" s="77"/>
      <c r="O60" s="77"/>
      <c r="P60" s="146"/>
      <c r="Q60" s="146"/>
      <c r="R60" s="146"/>
      <c r="S60" s="146"/>
      <c r="T60" s="231"/>
      <c r="U60" s="66"/>
      <c r="V60" s="66"/>
      <c r="W60" s="66"/>
      <c r="X60" s="66"/>
      <c r="Y60" s="136"/>
      <c r="Z60" s="66"/>
      <c r="AA60" s="66"/>
      <c r="AB60" s="66"/>
      <c r="AC60" s="66"/>
      <c r="AD60" s="136"/>
      <c r="AE60" s="66"/>
      <c r="AF60" s="66"/>
      <c r="AG60" s="66"/>
      <c r="AH60" s="66"/>
      <c r="AI60" s="136"/>
      <c r="AJ60" s="66"/>
      <c r="AK60" s="66"/>
      <c r="AL60" s="66"/>
      <c r="AM60" s="66"/>
      <c r="AN60" s="136"/>
      <c r="AO60" s="66">
        <f t="shared" ref="AO60:CB60" ca="1" si="159">AO44/AO$47</f>
        <v>0.12061511058750836</v>
      </c>
      <c r="AP60" s="66">
        <f t="shared" ca="1" si="159"/>
        <v>0.11267257389794472</v>
      </c>
      <c r="AQ60" s="66">
        <f t="shared" ca="1" si="159"/>
        <v>0.11165124997372802</v>
      </c>
      <c r="AR60" s="66">
        <f t="shared" ca="1" si="159"/>
        <v>0.10824433181891624</v>
      </c>
      <c r="AS60" s="136">
        <f t="shared" ca="1" si="159"/>
        <v>0.11301751200831807</v>
      </c>
      <c r="AT60" s="66">
        <f t="shared" ca="1" si="159"/>
        <v>0.12109480269752566</v>
      </c>
      <c r="AU60" s="66">
        <f t="shared" ca="1" si="159"/>
        <v>0.10881329407203362</v>
      </c>
      <c r="AV60" s="66">
        <f t="shared" ca="1" si="159"/>
        <v>0.11021381512907696</v>
      </c>
      <c r="AW60" s="66">
        <f t="shared" ca="1" si="159"/>
        <v>0.11769984921723924</v>
      </c>
      <c r="AX60" s="136">
        <f t="shared" ca="1" si="159"/>
        <v>0.11439622340983131</v>
      </c>
      <c r="AY60" s="66">
        <f t="shared" ca="1" si="159"/>
        <v>0.13916825104446628</v>
      </c>
      <c r="AZ60" s="66">
        <f t="shared" ca="1" si="159"/>
        <v>0.13615787045763386</v>
      </c>
      <c r="BA60" s="66">
        <f t="shared" ca="1" si="159"/>
        <v>0.13742365812640461</v>
      </c>
      <c r="BB60" s="66">
        <f t="shared" ca="1" si="159"/>
        <v>0.13617905653325088</v>
      </c>
      <c r="BC60" s="136">
        <f t="shared" ca="1" si="159"/>
        <v>0.13717733148148131</v>
      </c>
      <c r="BD60" s="66">
        <f t="shared" ca="1" si="159"/>
        <v>0.15212036640668691</v>
      </c>
      <c r="BE60" s="66">
        <f t="shared" ca="1" si="159"/>
        <v>0.1554463416300034</v>
      </c>
      <c r="BF60" s="66">
        <f t="shared" ca="1" si="159"/>
        <v>0.15084106148808871</v>
      </c>
      <c r="BG60" s="66">
        <f t="shared" ca="1" si="159"/>
        <v>0.15156412215358991</v>
      </c>
      <c r="BH60" s="136">
        <f t="shared" ca="1" si="159"/>
        <v>0.15245263384668006</v>
      </c>
      <c r="BI60" s="66">
        <f t="shared" ca="1" si="159"/>
        <v>0.16062396101614754</v>
      </c>
      <c r="BJ60" s="66">
        <f t="shared" ca="1" si="159"/>
        <v>0.13959766615611313</v>
      </c>
      <c r="BK60" s="66">
        <f t="shared" ca="1" si="159"/>
        <v>0.1431211417533699</v>
      </c>
      <c r="BL60" s="66">
        <f t="shared" ca="1" si="159"/>
        <v>0.13350627974250168</v>
      </c>
      <c r="BM60" s="136">
        <f t="shared" ca="1" si="159"/>
        <v>0.14119507125136241</v>
      </c>
      <c r="BN60" s="66">
        <f t="shared" ca="1" si="159"/>
        <v>0.14614458709781999</v>
      </c>
      <c r="BO60" s="66">
        <f t="shared" ca="1" si="159"/>
        <v>0.10987059110949053</v>
      </c>
      <c r="BP60" s="66">
        <f t="shared" ca="1" si="159"/>
        <v>0.12308118446191889</v>
      </c>
      <c r="BQ60" s="66">
        <f t="shared" ca="1" si="159"/>
        <v>0.13333588566397667</v>
      </c>
      <c r="BR60" s="136">
        <f t="shared" ca="1" si="159"/>
        <v>0.1276837973606568</v>
      </c>
      <c r="BS60" s="66">
        <f t="shared" ca="1" si="159"/>
        <v>0.14749597931743563</v>
      </c>
      <c r="BT60" s="66">
        <f t="shared" ca="1" si="159"/>
        <v>0.13609965756299672</v>
      </c>
      <c r="BU60" s="66">
        <f t="shared" ca="1" si="159"/>
        <v>0.13374469852635504</v>
      </c>
      <c r="BV60" s="66">
        <f t="shared" ca="1" si="159"/>
        <v>0.14110751491154491</v>
      </c>
      <c r="BW60" s="136">
        <f t="shared" ca="1" si="159"/>
        <v>0.13927327826280902</v>
      </c>
      <c r="BX60" s="66">
        <f t="shared" ca="1" si="159"/>
        <v>0.16277211681595799</v>
      </c>
      <c r="BY60" s="66">
        <f t="shared" ca="1" si="159"/>
        <v>0.15005927356262821</v>
      </c>
      <c r="BZ60" s="66">
        <f t="shared" ca="1" si="159"/>
        <v>0.14142498685756513</v>
      </c>
      <c r="CA60" s="66">
        <f t="shared" ca="1" si="159"/>
        <v>0.13176479411576617</v>
      </c>
      <c r="CB60" s="136">
        <f t="shared" ca="1" si="159"/>
        <v>0.14565235946100361</v>
      </c>
      <c r="CC60" s="66">
        <f t="shared" ref="CC60:CD60" ca="1" si="160">CC44/CC$47</f>
        <v>0.16176056430700331</v>
      </c>
      <c r="CD60" s="66">
        <f t="shared" ca="1" si="160"/>
        <v>0.17125035157042592</v>
      </c>
      <c r="CE60" s="66">
        <f t="shared" ref="CE60" ca="1" si="161">CE44/CE$47</f>
        <v>0.16887141678261428</v>
      </c>
      <c r="CF60" s="66">
        <f t="shared" ref="CF60:CL60" ca="1" si="162">CF44/CF$47</f>
        <v>0.1454749971783573</v>
      </c>
      <c r="CG60" s="136">
        <f t="shared" ca="1" si="162"/>
        <v>0.16147498951031516</v>
      </c>
      <c r="CH60" s="66">
        <f t="shared" ca="1" si="162"/>
        <v>0.16455955948519305</v>
      </c>
      <c r="CI60" s="66">
        <f t="shared" ref="CI60" ca="1" si="163">CI44/CI$47</f>
        <v>0.17617286249952208</v>
      </c>
      <c r="CJ60" s="66">
        <f t="shared" ref="CJ60:CK60" ca="1" si="164">CJ44/CJ$47</f>
        <v>0.18270979578644489</v>
      </c>
      <c r="CK60" s="66">
        <f t="shared" ca="1" si="164"/>
        <v>0.18112809320171011</v>
      </c>
      <c r="CL60" s="136">
        <f t="shared" ca="1" si="162"/>
        <v>0.17613394670125296</v>
      </c>
      <c r="CM60" s="66">
        <f t="shared" ref="CM60:CV60" ca="1" si="165">CM44/CM$47</f>
        <v>0.19667396224834466</v>
      </c>
      <c r="CN60" s="66">
        <f t="shared" ca="1" si="165"/>
        <v>0.20768112106570816</v>
      </c>
      <c r="CO60" s="66">
        <f t="shared" ca="1" si="165"/>
        <v>0.21381380927064561</v>
      </c>
      <c r="CP60" s="66">
        <f t="shared" ca="1" si="165"/>
        <v>0.19544830691648388</v>
      </c>
      <c r="CQ60" s="136">
        <f t="shared" ca="1" si="165"/>
        <v>0.20352701296758979</v>
      </c>
      <c r="CR60" s="66">
        <f t="shared" ca="1" si="165"/>
        <v>0.25286045347366315</v>
      </c>
      <c r="CS60" s="66">
        <f t="shared" ca="1" si="165"/>
        <v>0.23566824993252647</v>
      </c>
      <c r="CT60" s="66">
        <f t="shared" ca="1" si="165"/>
        <v>0.24520460964770927</v>
      </c>
      <c r="CU60" s="66">
        <f t="shared" ca="1" si="165"/>
        <v>0.22486561395641272</v>
      </c>
      <c r="CV60" s="136">
        <f t="shared" ca="1" si="165"/>
        <v>0.2389570054996569</v>
      </c>
      <c r="CW60" s="66">
        <f t="shared" ref="CW60:DF60" ca="1" si="166">CW44/CW$47</f>
        <v>0.27127448405268662</v>
      </c>
      <c r="CX60" s="66">
        <f t="shared" ca="1" si="166"/>
        <v>0.25670510152110498</v>
      </c>
      <c r="CY60" s="66">
        <f t="shared" ca="1" si="166"/>
        <v>0.26916866930407973</v>
      </c>
      <c r="CZ60" s="66">
        <f t="shared" ca="1" si="166"/>
        <v>0.24777503698608228</v>
      </c>
      <c r="DA60" s="136">
        <f t="shared" ca="1" si="166"/>
        <v>0.26072356244401307</v>
      </c>
      <c r="DB60" s="66">
        <f t="shared" ca="1" si="166"/>
        <v>0.30306681367778987</v>
      </c>
      <c r="DC60" s="66">
        <f t="shared" ca="1" si="166"/>
        <v>0.29227303233296781</v>
      </c>
      <c r="DD60" s="66">
        <f t="shared" ca="1" si="166"/>
        <v>0.29741376189445717</v>
      </c>
      <c r="DE60" s="66">
        <f t="shared" ca="1" si="166"/>
        <v>0.2776553780067893</v>
      </c>
      <c r="DF60" s="136">
        <f t="shared" ca="1" si="166"/>
        <v>0.29209578407915027</v>
      </c>
    </row>
    <row r="61" spans="2:110" ht="10.5" customHeight="1" x14ac:dyDescent="0.2">
      <c r="B61" s="275" t="s">
        <v>295</v>
      </c>
      <c r="C61" s="77"/>
      <c r="D61" s="77"/>
      <c r="E61" s="77"/>
      <c r="F61" s="77"/>
      <c r="G61" s="77"/>
      <c r="H61" s="77"/>
      <c r="I61" s="77"/>
      <c r="J61" s="77"/>
      <c r="K61" s="77"/>
      <c r="L61" s="77"/>
      <c r="M61" s="77"/>
      <c r="N61" s="77"/>
      <c r="O61" s="77"/>
      <c r="P61" s="146"/>
      <c r="Q61" s="146"/>
      <c r="R61" s="146"/>
      <c r="S61" s="146"/>
      <c r="T61" s="231"/>
      <c r="U61" s="66">
        <f t="shared" ref="U61:AN61" si="167">U43/U$47</f>
        <v>0.73251947231154957</v>
      </c>
      <c r="V61" s="66">
        <f t="shared" si="167"/>
        <v>0.7750738474181198</v>
      </c>
      <c r="W61" s="66">
        <f t="shared" si="167"/>
        <v>0.7505486728371622</v>
      </c>
      <c r="X61" s="66">
        <f t="shared" si="167"/>
        <v>0.70188882949850662</v>
      </c>
      <c r="Y61" s="136">
        <f t="shared" si="167"/>
        <v>0.73826520635914317</v>
      </c>
      <c r="Z61" s="66">
        <f t="shared" si="167"/>
        <v>0.68031692982109682</v>
      </c>
      <c r="AA61" s="66">
        <f t="shared" si="167"/>
        <v>0.68943591801112747</v>
      </c>
      <c r="AB61" s="66">
        <f t="shared" si="167"/>
        <v>0.7163467546177511</v>
      </c>
      <c r="AC61" s="66">
        <f t="shared" si="167"/>
        <v>0.73133710814934705</v>
      </c>
      <c r="AD61" s="136">
        <f t="shared" si="167"/>
        <v>0.61522210737594851</v>
      </c>
      <c r="AE61" s="66">
        <f t="shared" si="167"/>
        <v>0.66105523249382991</v>
      </c>
      <c r="AF61" s="66">
        <f t="shared" si="167"/>
        <v>0.72736028158577293</v>
      </c>
      <c r="AG61" s="66">
        <f t="shared" si="167"/>
        <v>0.77193410144020069</v>
      </c>
      <c r="AH61" s="66">
        <f t="shared" si="167"/>
        <v>0.77759228050490925</v>
      </c>
      <c r="AI61" s="136">
        <f t="shared" si="167"/>
        <v>0.74272195751090853</v>
      </c>
      <c r="AJ61" s="66">
        <f t="shared" si="167"/>
        <v>0.77197750203638349</v>
      </c>
      <c r="AK61" s="66">
        <f t="shared" si="167"/>
        <v>0.77638007304213996</v>
      </c>
      <c r="AL61" s="66">
        <f t="shared" si="167"/>
        <v>0.68491172277752888</v>
      </c>
      <c r="AM61" s="66">
        <f t="shared" si="167"/>
        <v>0.67757663479530827</v>
      </c>
      <c r="AN61" s="136">
        <f t="shared" si="167"/>
        <v>0.72571702403122029</v>
      </c>
      <c r="AO61" s="66">
        <f t="shared" ref="AO61:CB61" ca="1" si="168">AO43/AO$47</f>
        <v>0.45266951057296634</v>
      </c>
      <c r="AP61" s="66">
        <f t="shared" ca="1" si="168"/>
        <v>0.44600095545230267</v>
      </c>
      <c r="AQ61" s="66">
        <f t="shared" ca="1" si="168"/>
        <v>0.46739318226269777</v>
      </c>
      <c r="AR61" s="66">
        <f t="shared" ca="1" si="168"/>
        <v>0.45148345804886747</v>
      </c>
      <c r="AS61" s="136">
        <f t="shared" ca="1" si="168"/>
        <v>0.45449755569281552</v>
      </c>
      <c r="AT61" s="66">
        <f t="shared" ca="1" si="168"/>
        <v>0.42711000929362691</v>
      </c>
      <c r="AU61" s="66">
        <f t="shared" ca="1" si="168"/>
        <v>0.43812436495254553</v>
      </c>
      <c r="AV61" s="66">
        <f t="shared" ca="1" si="168"/>
        <v>0.42690631406879709</v>
      </c>
      <c r="AW61" s="66">
        <f t="shared" ca="1" si="168"/>
        <v>0.42280701595380482</v>
      </c>
      <c r="AX61" s="136">
        <f t="shared" ca="1" si="168"/>
        <v>0.42850459341756797</v>
      </c>
      <c r="AY61" s="66">
        <f t="shared" ca="1" si="168"/>
        <v>0.38031801246961383</v>
      </c>
      <c r="AZ61" s="66">
        <f t="shared" ca="1" si="168"/>
        <v>0.39664149556662265</v>
      </c>
      <c r="BA61" s="66">
        <f t="shared" ca="1" si="168"/>
        <v>0.40328116083197418</v>
      </c>
      <c r="BB61" s="66">
        <f t="shared" ca="1" si="168"/>
        <v>0.39401706698204203</v>
      </c>
      <c r="BC61" s="136">
        <f t="shared" ca="1" si="168"/>
        <v>0.39392349428600448</v>
      </c>
      <c r="BD61" s="66">
        <f t="shared" ca="1" si="168"/>
        <v>0.35905851484929202</v>
      </c>
      <c r="BE61" s="66">
        <f t="shared" ca="1" si="168"/>
        <v>0.37413946184132713</v>
      </c>
      <c r="BF61" s="66">
        <f t="shared" ca="1" si="168"/>
        <v>0.38675155580911896</v>
      </c>
      <c r="BG61" s="66">
        <f t="shared" ca="1" si="168"/>
        <v>0.37459832695136219</v>
      </c>
      <c r="BH61" s="136">
        <f t="shared" ca="1" si="168"/>
        <v>0.37403916971124035</v>
      </c>
      <c r="BI61" s="66">
        <f t="shared" ca="1" si="168"/>
        <v>0.39495171673409224</v>
      </c>
      <c r="BJ61" s="66">
        <f t="shared" ca="1" si="168"/>
        <v>0.45855547985526357</v>
      </c>
      <c r="BK61" s="66">
        <f t="shared" ca="1" si="168"/>
        <v>0.46160999475980913</v>
      </c>
      <c r="BL61" s="66">
        <f t="shared" ca="1" si="168"/>
        <v>0.47566093515802615</v>
      </c>
      <c r="BM61" s="136">
        <f t="shared" ca="1" si="168"/>
        <v>0.45723782697301746</v>
      </c>
      <c r="BN61" s="66">
        <f t="shared" ca="1" si="168"/>
        <v>0.42693955200420014</v>
      </c>
      <c r="BO61" s="66">
        <f t="shared" ca="1" si="168"/>
        <v>0.40923626014944392</v>
      </c>
      <c r="BP61" s="66">
        <f t="shared" ca="1" si="168"/>
        <v>0.45882076600044353</v>
      </c>
      <c r="BQ61" s="66">
        <f t="shared" ca="1" si="168"/>
        <v>0.42147202148917245</v>
      </c>
      <c r="BR61" s="136">
        <f t="shared" ca="1" si="168"/>
        <v>0.42883979589981452</v>
      </c>
      <c r="BS61" s="66">
        <f t="shared" ca="1" si="168"/>
        <v>0.38044953113636998</v>
      </c>
      <c r="BT61" s="66">
        <f t="shared" ca="1" si="168"/>
        <v>0.39035986469658074</v>
      </c>
      <c r="BU61" s="66">
        <f t="shared" ca="1" si="168"/>
        <v>0.41803210132589486</v>
      </c>
      <c r="BV61" s="66">
        <f t="shared" ca="1" si="168"/>
        <v>0.41230466428328799</v>
      </c>
      <c r="BW61" s="136">
        <f t="shared" ca="1" si="168"/>
        <v>0.4012529120351882</v>
      </c>
      <c r="BX61" s="66">
        <f t="shared" ca="1" si="168"/>
        <v>0.36951096329602007</v>
      </c>
      <c r="BY61" s="66">
        <f t="shared" ca="1" si="168"/>
        <v>0.39108226436904781</v>
      </c>
      <c r="BZ61" s="66">
        <f t="shared" ca="1" si="168"/>
        <v>0.42440026528491981</v>
      </c>
      <c r="CA61" s="66">
        <f t="shared" ca="1" si="168"/>
        <v>0.45430866943826193</v>
      </c>
      <c r="CB61" s="136">
        <f t="shared" ca="1" si="168"/>
        <v>0.4121034059130359</v>
      </c>
      <c r="CC61" s="66">
        <f t="shared" ref="CC61:CD61" ca="1" si="169">CC43/CC$47</f>
        <v>0.42187203074704099</v>
      </c>
      <c r="CD61" s="66">
        <f t="shared" ca="1" si="169"/>
        <v>0.4408947629040218</v>
      </c>
      <c r="CE61" s="66">
        <f t="shared" ref="CE61" ca="1" si="170">CE43/CE$47</f>
        <v>0.45359505297797342</v>
      </c>
      <c r="CF61" s="66">
        <f t="shared" ref="CF61:CL61" ca="1" si="171">CF43/CF$47</f>
        <v>0.48133740806984848</v>
      </c>
      <c r="CG61" s="136">
        <f t="shared" ca="1" si="171"/>
        <v>0.45145751106441367</v>
      </c>
      <c r="CH61" s="66">
        <f t="shared" ca="1" si="171"/>
        <v>0.44697820606398048</v>
      </c>
      <c r="CI61" s="66">
        <f t="shared" ref="CI61" ca="1" si="172">CI43/CI$47</f>
        <v>0.44926439480127139</v>
      </c>
      <c r="CJ61" s="66">
        <f t="shared" ref="CJ61:CK61" ca="1" si="173">CJ43/CJ$47</f>
        <v>0.42972840627306802</v>
      </c>
      <c r="CK61" s="66">
        <f t="shared" ca="1" si="173"/>
        <v>0.43606427452429619</v>
      </c>
      <c r="CL61" s="136">
        <f t="shared" ca="1" si="171"/>
        <v>0.44051840128259895</v>
      </c>
      <c r="CM61" s="66">
        <f t="shared" ref="CM61:CV61" ca="1" si="174">CM43/CM$47</f>
        <v>0.42426140619758712</v>
      </c>
      <c r="CN61" s="66">
        <f t="shared" ca="1" si="174"/>
        <v>0.43951372553174489</v>
      </c>
      <c r="CO61" s="66">
        <f t="shared" ca="1" si="174"/>
        <v>0.41530717261735695</v>
      </c>
      <c r="CP61" s="66">
        <f t="shared" ca="1" si="174"/>
        <v>0.43762294546279545</v>
      </c>
      <c r="CQ61" s="136">
        <f t="shared" ca="1" si="174"/>
        <v>0.42951765654772867</v>
      </c>
      <c r="CR61" s="66">
        <f t="shared" ca="1" si="174"/>
        <v>0.37711251758908204</v>
      </c>
      <c r="CS61" s="66">
        <f t="shared" ca="1" si="174"/>
        <v>0.40718004085043175</v>
      </c>
      <c r="CT61" s="66">
        <f t="shared" ca="1" si="174"/>
        <v>0.38963798897494872</v>
      </c>
      <c r="CU61" s="66">
        <f t="shared" ca="1" si="174"/>
        <v>0.41016149456590273</v>
      </c>
      <c r="CV61" s="136">
        <f t="shared" ca="1" si="174"/>
        <v>0.39689460680666033</v>
      </c>
      <c r="CW61" s="66">
        <f t="shared" ref="CW61:DF61" ca="1" si="175">CW43/CW$47</f>
        <v>0.35744502253392235</v>
      </c>
      <c r="CX61" s="66">
        <f t="shared" ca="1" si="175"/>
        <v>0.38110772740082149</v>
      </c>
      <c r="CY61" s="66">
        <f t="shared" ca="1" si="175"/>
        <v>0.35746684456468975</v>
      </c>
      <c r="CZ61" s="66">
        <f t="shared" ca="1" si="175"/>
        <v>0.3794454495307944</v>
      </c>
      <c r="DA61" s="136">
        <f t="shared" ca="1" si="175"/>
        <v>0.36938393478695075</v>
      </c>
      <c r="DB61" s="66">
        <f t="shared" ca="1" si="175"/>
        <v>0.32362986901697566</v>
      </c>
      <c r="DC61" s="66">
        <f t="shared" ca="1" si="175"/>
        <v>0.33115376746346215</v>
      </c>
      <c r="DD61" s="66">
        <f t="shared" ca="1" si="175"/>
        <v>0.31285457231041586</v>
      </c>
      <c r="DE61" s="66">
        <f t="shared" ca="1" si="175"/>
        <v>0.33884319997032686</v>
      </c>
      <c r="DF61" s="136">
        <f t="shared" ca="1" si="175"/>
        <v>0.32684577003224585</v>
      </c>
    </row>
    <row r="62" spans="2:110" ht="4.5" customHeight="1" x14ac:dyDescent="0.2">
      <c r="B62" s="275"/>
      <c r="C62" s="77"/>
      <c r="D62" s="77"/>
      <c r="E62" s="77"/>
      <c r="F62" s="77"/>
      <c r="G62" s="77"/>
      <c r="H62" s="77"/>
      <c r="I62" s="77"/>
      <c r="J62" s="77"/>
      <c r="K62" s="77"/>
      <c r="L62" s="77"/>
      <c r="M62" s="77"/>
      <c r="N62" s="77"/>
      <c r="O62" s="77"/>
      <c r="P62" s="146"/>
      <c r="Q62" s="146"/>
      <c r="R62" s="146"/>
      <c r="S62" s="146"/>
      <c r="T62" s="231"/>
      <c r="U62" s="66"/>
      <c r="V62" s="66"/>
      <c r="W62" s="66"/>
      <c r="X62" s="66"/>
      <c r="Y62" s="136"/>
      <c r="Z62" s="66"/>
      <c r="AA62" s="66"/>
      <c r="AB62" s="66"/>
      <c r="AC62" s="66"/>
      <c r="AD62" s="136"/>
      <c r="AE62" s="66"/>
      <c r="AF62" s="66"/>
      <c r="AG62" s="66"/>
      <c r="AH62" s="66"/>
      <c r="AI62" s="136"/>
      <c r="AJ62" s="66"/>
      <c r="AK62" s="66"/>
      <c r="AL62" s="66"/>
      <c r="AM62" s="66"/>
      <c r="AN62" s="136"/>
      <c r="AO62" s="66"/>
      <c r="AP62" s="66"/>
      <c r="AQ62" s="66"/>
      <c r="AR62" s="66"/>
      <c r="AS62" s="136"/>
      <c r="AT62" s="66"/>
      <c r="AU62" s="66"/>
      <c r="AV62" s="66"/>
      <c r="AW62" s="66"/>
      <c r="AX62" s="136"/>
      <c r="AY62" s="66"/>
      <c r="AZ62" s="66"/>
      <c r="BA62" s="66"/>
      <c r="BB62" s="66"/>
      <c r="BC62" s="136"/>
      <c r="BD62" s="66"/>
      <c r="BE62" s="66"/>
      <c r="BF62" s="66"/>
      <c r="BG62" s="66"/>
      <c r="BH62" s="136"/>
      <c r="BI62" s="66"/>
      <c r="BJ62" s="66"/>
      <c r="BK62" s="66"/>
      <c r="BL62" s="66"/>
      <c r="BM62" s="136"/>
      <c r="BN62" s="66"/>
      <c r="BO62" s="66"/>
      <c r="BP62" s="66"/>
      <c r="BQ62" s="66"/>
      <c r="BR62" s="136"/>
      <c r="BS62" s="66"/>
      <c r="BT62" s="66"/>
      <c r="BU62" s="66"/>
      <c r="BV62" s="66"/>
      <c r="BW62" s="136"/>
      <c r="BX62" s="66"/>
      <c r="BY62" s="66"/>
      <c r="BZ62" s="66"/>
      <c r="CA62" s="66"/>
      <c r="CB62" s="136"/>
      <c r="CC62" s="66"/>
      <c r="CD62" s="66"/>
      <c r="CE62" s="66"/>
      <c r="CF62" s="66"/>
      <c r="CG62" s="136"/>
      <c r="CH62" s="66"/>
      <c r="CI62" s="66"/>
      <c r="CJ62" s="66"/>
      <c r="CK62" s="66"/>
      <c r="CL62" s="136"/>
      <c r="CM62" s="66"/>
      <c r="CN62" s="66"/>
      <c r="CO62" s="66"/>
      <c r="CP62" s="66"/>
      <c r="CQ62" s="136"/>
      <c r="CR62" s="66"/>
      <c r="CS62" s="66"/>
      <c r="CT62" s="66"/>
      <c r="CU62" s="66"/>
      <c r="CV62" s="136"/>
      <c r="CW62" s="66"/>
      <c r="CX62" s="66"/>
      <c r="CY62" s="66"/>
      <c r="CZ62" s="66"/>
      <c r="DA62" s="136"/>
      <c r="DB62" s="66"/>
      <c r="DC62" s="66"/>
      <c r="DD62" s="66"/>
      <c r="DE62" s="66"/>
      <c r="DF62" s="136"/>
    </row>
    <row r="63" spans="2:110" ht="12" thickBot="1" x14ac:dyDescent="0.25">
      <c r="B63" s="272" t="s">
        <v>280</v>
      </c>
      <c r="C63" s="269"/>
      <c r="D63" s="269"/>
      <c r="E63" s="269"/>
      <c r="F63" s="269"/>
      <c r="G63" s="269"/>
      <c r="H63" s="269"/>
      <c r="I63" s="269"/>
      <c r="J63" s="269"/>
      <c r="K63" s="269"/>
      <c r="L63" s="269"/>
      <c r="M63" s="269"/>
      <c r="N63" s="269"/>
      <c r="O63" s="269"/>
      <c r="P63" s="270"/>
      <c r="Q63" s="270"/>
      <c r="R63" s="270"/>
      <c r="S63" s="270"/>
      <c r="T63" s="276"/>
      <c r="U63" s="140"/>
      <c r="V63" s="140"/>
      <c r="W63" s="140"/>
      <c r="X63" s="140"/>
      <c r="Y63" s="141"/>
      <c r="Z63" s="140">
        <f t="shared" ref="Z63:BE63" si="176">Z46/Z$47</f>
        <v>2.8308207705192625E-3</v>
      </c>
      <c r="AA63" s="140">
        <f t="shared" si="176"/>
        <v>3.097452486858067E-3</v>
      </c>
      <c r="AB63" s="140">
        <f t="shared" si="176"/>
        <v>3.0027226760015557E-3</v>
      </c>
      <c r="AC63" s="140">
        <f t="shared" si="176"/>
        <v>2.853195164075993E-3</v>
      </c>
      <c r="AD63" s="141">
        <f t="shared" si="176"/>
        <v>0</v>
      </c>
      <c r="AE63" s="140">
        <f t="shared" si="176"/>
        <v>3.6903106165971254E-3</v>
      </c>
      <c r="AF63" s="140">
        <f t="shared" si="176"/>
        <v>3.0603927380511301E-3</v>
      </c>
      <c r="AG63" s="140">
        <f t="shared" si="176"/>
        <v>2.5360050093926069E-3</v>
      </c>
      <c r="AH63" s="140">
        <f t="shared" si="176"/>
        <v>2.3225806451612867E-3</v>
      </c>
      <c r="AI63" s="141">
        <f t="shared" si="176"/>
        <v>2.806715454154111E-3</v>
      </c>
      <c r="AJ63" s="140">
        <f t="shared" si="176"/>
        <v>2.2210154765137102E-3</v>
      </c>
      <c r="AK63" s="140">
        <f t="shared" si="176"/>
        <v>2.1574004689245904E-3</v>
      </c>
      <c r="AL63" s="140">
        <f t="shared" si="176"/>
        <v>2.0823076412521736E-3</v>
      </c>
      <c r="AM63" s="140">
        <f t="shared" si="176"/>
        <v>2.1158349063344802E-3</v>
      </c>
      <c r="AN63" s="141">
        <f t="shared" si="176"/>
        <v>2.142088630148393E-3</v>
      </c>
      <c r="AO63" s="140">
        <f t="shared" ca="1" si="176"/>
        <v>0.12302206401386664</v>
      </c>
      <c r="AP63" s="140">
        <f t="shared" ca="1" si="176"/>
        <v>0.12131671156257302</v>
      </c>
      <c r="AQ63" s="140">
        <f t="shared" ca="1" si="176"/>
        <v>0.11616807737879953</v>
      </c>
      <c r="AR63" s="140">
        <f t="shared" ca="1" si="176"/>
        <v>0.10469364792075375</v>
      </c>
      <c r="AS63" s="141">
        <f t="shared" ca="1" si="176"/>
        <v>0.11588976628797415</v>
      </c>
      <c r="AT63" s="140">
        <f t="shared" ca="1" si="176"/>
        <v>0.11623989240708497</v>
      </c>
      <c r="AU63" s="140">
        <f t="shared" ca="1" si="176"/>
        <v>0.11545423182993574</v>
      </c>
      <c r="AV63" s="140">
        <f t="shared" ca="1" si="176"/>
        <v>0.11221163509229631</v>
      </c>
      <c r="AW63" s="140">
        <f t="shared" ca="1" si="176"/>
        <v>9.7845142296793197E-2</v>
      </c>
      <c r="AX63" s="141">
        <f t="shared" ca="1" si="176"/>
        <v>0.10975149021912523</v>
      </c>
      <c r="AY63" s="140">
        <f t="shared" ca="1" si="176"/>
        <v>7.5712866965934392E-2</v>
      </c>
      <c r="AZ63" s="140">
        <f t="shared" ca="1" si="176"/>
        <v>7.7492802829765964E-2</v>
      </c>
      <c r="BA63" s="140">
        <f t="shared" ca="1" si="176"/>
        <v>7.0894677325902378E-2</v>
      </c>
      <c r="BB63" s="140">
        <f t="shared" ca="1" si="176"/>
        <v>8.0194765574930285E-2</v>
      </c>
      <c r="BC63" s="141">
        <f t="shared" ca="1" si="176"/>
        <v>7.6106051226068061E-2</v>
      </c>
      <c r="BD63" s="140">
        <f t="shared" ca="1" si="176"/>
        <v>8.6902303356569122E-2</v>
      </c>
      <c r="BE63" s="140">
        <f t="shared" ca="1" si="176"/>
        <v>7.4248866391475279E-2</v>
      </c>
      <c r="BF63" s="140">
        <f t="shared" ref="BF63:CB63" ca="1" si="177">BF46/BF$47</f>
        <v>6.943371039385203E-2</v>
      </c>
      <c r="BG63" s="140">
        <f t="shared" ca="1" si="177"/>
        <v>7.0969992746533012E-2</v>
      </c>
      <c r="BH63" s="141">
        <f t="shared" ca="1" si="177"/>
        <v>7.5075636471403681E-2</v>
      </c>
      <c r="BI63" s="140">
        <f t="shared" ca="1" si="177"/>
        <v>9.2716359172509796E-2</v>
      </c>
      <c r="BJ63" s="140">
        <f t="shared" ca="1" si="177"/>
        <v>0.10192789354852143</v>
      </c>
      <c r="BK63" s="140">
        <f t="shared" ca="1" si="177"/>
        <v>9.9101920994012743E-2</v>
      </c>
      <c r="BL63" s="140">
        <f t="shared" ca="1" si="177"/>
        <v>9.4699760802529162E-2</v>
      </c>
      <c r="BM63" s="141">
        <f t="shared" ca="1" si="177"/>
        <v>9.7789369243259011E-2</v>
      </c>
      <c r="BN63" s="140">
        <f t="shared" ca="1" si="177"/>
        <v>0.10632547300718673</v>
      </c>
      <c r="BO63" s="140">
        <f t="shared" ca="1" si="177"/>
        <v>0.11620614688291962</v>
      </c>
      <c r="BP63" s="140">
        <f t="shared" ca="1" si="177"/>
        <v>0.10758875214103199</v>
      </c>
      <c r="BQ63" s="140">
        <f t="shared" ca="1" si="177"/>
        <v>0.12999701085851231</v>
      </c>
      <c r="BR63" s="141">
        <f t="shared" ca="1" si="177"/>
        <v>0.11481708418568269</v>
      </c>
      <c r="BS63" s="140">
        <f t="shared" ca="1" si="177"/>
        <v>0.14878760234385313</v>
      </c>
      <c r="BT63" s="140">
        <f t="shared" ca="1" si="177"/>
        <v>0.14274125603862939</v>
      </c>
      <c r="BU63" s="140">
        <f t="shared" ca="1" si="177"/>
        <v>0.14701410392541325</v>
      </c>
      <c r="BV63" s="140">
        <f t="shared" ca="1" si="177"/>
        <v>0.15520432962985592</v>
      </c>
      <c r="BW63" s="141">
        <f t="shared" ca="1" si="177"/>
        <v>0.1484357752023451</v>
      </c>
      <c r="BX63" s="140">
        <f t="shared" ca="1" si="177"/>
        <v>0.1846374921282562</v>
      </c>
      <c r="BY63" s="140">
        <f t="shared" ca="1" si="177"/>
        <v>0.16745238679916113</v>
      </c>
      <c r="BZ63" s="140">
        <f t="shared" ca="1" si="177"/>
        <v>0.17735880567719917</v>
      </c>
      <c r="CA63" s="140">
        <f t="shared" ca="1" si="177"/>
        <v>0.17289238843008198</v>
      </c>
      <c r="CB63" s="141">
        <f t="shared" ca="1" si="177"/>
        <v>0.17524250435045821</v>
      </c>
      <c r="CC63" s="140">
        <f t="shared" ref="CC63:CD63" ca="1" si="178">CC46/CC$47</f>
        <v>0.16820322451076339</v>
      </c>
      <c r="CD63" s="140">
        <f t="shared" ca="1" si="178"/>
        <v>0.13583684291311793</v>
      </c>
      <c r="CE63" s="140">
        <f t="shared" ref="CE63" ca="1" si="179">CE46/CE$47</f>
        <v>0.14836682690309708</v>
      </c>
      <c r="CF63" s="140">
        <f t="shared" ref="CF63:CL63" ca="1" si="180">CF46/CF$47</f>
        <v>0.1393035774085368</v>
      </c>
      <c r="CG63" s="141">
        <f t="shared" ca="1" si="180"/>
        <v>0.14689462389334268</v>
      </c>
      <c r="CH63" s="140">
        <f t="shared" ca="1" si="180"/>
        <v>0.12549664125410315</v>
      </c>
      <c r="CI63" s="140">
        <f t="shared" ref="CI63" ca="1" si="181">CI46/CI$47</f>
        <v>0.14313713724113045</v>
      </c>
      <c r="CJ63" s="140">
        <f t="shared" ref="CJ63:CK63" ca="1" si="182">CJ46/CJ$47</f>
        <v>0.13123629519893543</v>
      </c>
      <c r="CK63" s="140">
        <f t="shared" ca="1" si="182"/>
        <v>0.12493426733965772</v>
      </c>
      <c r="CL63" s="141">
        <f t="shared" ca="1" si="180"/>
        <v>0.13121964882254553</v>
      </c>
      <c r="CM63" s="140">
        <f t="shared" ref="CM63:CV63" ca="1" si="183">CM46/CM$47</f>
        <v>0.1345083636314168</v>
      </c>
      <c r="CN63" s="140">
        <f t="shared" ca="1" si="183"/>
        <v>0.12974193756703414</v>
      </c>
      <c r="CO63" s="140">
        <f t="shared" ca="1" si="183"/>
        <v>0.124928064394351</v>
      </c>
      <c r="CP63" s="140">
        <f t="shared" ca="1" si="183"/>
        <v>0.11582700807915618</v>
      </c>
      <c r="CQ63" s="141">
        <f t="shared" ca="1" si="183"/>
        <v>0.12570613500679337</v>
      </c>
      <c r="CR63" s="140">
        <f t="shared" ca="1" si="183"/>
        <v>0.13848209549745447</v>
      </c>
      <c r="CS63" s="140">
        <f t="shared" ca="1" si="183"/>
        <v>0.13754395829948965</v>
      </c>
      <c r="CT63" s="140">
        <f t="shared" ca="1" si="183"/>
        <v>0.13384741016441154</v>
      </c>
      <c r="CU63" s="140">
        <f t="shared" ca="1" si="183"/>
        <v>0.12449676205987045</v>
      </c>
      <c r="CV63" s="141">
        <f t="shared" ca="1" si="183"/>
        <v>0.13327601331016556</v>
      </c>
      <c r="CW63" s="140">
        <f t="shared" ref="CW63:DF63" ca="1" si="184">CW46/CW$47</f>
        <v>0.15974920728582309</v>
      </c>
      <c r="CX63" s="140">
        <f t="shared" ca="1" si="184"/>
        <v>0.16109868399498992</v>
      </c>
      <c r="CY63" s="140">
        <f t="shared" ca="1" si="184"/>
        <v>0.15798756334716099</v>
      </c>
      <c r="CZ63" s="140">
        <f t="shared" ca="1" si="184"/>
        <v>0.14750597360160503</v>
      </c>
      <c r="DA63" s="141">
        <f t="shared" ca="1" si="184"/>
        <v>0.15636140311933286</v>
      </c>
      <c r="DB63" s="140">
        <f t="shared" ca="1" si="184"/>
        <v>0.18780243227592242</v>
      </c>
      <c r="DC63" s="140">
        <f t="shared" ca="1" si="184"/>
        <v>0.19300977417345533</v>
      </c>
      <c r="DD63" s="140">
        <f t="shared" ca="1" si="184"/>
        <v>0.183692962296262</v>
      </c>
      <c r="DE63" s="140">
        <f t="shared" ca="1" si="184"/>
        <v>0.17393669460092842</v>
      </c>
      <c r="DF63" s="141">
        <f t="shared" ca="1" si="184"/>
        <v>0.18433492649225094</v>
      </c>
    </row>
    <row r="64" spans="2:110" ht="12" thickBot="1" x14ac:dyDescent="0.25">
      <c r="B64" s="77"/>
      <c r="C64" s="77"/>
      <c r="D64" s="77"/>
      <c r="E64" s="77"/>
      <c r="F64" s="77"/>
      <c r="G64" s="77"/>
      <c r="H64" s="77"/>
      <c r="I64" s="77"/>
      <c r="J64" s="77"/>
      <c r="K64" s="77"/>
      <c r="L64" s="77"/>
      <c r="M64" s="77"/>
      <c r="N64" s="77"/>
      <c r="O64" s="77"/>
      <c r="P64" s="146"/>
      <c r="Q64" s="146"/>
      <c r="R64" s="146"/>
      <c r="S64" s="146"/>
      <c r="T64" s="146"/>
      <c r="U64" s="66"/>
      <c r="V64" s="66"/>
      <c r="W64" s="66"/>
      <c r="X64" s="66"/>
      <c r="Y64" s="66"/>
      <c r="Z64" s="66"/>
      <c r="AA64" s="66"/>
      <c r="AB64" s="66"/>
      <c r="AC64" s="66"/>
      <c r="AD64" s="66"/>
      <c r="AE64" s="66"/>
      <c r="AF64" s="66"/>
      <c r="AG64" s="66"/>
      <c r="AH64" s="66"/>
      <c r="AI64" s="66"/>
      <c r="AJ64" s="66"/>
      <c r="AK64" s="66"/>
      <c r="AL64" s="66"/>
      <c r="AM64" s="66"/>
      <c r="AN64" s="66"/>
      <c r="AO64" s="66"/>
      <c r="AP64" s="66"/>
      <c r="AQ64" s="66"/>
      <c r="AR64" s="66"/>
      <c r="AS64" s="66"/>
      <c r="AT64" s="66"/>
      <c r="AU64" s="66"/>
      <c r="AV64" s="66"/>
      <c r="AW64" s="66"/>
      <c r="AX64" s="66"/>
      <c r="AY64" s="66"/>
      <c r="AZ64" s="66"/>
      <c r="BA64" s="66"/>
      <c r="BB64" s="66"/>
      <c r="BC64" s="66"/>
      <c r="BD64" s="66"/>
      <c r="BE64" s="66"/>
      <c r="BF64" s="66"/>
      <c r="BG64" s="66"/>
      <c r="BH64" s="66"/>
      <c r="BI64" s="66"/>
      <c r="BJ64" s="66"/>
      <c r="BK64" s="66"/>
      <c r="BL64" s="66"/>
      <c r="BM64" s="66"/>
      <c r="BN64" s="66"/>
      <c r="BO64" s="66"/>
      <c r="BP64" s="66"/>
      <c r="BQ64" s="66"/>
      <c r="BR64" s="66"/>
      <c r="BS64" s="66"/>
      <c r="BT64" s="66"/>
      <c r="BU64" s="66"/>
      <c r="BV64" s="66"/>
      <c r="BW64" s="66"/>
      <c r="BX64" s="66"/>
      <c r="BY64" s="66"/>
      <c r="BZ64" s="66"/>
      <c r="CA64" s="66"/>
      <c r="CB64" s="66"/>
      <c r="CC64" s="66"/>
      <c r="CD64" s="66"/>
      <c r="CE64" s="66"/>
      <c r="CF64" s="66"/>
      <c r="CG64" s="66"/>
      <c r="CH64" s="66"/>
      <c r="CI64" s="66"/>
      <c r="CJ64" s="66"/>
      <c r="CK64" s="66"/>
      <c r="CL64" s="66"/>
      <c r="CM64" s="66"/>
      <c r="CN64" s="66"/>
      <c r="CO64" s="66"/>
      <c r="CP64" s="66"/>
      <c r="CQ64" s="66"/>
      <c r="CR64" s="66"/>
      <c r="CS64" s="66"/>
      <c r="CT64" s="66"/>
      <c r="CU64" s="66"/>
      <c r="CV64" s="66"/>
      <c r="CW64" s="66"/>
      <c r="CX64" s="66"/>
      <c r="CY64" s="66"/>
      <c r="CZ64" s="66"/>
      <c r="DA64" s="66"/>
      <c r="DB64" s="66"/>
      <c r="DC64" s="66"/>
      <c r="DD64" s="66"/>
      <c r="DE64" s="66"/>
      <c r="DF64" s="66"/>
    </row>
    <row r="65" spans="2:110" s="77" customFormat="1" ht="13.5" thickBot="1" x14ac:dyDescent="0.25">
      <c r="B65" s="963" t="s">
        <v>299</v>
      </c>
      <c r="C65" s="819"/>
      <c r="D65" s="819"/>
      <c r="E65" s="960"/>
      <c r="F65" s="960"/>
      <c r="G65" s="960"/>
      <c r="H65" s="819"/>
      <c r="I65" s="819"/>
      <c r="J65" s="819"/>
      <c r="K65" s="819"/>
      <c r="L65" s="819"/>
      <c r="M65" s="819"/>
      <c r="N65" s="819"/>
      <c r="O65" s="819"/>
      <c r="P65" s="819"/>
      <c r="Q65" s="819"/>
      <c r="R65" s="819"/>
      <c r="S65" s="819"/>
      <c r="T65" s="819"/>
      <c r="U65" s="819"/>
      <c r="V65" s="819"/>
      <c r="W65" s="819"/>
      <c r="X65" s="819"/>
      <c r="Y65" s="819"/>
      <c r="Z65" s="819"/>
      <c r="AA65" s="819"/>
      <c r="AB65" s="819"/>
      <c r="AC65" s="819"/>
      <c r="AD65" s="819"/>
      <c r="AE65" s="819"/>
      <c r="AF65" s="819"/>
      <c r="AG65" s="819"/>
      <c r="AH65" s="819"/>
      <c r="AI65" s="819"/>
      <c r="AJ65" s="819"/>
      <c r="AK65" s="819"/>
      <c r="AL65" s="819"/>
      <c r="AM65" s="819"/>
      <c r="AN65" s="819"/>
      <c r="AO65" s="819"/>
      <c r="AP65" s="819"/>
      <c r="AQ65" s="819"/>
      <c r="AR65" s="819"/>
      <c r="AS65" s="819"/>
      <c r="AT65" s="819"/>
      <c r="AU65" s="819"/>
      <c r="AV65" s="819"/>
      <c r="AW65" s="819"/>
      <c r="AX65" s="819"/>
      <c r="AY65" s="819"/>
      <c r="AZ65" s="819"/>
      <c r="BA65" s="819"/>
      <c r="BB65" s="819"/>
      <c r="BC65" s="819"/>
      <c r="BD65" s="819"/>
      <c r="BE65" s="819"/>
      <c r="BF65" s="819"/>
      <c r="BG65" s="819"/>
      <c r="BH65" s="819"/>
      <c r="BI65" s="819"/>
      <c r="BJ65" s="819"/>
      <c r="BK65" s="819"/>
      <c r="BL65" s="819"/>
      <c r="BM65" s="819"/>
      <c r="BN65" s="819"/>
      <c r="BO65" s="819"/>
      <c r="BP65" s="819"/>
      <c r="BQ65" s="819"/>
      <c r="BR65" s="819"/>
      <c r="BS65" s="819"/>
      <c r="BT65" s="819"/>
      <c r="BU65" s="819"/>
      <c r="BV65" s="819"/>
      <c r="BW65" s="819"/>
      <c r="BX65" s="819"/>
      <c r="BY65" s="819"/>
      <c r="BZ65" s="819"/>
      <c r="CA65" s="819"/>
      <c r="CB65" s="872"/>
      <c r="CC65" s="819"/>
      <c r="CD65" s="819"/>
      <c r="CE65" s="819"/>
      <c r="CF65" s="819"/>
      <c r="CG65" s="872"/>
      <c r="CH65" s="819"/>
      <c r="CI65" s="819"/>
      <c r="CJ65" s="819"/>
      <c r="CK65" s="819"/>
      <c r="CL65" s="872"/>
      <c r="CM65" s="819"/>
      <c r="CN65" s="819"/>
      <c r="CO65" s="819"/>
      <c r="CP65" s="819"/>
      <c r="CQ65" s="872"/>
      <c r="CR65" s="819"/>
      <c r="CS65" s="819"/>
      <c r="CT65" s="819"/>
      <c r="CU65" s="819"/>
      <c r="CV65" s="872"/>
      <c r="CW65" s="819"/>
      <c r="CX65" s="819"/>
      <c r="CY65" s="819"/>
      <c r="CZ65" s="819"/>
      <c r="DA65" s="872"/>
      <c r="DB65" s="819"/>
      <c r="DC65" s="819"/>
      <c r="DD65" s="819"/>
      <c r="DE65" s="819"/>
      <c r="DF65" s="872"/>
    </row>
    <row r="66" spans="2:110" x14ac:dyDescent="0.2">
      <c r="B66" s="273" t="s">
        <v>293</v>
      </c>
      <c r="C66" s="165"/>
      <c r="D66" s="274"/>
      <c r="E66" s="165"/>
      <c r="F66" s="165"/>
      <c r="G66" s="165"/>
      <c r="H66" s="165"/>
      <c r="I66" s="165"/>
      <c r="J66" s="165"/>
      <c r="K66" s="165"/>
      <c r="L66" s="165"/>
      <c r="M66" s="165"/>
      <c r="N66" s="165"/>
      <c r="O66" s="165"/>
      <c r="P66" s="167"/>
      <c r="Q66" s="167"/>
      <c r="R66" s="167"/>
      <c r="S66" s="167"/>
      <c r="T66" s="246"/>
      <c r="U66" s="166">
        <f>U37/Model!U$14</f>
        <v>0.17385081171663627</v>
      </c>
      <c r="V66" s="166">
        <f>V37/Model!V$14</f>
        <v>0.16821977702971969</v>
      </c>
      <c r="W66" s="166">
        <f>W37/Model!W$14</f>
        <v>0.15388102807336557</v>
      </c>
      <c r="X66" s="166">
        <f>X37/Model!X$14</f>
        <v>0.14750314473924553</v>
      </c>
      <c r="Y66" s="214">
        <f>Y37/Model!Y$14</f>
        <v>0.16011582964975227</v>
      </c>
      <c r="Z66" s="166">
        <f>Z37/Model!Z$14</f>
        <v>0.13976576609804664</v>
      </c>
      <c r="AA66" s="166">
        <f>AA37/Model!AA$14</f>
        <v>0.13349059554325993</v>
      </c>
      <c r="AB66" s="166">
        <f>AB37/Model!AB$14</f>
        <v>0.11943745475688995</v>
      </c>
      <c r="AC66" s="166">
        <f>AC37/Model!AC$14</f>
        <v>0.10359874711686326</v>
      </c>
      <c r="AD66" s="214">
        <f>AD37/Model!AD$14</f>
        <v>0.12236071048731519</v>
      </c>
      <c r="AE66" s="166">
        <f>AE37/Model!AE$14</f>
        <v>0.10291782628801913</v>
      </c>
      <c r="AF66" s="166">
        <f>AF37/Model!AF$14</f>
        <v>9.8904909240923988E-2</v>
      </c>
      <c r="AG66" s="166">
        <f>AG37/Model!AG$14</f>
        <v>9.6340662570130881E-2</v>
      </c>
      <c r="AH66" s="166">
        <f>AH37/Model!AH$14</f>
        <v>0.10222997205994439</v>
      </c>
      <c r="AI66" s="214">
        <f>AI37/Model!AI$14</f>
        <v>0.10007828067934653</v>
      </c>
      <c r="AJ66" s="166">
        <f>AJ37/Model!AJ$14</f>
        <v>0.10852514952589369</v>
      </c>
      <c r="AK66" s="166">
        <f>AK37/Model!AK$14</f>
        <v>0.10769832037643177</v>
      </c>
      <c r="AL66" s="166">
        <f>AL37/Model!AL$14</f>
        <v>0.10045791589753424</v>
      </c>
      <c r="AM66" s="166">
        <f>AM37/Model!AM$14</f>
        <v>0.11707298719723189</v>
      </c>
      <c r="AN66" s="214">
        <f>AN37/Model!AN$14</f>
        <v>0.10854743827017846</v>
      </c>
      <c r="AO66" s="166">
        <f>AO37/Model!AO$14</f>
        <v>0.20205522201887324</v>
      </c>
      <c r="AP66" s="166">
        <f>AP37/Model!AP$14</f>
        <v>0.20015881319854487</v>
      </c>
      <c r="AQ66" s="166">
        <f>AQ37/Model!AQ$14</f>
        <v>0.20719635355256735</v>
      </c>
      <c r="AR66" s="166">
        <f>AR37/Model!AR$14</f>
        <v>0.22815828686372003</v>
      </c>
      <c r="AS66" s="214">
        <f>AS37/Model!AS$14</f>
        <v>0.20995662873082552</v>
      </c>
      <c r="AT66" s="166">
        <f>AT37/Model!AT$14</f>
        <v>0.23474188728702475</v>
      </c>
      <c r="AU66" s="166">
        <f>AU37/Model!AU$14</f>
        <v>0.22950285961422437</v>
      </c>
      <c r="AV66" s="166">
        <f>AV37/Model!AV$14</f>
        <v>0.23402427438499052</v>
      </c>
      <c r="AW66" s="166">
        <f>AW37/Model!AW$14</f>
        <v>0.24986517138547149</v>
      </c>
      <c r="AX66" s="214">
        <f>AX37/Model!AX$14</f>
        <v>0.2376576480008199</v>
      </c>
      <c r="AY66" s="166">
        <f>AY37/Model!AY$14</f>
        <v>0.26920815283790878</v>
      </c>
      <c r="AZ66" s="166">
        <f>AZ37/Model!AZ$14</f>
        <v>0.26559338233748742</v>
      </c>
      <c r="BA66" s="166">
        <f>BA37/Model!BA$14</f>
        <v>0.26824743499266018</v>
      </c>
      <c r="BB66" s="166">
        <f>BB37/Model!BB$14</f>
        <v>0.26753038930729778</v>
      </c>
      <c r="BC66" s="214">
        <f>BC37/Model!BC$14</f>
        <v>0.2676195180514645</v>
      </c>
      <c r="BD66" s="166">
        <f>BD37/Model!BD$14</f>
        <v>0.28941651294152593</v>
      </c>
      <c r="BE66" s="166">
        <f>BE37/Model!BE$14</f>
        <v>0.28313488783612656</v>
      </c>
      <c r="BF66" s="166">
        <f>BF37/Model!BF$14</f>
        <v>0.27614644709277986</v>
      </c>
      <c r="BG66" s="166">
        <f>BG37/Model!BG$14</f>
        <v>0.28634142927093192</v>
      </c>
      <c r="BH66" s="214">
        <f>BH37/Model!BH$14</f>
        <v>0.28364694109136174</v>
      </c>
      <c r="BI66" s="166">
        <f>BI37/Model!BI$14</f>
        <v>0.28906128887280003</v>
      </c>
      <c r="BJ66" s="166">
        <f>BJ37/Model!BJ$14</f>
        <v>0.24888326000998584</v>
      </c>
      <c r="BK66" s="166">
        <f>BK37/Model!BK$14</f>
        <v>0.24457816717582581</v>
      </c>
      <c r="BL66" s="166">
        <f>BL37/Model!BL$14</f>
        <v>0.24624931600828917</v>
      </c>
      <c r="BM66" s="214">
        <f>BM37/Model!BM$14</f>
        <v>0.25143169684585714</v>
      </c>
      <c r="BN66" s="166">
        <f>BN37/Model!BN$14</f>
        <v>0.26554025284446353</v>
      </c>
      <c r="BO66" s="166">
        <f>BO37/Model!BO$14</f>
        <v>0.29951323910639155</v>
      </c>
      <c r="BP66" s="166">
        <f>BP37/Model!BP$14</f>
        <v>0.24740781614618559</v>
      </c>
      <c r="BQ66" s="166">
        <f>BQ37/Model!BQ$14</f>
        <v>0.22169368302670467</v>
      </c>
      <c r="BR66" s="214">
        <f>BR37/Model!BR$14</f>
        <v>0.25852479442694176</v>
      </c>
      <c r="BS66" s="166">
        <f>BS37/Model!BS$14</f>
        <v>0.25039790798820788</v>
      </c>
      <c r="BT66" s="166">
        <f>BT37/Model!BT$14</f>
        <v>0.25693158506315256</v>
      </c>
      <c r="BU66" s="166">
        <f>BU37/Model!BU$14</f>
        <v>0.23382921860610334</v>
      </c>
      <c r="BV66" s="166">
        <f>BV37/Model!BV$14</f>
        <v>0.19954510292933322</v>
      </c>
      <c r="BW66" s="214">
        <f>BW37/Model!BW$14</f>
        <v>0.23405215613045754</v>
      </c>
      <c r="BX66" s="166">
        <f>BX37/Model!BX$14</f>
        <v>0.22461147641016588</v>
      </c>
      <c r="BY66" s="166">
        <f>BY37/Model!BY$14</f>
        <v>0.23191623351726945</v>
      </c>
      <c r="BZ66" s="166">
        <f>BZ37/Model!BZ$14</f>
        <v>0.20160311063817762</v>
      </c>
      <c r="CA66" s="166">
        <f>CA37/Model!CA$14</f>
        <v>0.19010446433511999</v>
      </c>
      <c r="CB66" s="214">
        <f>CB37/Model!CB$14</f>
        <v>0.2111700382331553</v>
      </c>
      <c r="CC66" s="166">
        <f>CC37/Model!CC$14</f>
        <v>0.19761195316186728</v>
      </c>
      <c r="CD66" s="166">
        <f>CD37/Model!CD$14</f>
        <v>0.20208218068846479</v>
      </c>
      <c r="CE66" s="166">
        <f>CE37/Model!CE$14</f>
        <v>0.1820476440236348</v>
      </c>
      <c r="CF66" s="166">
        <f>CF37/Model!CF$14</f>
        <v>0.19298181469931086</v>
      </c>
      <c r="CG66" s="214">
        <f>CG37/Model!CG$14</f>
        <v>0.19336855091427271</v>
      </c>
      <c r="CH66" s="166">
        <f>CH37/Model!CH$14</f>
        <v>0.25279254090114134</v>
      </c>
      <c r="CI66" s="166">
        <f>CI37/Model!CI$14</f>
        <v>0.19968372295958448</v>
      </c>
      <c r="CJ66" s="166">
        <f>CJ37/Model!CJ$14</f>
        <v>0.19771182421033581</v>
      </c>
      <c r="CK66" s="166">
        <f>CK37/Model!CK$14</f>
        <v>0.18087265930095453</v>
      </c>
      <c r="CL66" s="214">
        <f>CL37/Model!CL$14</f>
        <v>0.20523849572723271</v>
      </c>
      <c r="CM66" s="166">
        <f ca="1">CM37/Model!CM$14</f>
        <v>0.18255225836509384</v>
      </c>
      <c r="CN66" s="166">
        <f ca="1">CN37/Model!CN$14</f>
        <v>0.16100011007661794</v>
      </c>
      <c r="CO66" s="166">
        <f ca="1">CO37/Model!CO$14</f>
        <v>0.16171902701884905</v>
      </c>
      <c r="CP66" s="166">
        <f ca="1">CP37/Model!CP$14</f>
        <v>0.17345650975539478</v>
      </c>
      <c r="CQ66" s="214">
        <f ca="1">CQ37/Model!CQ$14</f>
        <v>0.16926372212241217</v>
      </c>
      <c r="CR66" s="166">
        <f ca="1">CR37/Model!CR$14</f>
        <v>0.16446933090070789</v>
      </c>
      <c r="CS66" s="166">
        <f ca="1">CS37/Model!CS$14</f>
        <v>0.14943583905461211</v>
      </c>
      <c r="CT66" s="166">
        <f ca="1">CT37/Model!CT$14</f>
        <v>0.13609780219633763</v>
      </c>
      <c r="CU66" s="166">
        <f ca="1">CU37/Model!CU$14</f>
        <v>0.15230448205671426</v>
      </c>
      <c r="CV66" s="214">
        <f ca="1">CV37/Model!CV$14</f>
        <v>0.1501746229281212</v>
      </c>
      <c r="CW66" s="166">
        <f ca="1">CW37/Model!CW$14</f>
        <v>0.13867338966698653</v>
      </c>
      <c r="CX66" s="166">
        <f ca="1">CX37/Model!CX$14</f>
        <v>0.12364822726379988</v>
      </c>
      <c r="CY66" s="166">
        <f ca="1">CY37/Model!CY$14</f>
        <v>0.10947651737562267</v>
      </c>
      <c r="CZ66" s="166">
        <f ca="1">CZ37/Model!CZ$14</f>
        <v>0.1267370756268752</v>
      </c>
      <c r="DA66" s="214">
        <f ca="1">DA37/Model!DA$14</f>
        <v>0.12430065731582257</v>
      </c>
      <c r="DB66" s="166">
        <f ca="1">DB37/Model!DB$14</f>
        <v>0.10610316240620665</v>
      </c>
      <c r="DC66" s="166">
        <f ca="1">DC37/Model!DC$14</f>
        <v>9.6430586633234422E-2</v>
      </c>
      <c r="DD66" s="166">
        <f ca="1">DD37/Model!DD$14</f>
        <v>8.9018479934658556E-2</v>
      </c>
      <c r="DE66" s="166">
        <f ca="1">DE37/Model!DE$14</f>
        <v>0.10004916240133173</v>
      </c>
      <c r="DF66" s="214">
        <f ca="1">DF37/Model!DF$14</f>
        <v>9.7704253201657251E-2</v>
      </c>
    </row>
    <row r="67" spans="2:110" x14ac:dyDescent="0.2">
      <c r="B67" s="95" t="s">
        <v>294</v>
      </c>
      <c r="C67" s="77"/>
      <c r="D67" s="203"/>
      <c r="E67" s="77"/>
      <c r="F67" s="77"/>
      <c r="G67" s="77"/>
      <c r="H67" s="77"/>
      <c r="I67" s="77"/>
      <c r="J67" s="77"/>
      <c r="K67" s="77"/>
      <c r="L67" s="77"/>
      <c r="M67" s="77"/>
      <c r="N67" s="77"/>
      <c r="O67" s="77"/>
      <c r="P67" s="78"/>
      <c r="Q67" s="78"/>
      <c r="R67" s="78"/>
      <c r="S67" s="78"/>
      <c r="T67" s="247"/>
      <c r="U67" s="66">
        <f>U38/Model!U$14</f>
        <v>4.9169166609582038E-2</v>
      </c>
      <c r="V67" s="66">
        <f>V38/Model!V$14</f>
        <v>-1.0727593939244206E-3</v>
      </c>
      <c r="W67" s="66">
        <f>W38/Model!W$14</f>
        <v>8.19967787980181E-4</v>
      </c>
      <c r="X67" s="66">
        <f>X38/Model!X$14</f>
        <v>3.2450875194732477E-2</v>
      </c>
      <c r="Y67" s="136">
        <f>Y38/Model!Y$14</f>
        <v>2.0378857425110114E-2</v>
      </c>
      <c r="Z67" s="66">
        <f>Z38/Model!Z$14</f>
        <v>0.14579875269968542</v>
      </c>
      <c r="AA67" s="66">
        <f>AA38/Model!AA$14</f>
        <v>0.14126034114566008</v>
      </c>
      <c r="AB67" s="66">
        <f>AB38/Model!AB$14</f>
        <v>0.12665821164070942</v>
      </c>
      <c r="AC67" s="66">
        <f>AC38/Model!AC$14</f>
        <v>0.10763987713685813</v>
      </c>
      <c r="AD67" s="136">
        <f>AD38/Model!AD$14</f>
        <v>0.12847982588118931</v>
      </c>
      <c r="AE67" s="66">
        <f>AE38/Model!AE$14</f>
        <v>0.10693239527634847</v>
      </c>
      <c r="AF67" s="66">
        <f>AF38/Model!AF$14</f>
        <v>0.10120361661166107</v>
      </c>
      <c r="AG67" s="66">
        <f>AG38/Model!AG$14</f>
        <v>9.6109906492118591E-2</v>
      </c>
      <c r="AH67" s="66">
        <f>AH38/Model!AH$14</f>
        <v>9.7059720599441457E-2</v>
      </c>
      <c r="AI67" s="136">
        <f>AI38/Model!AI$14</f>
        <v>0.10014421380045363</v>
      </c>
      <c r="AJ67" s="66">
        <f>AJ38/Model!AJ$14</f>
        <v>9.3669564794554031E-2</v>
      </c>
      <c r="AK67" s="66">
        <f>AK38/Model!AK$14</f>
        <v>8.8676287249832758E-2</v>
      </c>
      <c r="AL67" s="66">
        <f>AL38/Model!AL$14</f>
        <v>0.18346227203147403</v>
      </c>
      <c r="AM67" s="66">
        <f>AM38/Model!AM$14</f>
        <v>0.17753539770934271</v>
      </c>
      <c r="AN67" s="136">
        <f>AN38/Model!AN$14</f>
        <v>0.13708606512251301</v>
      </c>
      <c r="AO67" s="66">
        <f>AO38/Model!AO$14</f>
        <v>9.0300903401808616E-2</v>
      </c>
      <c r="AP67" s="66">
        <f>AP38/Model!AP$14</f>
        <v>0.10883588589615957</v>
      </c>
      <c r="AQ67" s="66">
        <f>AQ38/Model!AQ$14</f>
        <v>9.0387281266257988E-2</v>
      </c>
      <c r="AR67" s="66">
        <f>AR38/Model!AR$14</f>
        <v>9.6412715288937786E-2</v>
      </c>
      <c r="AS67" s="136">
        <f>AS38/Model!AS$14</f>
        <v>9.6539881814096312E-2</v>
      </c>
      <c r="AT67" s="66">
        <f>AT38/Model!AT$14</f>
        <v>9.1577940835049554E-2</v>
      </c>
      <c r="AU67" s="66">
        <f>AU38/Model!AU$14</f>
        <v>0.10020499300009227</v>
      </c>
      <c r="AV67" s="66">
        <f>AV38/Model!AV$14</f>
        <v>0.10840102475139858</v>
      </c>
      <c r="AW67" s="66">
        <f>AW38/Model!AW$14</f>
        <v>0.10042215173595638</v>
      </c>
      <c r="AX67" s="136">
        <f>AX38/Model!AX$14</f>
        <v>0.10043652301894325</v>
      </c>
      <c r="AY67" s="66">
        <f>AY38/Model!AY$14</f>
        <v>0.12743367831226993</v>
      </c>
      <c r="AZ67" s="66">
        <f>AZ38/Model!AZ$14</f>
        <v>0.11734955832274648</v>
      </c>
      <c r="BA67" s="66">
        <f>BA38/Model!BA$14</f>
        <v>0.11390172919513469</v>
      </c>
      <c r="BB67" s="66">
        <f>BB38/Model!BB$14</f>
        <v>0.11637735328834864</v>
      </c>
      <c r="BC67" s="136">
        <f>BC38/Model!BC$14</f>
        <v>0.11851545827396956</v>
      </c>
      <c r="BD67" s="66">
        <f>BD38/Model!BD$14</f>
        <v>0.10585538394816654</v>
      </c>
      <c r="BE67" s="66">
        <f>BE38/Model!BE$14</f>
        <v>0.1063025908753641</v>
      </c>
      <c r="BF67" s="66">
        <f>BF38/Model!BF$14</f>
        <v>0.11164387974812837</v>
      </c>
      <c r="BG67" s="66">
        <f>BG38/Model!BG$14</f>
        <v>9.7252732233810285E-2</v>
      </c>
      <c r="BH67" s="136">
        <f>BH38/Model!BH$14</f>
        <v>0.10513926324417533</v>
      </c>
      <c r="BI67" s="66">
        <f>BI38/Model!BI$14</f>
        <v>6.8410898600838765E-2</v>
      </c>
      <c r="BJ67" s="66">
        <f>BJ38/Model!BJ$14</f>
        <v>4.9608943760128067E-2</v>
      </c>
      <c r="BK67" s="66">
        <f>BK38/Model!BK$14</f>
        <v>4.6630085039532518E-2</v>
      </c>
      <c r="BL67" s="66">
        <f>BL38/Model!BL$14</f>
        <v>4.4131223563898411E-2</v>
      </c>
      <c r="BM67" s="136">
        <f>BM38/Model!BM$14</f>
        <v>4.9194048338971778E-2</v>
      </c>
      <c r="BN67" s="66">
        <f>BN38/Model!BN$14</f>
        <v>4.805556497855E-2</v>
      </c>
      <c r="BO67" s="66">
        <f>BO38/Model!BO$14</f>
        <v>5.9058592833998363E-2</v>
      </c>
      <c r="BP67" s="66">
        <f>BP38/Model!BP$14</f>
        <v>4.9499230179316567E-2</v>
      </c>
      <c r="BQ67" s="66">
        <f>BQ38/Model!BQ$14</f>
        <v>4.6954668476950574E-2</v>
      </c>
      <c r="BR67" s="136">
        <f>BR38/Model!BR$14</f>
        <v>5.0953401387776473E-2</v>
      </c>
      <c r="BS67" s="66">
        <f>BS38/Model!BS$14</f>
        <v>4.218234704881535E-2</v>
      </c>
      <c r="BT67" s="66">
        <f>BT38/Model!BT$14</f>
        <v>4.6183448006653617E-2</v>
      </c>
      <c r="BU67" s="66">
        <f>BU38/Model!BU$14</f>
        <v>5.4701857904679067E-2</v>
      </c>
      <c r="BV67" s="66">
        <f>BV38/Model!BV$14</f>
        <v>5.3708206286489209E-2</v>
      </c>
      <c r="BW67" s="136">
        <f>BW38/Model!BW$14</f>
        <v>4.9504319847808016E-2</v>
      </c>
      <c r="BX67" s="66">
        <f>BX38/Model!BX$14</f>
        <v>5.1141472004468926E-2</v>
      </c>
      <c r="BY67" s="66">
        <f>BY38/Model!BY$14</f>
        <v>5.2907435980786448E-2</v>
      </c>
      <c r="BZ67" s="66">
        <f>BZ38/Model!BZ$14</f>
        <v>4.9680964794971263E-2</v>
      </c>
      <c r="CA67" s="66">
        <f>CA38/Model!CA$14</f>
        <v>4.536362332195757E-2</v>
      </c>
      <c r="CB67" s="136">
        <f>CB38/Model!CB$14</f>
        <v>4.9643109645942277E-2</v>
      </c>
      <c r="CC67" s="66">
        <f>CC38/Model!CC$14</f>
        <v>4.3917021919269002E-2</v>
      </c>
      <c r="CD67" s="66">
        <f>CD38/Model!CD$14</f>
        <v>4.5000940712611293E-2</v>
      </c>
      <c r="CE67" s="66">
        <f>CE38/Model!CE$14</f>
        <v>4.2928181214313382E-2</v>
      </c>
      <c r="CF67" s="66">
        <f>CF38/Model!CF$14</f>
        <v>4.324706580935881E-2</v>
      </c>
      <c r="CG67" s="136">
        <f>CG38/Model!CG$14</f>
        <v>4.3746463369268705E-2</v>
      </c>
      <c r="CH67" s="66">
        <f>CH38/Model!CH$14</f>
        <v>6.6554551418245622E-2</v>
      </c>
      <c r="CI67" s="66">
        <f>CI38/Model!CI$14</f>
        <v>4.5179236375068696E-2</v>
      </c>
      <c r="CJ67" s="66">
        <f>CJ38/Model!CJ$14</f>
        <v>6.4107784353044941E-2</v>
      </c>
      <c r="CK67" s="66">
        <f>CK38/Model!CK$14</f>
        <v>5.3977727484517027E-2</v>
      </c>
      <c r="CL67" s="136">
        <f>CL38/Model!CL$14</f>
        <v>5.7092735536217618E-2</v>
      </c>
      <c r="CM67" s="66">
        <f ca="1">CM38/Model!CM$14</f>
        <v>4.0240390699854536E-2</v>
      </c>
      <c r="CN67" s="66">
        <f ca="1">CN38/Model!CN$14</f>
        <v>4.4643504998439547E-2</v>
      </c>
      <c r="CO67" s="66">
        <f ca="1">CO38/Model!CO$14</f>
        <v>6.440929307389949E-2</v>
      </c>
      <c r="CP67" s="66">
        <f ca="1">CP38/Model!CP$14</f>
        <v>5.799526477951035E-2</v>
      </c>
      <c r="CQ67" s="136">
        <f ca="1">CQ38/Model!CQ$14</f>
        <v>5.2411037739774305E-2</v>
      </c>
      <c r="CR67" s="66">
        <f ca="1">CR38/Model!CR$14</f>
        <v>4.4870241003445013E-2</v>
      </c>
      <c r="CS67" s="66">
        <f ca="1">CS38/Model!CS$14</f>
        <v>5.1203709372894868E-2</v>
      </c>
      <c r="CT67" s="66">
        <f ca="1">CT38/Model!CT$14</f>
        <v>7.4405075446250843E-2</v>
      </c>
      <c r="CU67" s="66">
        <f ca="1">CU38/Model!CU$14</f>
        <v>6.7123315272790307E-2</v>
      </c>
      <c r="CV67" s="136">
        <f ca="1">CV38/Model!CV$14</f>
        <v>5.9985294815446386E-2</v>
      </c>
      <c r="CW67" s="66">
        <f ca="1">CW38/Model!CW$14</f>
        <v>4.8644754676057299E-2</v>
      </c>
      <c r="CX67" s="66">
        <f ca="1">CX38/Model!CX$14</f>
        <v>5.641513645479012E-2</v>
      </c>
      <c r="CY67" s="66">
        <f ca="1">CY38/Model!CY$14</f>
        <v>8.2314536804958857E-2</v>
      </c>
      <c r="CZ67" s="66">
        <f ca="1">CZ38/Model!CZ$14</f>
        <v>7.4463501779338234E-2</v>
      </c>
      <c r="DA67" s="136">
        <f ca="1">DA38/Model!DA$14</f>
        <v>6.6026910552789878E-2</v>
      </c>
      <c r="DB67" s="66">
        <f ca="1">DB38/Model!DB$14</f>
        <v>5.3705307032384443E-2</v>
      </c>
      <c r="DC67" s="66">
        <f ca="1">DC38/Model!DC$14</f>
        <v>6.3501849069065905E-2</v>
      </c>
      <c r="DD67" s="66">
        <f ca="1">DD38/Model!DD$14</f>
        <v>9.0000789388296823E-2</v>
      </c>
      <c r="DE67" s="66">
        <f ca="1">DE38/Model!DE$14</f>
        <v>8.2381368919161438E-2</v>
      </c>
      <c r="DF67" s="136">
        <f ca="1">DF38/Model!DF$14</f>
        <v>7.3097638446680102E-2</v>
      </c>
    </row>
    <row r="68" spans="2:110" x14ac:dyDescent="0.2">
      <c r="B68" s="275" t="s">
        <v>285</v>
      </c>
      <c r="C68" s="77"/>
      <c r="D68" s="203"/>
      <c r="E68" s="77"/>
      <c r="F68" s="77"/>
      <c r="G68" s="77"/>
      <c r="H68" s="77"/>
      <c r="I68" s="77"/>
      <c r="J68" s="77"/>
      <c r="K68" s="77"/>
      <c r="L68" s="77"/>
      <c r="M68" s="77"/>
      <c r="N68" s="77"/>
      <c r="O68" s="77"/>
      <c r="P68" s="146"/>
      <c r="Q68" s="146"/>
      <c r="R68" s="146"/>
      <c r="S68" s="146"/>
      <c r="T68" s="231"/>
      <c r="U68" s="66">
        <f>U39/Model!U$14</f>
        <v>0.22301997832621831</v>
      </c>
      <c r="V68" s="66">
        <f>V39/Model!V$14</f>
        <v>0.16714701763579526</v>
      </c>
      <c r="W68" s="66">
        <f>W39/Model!W$14</f>
        <v>0.15470099586134572</v>
      </c>
      <c r="X68" s="66">
        <f>X39/Model!X$14</f>
        <v>0.179954019933978</v>
      </c>
      <c r="Y68" s="136">
        <f>Y39/Model!Y$14</f>
        <v>0.18049468707486238</v>
      </c>
      <c r="Z68" s="66">
        <f>Z39/Model!Z$14</f>
        <v>0.28556451879773209</v>
      </c>
      <c r="AA68" s="66">
        <f>AA39/Model!AA$14</f>
        <v>0.27475093668891998</v>
      </c>
      <c r="AB68" s="66">
        <f>AB39/Model!AB$14</f>
        <v>0.24609566639759933</v>
      </c>
      <c r="AC68" s="66">
        <f>AC39/Model!AC$14</f>
        <v>0.21123862425372136</v>
      </c>
      <c r="AD68" s="136">
        <f>AD39/Model!AD$14</f>
        <v>0.25084053636850451</v>
      </c>
      <c r="AE68" s="66">
        <f>AE39/Model!AE$14</f>
        <v>0.20985022156436761</v>
      </c>
      <c r="AF68" s="66">
        <f>AF39/Model!AF$14</f>
        <v>0.20010852585258504</v>
      </c>
      <c r="AG68" s="66">
        <f>AG39/Model!AG$14</f>
        <v>0.1924505690622495</v>
      </c>
      <c r="AH68" s="66">
        <f>AH39/Model!AH$14</f>
        <v>0.19928969265938584</v>
      </c>
      <c r="AI68" s="136">
        <f>AI39/Model!AI$14</f>
        <v>0.20022249447980017</v>
      </c>
      <c r="AJ68" s="66">
        <f>AJ39/Model!AJ$14</f>
        <v>0.20219471432044775</v>
      </c>
      <c r="AK68" s="66">
        <f>AK39/Model!AK$14</f>
        <v>0.19637460762626455</v>
      </c>
      <c r="AL68" s="66">
        <f>AL39/Model!AL$14</f>
        <v>0.28392018792900825</v>
      </c>
      <c r="AM68" s="66">
        <f>AM39/Model!AM$14</f>
        <v>0.29460838490657459</v>
      </c>
      <c r="AN68" s="136">
        <f>AN39/Model!AN$14</f>
        <v>0.24563350339269147</v>
      </c>
      <c r="AO68" s="66">
        <f>AO39/Model!AO$14</f>
        <v>0.2923561254206819</v>
      </c>
      <c r="AP68" s="66">
        <f>AP39/Model!AP$14</f>
        <v>0.30899469909470445</v>
      </c>
      <c r="AQ68" s="66">
        <f>AQ39/Model!AQ$14</f>
        <v>0.29758363481882533</v>
      </c>
      <c r="AR68" s="66">
        <f>AR39/Model!AR$14</f>
        <v>0.32457100215265783</v>
      </c>
      <c r="AS68" s="136">
        <f>AS39/Model!AS$14</f>
        <v>0.30649651054492183</v>
      </c>
      <c r="AT68" s="66">
        <f>AT39/Model!AT$14</f>
        <v>0.32631982812207427</v>
      </c>
      <c r="AU68" s="66">
        <f>AU39/Model!AU$14</f>
        <v>0.32970785261431662</v>
      </c>
      <c r="AV68" s="66">
        <f>AV39/Model!AV$14</f>
        <v>0.34242529913638908</v>
      </c>
      <c r="AW68" s="66">
        <f>AW39/Model!AW$14</f>
        <v>0.35028732312142785</v>
      </c>
      <c r="AX68" s="136">
        <f>AX39/Model!AX$14</f>
        <v>0.33809417101976319</v>
      </c>
      <c r="AY68" s="66">
        <f>AY39/Model!AY$14</f>
        <v>0.3966418311501787</v>
      </c>
      <c r="AZ68" s="66">
        <f>AZ39/Model!AZ$14</f>
        <v>0.38294294066023382</v>
      </c>
      <c r="BA68" s="66">
        <f>BA39/Model!BA$14</f>
        <v>0.38214916418779482</v>
      </c>
      <c r="BB68" s="66">
        <f>BB39/Model!BB$14</f>
        <v>0.38390774259564642</v>
      </c>
      <c r="BC68" s="136">
        <f>BC39/Model!BC$14</f>
        <v>0.38613497632543409</v>
      </c>
      <c r="BD68" s="66">
        <f>BD39/Model!BD$14</f>
        <v>0.39527189688969244</v>
      </c>
      <c r="BE68" s="66">
        <f>BE39/Model!BE$14</f>
        <v>0.38943747871149065</v>
      </c>
      <c r="BF68" s="66">
        <f>BF39/Model!BF$14</f>
        <v>0.38779032684090819</v>
      </c>
      <c r="BG68" s="66">
        <f>BG39/Model!BG$14</f>
        <v>0.38359416150474218</v>
      </c>
      <c r="BH68" s="136">
        <f>BH39/Model!BH$14</f>
        <v>0.38878620433553701</v>
      </c>
      <c r="BI68" s="66">
        <f>BI39/Model!BI$14</f>
        <v>0.35747218747363874</v>
      </c>
      <c r="BJ68" s="66">
        <f>BJ39/Model!BJ$14</f>
        <v>0.29849220377011393</v>
      </c>
      <c r="BK68" s="66">
        <f>BK39/Model!BK$14</f>
        <v>0.29120825221535829</v>
      </c>
      <c r="BL68" s="66">
        <f>BL39/Model!BL$14</f>
        <v>0.29038053957218762</v>
      </c>
      <c r="BM68" s="136">
        <f>BM39/Model!BM$14</f>
        <v>0.30062574518482899</v>
      </c>
      <c r="BN68" s="66">
        <f>BN39/Model!BN$14</f>
        <v>0.31359581782301355</v>
      </c>
      <c r="BO68" s="66">
        <f>BO39/Model!BO$14</f>
        <v>0.35857183194038988</v>
      </c>
      <c r="BP68" s="66">
        <f>BP39/Model!BP$14</f>
        <v>0.29690704632550219</v>
      </c>
      <c r="BQ68" s="66">
        <f>BQ39/Model!BQ$14</f>
        <v>0.26864835150365524</v>
      </c>
      <c r="BR68" s="136">
        <f>BR39/Model!BR$14</f>
        <v>0.30947819581471825</v>
      </c>
      <c r="BS68" s="66">
        <f>BS39/Model!BS$14</f>
        <v>0.29258025503702323</v>
      </c>
      <c r="BT68" s="66">
        <f>BT39/Model!BT$14</f>
        <v>0.30311503306980614</v>
      </c>
      <c r="BU68" s="66">
        <f>BU39/Model!BU$14</f>
        <v>0.28853107651078241</v>
      </c>
      <c r="BV68" s="66">
        <f>BV39/Model!BV$14</f>
        <v>0.25325330921582245</v>
      </c>
      <c r="BW68" s="136">
        <f>BW39/Model!BW$14</f>
        <v>0.28355647597826555</v>
      </c>
      <c r="BX68" s="66">
        <f>BX39/Model!BX$14</f>
        <v>0.27575294841463482</v>
      </c>
      <c r="BY68" s="66">
        <f>BY39/Model!BY$14</f>
        <v>0.28482366949805593</v>
      </c>
      <c r="BZ68" s="66">
        <f>BZ39/Model!BZ$14</f>
        <v>0.2512840754331489</v>
      </c>
      <c r="CA68" s="66">
        <f>CA39/Model!CA$14</f>
        <v>0.23546808765707755</v>
      </c>
      <c r="CB68" s="136">
        <f>CB39/Model!CB$14</f>
        <v>0.2608131478790976</v>
      </c>
      <c r="CC68" s="66">
        <f>CC39/Model!CC$14</f>
        <v>0.2415289750811363</v>
      </c>
      <c r="CD68" s="66">
        <f>CD39/Model!CD$14</f>
        <v>0.24708312140107608</v>
      </c>
      <c r="CE68" s="66">
        <f>CE39/Model!CE$14</f>
        <v>0.22497582523794818</v>
      </c>
      <c r="CF68" s="66">
        <f>CF39/Model!CF$14</f>
        <v>0.23622888050866969</v>
      </c>
      <c r="CG68" s="136">
        <f>CG39/Model!CG$14</f>
        <v>0.23711501428354143</v>
      </c>
      <c r="CH68" s="66">
        <f>CH39/Model!CH$14</f>
        <v>0.31934709231938696</v>
      </c>
      <c r="CI68" s="66">
        <f>CI39/Model!CI$14</f>
        <v>0.24486295933465319</v>
      </c>
      <c r="CJ68" s="66">
        <f>CJ39/Model!CJ$14</f>
        <v>0.26181960856338071</v>
      </c>
      <c r="CK68" s="66">
        <f>CK39/Model!CK$14</f>
        <v>0.23485038678547154</v>
      </c>
      <c r="CL68" s="136">
        <f>CL39/Model!CL$14</f>
        <v>0.26233123126345032</v>
      </c>
      <c r="CM68" s="66">
        <f ca="1">CM39/Model!CM$14</f>
        <v>0.22279264906494839</v>
      </c>
      <c r="CN68" s="66">
        <f ca="1">CN39/Model!CN$14</f>
        <v>0.20564361507505749</v>
      </c>
      <c r="CO68" s="66">
        <f ca="1">CO39/Model!CO$14</f>
        <v>0.22612832009274855</v>
      </c>
      <c r="CP68" s="66">
        <f ca="1">CP39/Model!CP$14</f>
        <v>0.23145177453490515</v>
      </c>
      <c r="CQ68" s="136">
        <f ca="1">CQ39/Model!CQ$14</f>
        <v>0.22167475986218649</v>
      </c>
      <c r="CR68" s="66">
        <f ca="1">CR39/Model!CR$14</f>
        <v>0.20933957190415292</v>
      </c>
      <c r="CS68" s="66">
        <f ca="1">CS39/Model!CS$14</f>
        <v>0.20063954842750698</v>
      </c>
      <c r="CT68" s="66">
        <f ca="1">CT39/Model!CT$14</f>
        <v>0.21050287764258849</v>
      </c>
      <c r="CU68" s="66">
        <f ca="1">CU39/Model!CU$14</f>
        <v>0.21942779732950457</v>
      </c>
      <c r="CV68" s="136">
        <f ca="1">CV39/Model!CV$14</f>
        <v>0.21015991774356757</v>
      </c>
      <c r="CW68" s="66">
        <f ca="1">CW39/Model!CW$14</f>
        <v>0.18731814434304384</v>
      </c>
      <c r="CX68" s="66">
        <f ca="1">CX39/Model!CX$14</f>
        <v>0.18006336371859</v>
      </c>
      <c r="CY68" s="66">
        <f ca="1">CY39/Model!CY$14</f>
        <v>0.19179105418058154</v>
      </c>
      <c r="CZ68" s="66">
        <f ca="1">CZ39/Model!CZ$14</f>
        <v>0.20120057740621342</v>
      </c>
      <c r="DA68" s="136">
        <f ca="1">DA39/Model!DA$14</f>
        <v>0.19032756786861246</v>
      </c>
      <c r="DB68" s="66">
        <f ca="1">DB39/Model!DB$14</f>
        <v>0.15980846943859109</v>
      </c>
      <c r="DC68" s="66">
        <f ca="1">DC39/Model!DC$14</f>
        <v>0.15993243570230034</v>
      </c>
      <c r="DD68" s="66">
        <f ca="1">DD39/Model!DD$14</f>
        <v>0.17901926932295539</v>
      </c>
      <c r="DE68" s="66">
        <f ca="1">DE39/Model!DE$14</f>
        <v>0.18243053132049317</v>
      </c>
      <c r="DF68" s="136">
        <f ca="1">DF39/Model!DF$14</f>
        <v>0.17080189164833734</v>
      </c>
    </row>
    <row r="69" spans="2:110" x14ac:dyDescent="0.2">
      <c r="B69" s="275"/>
      <c r="C69" s="77"/>
      <c r="D69" s="203"/>
      <c r="E69" s="77"/>
      <c r="F69" s="77"/>
      <c r="G69" s="77"/>
      <c r="H69" s="77"/>
      <c r="I69" s="77"/>
      <c r="J69" s="77"/>
      <c r="K69" s="77"/>
      <c r="L69" s="77"/>
      <c r="M69" s="77"/>
      <c r="N69" s="77"/>
      <c r="O69" s="77"/>
      <c r="P69" s="146"/>
      <c r="Q69" s="146"/>
      <c r="R69" s="146"/>
      <c r="S69" s="146"/>
      <c r="T69" s="231"/>
      <c r="U69" s="66"/>
      <c r="V69" s="66"/>
      <c r="W69" s="66"/>
      <c r="X69" s="66"/>
      <c r="Y69" s="136"/>
      <c r="Z69" s="66"/>
      <c r="AA69" s="66"/>
      <c r="AB69" s="66"/>
      <c r="AC69" s="66"/>
      <c r="AD69" s="136"/>
      <c r="AE69" s="66"/>
      <c r="AF69" s="66"/>
      <c r="AG69" s="66"/>
      <c r="AH69" s="66"/>
      <c r="AI69" s="136"/>
      <c r="AJ69" s="66"/>
      <c r="AK69" s="66"/>
      <c r="AL69" s="66"/>
      <c r="AM69" s="66"/>
      <c r="AN69" s="136"/>
      <c r="AO69" s="66"/>
      <c r="AP69" s="66"/>
      <c r="AQ69" s="66"/>
      <c r="AR69" s="66"/>
      <c r="AS69" s="136"/>
      <c r="AT69" s="66"/>
      <c r="AU69" s="66"/>
      <c r="AV69" s="66"/>
      <c r="AW69" s="66"/>
      <c r="AX69" s="136"/>
      <c r="AY69" s="66"/>
      <c r="AZ69" s="66"/>
      <c r="BA69" s="66"/>
      <c r="BB69" s="66"/>
      <c r="BC69" s="136"/>
      <c r="BD69" s="66"/>
      <c r="BE69" s="66"/>
      <c r="BF69" s="66"/>
      <c r="BG69" s="66"/>
      <c r="BH69" s="136"/>
      <c r="BI69" s="66"/>
      <c r="BJ69" s="66"/>
      <c r="BK69" s="66"/>
      <c r="BL69" s="66"/>
      <c r="BM69" s="136"/>
      <c r="BN69" s="66"/>
      <c r="BO69" s="66"/>
      <c r="BP69" s="66"/>
      <c r="BQ69" s="66"/>
      <c r="BR69" s="136"/>
      <c r="BS69" s="66"/>
      <c r="BT69" s="66"/>
      <c r="BU69" s="66"/>
      <c r="BV69" s="66"/>
      <c r="BW69" s="136"/>
      <c r="BX69" s="66"/>
      <c r="BY69" s="66"/>
      <c r="BZ69" s="66"/>
      <c r="CA69" s="66"/>
      <c r="CB69" s="136"/>
      <c r="CC69" s="66"/>
      <c r="CD69" s="66"/>
      <c r="CE69" s="66"/>
      <c r="CF69" s="66"/>
      <c r="CG69" s="136"/>
      <c r="CH69" s="66"/>
      <c r="CI69" s="66"/>
      <c r="CJ69" s="66"/>
      <c r="CK69" s="66"/>
      <c r="CL69" s="136"/>
      <c r="CM69" s="66"/>
      <c r="CN69" s="66"/>
      <c r="CO69" s="66"/>
      <c r="CP69" s="66"/>
      <c r="CQ69" s="136"/>
      <c r="CR69" s="66"/>
      <c r="CS69" s="66"/>
      <c r="CT69" s="66"/>
      <c r="CU69" s="66"/>
      <c r="CV69" s="136"/>
      <c r="CW69" s="66"/>
      <c r="CX69" s="66"/>
      <c r="CY69" s="66"/>
      <c r="CZ69" s="66"/>
      <c r="DA69" s="136"/>
      <c r="DB69" s="66"/>
      <c r="DC69" s="66"/>
      <c r="DD69" s="66"/>
      <c r="DE69" s="66"/>
      <c r="DF69" s="136"/>
    </row>
    <row r="70" spans="2:110" x14ac:dyDescent="0.2">
      <c r="B70" s="95" t="s">
        <v>292</v>
      </c>
      <c r="C70" s="77"/>
      <c r="D70" s="77"/>
      <c r="E70" s="77"/>
      <c r="F70" s="77"/>
      <c r="G70" s="77"/>
      <c r="H70" s="77"/>
      <c r="I70" s="77"/>
      <c r="J70" s="77"/>
      <c r="K70" s="77"/>
      <c r="L70" s="77"/>
      <c r="M70" s="77"/>
      <c r="N70" s="77"/>
      <c r="O70" s="77"/>
      <c r="P70" s="146"/>
      <c r="Q70" s="146"/>
      <c r="R70" s="146"/>
      <c r="S70" s="146"/>
      <c r="T70" s="231"/>
      <c r="U70" s="66">
        <f>U41/Model!U$14</f>
        <v>0.61940003973189539</v>
      </c>
      <c r="V70" s="66">
        <f>V41/Model!V$14</f>
        <v>0.63034078416222383</v>
      </c>
      <c r="W70" s="66">
        <f>W41/Model!W$14</f>
        <v>0.59196642043358161</v>
      </c>
      <c r="X70" s="66">
        <f>X41/Model!X$14</f>
        <v>0.58353571650052094</v>
      </c>
      <c r="Y70" s="136">
        <f>Y41/Model!Y$14</f>
        <v>0.60507475831875623</v>
      </c>
      <c r="Z70" s="66">
        <f>Z41/Model!Z$14</f>
        <v>0.51328547456708584</v>
      </c>
      <c r="AA70" s="66">
        <f>AA41/Model!AA$14</f>
        <v>0.50937527778079017</v>
      </c>
      <c r="AB70" s="66">
        <f>AB41/Model!AB$14</f>
        <v>0.47997648680176158</v>
      </c>
      <c r="AC70" s="66">
        <f>AC41/Model!AC$14</f>
        <v>0.40061198663698266</v>
      </c>
      <c r="AD70" s="136">
        <f>AD41/Model!AD$14</f>
        <v>0.47001158973771645</v>
      </c>
      <c r="AE70" s="66">
        <f>AE41/Model!AE$14</f>
        <v>0.45999663377829325</v>
      </c>
      <c r="AF70" s="66">
        <f>AF41/Model!AF$14</f>
        <v>0.45694059405940551</v>
      </c>
      <c r="AG70" s="66">
        <f>AG41/Model!AG$14</f>
        <v>0.43506307774512404</v>
      </c>
      <c r="AH70" s="66">
        <f>AH41/Model!AH$14</f>
        <v>0.46315551181102499</v>
      </c>
      <c r="AI70" s="136">
        <f>AI41/Model!AI$14</f>
        <v>0.45376431039154569</v>
      </c>
      <c r="AJ70" s="66">
        <f>AJ41/Model!AJ$14</f>
        <v>0.44246602236810195</v>
      </c>
      <c r="AK70" s="66">
        <f>AK41/Model!AK$14</f>
        <v>0.45645158229791744</v>
      </c>
      <c r="AL70" s="66">
        <f>AL41/Model!AL$14</f>
        <v>0.42615834346044756</v>
      </c>
      <c r="AM70" s="66">
        <f>AM41/Model!AM$14</f>
        <v>0.43969266868512125</v>
      </c>
      <c r="AN70" s="136">
        <f>AN41/Model!AN$14</f>
        <v>0.44114344329052296</v>
      </c>
      <c r="AO70" s="66">
        <f>AO41/Model!AO$14</f>
        <v>0.37330106998802931</v>
      </c>
      <c r="AP70" s="66">
        <f>AP41/Model!AP$14</f>
        <v>0.36867010000040101</v>
      </c>
      <c r="AQ70" s="66">
        <f>AQ41/Model!AQ$14</f>
        <v>0.39391045728448415</v>
      </c>
      <c r="AR70" s="66">
        <f>AR41/Model!AR$14</f>
        <v>0.37105862366295772</v>
      </c>
      <c r="AS70" s="136">
        <f>AS41/Model!AS$14</f>
        <v>0.37680943284320007</v>
      </c>
      <c r="AT70" s="66">
        <f ca="1">AT41/Model!AT$14</f>
        <v>0.35286797351796118</v>
      </c>
      <c r="AU70" s="66">
        <f ca="1">AU41/Model!AU$14</f>
        <v>0.35877035387112716</v>
      </c>
      <c r="AV70" s="66">
        <f ca="1">AV41/Model!AV$14</f>
        <v>0.34197165622492237</v>
      </c>
      <c r="AW70" s="66">
        <f ca="1">AW41/Model!AW$14</f>
        <v>0.34259034935324367</v>
      </c>
      <c r="AX70" s="136">
        <f ca="1">AX41/Model!AX$14</f>
        <v>0.34860538177115169</v>
      </c>
      <c r="AY70" s="66">
        <f ca="1">AY41/Model!AY$14</f>
        <v>0.31699487407041266</v>
      </c>
      <c r="AZ70" s="66">
        <f ca="1">AZ41/Model!AZ$14</f>
        <v>0.32741679908930643</v>
      </c>
      <c r="BA70" s="66">
        <f ca="1">BA41/Model!BA$14</f>
        <v>0.33258917705289209</v>
      </c>
      <c r="BB70" s="66">
        <f ca="1">BB41/Model!BB$14</f>
        <v>0.32346822714635987</v>
      </c>
      <c r="BC70" s="136">
        <f ca="1">BC41/Model!BC$14</f>
        <v>0.32531014699236882</v>
      </c>
      <c r="BD70" s="66">
        <f ca="1">BD41/Model!BD$14</f>
        <v>0.29774955788568502</v>
      </c>
      <c r="BE70" s="66">
        <f>BE41/Model!BE$14</f>
        <v>0.30695269887931281</v>
      </c>
      <c r="BF70" s="66">
        <f>BF41/Model!BF$14</f>
        <v>0.31532557691133428</v>
      </c>
      <c r="BG70" s="66">
        <f>BG41/Model!BG$14</f>
        <v>0.29733047260226519</v>
      </c>
      <c r="BH70" s="136">
        <f ca="1">BH41/Model!BH$14</f>
        <v>0.3043958477584785</v>
      </c>
      <c r="BI70" s="66">
        <f ca="1">BI41/Model!BI$14</f>
        <v>0.33603804847413665</v>
      </c>
      <c r="BJ70" s="66">
        <f ca="1">BJ41/Model!BJ$14</f>
        <v>0.4234097395684655</v>
      </c>
      <c r="BK70" s="66">
        <f ca="1">BK41/Model!BK$14</f>
        <v>0.42032105103401002</v>
      </c>
      <c r="BL70" s="66">
        <f ca="1">BL41/Model!BL$14</f>
        <v>0.43045040101573506</v>
      </c>
      <c r="BM70" s="136">
        <f ca="1">BM41/Model!BM$14</f>
        <v>0.41469291312202655</v>
      </c>
      <c r="BN70" s="66">
        <f ca="1">BN41/Model!BN$14</f>
        <v>0.38097481870313332</v>
      </c>
      <c r="BO70" s="66">
        <f ca="1">BO41/Model!BO$14</f>
        <v>0.36620971518951012</v>
      </c>
      <c r="BP70" s="66">
        <f ca="1">BP41/Model!BP$14</f>
        <v>0.40082170441022724</v>
      </c>
      <c r="BQ70" s="66">
        <f ca="1">BQ41/Model!BQ$14</f>
        <v>0.32388237354856386</v>
      </c>
      <c r="BR70" s="136">
        <f ca="1">BR41/Model!BR$14</f>
        <v>0.3673164301289637</v>
      </c>
      <c r="BS70" s="66">
        <f ca="1">BS41/Model!BS$14</f>
        <v>0.31524539706179627</v>
      </c>
      <c r="BT70" s="66">
        <f ca="1">BT41/Model!BT$14</f>
        <v>0.32390743491486435</v>
      </c>
      <c r="BU70" s="66">
        <f ca="1">BU41/Model!BU$14</f>
        <v>0.36291038402292342</v>
      </c>
      <c r="BV70" s="66">
        <f ca="1">BV41/Model!BV$14</f>
        <v>0.33174382314850887</v>
      </c>
      <c r="BW70" s="136">
        <f ca="1">BW41/Model!BW$14</f>
        <v>0.33404826421219236</v>
      </c>
      <c r="BX70" s="66">
        <f ca="1">BX41/Model!BX$14</f>
        <v>0.33436698930526931</v>
      </c>
      <c r="BY70" s="66">
        <f ca="1">BY41/Model!BY$14</f>
        <v>0.34989640076293915</v>
      </c>
      <c r="BZ70" s="66">
        <f ca="1">BZ41/Model!BZ$14</f>
        <v>0.39093231073430007</v>
      </c>
      <c r="CA70" s="66">
        <f ca="1">CA41/Model!CA$14</f>
        <v>0.42014063970224585</v>
      </c>
      <c r="CB70" s="136">
        <f ca="1">CB41/Model!CB$14</f>
        <v>0.37610425880335063</v>
      </c>
      <c r="CC70" s="66">
        <f ca="1">CC41/Model!CC$14</f>
        <v>0.38307188648671348</v>
      </c>
      <c r="CD70" s="66">
        <f ca="1">CD41/Model!CD$14</f>
        <v>0.4071193956107072</v>
      </c>
      <c r="CE70" s="66">
        <f ca="1">CE41/Model!CE$14</f>
        <v>0.41528328515475882</v>
      </c>
      <c r="CF70" s="66">
        <f ca="1">CF41/Model!CF$14</f>
        <v>0.45543064224943425</v>
      </c>
      <c r="CG70" s="136">
        <f ca="1">CG41/Model!CG$14</f>
        <v>0.41725600163410093</v>
      </c>
      <c r="CH70" s="66">
        <f ca="1">CH41/Model!CH$14</f>
        <v>0.51241824925649382</v>
      </c>
      <c r="CI70" s="66">
        <f ca="1">CI41/Model!CI$14</f>
        <v>0.44765119170625317</v>
      </c>
      <c r="CJ70" s="66">
        <f ca="1">CJ41/Model!CJ$14</f>
        <v>0.41280876721783083</v>
      </c>
      <c r="CK70" s="66">
        <f ca="1">CK41/Model!CK$14</f>
        <v>0.3738670256062</v>
      </c>
      <c r="CL70" s="136">
        <f ca="1">CL41/Model!CL$14</f>
        <v>0.43172584600124936</v>
      </c>
      <c r="CM70" s="66">
        <f ca="1">CM41/Model!CM$14</f>
        <v>0.36885442295175364</v>
      </c>
      <c r="CN70" s="66">
        <f ca="1">CN41/Model!CN$14</f>
        <v>0.38177600572785192</v>
      </c>
      <c r="CO70" s="66">
        <f ca="1">CO41/Model!CO$14</f>
        <v>0.36001630308310834</v>
      </c>
      <c r="CP70" s="66">
        <f ca="1">CP41/Model!CP$14</f>
        <v>0.38252439605530864</v>
      </c>
      <c r="CQ70" s="136">
        <f ca="1">CQ41/Model!CQ$14</f>
        <v>0.37361143931635943</v>
      </c>
      <c r="CR70" s="66">
        <f ca="1">CR41/Model!CR$14</f>
        <v>0.32438867417417094</v>
      </c>
      <c r="CS70" s="66">
        <f ca="1">CS41/Model!CS$14</f>
        <v>0.34851589302960451</v>
      </c>
      <c r="CT70" s="66">
        <f ca="1">CT41/Model!CT$14</f>
        <v>0.33260435319152221</v>
      </c>
      <c r="CU70" s="66">
        <f ca="1">CU41/Model!CU$14</f>
        <v>0.3528427051149437</v>
      </c>
      <c r="CV70" s="136">
        <f ca="1">CV41/Model!CV$14</f>
        <v>0.3402813540527499</v>
      </c>
      <c r="CW70" s="66">
        <f ca="1">CW41/Model!CW$14</f>
        <v>0.30079610882866187</v>
      </c>
      <c r="CX70" s="66">
        <f ca="1">CX41/Model!CX$14</f>
        <v>0.31859595473471924</v>
      </c>
      <c r="CY70" s="66">
        <f ca="1">CY41/Model!CY$14</f>
        <v>0.29709757688126348</v>
      </c>
      <c r="CZ70" s="66">
        <f ca="1">CZ41/Model!CZ$14</f>
        <v>0.31810307238535163</v>
      </c>
      <c r="DA70" s="136">
        <f ca="1">DA41/Model!DA$14</f>
        <v>0.30901300926443409</v>
      </c>
      <c r="DB70" s="66">
        <f ca="1">DB41/Model!DB$14</f>
        <v>0.26369862127981802</v>
      </c>
      <c r="DC70" s="66">
        <f ca="1">DC41/Model!DC$14</f>
        <v>0.26636067018364146</v>
      </c>
      <c r="DD70" s="66">
        <f ca="1">DD41/Model!DD$14</f>
        <v>0.25176348278347632</v>
      </c>
      <c r="DE70" s="66">
        <f ca="1">DE41/Model!DE$14</f>
        <v>0.27501496774428846</v>
      </c>
      <c r="DF70" s="136">
        <f ca="1">DF41/Model!DF$14</f>
        <v>0.26434559051993273</v>
      </c>
    </row>
    <row r="71" spans="2:110" x14ac:dyDescent="0.2">
      <c r="B71" s="95" t="s">
        <v>270</v>
      </c>
      <c r="C71" s="77"/>
      <c r="D71" s="77"/>
      <c r="E71" s="77"/>
      <c r="F71" s="77"/>
      <c r="G71" s="77"/>
      <c r="H71" s="77"/>
      <c r="I71" s="77"/>
      <c r="J71" s="77"/>
      <c r="K71" s="77"/>
      <c r="L71" s="77"/>
      <c r="M71" s="77"/>
      <c r="N71" s="77"/>
      <c r="O71" s="77"/>
      <c r="P71" s="146"/>
      <c r="Q71" s="146"/>
      <c r="R71" s="146"/>
      <c r="S71" s="146"/>
      <c r="T71" s="231"/>
      <c r="U71" s="66">
        <f>U42/Model!U$14</f>
        <v>4.5806103495535828E-2</v>
      </c>
      <c r="V71" s="66">
        <f>V42/Model!V$14</f>
        <v>4.5838305115504012E-2</v>
      </c>
      <c r="W71" s="66">
        <f>W42/Model!W$14</f>
        <v>4.4764339519501734E-2</v>
      </c>
      <c r="X71" s="66">
        <f>X42/Model!X$14</f>
        <v>4.0766527635909773E-2</v>
      </c>
      <c r="Y71" s="136">
        <f>Y42/Model!Y$14</f>
        <v>4.4140486575420593E-2</v>
      </c>
      <c r="Z71" s="66">
        <f>Z42/Model!Z$14</f>
        <v>9.9853226695266584E-2</v>
      </c>
      <c r="AA71" s="66">
        <f>AA42/Model!AA$14</f>
        <v>0.10670187038758097</v>
      </c>
      <c r="AB71" s="66">
        <f>AB42/Model!AB$14</f>
        <v>0.14817068445411818</v>
      </c>
      <c r="AC71" s="66">
        <f>AC42/Model!AC$14</f>
        <v>0.18058067306241965</v>
      </c>
      <c r="AD71" s="136">
        <f>AD42/Model!AD$14</f>
        <v>0.13777028883707443</v>
      </c>
      <c r="AE71" s="66">
        <f>AE42/Model!AE$14</f>
        <v>-4.6213657432039756E-2</v>
      </c>
      <c r="AF71" s="66">
        <f>AF42/Model!AF$14</f>
        <v>8.2978382838283959E-2</v>
      </c>
      <c r="AG71" s="66">
        <f>AG42/Model!AG$14</f>
        <v>0.22364852257547552</v>
      </c>
      <c r="AH71" s="66">
        <f>AH42/Model!AH$14</f>
        <v>0.24096348234696666</v>
      </c>
      <c r="AI71" s="136">
        <f>AI42/Model!AI$14</f>
        <v>0.1306223266826447</v>
      </c>
      <c r="AJ71" s="66">
        <f>AJ42/Model!AJ$14</f>
        <v>0.24880388767323208</v>
      </c>
      <c r="AK71" s="66">
        <f>AK42/Model!AK$14</f>
        <v>0.23197789888619597</v>
      </c>
      <c r="AL71" s="66">
        <f>AL42/Model!AL$14</f>
        <v>0.19510860970965194</v>
      </c>
      <c r="AM71" s="66">
        <f>AM42/Model!AM$14</f>
        <v>0.18352014757785479</v>
      </c>
      <c r="AN71" s="136">
        <f>AN42/Model!AN$14</f>
        <v>0.21388644519033959</v>
      </c>
      <c r="AO71" s="66">
        <f>AO42/Model!AO$14</f>
        <v>6.2469813816778005E-2</v>
      </c>
      <c r="AP71" s="66">
        <f>AP42/Model!AP$14</f>
        <v>6.1979050884997847E-2</v>
      </c>
      <c r="AQ71" s="66">
        <f>AQ42/Model!AQ$14</f>
        <v>6.243557546010442E-2</v>
      </c>
      <c r="AR71" s="66">
        <f>AR42/Model!AR$14</f>
        <v>6.5615392306894865E-2</v>
      </c>
      <c r="AS71" s="136">
        <f>AS42/Model!AS$14</f>
        <v>6.3190699269529596E-2</v>
      </c>
      <c r="AT71" s="66">
        <f ca="1">AT42/Model!AT$14</f>
        <v>6.2486713619278114E-2</v>
      </c>
      <c r="AU71" s="66">
        <f ca="1">AU42/Model!AU$14</f>
        <v>6.9101606645869798E-2</v>
      </c>
      <c r="AV71" s="66">
        <f ca="1">AV42/Model!AV$14</f>
        <v>7.4899640949495319E-2</v>
      </c>
      <c r="AW71" s="66">
        <f ca="1">AW42/Model!AW$14</f>
        <v>6.6934771409719582E-2</v>
      </c>
      <c r="AX71" s="136">
        <f ca="1">AX42/Model!AX$14</f>
        <v>6.8483627969523841E-2</v>
      </c>
      <c r="AY71" s="66">
        <f ca="1">AY42/Model!AY$14</f>
        <v>5.5657568757150361E-2</v>
      </c>
      <c r="AZ71" s="66">
        <f ca="1">AZ42/Model!AZ$14</f>
        <v>6.2339445360551478E-2</v>
      </c>
      <c r="BA71" s="66">
        <f ca="1">BA42/Model!BA$14</f>
        <v>6.4201138794439228E-2</v>
      </c>
      <c r="BB71" s="66">
        <f ca="1">BB42/Model!BB$14</f>
        <v>6.4782967431742972E-2</v>
      </c>
      <c r="BC71" s="136">
        <f ca="1">BC42/Model!BC$14</f>
        <v>6.1936039946760418E-2</v>
      </c>
      <c r="BD71" s="66">
        <f ca="1">BD42/Model!BD$14</f>
        <v>5.5370860530303448E-2</v>
      </c>
      <c r="BE71" s="66">
        <f>BE42/Model!BE$14</f>
        <v>6.0832964382796444E-2</v>
      </c>
      <c r="BF71" s="66">
        <f>BF42/Model!BF$14</f>
        <v>6.632470350628325E-2</v>
      </c>
      <c r="BG71" s="66">
        <f>BG42/Model!BG$14</f>
        <v>5.934687264829256E-2</v>
      </c>
      <c r="BH71" s="136">
        <f ca="1">BH42/Model!BH$14</f>
        <v>6.0587548868423012E-2</v>
      </c>
      <c r="BI71" s="66">
        <f ca="1">BI42/Model!BI$14</f>
        <v>6.5386624689702688E-2</v>
      </c>
      <c r="BJ71" s="66">
        <f ca="1">BJ42/Model!BJ$14</f>
        <v>3.2964327386183219E-2</v>
      </c>
      <c r="BK71" s="66">
        <f ca="1">BK42/Model!BK$14</f>
        <v>3.3560258769527465E-2</v>
      </c>
      <c r="BL71" s="66">
        <f ca="1">BL42/Model!BL$14</f>
        <v>3.5970658683768572E-2</v>
      </c>
      <c r="BM71" s="136">
        <f ca="1">BM42/Model!BM$14</f>
        <v>3.7800629819973265E-2</v>
      </c>
      <c r="BN71" s="66">
        <f ca="1">BN42/Model!BN$14</f>
        <v>3.6649860728477188E-2</v>
      </c>
      <c r="BO71" s="66">
        <f ca="1">BO42/Model!BO$14</f>
        <v>3.6164361074656946E-2</v>
      </c>
      <c r="BP71" s="66">
        <f ca="1">BP42/Model!BP$14</f>
        <v>3.7899839737279332E-2</v>
      </c>
      <c r="BQ71" s="66">
        <f ca="1">BQ42/Model!BQ$14</f>
        <v>3.5348370356788297E-2</v>
      </c>
      <c r="BR71" s="136">
        <f ca="1">BR42/Model!BR$14</f>
        <v>3.6495533266302241E-2</v>
      </c>
      <c r="BS71" s="66">
        <f ca="1">BS42/Model!BS$14</f>
        <v>2.9089346938513019E-2</v>
      </c>
      <c r="BT71" s="66">
        <f ca="1">BT42/Model!BT$14</f>
        <v>3.3783682639502384E-2</v>
      </c>
      <c r="BU71" s="66">
        <f ca="1">BU42/Model!BU$14</f>
        <v>3.7526567331935393E-2</v>
      </c>
      <c r="BV71" s="66">
        <f ca="1">BV42/Model!BV$14</f>
        <v>2.660702306342879E-2</v>
      </c>
      <c r="BW71" s="136">
        <f ca="1">BW42/Model!BW$14</f>
        <v>3.1752213841047497E-2</v>
      </c>
      <c r="BX71" s="66">
        <f ca="1">BX42/Model!BX$14</f>
        <v>2.5580529335616008E-2</v>
      </c>
      <c r="BY71" s="66">
        <f ca="1">BY42/Model!BY$14</f>
        <v>3.2351929201746461E-2</v>
      </c>
      <c r="BZ71" s="66">
        <f ca="1">BZ42/Model!BZ$14</f>
        <v>2.4326287973822431E-2</v>
      </c>
      <c r="CA71" s="66">
        <f ca="1">CA42/Model!CA$14</f>
        <v>2.3676945811018011E-2</v>
      </c>
      <c r="CB71" s="136">
        <f ca="1">CB42/Model!CB$14</f>
        <v>2.6447389221448882E-2</v>
      </c>
      <c r="CC71" s="66">
        <f ca="1">CC42/Model!CC$14</f>
        <v>2.7520484350382367E-2</v>
      </c>
      <c r="CD71" s="66">
        <f ca="1">CD42/Model!CD$14</f>
        <v>2.5141934167346544E-2</v>
      </c>
      <c r="CE71" s="66">
        <f ca="1">CE42/Model!CE$14</f>
        <v>3.0016664104489627E-2</v>
      </c>
      <c r="CF71" s="66">
        <f ca="1">CF42/Model!CF$14</f>
        <v>3.0732535324200071E-2</v>
      </c>
      <c r="CG71" s="136">
        <f ca="1">CG42/Model!CG$14</f>
        <v>2.845358962329992E-2</v>
      </c>
      <c r="CH71" s="66">
        <f ca="1">CH42/Model!CH$14</f>
        <v>3.0394932884349603E-2</v>
      </c>
      <c r="CI71" s="66">
        <f ca="1">CI42/Model!CI$14</f>
        <v>2.7699014322093558E-2</v>
      </c>
      <c r="CJ71" s="66">
        <f ca="1">CJ42/Model!CJ$14</f>
        <v>2.6130479621073156E-2</v>
      </c>
      <c r="CK71" s="66">
        <f ca="1">CK42/Model!CK$14</f>
        <v>2.3265355868848134E-2</v>
      </c>
      <c r="CL71" s="136">
        <f ca="1">CL42/Model!CL$14</f>
        <v>2.6619649694974584E-2</v>
      </c>
      <c r="CM71" s="66">
        <f ca="1">CM42/Model!CM$14</f>
        <v>1.7650995149720631E-2</v>
      </c>
      <c r="CN71" s="66">
        <f ca="1">CN42/Model!CN$14</f>
        <v>2.341492212151312E-2</v>
      </c>
      <c r="CO71" s="66">
        <f ca="1">CO42/Model!CO$14</f>
        <v>2.181882236326271E-2</v>
      </c>
      <c r="CP71" s="66">
        <f ca="1">CP42/Model!CP$14</f>
        <v>2.0852368635681736E-2</v>
      </c>
      <c r="CQ71" s="136">
        <f ca="1">CQ42/Model!CQ$14</f>
        <v>2.1056087691056647E-2</v>
      </c>
      <c r="CR71" s="66">
        <f ca="1">CR42/Model!CR$14</f>
        <v>1.6558423302788807E-2</v>
      </c>
      <c r="CS71" s="66">
        <f ca="1">CS42/Model!CS$14</f>
        <v>2.3494744953733011E-2</v>
      </c>
      <c r="CT71" s="66">
        <f ca="1">CT42/Model!CT$14</f>
        <v>2.1984385012159886E-2</v>
      </c>
      <c r="CU71" s="66">
        <f ca="1">CU42/Model!CU$14</f>
        <v>2.1418280870913107E-2</v>
      </c>
      <c r="CV71" s="136">
        <f ca="1">CV42/Model!CV$14</f>
        <v>2.1006297369733733E-2</v>
      </c>
      <c r="CW71" s="66">
        <f ca="1">CW42/Model!CW$14</f>
        <v>1.5733609074782384E-2</v>
      </c>
      <c r="CX71" s="66">
        <f ca="1">CX42/Model!CX$14</f>
        <v>2.2664454204486786E-2</v>
      </c>
      <c r="CY71" s="66">
        <f ca="1">CY42/Model!CY$14</f>
        <v>2.1223170148830722E-2</v>
      </c>
      <c r="CZ71" s="66">
        <f ca="1">CZ42/Model!CZ$14</f>
        <v>2.0794445627235036E-2</v>
      </c>
      <c r="DA71" s="136">
        <f ca="1">DA42/Model!DA$14</f>
        <v>2.0231517800109323E-2</v>
      </c>
      <c r="DB71" s="66">
        <f ca="1">DB42/Model!DB$14</f>
        <v>1.5107563521091338E-2</v>
      </c>
      <c r="DC71" s="66">
        <f ca="1">DC42/Model!DC$14</f>
        <v>2.2162102395989383E-2</v>
      </c>
      <c r="DD71" s="66">
        <f ca="1">DD42/Model!DD$14</f>
        <v>2.0064071885954549E-2</v>
      </c>
      <c r="DE71" s="66">
        <f ca="1">DE42/Model!DE$14</f>
        <v>1.9955210516953883E-2</v>
      </c>
      <c r="DF71" s="136">
        <f ca="1">DF42/Model!DF$14</f>
        <v>1.9432759776295556E-2</v>
      </c>
    </row>
    <row r="72" spans="2:110" x14ac:dyDescent="0.2">
      <c r="B72" s="95" t="s">
        <v>264</v>
      </c>
      <c r="C72" s="77"/>
      <c r="D72" s="77"/>
      <c r="E72" s="77"/>
      <c r="F72" s="77"/>
      <c r="G72" s="77"/>
      <c r="H72" s="77"/>
      <c r="I72" s="77"/>
      <c r="J72" s="77"/>
      <c r="K72" s="77"/>
      <c r="L72" s="77"/>
      <c r="M72" s="77"/>
      <c r="N72" s="77"/>
      <c r="O72" s="77"/>
      <c r="P72" s="146"/>
      <c r="Q72" s="146"/>
      <c r="R72" s="146"/>
      <c r="S72" s="146"/>
      <c r="T72" s="231"/>
      <c r="U72" s="66">
        <f>U44/Model!U$14</f>
        <v>0</v>
      </c>
      <c r="V72" s="66">
        <f>V44/Model!V$14</f>
        <v>0</v>
      </c>
      <c r="W72" s="66">
        <f>W44/Model!W$14</f>
        <v>0</v>
      </c>
      <c r="X72" s="66">
        <f>X44/Model!X$14</f>
        <v>0</v>
      </c>
      <c r="Y72" s="136">
        <f>Y44/Model!Y$14</f>
        <v>0</v>
      </c>
      <c r="Z72" s="66">
        <f>Z44/Model!Z$14</f>
        <v>0</v>
      </c>
      <c r="AA72" s="66">
        <f>AA44/Model!AA$14</f>
        <v>0</v>
      </c>
      <c r="AB72" s="66">
        <f>AB44/Model!AB$14</f>
        <v>0</v>
      </c>
      <c r="AC72" s="66">
        <f>AC44/Model!AC$14</f>
        <v>0</v>
      </c>
      <c r="AD72" s="136">
        <f>AD44/Model!AD$14</f>
        <v>0</v>
      </c>
      <c r="AE72" s="66">
        <f>AE44/Model!AE$14</f>
        <v>0</v>
      </c>
      <c r="AF72" s="66">
        <f>AF44/Model!AF$14</f>
        <v>0</v>
      </c>
      <c r="AG72" s="66">
        <f>AG44/Model!AG$14</f>
        <v>0</v>
      </c>
      <c r="AH72" s="66">
        <f>AH44/Model!AH$14</f>
        <v>0</v>
      </c>
      <c r="AI72" s="136">
        <f>AI44/Model!AI$14</f>
        <v>0</v>
      </c>
      <c r="AJ72" s="66">
        <f>AJ44/Model!AJ$14</f>
        <v>0</v>
      </c>
      <c r="AK72" s="66">
        <f>AK44/Model!AK$14</f>
        <v>0</v>
      </c>
      <c r="AL72" s="66">
        <f>AL44/Model!AL$14</f>
        <v>0</v>
      </c>
      <c r="AM72" s="66">
        <f>AM44/Model!AM$14</f>
        <v>0</v>
      </c>
      <c r="AN72" s="136">
        <f>AN44/Model!AN$14</f>
        <v>0</v>
      </c>
      <c r="AO72" s="66">
        <f ca="1">AO44/Model!AO$14</f>
        <v>0.11611242222698979</v>
      </c>
      <c r="AP72" s="66">
        <f ca="1">AP44/Model!AP$14</f>
        <v>0.10879426979705528</v>
      </c>
      <c r="AQ72" s="66">
        <f ca="1">AQ44/Model!AQ$14</f>
        <v>0.1090122982321292</v>
      </c>
      <c r="AR72" s="66">
        <f ca="1">AR44/Model!AR$14</f>
        <v>0.10469372961217849</v>
      </c>
      <c r="AS72" s="136">
        <f ca="1">AS44/Model!AS$14</f>
        <v>0.10941251408692236</v>
      </c>
      <c r="AT72" s="66">
        <f>AT44/Model!AT$14</f>
        <v>0.11776191799288512</v>
      </c>
      <c r="AU72" s="66">
        <f>AU44/Model!AU$14</f>
        <v>0.10626698989898996</v>
      </c>
      <c r="AV72" s="66">
        <f>AV44/Model!AV$14</f>
        <v>0.10762308863858971</v>
      </c>
      <c r="AW72" s="66">
        <f>AW44/Model!AW$14</f>
        <v>0.11400247192146601</v>
      </c>
      <c r="AX72" s="136">
        <f>AX44/Model!AX$14</f>
        <v>0.11134864893638141</v>
      </c>
      <c r="AY72" s="66">
        <f>AY44/Model!AY$14</f>
        <v>0.13636321976704555</v>
      </c>
      <c r="AZ72" s="66">
        <f>AZ44/Model!AZ$14</f>
        <v>0.13379432266925764</v>
      </c>
      <c r="BA72" s="66">
        <f>BA44/Model!BA$14</f>
        <v>0.13521181252399447</v>
      </c>
      <c r="BB72" s="66">
        <f>BB44/Model!BB$14</f>
        <v>0.13418627213415446</v>
      </c>
      <c r="BC72" s="136">
        <f>BC44/Model!BC$14</f>
        <v>0.13485206980856113</v>
      </c>
      <c r="BD72" s="66">
        <f ca="1">BD44/Model!BD$14</f>
        <v>0.14960460541555284</v>
      </c>
      <c r="BE72" s="66">
        <f ca="1">BE44/Model!BE$14</f>
        <v>0.15280648445019004</v>
      </c>
      <c r="BF72" s="66">
        <f ca="1">BF44/Model!BF$14</f>
        <v>0.14885145916215281</v>
      </c>
      <c r="BG72" s="66">
        <f ca="1">BG44/Model!BG$14</f>
        <v>0.14431321454351498</v>
      </c>
      <c r="BH72" s="136">
        <f ca="1">BH44/Model!BH$14</f>
        <v>0.14876163950699328</v>
      </c>
      <c r="BI72" s="66">
        <f>BI44/Model!BI$14</f>
        <v>0.16325646483162257</v>
      </c>
      <c r="BJ72" s="66">
        <f>BJ44/Model!BJ$14</f>
        <v>0.13893358042771928</v>
      </c>
      <c r="BK72" s="66">
        <f>BK44/Model!BK$14</f>
        <v>0.14072488034709499</v>
      </c>
      <c r="BL72" s="66">
        <f>BL44/Model!BL$14</f>
        <v>0.13091287484718156</v>
      </c>
      <c r="BM72" s="136">
        <f>BM44/Model!BM$14</f>
        <v>0.13973003602837819</v>
      </c>
      <c r="BN72" s="66">
        <f>BN44/Model!BN$14</f>
        <v>0.14295603686957475</v>
      </c>
      <c r="BO72" s="66">
        <f ca="1">BO44/Model!BO$14</f>
        <v>0.10802825143142275</v>
      </c>
      <c r="BP72" s="66">
        <f ca="1">BP44/Model!BP$14</f>
        <v>0.11768945807170583</v>
      </c>
      <c r="BQ72" s="66">
        <f ca="1">BQ44/Model!BQ$14</f>
        <v>0.113645383214553</v>
      </c>
      <c r="BR72" s="136">
        <f ca="1">BR44/Model!BR$14</f>
        <v>0.12023195001710053</v>
      </c>
      <c r="BS72" s="66">
        <f ca="1">BS44/Model!BS$14</f>
        <v>0.13349468489984667</v>
      </c>
      <c r="BT72" s="66">
        <f ca="1">BT44/Model!BT$14</f>
        <v>0.12470964106495482</v>
      </c>
      <c r="BU72" s="66">
        <f ca="1">BU44/Model!BU$14</f>
        <v>0.12811532695192746</v>
      </c>
      <c r="BV72" s="66">
        <f ca="1">BV44/Model!BV$14</f>
        <v>0.12264231224091281</v>
      </c>
      <c r="BW72" s="136">
        <f ca="1">BW44/Model!BW$14</f>
        <v>0.12696788045767421</v>
      </c>
      <c r="BX72" s="66">
        <f ca="1">BX44/Model!BX$14</f>
        <v>0.15855935377184374</v>
      </c>
      <c r="BY72" s="66">
        <f ca="1">BY44/Model!BY$14</f>
        <v>0.14666967014617777</v>
      </c>
      <c r="BZ72" s="66">
        <f ca="1">BZ44/Model!BZ$14</f>
        <v>0.13837866436148505</v>
      </c>
      <c r="CA72" s="66">
        <f ca="1">CA44/Model!CA$14</f>
        <v>0.1287220269259218</v>
      </c>
      <c r="CB72" s="136">
        <f ca="1">CB44/Model!CB$14</f>
        <v>0.14227642018590944</v>
      </c>
      <c r="CC72" s="66">
        <f ca="1">CC44/Model!CC$14</f>
        <v>0.1574355462464487</v>
      </c>
      <c r="CD72" s="66">
        <f ca="1">CD44/Model!CD$14</f>
        <v>0.16789699248685785</v>
      </c>
      <c r="CE72" s="66">
        <f ca="1">CE44/Model!CE$14</f>
        <v>0.16578318663516634</v>
      </c>
      <c r="CF72" s="66">
        <f ca="1">CF44/Model!CF$14</f>
        <v>0.14693349342896406</v>
      </c>
      <c r="CG72" s="136">
        <f ca="1">CG44/Model!CG$14</f>
        <v>0.15941910325790745</v>
      </c>
      <c r="CH72" s="66">
        <f ca="1">CH44/Model!CH$14</f>
        <v>0.19984217781541469</v>
      </c>
      <c r="CI72" s="66">
        <f ca="1">CI44/Model!CI$14</f>
        <v>0.18640205512567903</v>
      </c>
      <c r="CJ72" s="66">
        <f ca="1">CJ44/Model!CJ$14</f>
        <v>0.18662601536662315</v>
      </c>
      <c r="CK72" s="66">
        <f ca="1">CK44/Model!CK$14</f>
        <v>0.16495694604585587</v>
      </c>
      <c r="CL72" s="136">
        <f ca="1">CL44/Model!CL$14</f>
        <v>0.18326181352394511</v>
      </c>
      <c r="CM72" s="66">
        <f ca="1">CM44/Model!CM$14</f>
        <v>0.17917149874591243</v>
      </c>
      <c r="CN72" s="66">
        <f ca="1">CN44/Model!CN$14</f>
        <v>0.19146274906341382</v>
      </c>
      <c r="CO72" s="66">
        <f ca="1">CO44/Model!CO$14</f>
        <v>0.19658129709270369</v>
      </c>
      <c r="CP72" s="66">
        <f ca="1">CP44/Model!CP$14</f>
        <v>0.1801535009205899</v>
      </c>
      <c r="CQ72" s="136">
        <f ca="1">CQ44/Model!CQ$14</f>
        <v>0.18701327329066178</v>
      </c>
      <c r="CR72" s="66">
        <f ca="1">CR44/Model!CR$14</f>
        <v>0.22861091493253907</v>
      </c>
      <c r="CS72" s="66">
        <f ca="1">CS44/Model!CS$14</f>
        <v>0.21531285233604999</v>
      </c>
      <c r="CT72" s="66">
        <f ca="1">CT44/Model!CT$14</f>
        <v>0.2231476283035066</v>
      </c>
      <c r="CU72" s="66">
        <f ca="1">CU44/Model!CU$14</f>
        <v>0.20518363500384579</v>
      </c>
      <c r="CV72" s="136">
        <f ca="1">CV44/Model!CV$14</f>
        <v>0.21751924522868521</v>
      </c>
      <c r="CW72" s="66">
        <f ca="1">CW44/Model!CW$14</f>
        <v>0.24022277692634642</v>
      </c>
      <c r="CX72" s="66">
        <f ca="1">CX44/Model!CX$14</f>
        <v>0.22986489547019309</v>
      </c>
      <c r="CY72" s="66">
        <f ca="1">CY44/Model!CY$14</f>
        <v>0.23969208107764925</v>
      </c>
      <c r="CZ72" s="66">
        <f ca="1">CZ44/Model!CZ$14</f>
        <v>0.22129754135645635</v>
      </c>
      <c r="DA72" s="136">
        <f ca="1">DA44/Model!DA$14</f>
        <v>0.23239182305254538</v>
      </c>
      <c r="DB72" s="66">
        <f ca="1">DB44/Model!DB$14</f>
        <v>0.26109117282014671</v>
      </c>
      <c r="DC72" s="66">
        <f ca="1">DC44/Model!DC$14</f>
        <v>0.25464733886280866</v>
      </c>
      <c r="DD72" s="66">
        <f ca="1">DD44/Model!DD$14</f>
        <v>0.25841161605460444</v>
      </c>
      <c r="DE72" s="66">
        <f ca="1">DE44/Model!DE$14</f>
        <v>0.24170488400837734</v>
      </c>
      <c r="DF72" s="136">
        <f ca="1">DF44/Model!DF$14</f>
        <v>0.25360725863543154</v>
      </c>
    </row>
    <row r="73" spans="2:110" ht="10.5" customHeight="1" x14ac:dyDescent="0.2">
      <c r="B73" s="275" t="s">
        <v>295</v>
      </c>
      <c r="C73" s="77"/>
      <c r="D73" s="77"/>
      <c r="E73" s="77"/>
      <c r="F73" s="77"/>
      <c r="G73" s="77"/>
      <c r="H73" s="77"/>
      <c r="I73" s="77"/>
      <c r="J73" s="77"/>
      <c r="K73" s="77"/>
      <c r="L73" s="77"/>
      <c r="M73" s="77"/>
      <c r="N73" s="77"/>
      <c r="O73" s="77"/>
      <c r="P73" s="146"/>
      <c r="Q73" s="146"/>
      <c r="R73" s="146"/>
      <c r="S73" s="146"/>
      <c r="T73" s="231"/>
      <c r="U73" s="66">
        <f>U43/Model!U$14</f>
        <v>0.66520614322743121</v>
      </c>
      <c r="V73" s="66">
        <f>V43/Model!V$14</f>
        <v>0.67617908927772785</v>
      </c>
      <c r="W73" s="66">
        <f>W43/Model!W$14</f>
        <v>0.63673075995308337</v>
      </c>
      <c r="X73" s="66">
        <f>X43/Model!X$14</f>
        <v>0.62430224413643065</v>
      </c>
      <c r="Y73" s="136">
        <f>Y43/Model!Y$14</f>
        <v>0.64921524489417692</v>
      </c>
      <c r="Z73" s="66">
        <f>Z43/Model!Z$14</f>
        <v>0.61313870126235248</v>
      </c>
      <c r="AA73" s="66">
        <f>AA43/Model!AA$14</f>
        <v>0.61607714816837111</v>
      </c>
      <c r="AB73" s="66">
        <f>AB43/Model!AB$14</f>
        <v>0.62814717125587982</v>
      </c>
      <c r="AC73" s="66">
        <f>AC43/Model!AC$14</f>
        <v>0.58119265969940237</v>
      </c>
      <c r="AD73" s="136">
        <f>AD43/Model!AD$14</f>
        <v>0.60778187857479082</v>
      </c>
      <c r="AE73" s="66">
        <f>AE43/Model!AE$14</f>
        <v>0.41378297634625349</v>
      </c>
      <c r="AF73" s="66">
        <f>AF43/Model!AF$14</f>
        <v>0.53991897689768953</v>
      </c>
      <c r="AG73" s="66">
        <f>AG43/Model!AG$14</f>
        <v>0.6587116003205995</v>
      </c>
      <c r="AH73" s="66">
        <f>AH43/Model!AH$14</f>
        <v>0.70411899415799162</v>
      </c>
      <c r="AI73" s="136">
        <f>AI43/Model!AI$14</f>
        <v>0.58438663707419036</v>
      </c>
      <c r="AJ73" s="66">
        <f>AJ43/Model!AJ$14</f>
        <v>0.69126991004133409</v>
      </c>
      <c r="AK73" s="66">
        <f>AK43/Model!AK$14</f>
        <v>0.6884294811841134</v>
      </c>
      <c r="AL73" s="66">
        <f>AL43/Model!AL$14</f>
        <v>0.6212669531700995</v>
      </c>
      <c r="AM73" s="66">
        <f>AM43/Model!AM$14</f>
        <v>0.62321281626297609</v>
      </c>
      <c r="AN73" s="136">
        <f>AN43/Model!AN$14</f>
        <v>0.65502988848086252</v>
      </c>
      <c r="AO73" s="66">
        <f>AO43/Model!AO$14</f>
        <v>0.43577088380480727</v>
      </c>
      <c r="AP73" s="66">
        <f>AP43/Model!AP$14</f>
        <v>0.43064915088539885</v>
      </c>
      <c r="AQ73" s="66">
        <f>AQ43/Model!AQ$14</f>
        <v>0.45634603274458857</v>
      </c>
      <c r="AR73" s="66">
        <f>AR43/Model!AR$14</f>
        <v>0.43667401596985261</v>
      </c>
      <c r="AS73" s="136">
        <f>AS43/Model!AS$14</f>
        <v>0.4400001321127297</v>
      </c>
      <c r="AT73" s="66">
        <f ca="1">AT43/Model!AT$14</f>
        <v>0.41535468713723928</v>
      </c>
      <c r="AU73" s="66">
        <f ca="1">AU43/Model!AU$14</f>
        <v>0.42787196051699694</v>
      </c>
      <c r="AV73" s="66">
        <f ca="1">AV43/Model!AV$14</f>
        <v>0.41687129717441768</v>
      </c>
      <c r="AW73" s="66">
        <f ca="1">AW43/Model!AW$14</f>
        <v>0.40952512076296327</v>
      </c>
      <c r="AX73" s="136">
        <f ca="1">AX43/Model!AX$14</f>
        <v>0.41708900974067553</v>
      </c>
      <c r="AY73" s="66">
        <f ca="1">AY43/Model!AY$14</f>
        <v>0.37265244282756305</v>
      </c>
      <c r="AZ73" s="66">
        <f ca="1">AZ43/Model!AZ$14</f>
        <v>0.3897562444498579</v>
      </c>
      <c r="BA73" s="66">
        <f ca="1">BA43/Model!BA$14</f>
        <v>0.39679031584733127</v>
      </c>
      <c r="BB73" s="66">
        <f ca="1">BB43/Model!BB$14</f>
        <v>0.38825119457810281</v>
      </c>
      <c r="BC73" s="136">
        <f ca="1">BC43/Model!BC$14</f>
        <v>0.38724618693912921</v>
      </c>
      <c r="BD73" s="66">
        <f ca="1">BD43/Model!BD$14</f>
        <v>0.35312041841598846</v>
      </c>
      <c r="BE73" s="66">
        <f>BE43/Model!BE$14</f>
        <v>0.36778566326210926</v>
      </c>
      <c r="BF73" s="66">
        <f>BF43/Model!BF$14</f>
        <v>0.3816502804176175</v>
      </c>
      <c r="BG73" s="66">
        <f>BG43/Model!BG$14</f>
        <v>0.35667734525055778</v>
      </c>
      <c r="BH73" s="136">
        <f ca="1">BH43/Model!BH$14</f>
        <v>0.36498339662690149</v>
      </c>
      <c r="BI73" s="66">
        <f ca="1">BI43/Model!BI$14</f>
        <v>0.40142467316383934</v>
      </c>
      <c r="BJ73" s="66">
        <f ca="1">BJ43/Model!BJ$14</f>
        <v>0.45637406695464866</v>
      </c>
      <c r="BK73" s="66">
        <f ca="1">BK43/Model!BK$14</f>
        <v>0.45388130980353747</v>
      </c>
      <c r="BL73" s="66">
        <f ca="1">BL43/Model!BL$14</f>
        <v>0.4664210596995037</v>
      </c>
      <c r="BM73" s="136">
        <f ca="1">BM43/Model!BM$14</f>
        <v>0.45249354294199984</v>
      </c>
      <c r="BN73" s="66">
        <f ca="1">BN43/Model!BN$14</f>
        <v>0.41762467943161052</v>
      </c>
      <c r="BO73" s="66">
        <f ca="1">BO43/Model!BO$14</f>
        <v>0.4023740762641671</v>
      </c>
      <c r="BP73" s="66">
        <f ca="1">BP43/Model!BP$14</f>
        <v>0.43872154414750658</v>
      </c>
      <c r="BQ73" s="66">
        <f ca="1">BQ43/Model!BQ$14</f>
        <v>0.35923074390535215</v>
      </c>
      <c r="BR73" s="136">
        <f ca="1">BR43/Model!BR$14</f>
        <v>0.40381196339526593</v>
      </c>
      <c r="BS73" s="66">
        <f ca="1">BS43/Model!BS$14</f>
        <v>0.34433474400030928</v>
      </c>
      <c r="BT73" s="66">
        <f ca="1">BT43/Model!BT$14</f>
        <v>0.35769111755436672</v>
      </c>
      <c r="BU73" s="66">
        <f ca="1">BU43/Model!BU$14</f>
        <v>0.40043695135485879</v>
      </c>
      <c r="BV73" s="66">
        <f ca="1">BV43/Model!BV$14</f>
        <v>0.35835084621193769</v>
      </c>
      <c r="BW73" s="136">
        <f ca="1">BW43/Model!BW$14</f>
        <v>0.36580047805323984</v>
      </c>
      <c r="BX73" s="66">
        <f ca="1">BX43/Model!BX$14</f>
        <v>0.35994751864088537</v>
      </c>
      <c r="BY73" s="66">
        <f ca="1">BY43/Model!BY$14</f>
        <v>0.38224832996468566</v>
      </c>
      <c r="BZ73" s="66">
        <f ca="1">BZ43/Model!BZ$14</f>
        <v>0.41525859870812248</v>
      </c>
      <c r="CA73" s="66">
        <f ca="1">CA43/Model!CA$14</f>
        <v>0.44381758551326389</v>
      </c>
      <c r="CB73" s="136">
        <f ca="1">CB43/Model!CB$14</f>
        <v>0.40255164802479948</v>
      </c>
      <c r="CC73" s="66">
        <f ca="1">CC43/Model!CC$14</f>
        <v>0.41059237083709588</v>
      </c>
      <c r="CD73" s="66">
        <f ca="1">CD43/Model!CD$14</f>
        <v>0.43226132977805382</v>
      </c>
      <c r="CE73" s="66">
        <f ca="1">CE43/Model!CE$14</f>
        <v>0.44529994925924843</v>
      </c>
      <c r="CF73" s="66">
        <f ca="1">CF43/Model!CF$14</f>
        <v>0.48616317757363436</v>
      </c>
      <c r="CG73" s="136">
        <f ca="1">CG43/Model!CG$14</f>
        <v>0.44570959125740084</v>
      </c>
      <c r="CH73" s="66">
        <f ca="1">CH43/Model!CH$14</f>
        <v>0.5428131821408434</v>
      </c>
      <c r="CI73" s="66">
        <f ca="1">CI43/Model!CI$14</f>
        <v>0.47535020602834671</v>
      </c>
      <c r="CJ73" s="66">
        <f ca="1">CJ43/Model!CJ$14</f>
        <v>0.43893924683890401</v>
      </c>
      <c r="CK73" s="66">
        <f ca="1">CK43/Model!CK$14</f>
        <v>0.39713238147504809</v>
      </c>
      <c r="CL73" s="136">
        <f ca="1">CL43/Model!CL$14</f>
        <v>0.4583454956962239</v>
      </c>
      <c r="CM73" s="66">
        <f ca="1">CM43/Model!CM$14</f>
        <v>0.38650541810147426</v>
      </c>
      <c r="CN73" s="66">
        <f ca="1">CN43/Model!CN$14</f>
        <v>0.40519092784936506</v>
      </c>
      <c r="CO73" s="66">
        <f ca="1">CO43/Model!CO$14</f>
        <v>0.38183512544637105</v>
      </c>
      <c r="CP73" s="66">
        <f ca="1">CP43/Model!CP$14</f>
        <v>0.40337676469099037</v>
      </c>
      <c r="CQ73" s="136">
        <f ca="1">CQ43/Model!CQ$14</f>
        <v>0.39466752700741614</v>
      </c>
      <c r="CR73" s="66">
        <f ca="1">CR43/Model!CR$14</f>
        <v>0.34094709747695973</v>
      </c>
      <c r="CS73" s="66">
        <f ca="1">CS43/Model!CS$14</f>
        <v>0.3720106379833375</v>
      </c>
      <c r="CT73" s="66">
        <f ca="1">CT43/Model!CT$14</f>
        <v>0.35458873820368209</v>
      </c>
      <c r="CU73" s="66">
        <f ca="1">CU43/Model!CU$14</f>
        <v>0.37426098598585678</v>
      </c>
      <c r="CV73" s="136">
        <f ca="1">CV43/Model!CV$14</f>
        <v>0.36128765142248365</v>
      </c>
      <c r="CW73" s="66">
        <f ca="1">CW43/Model!CW$14</f>
        <v>0.31652971790344425</v>
      </c>
      <c r="CX73" s="66">
        <f ca="1">CX43/Model!CX$14</f>
        <v>0.34126040893920601</v>
      </c>
      <c r="CY73" s="66">
        <f ca="1">CY43/Model!CY$14</f>
        <v>0.31832074703009416</v>
      </c>
      <c r="CZ73" s="66">
        <f ca="1">CZ43/Model!CZ$14</f>
        <v>0.33889751801258666</v>
      </c>
      <c r="DA73" s="136">
        <f ca="1">DA43/Model!DA$14</f>
        <v>0.32924452706454344</v>
      </c>
      <c r="DB73" s="66">
        <f ca="1">DB43/Model!DB$14</f>
        <v>0.27880618480090935</v>
      </c>
      <c r="DC73" s="66">
        <f ca="1">DC43/Model!DC$14</f>
        <v>0.28852277257963088</v>
      </c>
      <c r="DD73" s="66">
        <f ca="1">DD43/Model!DD$14</f>
        <v>0.27182755466943093</v>
      </c>
      <c r="DE73" s="66">
        <f ca="1">DE43/Model!DE$14</f>
        <v>0.29497017826124233</v>
      </c>
      <c r="DF73" s="136">
        <f ca="1">DF43/Model!DF$14</f>
        <v>0.28377835029622828</v>
      </c>
    </row>
    <row r="74" spans="2:110" ht="10.5" customHeight="1" x14ac:dyDescent="0.2">
      <c r="B74" s="275"/>
      <c r="C74" s="77"/>
      <c r="D74" s="77"/>
      <c r="E74" s="77"/>
      <c r="F74" s="77"/>
      <c r="G74" s="77"/>
      <c r="H74" s="77"/>
      <c r="I74" s="77"/>
      <c r="J74" s="77"/>
      <c r="K74" s="77"/>
      <c r="L74" s="77"/>
      <c r="M74" s="77"/>
      <c r="N74" s="77"/>
      <c r="O74" s="77"/>
      <c r="P74" s="146"/>
      <c r="Q74" s="146"/>
      <c r="R74" s="146"/>
      <c r="S74" s="146"/>
      <c r="T74" s="231"/>
      <c r="U74" s="66"/>
      <c r="V74" s="66"/>
      <c r="W74" s="66"/>
      <c r="X74" s="66"/>
      <c r="Y74" s="136"/>
      <c r="Z74" s="66"/>
      <c r="AA74" s="66"/>
      <c r="AB74" s="66"/>
      <c r="AC74" s="66"/>
      <c r="AD74" s="136"/>
      <c r="AE74" s="66"/>
      <c r="AF74" s="66"/>
      <c r="AG74" s="66"/>
      <c r="AH74" s="66"/>
      <c r="AI74" s="136"/>
      <c r="AJ74" s="66"/>
      <c r="AK74" s="66"/>
      <c r="AL74" s="66"/>
      <c r="AM74" s="66"/>
      <c r="AN74" s="136"/>
      <c r="AO74" s="66"/>
      <c r="AP74" s="66"/>
      <c r="AQ74" s="66"/>
      <c r="AR74" s="66"/>
      <c r="AS74" s="136"/>
      <c r="AT74" s="66"/>
      <c r="AU74" s="66"/>
      <c r="AV74" s="66"/>
      <c r="AW74" s="66"/>
      <c r="AX74" s="136"/>
      <c r="AY74" s="66"/>
      <c r="AZ74" s="66"/>
      <c r="BA74" s="66"/>
      <c r="BB74" s="66"/>
      <c r="BC74" s="136"/>
      <c r="BD74" s="66"/>
      <c r="BE74" s="66"/>
      <c r="BF74" s="66"/>
      <c r="BG74" s="66"/>
      <c r="BH74" s="136"/>
      <c r="BI74" s="66"/>
      <c r="BJ74" s="66"/>
      <c r="BK74" s="66"/>
      <c r="BL74" s="66"/>
      <c r="BM74" s="136"/>
      <c r="BN74" s="66"/>
      <c r="BO74" s="66"/>
      <c r="BP74" s="66"/>
      <c r="BQ74" s="66"/>
      <c r="BR74" s="136"/>
      <c r="BS74" s="66"/>
      <c r="BT74" s="66"/>
      <c r="BU74" s="66"/>
      <c r="BV74" s="66"/>
      <c r="BW74" s="136"/>
      <c r="BX74" s="66"/>
      <c r="BY74" s="66"/>
      <c r="BZ74" s="66"/>
      <c r="CA74" s="66"/>
      <c r="CB74" s="136"/>
      <c r="CC74" s="66"/>
      <c r="CD74" s="66"/>
      <c r="CE74" s="66"/>
      <c r="CF74" s="66"/>
      <c r="CG74" s="136"/>
      <c r="CH74" s="66"/>
      <c r="CI74" s="66"/>
      <c r="CJ74" s="66"/>
      <c r="CK74" s="66"/>
      <c r="CL74" s="136"/>
      <c r="CM74" s="66"/>
      <c r="CN74" s="66"/>
      <c r="CO74" s="66"/>
      <c r="CP74" s="66"/>
      <c r="CQ74" s="136"/>
      <c r="CR74" s="66"/>
      <c r="CS74" s="66"/>
      <c r="CT74" s="66"/>
      <c r="CU74" s="66"/>
      <c r="CV74" s="136"/>
      <c r="CW74" s="66"/>
      <c r="CX74" s="66"/>
      <c r="CY74" s="66"/>
      <c r="CZ74" s="66"/>
      <c r="DA74" s="136"/>
      <c r="DB74" s="66"/>
      <c r="DC74" s="66"/>
      <c r="DD74" s="66"/>
      <c r="DE74" s="66"/>
      <c r="DF74" s="136"/>
    </row>
    <row r="75" spans="2:110" ht="12" thickBot="1" x14ac:dyDescent="0.25">
      <c r="B75" s="272" t="s">
        <v>280</v>
      </c>
      <c r="C75" s="269"/>
      <c r="D75" s="269"/>
      <c r="E75" s="269"/>
      <c r="F75" s="269"/>
      <c r="G75" s="269"/>
      <c r="H75" s="269"/>
      <c r="I75" s="269"/>
      <c r="J75" s="269"/>
      <c r="K75" s="269"/>
      <c r="L75" s="269"/>
      <c r="M75" s="269"/>
      <c r="N75" s="269"/>
      <c r="O75" s="269"/>
      <c r="P75" s="270"/>
      <c r="Q75" s="270"/>
      <c r="R75" s="270"/>
      <c r="S75" s="270"/>
      <c r="T75" s="276"/>
      <c r="U75" s="140"/>
      <c r="V75" s="140"/>
      <c r="W75" s="140"/>
      <c r="X75" s="140"/>
      <c r="Y75" s="141"/>
      <c r="Z75" s="140">
        <f>Z46/Model!Z$14</f>
        <v>2.5512899865642127E-3</v>
      </c>
      <c r="AA75" s="140">
        <f>AA46/Model!AA$14</f>
        <v>2.7678710157653082E-3</v>
      </c>
      <c r="AB75" s="140">
        <f>AB46/Model!AB$14</f>
        <v>2.6330150068212843E-3</v>
      </c>
      <c r="AC75" s="140">
        <f>AC46/Model!AC$14</f>
        <v>2.2674305290579688E-3</v>
      </c>
      <c r="AD75" s="141">
        <f>AD46/Model!AD$14</f>
        <v>0</v>
      </c>
      <c r="AE75" s="140">
        <f>AE46/Model!AE$14</f>
        <v>2.3099245502031314E-3</v>
      </c>
      <c r="AF75" s="140">
        <f>AF46/Model!AF$14</f>
        <v>2.2717271727172692E-3</v>
      </c>
      <c r="AG75" s="140">
        <f>AG46/Model!AG$14</f>
        <v>2.1640395404755536E-3</v>
      </c>
      <c r="AH75" s="140">
        <f>AH46/Model!AH$14</f>
        <v>2.1031242062484181E-3</v>
      </c>
      <c r="AI75" s="141">
        <f>AI46/Model!AI$14</f>
        <v>2.2083728492074232E-3</v>
      </c>
      <c r="AJ75" s="140">
        <f>AJ46/Model!AJ$14</f>
        <v>1.9888159494286443E-3</v>
      </c>
      <c r="AK75" s="140">
        <f>AK46/Model!AK$14</f>
        <v>1.9130038715554527E-3</v>
      </c>
      <c r="AL75" s="140">
        <f>AL46/Model!AL$14</f>
        <v>1.8888111866407062E-3</v>
      </c>
      <c r="AM75" s="140">
        <f>AM46/Model!AM$14</f>
        <v>1.9460757101262313E-3</v>
      </c>
      <c r="AN75" s="141">
        <f>AN46/Model!AN$14</f>
        <v>1.9334424163403156E-3</v>
      </c>
      <c r="AO75" s="140">
        <f>AO46/Model!AO$14</f>
        <v>0.11842952156189648</v>
      </c>
      <c r="AP75" s="140">
        <f>AP46/Model!AP$14</f>
        <v>0.11714086748905682</v>
      </c>
      <c r="AQ75" s="140">
        <f>AQ46/Model!AQ$14</f>
        <v>0.11342236740968495</v>
      </c>
      <c r="AR75" s="140">
        <f>AR46/Model!AR$14</f>
        <v>0.10125951431678158</v>
      </c>
      <c r="AS75" s="141">
        <f>AS46/Model!AS$14</f>
        <v>0.1121931500808466</v>
      </c>
      <c r="AT75" s="140">
        <f>AT46/Model!AT$14</f>
        <v>0.11304062909567489</v>
      </c>
      <c r="AU75" s="140">
        <f>AU46/Model!AU$14</f>
        <v>0.11275252525252524</v>
      </c>
      <c r="AV75" s="140">
        <f>AV46/Model!AV$14</f>
        <v>0.1095739471106759</v>
      </c>
      <c r="AW75" s="140">
        <f>AW46/Model!AW$14</f>
        <v>9.4771473043724394E-2</v>
      </c>
      <c r="AX75" s="141">
        <f>AX46/Model!AX$14</f>
        <v>0.10682765383672461</v>
      </c>
      <c r="AY75" s="140">
        <f>AY46/Model!AY$14</f>
        <v>7.4186822351960002E-2</v>
      </c>
      <c r="AZ75" s="140">
        <f>AZ46/Model!AZ$14</f>
        <v>7.6147614761476079E-2</v>
      </c>
      <c r="BA75" s="140">
        <f>BA46/Model!BA$14</f>
        <v>6.975362139408206E-2</v>
      </c>
      <c r="BB75" s="140">
        <f>BB46/Model!BB$14</f>
        <v>7.9021230658510175E-2</v>
      </c>
      <c r="BC75" s="141">
        <f>BC46/Model!BC$14</f>
        <v>7.4815994902023258E-2</v>
      </c>
      <c r="BD75" s="140">
        <f>BD46/Model!BD$14</f>
        <v>8.5465116279069775E-2</v>
      </c>
      <c r="BE75" s="140">
        <f>BE46/Model!BE$14</f>
        <v>7.2987939945852801E-2</v>
      </c>
      <c r="BF75" s="140">
        <f>BF46/Model!BF$14</f>
        <v>6.8517875737591175E-2</v>
      </c>
      <c r="BG75" s="140">
        <f>BG46/Model!BG$14</f>
        <v>6.7574750830564786E-2</v>
      </c>
      <c r="BH75" s="141">
        <f>BH46/Model!BH$14</f>
        <v>7.3257998151405795E-2</v>
      </c>
      <c r="BI75" s="140">
        <f>BI46/Model!BI$14</f>
        <v>9.4235909355026154E-2</v>
      </c>
      <c r="BJ75" s="140">
        <f>BJ46/Model!BJ$14</f>
        <v>0.10144300822561693</v>
      </c>
      <c r="BK75" s="140">
        <f>BK46/Model!BK$14</f>
        <v>9.7442668519805417E-2</v>
      </c>
      <c r="BL75" s="140">
        <f>BL46/Model!BL$14</f>
        <v>9.2860185737411546E-2</v>
      </c>
      <c r="BM75" s="141">
        <f>BM46/Model!BM$14</f>
        <v>9.6774710097546082E-2</v>
      </c>
      <c r="BN75" s="140">
        <f>BN46/Model!BN$14</f>
        <v>0.10400568738968433</v>
      </c>
      <c r="BO75" s="140">
        <f>BO46/Model!BO$14</f>
        <v>0.11425757089842871</v>
      </c>
      <c r="BP75" s="140">
        <f>BP46/Model!BP$14</f>
        <v>0.10287569127194056</v>
      </c>
      <c r="BQ75" s="140">
        <f>BQ46/Model!BQ$14</f>
        <v>0.11079957988949263</v>
      </c>
      <c r="BR75" s="141">
        <f>BR46/Model!BR$14</f>
        <v>0.1081161604861218</v>
      </c>
      <c r="BS75" s="140">
        <f>BS46/Model!BS$14</f>
        <v>0.1346636985212275</v>
      </c>
      <c r="BT75" s="140">
        <f>BT46/Model!BT$14</f>
        <v>0.13079541215964197</v>
      </c>
      <c r="BU75" s="140">
        <f>BU46/Model!BU$14</f>
        <v>0.14082621740133858</v>
      </c>
      <c r="BV75" s="140">
        <f>BV46/Model!BV$14</f>
        <v>0.13489443044573809</v>
      </c>
      <c r="BW75" s="141">
        <f>BW46/Model!BW$14</f>
        <v>0.13532083107837828</v>
      </c>
      <c r="BX75" s="140">
        <f>BX46/Model!BX$14</f>
        <v>0.17985882352941177</v>
      </c>
      <c r="BY75" s="140">
        <f>BY46/Model!BY$14</f>
        <v>0.16366990025959832</v>
      </c>
      <c r="BZ75" s="140">
        <f>BZ46/Model!BZ$14</f>
        <v>0.17353846153846153</v>
      </c>
      <c r="CA75" s="140">
        <f>CA46/Model!CA$14</f>
        <v>0.1688998858012942</v>
      </c>
      <c r="CB75" s="141">
        <f>CB46/Model!CB$14</f>
        <v>0.17118072289156624</v>
      </c>
      <c r="CC75" s="140">
        <f>CC46/Model!CC$14</f>
        <v>0.16370594801467073</v>
      </c>
      <c r="CD75" s="140">
        <f>CD46/Model!CD$14</f>
        <v>0.13317693765226021</v>
      </c>
      <c r="CE75" s="140">
        <f>CE46/Model!CE$14</f>
        <v>0.14565357372826787</v>
      </c>
      <c r="CF75" s="140">
        <f>CF46/Model!CF$14</f>
        <v>0.1407002005347594</v>
      </c>
      <c r="CG75" s="141">
        <f>CG46/Model!CG$14</f>
        <v>0.14502437365378076</v>
      </c>
      <c r="CH75" s="140">
        <f>CH46/Model!CH$14</f>
        <v>0.15240392095845653</v>
      </c>
      <c r="CI75" s="140">
        <f>CI46/Model!CI$14</f>
        <v>0.15144816385455201</v>
      </c>
      <c r="CJ75" s="140">
        <f>CJ46/Model!CJ$14</f>
        <v>0.13404922674798517</v>
      </c>
      <c r="CK75" s="140">
        <f>CK46/Model!CK$14</f>
        <v>0.11378011457270658</v>
      </c>
      <c r="CL75" s="141">
        <f>CL46/Model!CL$14</f>
        <v>0.13652990388038488</v>
      </c>
      <c r="CM75" s="140">
        <f ca="1">CM46/Model!CM$14</f>
        <v>0.12253815822996149</v>
      </c>
      <c r="CN75" s="140">
        <f ca="1">CN46/Model!CN$14</f>
        <v>0.11961004403254741</v>
      </c>
      <c r="CO75" s="140">
        <f ca="1">CO46/Model!CO$14</f>
        <v>0.11485937707061822</v>
      </c>
      <c r="CP75" s="140">
        <f ca="1">CP46/Model!CP$14</f>
        <v>0.10676296630972539</v>
      </c>
      <c r="CQ75" s="141">
        <f ca="1">CQ46/Model!CQ$14</f>
        <v>0.11550661230448983</v>
      </c>
      <c r="CR75" s="140">
        <f ca="1">CR46/Model!CR$14</f>
        <v>0.12520154147689103</v>
      </c>
      <c r="CS75" s="140">
        <f ca="1">CS46/Model!CS$14</f>
        <v>0.12566386007250793</v>
      </c>
      <c r="CT75" s="140">
        <f ca="1">CT46/Model!CT$14</f>
        <v>0.12180738435409802</v>
      </c>
      <c r="CU75" s="140">
        <f ca="1">CU46/Model!CU$14</f>
        <v>0.11359984186201365</v>
      </c>
      <c r="CV75" s="141">
        <f ca="1">CV46/Model!CV$14</f>
        <v>0.12131930495905482</v>
      </c>
      <c r="CW75" s="140">
        <f ca="1">CW46/Model!CW$14</f>
        <v>0.14146335332640325</v>
      </c>
      <c r="CX75" s="140">
        <f ca="1">CX46/Model!CX$14</f>
        <v>0.14425475745307512</v>
      </c>
      <c r="CY75" s="140">
        <f ca="1">CY46/Model!CY$14</f>
        <v>0.14068638798480693</v>
      </c>
      <c r="CZ75" s="140">
        <f ca="1">CZ46/Model!CZ$14</f>
        <v>0.13174333334983665</v>
      </c>
      <c r="DA75" s="141">
        <f ca="1">DA46/Model!DA$14</f>
        <v>0.13937026322183152</v>
      </c>
      <c r="DB75" s="140">
        <f ca="1">DB46/Model!DB$14</f>
        <v>0.16179124565425873</v>
      </c>
      <c r="DC75" s="140">
        <f ca="1">DC46/Model!DC$14</f>
        <v>0.16816271065265195</v>
      </c>
      <c r="DD75" s="140">
        <f ca="1">DD46/Model!DD$14</f>
        <v>0.15960389641175929</v>
      </c>
      <c r="DE75" s="140">
        <f ca="1">DE46/Model!DE$14</f>
        <v>0.15141557456988983</v>
      </c>
      <c r="DF75" s="141">
        <f ca="1">DF46/Model!DF$14</f>
        <v>0.16004570393181672</v>
      </c>
    </row>
    <row r="76" spans="2:110" x14ac:dyDescent="0.2">
      <c r="AW76" s="204"/>
    </row>
    <row r="77" spans="2:110" x14ac:dyDescent="0.2">
      <c r="B77" s="507"/>
      <c r="AW77" s="204"/>
      <c r="BM77" s="87"/>
      <c r="BR77" s="42"/>
    </row>
    <row r="78" spans="2:110" x14ac:dyDescent="0.2">
      <c r="B78" s="507"/>
      <c r="AW78" s="204"/>
      <c r="BR78" s="204"/>
      <c r="CL78" s="204">
        <f ca="1">CL47-CL46</f>
        <v>8125.3227526991341</v>
      </c>
    </row>
    <row r="79" spans="2:110" x14ac:dyDescent="0.2">
      <c r="B79" s="672"/>
      <c r="AW79" s="204"/>
      <c r="BM79" s="87"/>
      <c r="CL79" s="1949">
        <f ca="1">CL78/(CL22-CL21)</f>
        <v>8.6458480854764985E-2</v>
      </c>
    </row>
    <row r="80" spans="2:110" x14ac:dyDescent="0.2">
      <c r="B80" s="672"/>
      <c r="AW80" s="204"/>
    </row>
    <row r="81" spans="2:50" x14ac:dyDescent="0.2">
      <c r="B81" s="507"/>
      <c r="AW81" s="204"/>
    </row>
    <row r="82" spans="2:50" x14ac:dyDescent="0.2">
      <c r="B82" s="507"/>
      <c r="AW82" s="204"/>
    </row>
    <row r="83" spans="2:50" x14ac:dyDescent="0.2">
      <c r="B83" s="507"/>
      <c r="AW83" s="204"/>
    </row>
    <row r="84" spans="2:50" x14ac:dyDescent="0.2">
      <c r="B84" s="672"/>
      <c r="AW84" s="204"/>
    </row>
    <row r="85" spans="2:50" x14ac:dyDescent="0.2">
      <c r="B85" s="672"/>
      <c r="AW85" s="204"/>
    </row>
    <row r="86" spans="2:50" x14ac:dyDescent="0.2">
      <c r="AW86" s="204"/>
    </row>
    <row r="87" spans="2:50" x14ac:dyDescent="0.2">
      <c r="B87" s="498"/>
      <c r="AW87" s="204"/>
    </row>
    <row r="88" spans="2:50" x14ac:dyDescent="0.2">
      <c r="B88" s="498"/>
      <c r="AW88" s="204"/>
    </row>
    <row r="90" spans="2:50" x14ac:dyDescent="0.2">
      <c r="B90" s="507"/>
      <c r="AW90" s="204"/>
      <c r="AX90" s="117"/>
    </row>
    <row r="91" spans="2:50" x14ac:dyDescent="0.2">
      <c r="B91" s="507"/>
      <c r="AW91" s="204"/>
      <c r="AX91" s="68"/>
    </row>
    <row r="92" spans="2:50" x14ac:dyDescent="0.2">
      <c r="B92" s="672"/>
      <c r="AW92" s="204"/>
      <c r="AX92" s="68"/>
    </row>
    <row r="93" spans="2:50" x14ac:dyDescent="0.2">
      <c r="B93" s="672"/>
      <c r="AW93" s="204"/>
      <c r="AX93" s="68"/>
    </row>
    <row r="94" spans="2:50" x14ac:dyDescent="0.2">
      <c r="B94" s="507"/>
      <c r="AW94" s="204"/>
      <c r="AX94" s="68"/>
    </row>
    <row r="95" spans="2:50" x14ac:dyDescent="0.2">
      <c r="B95" s="507"/>
      <c r="AW95" s="204"/>
      <c r="AX95" s="68"/>
    </row>
    <row r="96" spans="2:50" x14ac:dyDescent="0.2">
      <c r="B96" s="507"/>
      <c r="AW96" s="204"/>
      <c r="AX96" s="68"/>
    </row>
    <row r="97" spans="2:50" x14ac:dyDescent="0.2">
      <c r="B97" s="672"/>
      <c r="AW97" s="204"/>
      <c r="AX97" s="68"/>
    </row>
    <row r="98" spans="2:50" x14ac:dyDescent="0.2">
      <c r="B98" s="672"/>
      <c r="AW98" s="204"/>
      <c r="AX98" s="68"/>
    </row>
    <row r="99" spans="2:50" x14ac:dyDescent="0.2">
      <c r="AW99" s="204"/>
      <c r="AX99" s="68"/>
    </row>
    <row r="100" spans="2:50" x14ac:dyDescent="0.2">
      <c r="B100" s="498"/>
      <c r="AW100" s="204"/>
      <c r="AX100" s="68"/>
    </row>
    <row r="101" spans="2:50" x14ac:dyDescent="0.2">
      <c r="B101" s="498"/>
      <c r="AW101" s="68"/>
      <c r="AX101" s="68"/>
    </row>
  </sheetData>
  <phoneticPr fontId="0" type="noConversion"/>
  <pageMargins left="0.25" right="0.25" top="0.5" bottom="0.75" header="0.5" footer="0.5"/>
  <pageSetup paperSize="5" scale="69" orientation="landscape" r:id="rId1"/>
  <headerFooter alignWithMargins="0">
    <oddFooter>&amp;L&amp;8&amp;F
&amp;D   &amp;T&amp;C&amp;8&amp;A&amp;R&amp;8&amp;P of &amp;N</oddFooter>
  </headerFooter>
  <rowBreaks count="1" manualBreakCount="1">
    <brk id="35" min="1" max="79" man="1"/>
  </rowBreaks>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enableFormatConditionsCalculation="0">
    <tabColor indexed="57"/>
  </sheetPr>
  <dimension ref="B1:DF56"/>
  <sheetViews>
    <sheetView showGridLines="0" zoomScaleNormal="100" zoomScaleSheetLayoutView="100" workbookViewId="0">
      <pane xSplit="2" ySplit="6" topLeftCell="C7" activePane="bottomRight" state="frozen"/>
      <selection activeCell="BX22" sqref="BX22:CA22"/>
      <selection pane="topRight" activeCell="BX22" sqref="BX22:CA22"/>
      <selection pane="bottomLeft" activeCell="BX22" sqref="BX22:CA22"/>
      <selection pane="bottomRight" activeCell="CG1" sqref="CG1:CG1048576"/>
    </sheetView>
  </sheetViews>
  <sheetFormatPr defaultRowHeight="12.75" outlineLevelRow="1" outlineLevelCol="2" x14ac:dyDescent="0.25"/>
  <cols>
    <col min="1" max="1" width="1.85546875" style="154" customWidth="1"/>
    <col min="2" max="2" width="18.140625" style="151" customWidth="1"/>
    <col min="3" max="3" width="3.85546875" style="151" hidden="1" customWidth="1" outlineLevel="1"/>
    <col min="4" max="4" width="7.7109375" style="151" hidden="1" customWidth="1" outlineLevel="1"/>
    <col min="5" max="5" width="7.7109375" style="151" hidden="1" customWidth="1" outlineLevel="1" collapsed="1"/>
    <col min="6" max="9" width="9.140625" style="151" hidden="1" customWidth="1" outlineLevel="2"/>
    <col min="10" max="10" width="9.42578125" style="151" hidden="1" customWidth="1" outlineLevel="1" collapsed="1"/>
    <col min="11" max="14" width="9.140625" style="151" hidden="1" customWidth="1" outlineLevel="2"/>
    <col min="15" max="15" width="7" style="151" hidden="1" customWidth="1" outlineLevel="1" collapsed="1"/>
    <col min="16" max="16" width="8.140625" style="151" hidden="1" customWidth="1" outlineLevel="2" collapsed="1"/>
    <col min="17" max="19" width="8.140625" style="151" hidden="1" customWidth="1" outlineLevel="2"/>
    <col min="20" max="20" width="9" style="151" hidden="1" customWidth="1" outlineLevel="1" collapsed="1"/>
    <col min="21" max="24" width="8.140625" style="151" hidden="1" customWidth="1" outlineLevel="2"/>
    <col min="25" max="25" width="9" style="151" hidden="1" customWidth="1" outlineLevel="1" collapsed="1"/>
    <col min="26" max="26" width="8.140625" style="151" hidden="1" customWidth="1" outlineLevel="2"/>
    <col min="27" max="28" width="10.42578125" style="151" hidden="1" customWidth="1" outlineLevel="2"/>
    <col min="29" max="29" width="9.5703125" style="151" hidden="1" customWidth="1" outlineLevel="2"/>
    <col min="30" max="30" width="9.5703125" style="151" hidden="1" customWidth="1" outlineLevel="1" collapsed="1"/>
    <col min="31" max="34" width="10.42578125" style="151" hidden="1" customWidth="1" outlineLevel="2"/>
    <col min="35" max="35" width="10.42578125" style="151" hidden="1" customWidth="1" outlineLevel="1" collapsed="1"/>
    <col min="36" max="39" width="10.42578125" style="151" hidden="1" customWidth="1" outlineLevel="2"/>
    <col min="40" max="40" width="10.42578125" style="151" hidden="1" customWidth="1" outlineLevel="1" collapsed="1"/>
    <col min="41" max="44" width="10.42578125" style="151" hidden="1" customWidth="1" outlineLevel="2"/>
    <col min="45" max="45" width="10.42578125" style="151" hidden="1" customWidth="1" outlineLevel="1" collapsed="1"/>
    <col min="46" max="49" width="10.42578125" style="151" hidden="1" customWidth="1" outlineLevel="2"/>
    <col min="50" max="50" width="10.42578125" style="151" hidden="1" customWidth="1" outlineLevel="1" collapsed="1"/>
    <col min="51" max="51" width="8.42578125" style="151" hidden="1" customWidth="1" outlineLevel="2"/>
    <col min="52" max="53" width="9.140625" style="151" hidden="1" customWidth="1" outlineLevel="2"/>
    <col min="54" max="54" width="11.28515625" style="151" hidden="1" customWidth="1" outlineLevel="2"/>
    <col min="55" max="56" width="9.140625" style="151" hidden="1" customWidth="1" outlineLevel="1" collapsed="1"/>
    <col min="57" max="59" width="9.140625" style="151" hidden="1" customWidth="1" outlineLevel="1"/>
    <col min="60" max="60" width="0" style="151" hidden="1" customWidth="1" collapsed="1"/>
    <col min="61" max="64" width="9.140625" style="151" hidden="1" customWidth="1" outlineLevel="1"/>
    <col min="65" max="65" width="0" style="151" hidden="1" customWidth="1" collapsed="1"/>
    <col min="66" max="69" width="9.140625" style="151" hidden="1" customWidth="1" outlineLevel="1"/>
    <col min="70" max="70" width="0" style="151" hidden="1" customWidth="1" collapsed="1"/>
    <col min="71" max="74" width="9.140625" style="151" hidden="1" customWidth="1" outlineLevel="1"/>
    <col min="75" max="75" width="0" style="151" hidden="1" customWidth="1" collapsed="1"/>
    <col min="76" max="79" width="9.140625" style="151" hidden="1" customWidth="1" outlineLevel="1"/>
    <col min="80" max="80" width="0" style="151" hidden="1" customWidth="1" collapsed="1"/>
    <col min="81" max="84" width="9.140625" style="151" hidden="1" customWidth="1" outlineLevel="1"/>
    <col min="85" max="85" width="0" style="151" hidden="1" customWidth="1" collapsed="1"/>
    <col min="86" max="89" width="9.140625" style="151" customWidth="1" outlineLevel="1"/>
    <col min="90" max="90" width="9.140625" style="151"/>
    <col min="91" max="94" width="9.140625" style="151" customWidth="1" outlineLevel="1"/>
    <col min="95" max="95" width="9.140625" style="151"/>
    <col min="96" max="99" width="0" style="154" hidden="1" customWidth="1" outlineLevel="1"/>
    <col min="100" max="100" width="9.140625" style="154" collapsed="1"/>
    <col min="101" max="104" width="0" style="154" hidden="1" customWidth="1" outlineLevel="1"/>
    <col min="105" max="105" width="9.140625" style="154" collapsed="1"/>
    <col min="106" max="109" width="0" style="154" hidden="1" customWidth="1" outlineLevel="1"/>
    <col min="110" max="110" width="9.140625" style="154" collapsed="1"/>
    <col min="111" max="16384" width="9.140625" style="154"/>
  </cols>
  <sheetData>
    <row r="1" spans="2:110" s="1413" customFormat="1" hidden="1" outlineLevel="1" x14ac:dyDescent="0.2">
      <c r="B1" s="1414" t="s">
        <v>152</v>
      </c>
      <c r="C1" s="1414"/>
      <c r="D1" s="1414"/>
      <c r="E1" s="1414"/>
      <c r="F1" s="1414"/>
      <c r="G1" s="1414"/>
      <c r="H1" s="1414"/>
      <c r="I1" s="1414"/>
      <c r="J1" s="1414"/>
      <c r="K1" s="1414"/>
      <c r="L1" s="1414"/>
      <c r="M1" s="1414"/>
      <c r="N1" s="1414"/>
      <c r="O1" s="1414"/>
      <c r="P1" s="1414"/>
      <c r="Q1" s="1414"/>
      <c r="R1" s="1414"/>
      <c r="S1" s="1414"/>
      <c r="T1" s="1414"/>
      <c r="U1" s="1414"/>
      <c r="V1" s="1414"/>
      <c r="W1" s="1414"/>
      <c r="X1" s="1414"/>
      <c r="Y1" s="1414"/>
      <c r="Z1" s="1414"/>
      <c r="AA1" s="1414"/>
      <c r="AB1" s="1414"/>
      <c r="AC1" s="1414"/>
      <c r="AD1" s="1414"/>
      <c r="AE1" s="1414"/>
      <c r="AF1" s="1414"/>
      <c r="AG1" s="1414"/>
      <c r="AH1" s="1414"/>
      <c r="AI1" s="1414"/>
      <c r="AJ1" s="1414"/>
      <c r="AK1" s="1414"/>
      <c r="AL1" s="1414"/>
      <c r="AM1" s="1414"/>
      <c r="AN1" s="1415"/>
      <c r="AO1" s="1415"/>
      <c r="AP1" s="1415"/>
      <c r="AQ1" s="1415"/>
      <c r="AR1" s="1414"/>
      <c r="AS1" s="1416">
        <f>Model!AS28</f>
        <v>1.5480540111199399</v>
      </c>
      <c r="AT1" s="1416">
        <f>Model!AT28</f>
        <v>0.44203770557561239</v>
      </c>
      <c r="AU1" s="1416">
        <f>Model!AU28</f>
        <v>0.44918856259659962</v>
      </c>
      <c r="AV1" s="1416">
        <f>Model!AV28</f>
        <v>0.41630591630591529</v>
      </c>
      <c r="AW1" s="1416">
        <f>Model!AW28</f>
        <v>0.48705501618122948</v>
      </c>
      <c r="AX1" s="1416">
        <f>Model!AX28</f>
        <v>1.7953733308256565</v>
      </c>
      <c r="AY1" s="1417">
        <f>Model!AY28</f>
        <v>0.54839870456998863</v>
      </c>
      <c r="AZ1" s="1417">
        <f>Model!AZ28</f>
        <v>0.5980730776222517</v>
      </c>
      <c r="BA1" s="1417">
        <f>Model!BA28</f>
        <v>0.64916201117318229</v>
      </c>
      <c r="BB1" s="1417">
        <f>Model!BB28</f>
        <v>0.70895102270595001</v>
      </c>
      <c r="BC1" s="1417">
        <f>Model!BC28</f>
        <v>2.5005974813861567</v>
      </c>
      <c r="BD1" s="1417">
        <f>Model!BD28</f>
        <v>0.65761378535306236</v>
      </c>
      <c r="BE1" s="1417">
        <f>Model!BE28</f>
        <v>0.70729783037475413</v>
      </c>
      <c r="BF1" s="1417">
        <f>Model!BF28</f>
        <v>0.79299103504482327</v>
      </c>
      <c r="BG1" s="1417">
        <f ca="1">Model!BG28</f>
        <v>0.83434997808597022</v>
      </c>
      <c r="BH1" s="1417">
        <f ca="1">Model!BH28</f>
        <v>2.9829210457446247</v>
      </c>
      <c r="BI1" s="1417">
        <f>Model!BI28</f>
        <v>0.73228507249336339</v>
      </c>
      <c r="BJ1" s="1417">
        <f>Model!BJ28</f>
        <v>0.85422988226726559</v>
      </c>
      <c r="BK1" s="1417">
        <f>Model!BK28</f>
        <v>1.0383317261330762</v>
      </c>
      <c r="BL1" s="1417">
        <f>Model!BL28</f>
        <v>1.0502162421912558</v>
      </c>
      <c r="BM1" s="1417">
        <f>Model!BM28</f>
        <v>3.7441455907935253</v>
      </c>
      <c r="BN1" s="1417">
        <f>Model!BN28</f>
        <v>0.98942942942942735</v>
      </c>
      <c r="BO1" s="1417">
        <f>Model!BO28</f>
        <v>1.1307339449541247</v>
      </c>
      <c r="BP1" s="1417">
        <f>Model!BP28</f>
        <v>1.0905334791590671</v>
      </c>
      <c r="BQ1" s="1417">
        <f>Model!BQ28</f>
        <v>1.1163717916770513</v>
      </c>
      <c r="BR1" s="1417">
        <f>Model!BR28</f>
        <v>4.3253407984420553</v>
      </c>
      <c r="BS1" s="1417">
        <f>Model!BS28</f>
        <v>0.99084435401831239</v>
      </c>
      <c r="BT1" s="1417">
        <f>Model!BT28</f>
        <v>1.2255707762557071</v>
      </c>
      <c r="BU1" s="1417">
        <f>Model!BU28</f>
        <v>1.2902144772117965</v>
      </c>
      <c r="BV1" s="1417">
        <f>Model!BV28</f>
        <v>1.3865022360753494</v>
      </c>
      <c r="BW1" s="1417">
        <f>Model!BW28</f>
        <v>4.8790832455216027</v>
      </c>
      <c r="BX1" s="1418">
        <f>Model!BX28</f>
        <v>1.1000815882512918</v>
      </c>
      <c r="BY1" s="1417">
        <f>Model!BY28</f>
        <v>1.4368946287056059</v>
      </c>
      <c r="BZ1" s="1417">
        <f>Model!BZ28</f>
        <v>1.4508941659337435</v>
      </c>
      <c r="CA1" s="1417">
        <f>Model!CA28</f>
        <v>1.5574923099458033</v>
      </c>
      <c r="CB1" s="1417">
        <f>Model!CB28</f>
        <v>5.545362692836445</v>
      </c>
      <c r="CC1" s="1418">
        <f>Model!CC28</f>
        <v>1.2031706941665383</v>
      </c>
      <c r="CD1" s="1417">
        <f>Model!CD28</f>
        <v>1.571024067956583</v>
      </c>
      <c r="CE1" s="1417">
        <f>Model!CE28</f>
        <v>1.7407112103332802</v>
      </c>
      <c r="CF1" s="1417">
        <f>Model!CF28</f>
        <v>1.8793806030969846</v>
      </c>
      <c r="CG1" s="1417">
        <f>Model!CG28</f>
        <v>6.3942865755533873</v>
      </c>
      <c r="CH1" s="1418">
        <f ca="1">Model!CR28</f>
        <v>1.7837130603578375</v>
      </c>
      <c r="CI1" s="1417">
        <f ca="1">Model!CV28</f>
        <v>8.8363872546867164</v>
      </c>
      <c r="CJ1" s="1417">
        <f>Model!DI28</f>
        <v>0</v>
      </c>
      <c r="CK1" s="1417">
        <f>Model!DJ28</f>
        <v>0</v>
      </c>
      <c r="CL1" s="1417">
        <f>Model!DK28</f>
        <v>0</v>
      </c>
      <c r="CM1" s="1418">
        <f>Model!DL28</f>
        <v>0</v>
      </c>
      <c r="CN1" s="1417">
        <f>Model!DM28</f>
        <v>0</v>
      </c>
      <c r="CO1" s="1417">
        <f>Model!DN28</f>
        <v>0</v>
      </c>
      <c r="CP1" s="1417">
        <f>Model!DO28</f>
        <v>0</v>
      </c>
      <c r="CQ1" s="1417">
        <f>Model!DP28</f>
        <v>0</v>
      </c>
    </row>
    <row r="2" spans="2:110" s="77" customFormat="1" ht="37.5" customHeight="1" collapsed="1" x14ac:dyDescent="0.3">
      <c r="B2" s="882" t="str">
        <f>Ticker</f>
        <v>ESRX</v>
      </c>
      <c r="C2" s="883"/>
      <c r="D2" s="883"/>
      <c r="E2" s="884"/>
      <c r="F2" s="885"/>
      <c r="G2" s="884"/>
      <c r="H2" s="884"/>
      <c r="I2" s="886"/>
      <c r="J2" s="884"/>
      <c r="K2" s="884"/>
      <c r="L2" s="884"/>
      <c r="M2" s="887"/>
      <c r="N2" s="887"/>
      <c r="O2" s="886"/>
      <c r="P2" s="888"/>
      <c r="Q2" s="889"/>
      <c r="R2" s="890"/>
      <c r="S2" s="890"/>
      <c r="T2" s="884"/>
      <c r="U2" s="888"/>
      <c r="V2" s="889"/>
      <c r="W2" s="884"/>
      <c r="X2" s="884"/>
      <c r="Y2" s="890"/>
      <c r="Z2" s="884"/>
      <c r="AA2" s="884"/>
      <c r="AB2" s="884"/>
      <c r="AC2" s="884"/>
      <c r="AD2" s="884"/>
      <c r="AE2" s="884"/>
      <c r="AF2" s="884"/>
      <c r="AG2" s="884"/>
      <c r="AH2" s="884"/>
      <c r="AI2" s="891"/>
      <c r="AJ2" s="884"/>
      <c r="AK2" s="884"/>
      <c r="AL2" s="884"/>
      <c r="AM2" s="884"/>
      <c r="AN2" s="884"/>
      <c r="AO2" s="884"/>
      <c r="AP2" s="884"/>
      <c r="AQ2" s="884"/>
      <c r="AR2" s="884"/>
      <c r="AS2" s="884"/>
      <c r="AT2" s="884"/>
      <c r="AU2" s="884"/>
      <c r="AV2" s="884"/>
      <c r="AW2" s="884"/>
      <c r="AX2" s="884"/>
      <c r="AY2" s="884"/>
      <c r="AZ2" s="884"/>
      <c r="BA2" s="884"/>
      <c r="BB2" s="884"/>
      <c r="BC2" s="884"/>
      <c r="BD2" s="884"/>
      <c r="BE2" s="884"/>
      <c r="BF2" s="884"/>
      <c r="BG2" s="884"/>
      <c r="BH2" s="884"/>
      <c r="BI2" s="884"/>
      <c r="BJ2" s="884"/>
      <c r="BK2" s="884"/>
      <c r="BL2" s="884"/>
      <c r="BM2" s="884"/>
      <c r="BN2" s="884"/>
      <c r="BO2" s="884"/>
      <c r="BP2" s="884"/>
      <c r="BQ2" s="892"/>
      <c r="BR2" s="892"/>
      <c r="BS2" s="892"/>
      <c r="BT2" s="892"/>
      <c r="BU2" s="892"/>
      <c r="BV2" s="892"/>
      <c r="BW2" s="892"/>
      <c r="BX2" s="892"/>
      <c r="BY2" s="892"/>
      <c r="BZ2" s="892"/>
      <c r="CA2" s="892"/>
      <c r="CB2" s="892"/>
      <c r="CC2" s="892"/>
      <c r="CD2" s="892"/>
      <c r="CE2" s="892"/>
      <c r="CF2" s="892"/>
      <c r="CG2" s="892"/>
      <c r="CH2" s="892"/>
      <c r="CI2" s="892"/>
      <c r="CJ2" s="892"/>
      <c r="CK2" s="892"/>
      <c r="CL2" s="892"/>
      <c r="CM2" s="892"/>
      <c r="CN2" s="892"/>
      <c r="CO2" s="892"/>
      <c r="CP2" s="892"/>
      <c r="CQ2" s="892"/>
      <c r="CR2" s="892"/>
      <c r="CS2" s="892"/>
      <c r="CT2" s="892"/>
      <c r="CU2" s="892"/>
      <c r="CV2" s="892"/>
      <c r="CW2" s="892"/>
      <c r="CX2" s="892"/>
      <c r="CY2" s="892"/>
      <c r="CZ2" s="892"/>
      <c r="DA2" s="892"/>
      <c r="DB2" s="892"/>
      <c r="DC2" s="892"/>
      <c r="DD2" s="892"/>
      <c r="DE2" s="892"/>
      <c r="DF2" s="892"/>
    </row>
    <row r="3" spans="2:110" s="77" customFormat="1" ht="12" thickBot="1" x14ac:dyDescent="0.25">
      <c r="B3" s="948" t="s">
        <v>423</v>
      </c>
      <c r="C3" s="884"/>
      <c r="D3" s="884"/>
      <c r="E3" s="884"/>
      <c r="F3" s="884"/>
      <c r="G3" s="894"/>
      <c r="H3" s="884"/>
      <c r="I3" s="884"/>
      <c r="J3" s="884"/>
      <c r="K3" s="886"/>
      <c r="L3" s="885"/>
      <c r="M3" s="886"/>
      <c r="N3" s="886"/>
      <c r="O3" s="884"/>
      <c r="P3" s="886"/>
      <c r="Q3" s="886"/>
      <c r="R3" s="886"/>
      <c r="S3" s="886"/>
      <c r="T3" s="889"/>
      <c r="U3" s="886"/>
      <c r="V3" s="886"/>
      <c r="W3" s="886"/>
      <c r="X3" s="889"/>
      <c r="Y3" s="889"/>
      <c r="Z3" s="884"/>
      <c r="AA3" s="884"/>
      <c r="AB3" s="884"/>
      <c r="AC3" s="891"/>
      <c r="AD3" s="884"/>
      <c r="AE3" s="895"/>
      <c r="AF3" s="896"/>
      <c r="AG3" s="889"/>
      <c r="AH3" s="884"/>
      <c r="AI3" s="897"/>
      <c r="AJ3" s="885"/>
      <c r="AK3" s="884"/>
      <c r="AL3" s="884"/>
      <c r="AM3" s="884"/>
      <c r="AN3" s="885"/>
      <c r="AO3" s="891"/>
      <c r="AP3" s="884"/>
      <c r="AQ3" s="884"/>
      <c r="AR3" s="884"/>
      <c r="AS3" s="884"/>
      <c r="AT3" s="891"/>
      <c r="AU3" s="884"/>
      <c r="AV3" s="884"/>
      <c r="AW3" s="884"/>
      <c r="AX3" s="884"/>
      <c r="AY3" s="898"/>
      <c r="AZ3" s="884"/>
      <c r="BA3" s="884"/>
      <c r="BB3" s="884"/>
      <c r="BC3" s="884"/>
      <c r="BD3" s="884"/>
      <c r="BE3" s="884"/>
      <c r="BF3" s="884"/>
      <c r="BG3" s="884"/>
      <c r="BH3" s="884"/>
      <c r="BI3" s="884"/>
      <c r="BJ3" s="884"/>
      <c r="BK3" s="884"/>
      <c r="BL3" s="884"/>
      <c r="BM3" s="884"/>
      <c r="BN3" s="884"/>
      <c r="BO3" s="884"/>
      <c r="BP3" s="884"/>
      <c r="BQ3" s="892"/>
      <c r="BR3" s="892"/>
      <c r="BS3" s="892"/>
      <c r="BT3" s="892"/>
      <c r="BU3" s="892"/>
      <c r="BV3" s="892"/>
      <c r="BW3" s="892"/>
      <c r="BX3" s="892"/>
      <c r="BY3" s="892"/>
      <c r="BZ3" s="892"/>
      <c r="CA3" s="892"/>
      <c r="CB3" s="892"/>
      <c r="CC3" s="892"/>
      <c r="CD3" s="892"/>
      <c r="CE3" s="892"/>
      <c r="CF3" s="892"/>
      <c r="CG3" s="892"/>
      <c r="CH3" s="892"/>
      <c r="CI3" s="892"/>
      <c r="CJ3" s="892"/>
      <c r="CK3" s="892"/>
      <c r="CL3" s="892"/>
      <c r="CM3" s="892"/>
      <c r="CN3" s="892"/>
      <c r="CO3" s="892"/>
      <c r="CP3" s="892"/>
      <c r="CQ3" s="892"/>
      <c r="CR3" s="892"/>
      <c r="CS3" s="892"/>
      <c r="CT3" s="892"/>
      <c r="CU3" s="892"/>
      <c r="CV3" s="892"/>
      <c r="CW3" s="892"/>
      <c r="CX3" s="892"/>
      <c r="CY3" s="892"/>
      <c r="CZ3" s="892"/>
      <c r="DA3" s="892"/>
      <c r="DB3" s="892"/>
      <c r="DC3" s="892"/>
      <c r="DD3" s="892"/>
      <c r="DE3" s="892"/>
      <c r="DF3" s="892"/>
    </row>
    <row r="4" spans="2:110" ht="13.5" hidden="1" outlineLevel="1" thickBot="1" x14ac:dyDescent="0.3">
      <c r="E4" s="278"/>
      <c r="F4" s="278">
        <v>36981</v>
      </c>
      <c r="G4" s="278">
        <v>37072</v>
      </c>
      <c r="H4" s="278">
        <v>37164</v>
      </c>
      <c r="I4" s="278">
        <v>37256</v>
      </c>
      <c r="J4" s="278"/>
      <c r="K4" s="278">
        <v>37346</v>
      </c>
      <c r="L4" s="278">
        <v>37437</v>
      </c>
      <c r="M4" s="278">
        <v>37529</v>
      </c>
      <c r="N4" s="278">
        <v>37621</v>
      </c>
      <c r="O4" s="278"/>
      <c r="P4" s="278">
        <v>37711</v>
      </c>
      <c r="Q4" s="278">
        <v>37802</v>
      </c>
      <c r="R4" s="278">
        <v>37894</v>
      </c>
      <c r="S4" s="278">
        <v>37986</v>
      </c>
      <c r="T4" s="278"/>
      <c r="U4" s="278">
        <v>38077</v>
      </c>
      <c r="V4" s="278">
        <v>38168</v>
      </c>
      <c r="W4" s="278">
        <v>38260</v>
      </c>
      <c r="X4" s="278">
        <v>38352</v>
      </c>
      <c r="Y4" s="278"/>
      <c r="Z4" s="278">
        <v>38442</v>
      </c>
      <c r="AA4" s="278">
        <v>38533</v>
      </c>
      <c r="AB4" s="278">
        <v>38625</v>
      </c>
      <c r="AC4" s="278">
        <v>38717</v>
      </c>
      <c r="AD4" s="278"/>
      <c r="AE4" s="278">
        <v>38807</v>
      </c>
      <c r="AF4" s="278">
        <v>38898</v>
      </c>
      <c r="AG4" s="278">
        <v>38990</v>
      </c>
      <c r="AH4" s="278">
        <v>39082</v>
      </c>
      <c r="AI4" s="278"/>
      <c r="AJ4" s="278">
        <v>39172</v>
      </c>
      <c r="AK4" s="278">
        <v>39263</v>
      </c>
      <c r="AL4" s="278">
        <v>39355</v>
      </c>
      <c r="AM4" s="278">
        <v>39447</v>
      </c>
      <c r="AN4" s="278"/>
      <c r="AO4" s="278">
        <f>Revenue!AO6</f>
        <v>39538</v>
      </c>
      <c r="AP4" s="278">
        <f>Revenue!AP6</f>
        <v>39629</v>
      </c>
      <c r="AQ4" s="278">
        <f>Revenue!AQ6</f>
        <v>39721</v>
      </c>
      <c r="AR4" s="278">
        <f>Revenue!AR6</f>
        <v>39813</v>
      </c>
      <c r="AS4" s="278"/>
      <c r="AT4" s="278">
        <f>Revenue!AT6</f>
        <v>39903</v>
      </c>
      <c r="AU4" s="278">
        <f>Revenue!AU6</f>
        <v>39994</v>
      </c>
      <c r="AV4" s="278">
        <f>Revenue!AV6</f>
        <v>40086</v>
      </c>
      <c r="AW4" s="278">
        <f>Revenue!AW6</f>
        <v>40178</v>
      </c>
      <c r="AX4" s="278"/>
      <c r="AY4" s="278">
        <f>Revenue!AY6</f>
        <v>40268</v>
      </c>
      <c r="AZ4" s="278">
        <f>Revenue!AZ6</f>
        <v>40359</v>
      </c>
      <c r="BA4" s="278">
        <f>Revenue!BA6</f>
        <v>40451</v>
      </c>
      <c r="BB4" s="278">
        <f>Revenue!BB6</f>
        <v>40543</v>
      </c>
      <c r="BC4" s="278"/>
      <c r="BD4" s="278">
        <f>Revenue!BD6</f>
        <v>40633</v>
      </c>
      <c r="BE4" s="278">
        <f>Revenue!BE6</f>
        <v>40724</v>
      </c>
      <c r="BF4" s="278">
        <f>Revenue!BF6</f>
        <v>40816</v>
      </c>
      <c r="BG4" s="278">
        <f>Revenue!BG6</f>
        <v>40908</v>
      </c>
      <c r="BH4" s="278"/>
      <c r="BI4" s="278">
        <f>Revenue!BI6</f>
        <v>40999</v>
      </c>
      <c r="BJ4" s="278">
        <f>Revenue!BJ6</f>
        <v>41090</v>
      </c>
      <c r="BK4" s="278">
        <f>Revenue!BK6</f>
        <v>41182</v>
      </c>
      <c r="BL4" s="278">
        <f>Revenue!BL6</f>
        <v>41274</v>
      </c>
      <c r="BM4" s="278"/>
      <c r="BN4" s="278">
        <f>Revenue!BN6</f>
        <v>41364</v>
      </c>
      <c r="BO4" s="278">
        <f>Revenue!BO6</f>
        <v>41455</v>
      </c>
      <c r="BP4" s="278">
        <f>Revenue!BP6</f>
        <v>41547</v>
      </c>
      <c r="BQ4" s="278">
        <f>Revenue!BQ6</f>
        <v>41639</v>
      </c>
      <c r="BR4" s="278"/>
      <c r="BS4" s="278">
        <f>Revenue!BS6</f>
        <v>41729</v>
      </c>
      <c r="BT4" s="278">
        <f>Revenue!BT6</f>
        <v>41820</v>
      </c>
      <c r="BU4" s="278">
        <f>Revenue!BU6</f>
        <v>41912</v>
      </c>
      <c r="BV4" s="278">
        <f>Revenue!BV6</f>
        <v>42004</v>
      </c>
      <c r="BW4" s="278"/>
      <c r="BX4" s="278">
        <f>Revenue!BX6</f>
        <v>42094</v>
      </c>
      <c r="BY4" s="278">
        <f>Revenue!BY6</f>
        <v>42185</v>
      </c>
      <c r="BZ4" s="278">
        <f>Revenue!BZ6</f>
        <v>42277</v>
      </c>
      <c r="CA4" s="278">
        <f>Revenue!CA6</f>
        <v>42369</v>
      </c>
      <c r="CB4" s="278"/>
      <c r="CC4" s="278">
        <f>Revenue!CC6</f>
        <v>42094</v>
      </c>
      <c r="CD4" s="278">
        <f>Revenue!CD6</f>
        <v>42185</v>
      </c>
      <c r="CE4" s="278">
        <f>Revenue!CE6</f>
        <v>42277</v>
      </c>
      <c r="CF4" s="278">
        <f>Revenue!CF6</f>
        <v>42369</v>
      </c>
      <c r="CG4" s="278"/>
      <c r="CH4" s="278">
        <f>Revenue!CH6</f>
        <v>42094</v>
      </c>
      <c r="CI4" s="278">
        <f>Revenue!CI6</f>
        <v>42185</v>
      </c>
      <c r="CJ4" s="278">
        <f>Revenue!CJ6</f>
        <v>42277</v>
      </c>
      <c r="CK4" s="278">
        <f>Revenue!CK6</f>
        <v>42369</v>
      </c>
      <c r="CL4" s="278"/>
      <c r="CM4" s="278">
        <f>Revenue!CM6</f>
        <v>42094</v>
      </c>
      <c r="CN4" s="278">
        <f>Revenue!CN6</f>
        <v>42185</v>
      </c>
      <c r="CO4" s="278">
        <f>Revenue!CO6</f>
        <v>42277</v>
      </c>
      <c r="CP4" s="278">
        <f>Revenue!CP6</f>
        <v>42369</v>
      </c>
      <c r="CQ4" s="278"/>
      <c r="CR4" s="278">
        <f>Revenue!CR6</f>
        <v>42094</v>
      </c>
      <c r="CS4" s="278">
        <f>Revenue!CS6</f>
        <v>42185</v>
      </c>
      <c r="CT4" s="278">
        <f>Revenue!CT6</f>
        <v>42277</v>
      </c>
      <c r="CU4" s="278">
        <f>Revenue!CU6</f>
        <v>42369</v>
      </c>
      <c r="CV4" s="278"/>
      <c r="CW4" s="278">
        <f>Revenue!CW6</f>
        <v>42094</v>
      </c>
      <c r="CX4" s="278">
        <f>Revenue!CX6</f>
        <v>42185</v>
      </c>
      <c r="CY4" s="278">
        <f>Revenue!CY6</f>
        <v>42277</v>
      </c>
      <c r="CZ4" s="278">
        <f>Revenue!CZ6</f>
        <v>42369</v>
      </c>
      <c r="DA4" s="278"/>
      <c r="DB4" s="278">
        <f>Revenue!DB6</f>
        <v>0</v>
      </c>
      <c r="DC4" s="278">
        <f>Revenue!DC6</f>
        <v>0</v>
      </c>
      <c r="DD4" s="278">
        <f>Revenue!DD6</f>
        <v>0</v>
      </c>
      <c r="DE4" s="278">
        <f>Revenue!DE6</f>
        <v>0</v>
      </c>
      <c r="DF4" s="278"/>
    </row>
    <row r="5" spans="2:110" ht="13.5" collapsed="1" thickBot="1" x14ac:dyDescent="0.3">
      <c r="B5" s="799"/>
      <c r="C5" s="800"/>
      <c r="D5" s="801"/>
      <c r="E5" s="801"/>
      <c r="F5" s="802" t="s">
        <v>26</v>
      </c>
      <c r="G5" s="803"/>
      <c r="H5" s="803"/>
      <c r="I5" s="804"/>
      <c r="J5" s="801"/>
      <c r="K5" s="802" t="s">
        <v>27</v>
      </c>
      <c r="L5" s="803"/>
      <c r="M5" s="803"/>
      <c r="N5" s="804"/>
      <c r="O5" s="801"/>
      <c r="P5" s="802" t="s">
        <v>28</v>
      </c>
      <c r="Q5" s="803"/>
      <c r="R5" s="803"/>
      <c r="S5" s="804"/>
      <c r="T5" s="801"/>
      <c r="U5" s="802" t="s">
        <v>29</v>
      </c>
      <c r="V5" s="803"/>
      <c r="W5" s="803"/>
      <c r="X5" s="804"/>
      <c r="Y5" s="801"/>
      <c r="Z5" s="802" t="s">
        <v>30</v>
      </c>
      <c r="AA5" s="803"/>
      <c r="AB5" s="803"/>
      <c r="AC5" s="803"/>
      <c r="AD5" s="801"/>
      <c r="AE5" s="803" t="s">
        <v>31</v>
      </c>
      <c r="AF5" s="803"/>
      <c r="AG5" s="803"/>
      <c r="AH5" s="803"/>
      <c r="AI5" s="801"/>
      <c r="AJ5" s="803" t="s">
        <v>32</v>
      </c>
      <c r="AK5" s="803"/>
      <c r="AL5" s="803"/>
      <c r="AM5" s="803"/>
      <c r="AN5" s="801"/>
      <c r="AO5" s="803" t="s">
        <v>33</v>
      </c>
      <c r="AP5" s="803"/>
      <c r="AQ5" s="803"/>
      <c r="AR5" s="803"/>
      <c r="AS5" s="801"/>
      <c r="AT5" s="803" t="s">
        <v>34</v>
      </c>
      <c r="AU5" s="803"/>
      <c r="AV5" s="803"/>
      <c r="AW5" s="803"/>
      <c r="AX5" s="801"/>
      <c r="AY5" s="803" t="s">
        <v>35</v>
      </c>
      <c r="AZ5" s="803"/>
      <c r="BA5" s="803"/>
      <c r="BB5" s="803"/>
      <c r="BC5" s="801"/>
      <c r="BD5" s="803" t="s">
        <v>36</v>
      </c>
      <c r="BE5" s="803"/>
      <c r="BF5" s="803"/>
      <c r="BG5" s="803"/>
      <c r="BH5" s="801"/>
      <c r="BI5" s="803" t="s">
        <v>37</v>
      </c>
      <c r="BJ5" s="803"/>
      <c r="BK5" s="803"/>
      <c r="BL5" s="803"/>
      <c r="BM5" s="801"/>
      <c r="BN5" s="803" t="s">
        <v>331</v>
      </c>
      <c r="BO5" s="803"/>
      <c r="BP5" s="803"/>
      <c r="BQ5" s="803"/>
      <c r="BR5" s="801"/>
      <c r="BS5" s="803" t="s">
        <v>334</v>
      </c>
      <c r="BT5" s="803"/>
      <c r="BU5" s="803"/>
      <c r="BV5" s="803"/>
      <c r="BW5" s="801"/>
      <c r="BX5" s="803" t="s">
        <v>356</v>
      </c>
      <c r="BY5" s="803"/>
      <c r="BZ5" s="803"/>
      <c r="CA5" s="803"/>
      <c r="CB5" s="801"/>
      <c r="CC5" s="803" t="str">
        <f>Model!CC8</f>
        <v>Fiscal Year End, Dec 31 2016</v>
      </c>
      <c r="CD5" s="803"/>
      <c r="CE5" s="803"/>
      <c r="CF5" s="803"/>
      <c r="CG5" s="801"/>
      <c r="CH5" s="803" t="str">
        <f>Model!CH8</f>
        <v>Fiscal Year End, Dec 31 2017</v>
      </c>
      <c r="CI5" s="803"/>
      <c r="CJ5" s="803"/>
      <c r="CK5" s="803"/>
      <c r="CL5" s="801"/>
      <c r="CM5" s="803" t="str">
        <f>Model!CM8</f>
        <v>Fiscal Year End, Dec 31 2018</v>
      </c>
      <c r="CN5" s="803"/>
      <c r="CO5" s="803"/>
      <c r="CP5" s="803"/>
      <c r="CQ5" s="801"/>
      <c r="CR5" s="803" t="str">
        <f>Model!CR8</f>
        <v>Fiscal Year End, Dec 31 2019</v>
      </c>
      <c r="CS5" s="803"/>
      <c r="CT5" s="803"/>
      <c r="CU5" s="803"/>
      <c r="CV5" s="801"/>
      <c r="CW5" s="803" t="str">
        <f>Model!CW8</f>
        <v>Fiscal Year End, Dec 31 2020</v>
      </c>
      <c r="CX5" s="803"/>
      <c r="CY5" s="803"/>
      <c r="CZ5" s="803"/>
      <c r="DA5" s="801"/>
      <c r="DB5" s="803" t="str">
        <f>Model!DB8</f>
        <v>Fiscal Year End, Dec 31 2021</v>
      </c>
      <c r="DC5" s="803"/>
      <c r="DD5" s="803"/>
      <c r="DE5" s="803"/>
      <c r="DF5" s="801"/>
    </row>
    <row r="6" spans="2:110" ht="25.5" thickBot="1" x14ac:dyDescent="0.3">
      <c r="B6" s="807" t="s">
        <v>25</v>
      </c>
      <c r="C6" s="808"/>
      <c r="D6" s="808" t="str">
        <f>Model!D9</f>
        <v>1999A</v>
      </c>
      <c r="E6" s="809" t="str">
        <f>Model!E9</f>
        <v>2000A</v>
      </c>
      <c r="F6" s="810" t="str">
        <f>Model!F9</f>
        <v>1Q01A</v>
      </c>
      <c r="G6" s="810" t="str">
        <f>Model!G9</f>
        <v>2Q01A</v>
      </c>
      <c r="H6" s="810" t="str">
        <f>Model!H9</f>
        <v>3Q01A</v>
      </c>
      <c r="I6" s="810" t="str">
        <f>Model!I9</f>
        <v>4Q01A</v>
      </c>
      <c r="J6" s="809" t="str">
        <f>Model!J9</f>
        <v>2001A</v>
      </c>
      <c r="K6" s="810" t="str">
        <f>Model!K9</f>
        <v>1Q02A</v>
      </c>
      <c r="L6" s="810" t="str">
        <f>Model!L9</f>
        <v>2Q02A</v>
      </c>
      <c r="M6" s="810" t="str">
        <f>Model!M9</f>
        <v>3Q02A</v>
      </c>
      <c r="N6" s="810" t="str">
        <f>Model!N9</f>
        <v>4Q02A</v>
      </c>
      <c r="O6" s="809" t="str">
        <f>Model!O9</f>
        <v>2002A</v>
      </c>
      <c r="P6" s="811" t="str">
        <f>Model!P9</f>
        <v>1Q03A</v>
      </c>
      <c r="Q6" s="810" t="str">
        <f>Model!Q9</f>
        <v>2Q03A</v>
      </c>
      <c r="R6" s="810" t="str">
        <f>Model!R9</f>
        <v>3Q03A</v>
      </c>
      <c r="S6" s="812" t="str">
        <f>Model!S9</f>
        <v>4Q03A</v>
      </c>
      <c r="T6" s="809" t="str">
        <f>Model!T9</f>
        <v>2003A</v>
      </c>
      <c r="U6" s="810" t="str">
        <f>Model!U9</f>
        <v>1QA</v>
      </c>
      <c r="V6" s="810" t="str">
        <f>Model!V9</f>
        <v>2QA</v>
      </c>
      <c r="W6" s="810" t="str">
        <f>Model!W9</f>
        <v>3QA</v>
      </c>
      <c r="X6" s="810" t="str">
        <f>Model!X9</f>
        <v>4QA</v>
      </c>
      <c r="Y6" s="809" t="str">
        <f>Model!Y9</f>
        <v>2004A</v>
      </c>
      <c r="Z6" s="810" t="str">
        <f>Model!Z9</f>
        <v>1QA</v>
      </c>
      <c r="AA6" s="810" t="str">
        <f>Model!AA9</f>
        <v>2QA</v>
      </c>
      <c r="AB6" s="810" t="str">
        <f>Model!AB9</f>
        <v>3QA</v>
      </c>
      <c r="AC6" s="810" t="str">
        <f>Model!AC9</f>
        <v>4QA</v>
      </c>
      <c r="AD6" s="813" t="str">
        <f>Model!AD9</f>
        <v>2005A</v>
      </c>
      <c r="AE6" s="810" t="str">
        <f>Model!AE9</f>
        <v>1QA</v>
      </c>
      <c r="AF6" s="810" t="str">
        <f>Model!AF9</f>
        <v>2QA</v>
      </c>
      <c r="AG6" s="810" t="str">
        <f>Model!AG9</f>
        <v>3QA</v>
      </c>
      <c r="AH6" s="810" t="str">
        <f>Model!AH9</f>
        <v>4QA</v>
      </c>
      <c r="AI6" s="813" t="str">
        <f>Model!AI9</f>
        <v>2006A</v>
      </c>
      <c r="AJ6" s="810" t="str">
        <f>Model!AJ9</f>
        <v>1QA</v>
      </c>
      <c r="AK6" s="810" t="str">
        <f>Model!AK9</f>
        <v>2QA</v>
      </c>
      <c r="AL6" s="810" t="str">
        <f>Model!AL9</f>
        <v>3QA</v>
      </c>
      <c r="AM6" s="810" t="str">
        <f>Model!AM9</f>
        <v>4QA</v>
      </c>
      <c r="AN6" s="813" t="str">
        <f>Model!AN9</f>
        <v>2007A</v>
      </c>
      <c r="AO6" s="810" t="str">
        <f>Model!AO9</f>
        <v>1QA</v>
      </c>
      <c r="AP6" s="810" t="str">
        <f>Model!AP9</f>
        <v>2QA</v>
      </c>
      <c r="AQ6" s="810" t="str">
        <f>Model!AQ9</f>
        <v>3QA</v>
      </c>
      <c r="AR6" s="810" t="str">
        <f>Model!AR9</f>
        <v>4QA</v>
      </c>
      <c r="AS6" s="809" t="str">
        <f>Model!AS9</f>
        <v>2008A</v>
      </c>
      <c r="AT6" s="810" t="str">
        <f>Model!AT9</f>
        <v>1QA</v>
      </c>
      <c r="AU6" s="810" t="str">
        <f>Model!AU9</f>
        <v>2QA</v>
      </c>
      <c r="AV6" s="810" t="str">
        <f>Model!AV9</f>
        <v>3QA</v>
      </c>
      <c r="AW6" s="810" t="str">
        <f>Model!AW9</f>
        <v>4QA</v>
      </c>
      <c r="AX6" s="809" t="str">
        <f>Model!AX9</f>
        <v>2009A</v>
      </c>
      <c r="AY6" s="810" t="str">
        <f>Model!AY9</f>
        <v>1QA</v>
      </c>
      <c r="AZ6" s="810" t="str">
        <f>Model!AZ9</f>
        <v>2QA</v>
      </c>
      <c r="BA6" s="810" t="str">
        <f>Model!BA9</f>
        <v>3QA</v>
      </c>
      <c r="BB6" s="810" t="str">
        <f>Model!BB9</f>
        <v>4QA</v>
      </c>
      <c r="BC6" s="809" t="str">
        <f>Model!BC9</f>
        <v>2010A</v>
      </c>
      <c r="BD6" s="810" t="str">
        <f>Model!BD9</f>
        <v>1QA</v>
      </c>
      <c r="BE6" s="810" t="str">
        <f>Model!BE9</f>
        <v>2QA</v>
      </c>
      <c r="BF6" s="810" t="str">
        <f>Model!BF9</f>
        <v>3QA</v>
      </c>
      <c r="BG6" s="810" t="str">
        <f>Model!BG9</f>
        <v>4QA</v>
      </c>
      <c r="BH6" s="809" t="str">
        <f>Model!BH9</f>
        <v>2011A</v>
      </c>
      <c r="BI6" s="810" t="str">
        <f>Model!BI9</f>
        <v>1QA</v>
      </c>
      <c r="BJ6" s="810" t="str">
        <f>Model!BJ9</f>
        <v>2QA</v>
      </c>
      <c r="BK6" s="810" t="str">
        <f>Model!BK9</f>
        <v>3QA</v>
      </c>
      <c r="BL6" s="810" t="str">
        <f>Model!BL9</f>
        <v>4QA</v>
      </c>
      <c r="BM6" s="809" t="str">
        <f>Model!BM9</f>
        <v>2012A</v>
      </c>
      <c r="BN6" s="810" t="str">
        <f>Model!BN9</f>
        <v>1QA</v>
      </c>
      <c r="BO6" s="810" t="str">
        <f>Model!BO9</f>
        <v>2QA</v>
      </c>
      <c r="BP6" s="810" t="str">
        <f>Model!BP9</f>
        <v>3QA</v>
      </c>
      <c r="BQ6" s="810" t="str">
        <f>Model!BQ9</f>
        <v>4QA</v>
      </c>
      <c r="BR6" s="809" t="str">
        <f>Model!BR9</f>
        <v>2013A</v>
      </c>
      <c r="BS6" s="810" t="str">
        <f>Model!BS9</f>
        <v>1QA</v>
      </c>
      <c r="BT6" s="810" t="str">
        <f>Model!BT9</f>
        <v>2QA</v>
      </c>
      <c r="BU6" s="810" t="str">
        <f>Model!BU9</f>
        <v>3QA</v>
      </c>
      <c r="BV6" s="810" t="str">
        <f>Model!BV9</f>
        <v>4QA</v>
      </c>
      <c r="BW6" s="809" t="str">
        <f>Model!BW9</f>
        <v>2014A</v>
      </c>
      <c r="BX6" s="810" t="str">
        <f>Model!BX9</f>
        <v>1QA</v>
      </c>
      <c r="BY6" s="810" t="str">
        <f>Model!BY9</f>
        <v>2QA</v>
      </c>
      <c r="BZ6" s="810" t="str">
        <f>Model!BZ9</f>
        <v>3QA</v>
      </c>
      <c r="CA6" s="810" t="str">
        <f>Model!CA9</f>
        <v>4QA</v>
      </c>
      <c r="CB6" s="809" t="str">
        <f>Model!CB9</f>
        <v>2015A</v>
      </c>
      <c r="CC6" s="810" t="str">
        <f>Model!CC9</f>
        <v>1QA</v>
      </c>
      <c r="CD6" s="810" t="str">
        <f>Model!CD9</f>
        <v>2QA</v>
      </c>
      <c r="CE6" s="810" t="str">
        <f>Model!CE9</f>
        <v>3QA</v>
      </c>
      <c r="CF6" s="810" t="str">
        <f>Model!CF9</f>
        <v>4QA</v>
      </c>
      <c r="CG6" s="809" t="str">
        <f>Model!CG9</f>
        <v>2016A</v>
      </c>
      <c r="CH6" s="810" t="str">
        <f>Model!CH9</f>
        <v>1QA</v>
      </c>
      <c r="CI6" s="810" t="str">
        <f>Model!CI9</f>
        <v>2QA</v>
      </c>
      <c r="CJ6" s="810" t="str">
        <f>Model!CJ9</f>
        <v>3QA</v>
      </c>
      <c r="CK6" s="810" t="str">
        <f>Model!CK9</f>
        <v>4QA</v>
      </c>
      <c r="CL6" s="809" t="str">
        <f>Model!CL9</f>
        <v>2017A</v>
      </c>
      <c r="CM6" s="810" t="str">
        <f>Model!CM9</f>
        <v>1QE</v>
      </c>
      <c r="CN6" s="810" t="str">
        <f>Model!CN9</f>
        <v>2QE</v>
      </c>
      <c r="CO6" s="810" t="str">
        <f>Model!CO9</f>
        <v>3QE</v>
      </c>
      <c r="CP6" s="810" t="str">
        <f>Model!CP9</f>
        <v>4QE</v>
      </c>
      <c r="CQ6" s="809" t="str">
        <f>Model!CQ9</f>
        <v>2018E</v>
      </c>
      <c r="CR6" s="810" t="str">
        <f>Model!CR9</f>
        <v>1QE</v>
      </c>
      <c r="CS6" s="810" t="str">
        <f>Model!CS9</f>
        <v>2QE</v>
      </c>
      <c r="CT6" s="810" t="str">
        <f>Model!CT9</f>
        <v>3QE</v>
      </c>
      <c r="CU6" s="810" t="str">
        <f>Model!CU9</f>
        <v>4QE</v>
      </c>
      <c r="CV6" s="809" t="str">
        <f>Model!CV9</f>
        <v>2019E</v>
      </c>
      <c r="CW6" s="810" t="str">
        <f>Model!CW9</f>
        <v>1QE</v>
      </c>
      <c r="CX6" s="810" t="str">
        <f>Model!CX9</f>
        <v>2QE</v>
      </c>
      <c r="CY6" s="810" t="str">
        <f>Model!CY9</f>
        <v>3QE</v>
      </c>
      <c r="CZ6" s="810" t="str">
        <f>Model!CZ9</f>
        <v>4QE</v>
      </c>
      <c r="DA6" s="809" t="str">
        <f>Model!DA9</f>
        <v>2020E</v>
      </c>
      <c r="DB6" s="810" t="str">
        <f>Model!DB9</f>
        <v>1QE</v>
      </c>
      <c r="DC6" s="810" t="str">
        <f>Model!DC9</f>
        <v>2QE</v>
      </c>
      <c r="DD6" s="810" t="str">
        <f>Model!DD9</f>
        <v>3QE</v>
      </c>
      <c r="DE6" s="810" t="str">
        <f>Model!DE9</f>
        <v>4QE</v>
      </c>
      <c r="DF6" s="809" t="str">
        <f>Model!DF9</f>
        <v>2021E</v>
      </c>
    </row>
    <row r="7" spans="2:110" x14ac:dyDescent="0.25">
      <c r="B7" s="279" t="s">
        <v>187</v>
      </c>
      <c r="C7" s="280"/>
      <c r="D7" s="281">
        <v>0</v>
      </c>
      <c r="E7" s="281"/>
      <c r="F7" s="281"/>
      <c r="G7" s="281"/>
      <c r="H7" s="281"/>
      <c r="I7" s="281"/>
      <c r="J7" s="281"/>
      <c r="K7" s="281"/>
      <c r="L7" s="281"/>
      <c r="M7" s="281"/>
      <c r="N7" s="281"/>
      <c r="O7" s="604"/>
      <c r="P7" s="281"/>
      <c r="Q7" s="281"/>
      <c r="R7" s="281"/>
      <c r="S7" s="281"/>
      <c r="T7" s="281"/>
      <c r="U7" s="281"/>
      <c r="V7" s="281"/>
      <c r="W7" s="281"/>
      <c r="X7" s="281"/>
      <c r="Y7" s="281"/>
      <c r="Z7" s="281"/>
      <c r="AA7" s="281"/>
      <c r="AB7" s="281"/>
      <c r="AC7" s="281"/>
      <c r="AD7" s="281"/>
      <c r="AE7" s="282"/>
      <c r="AF7" s="282"/>
      <c r="AG7" s="282"/>
      <c r="AH7" s="281"/>
      <c r="AI7" s="283"/>
      <c r="AJ7" s="282"/>
      <c r="AK7" s="282"/>
      <c r="AL7" s="282"/>
      <c r="AM7" s="282"/>
      <c r="AN7" s="283"/>
      <c r="AO7" s="282"/>
      <c r="AP7" s="282"/>
      <c r="AQ7" s="282"/>
      <c r="AR7" s="282"/>
      <c r="AS7" s="283"/>
      <c r="AT7" s="282"/>
      <c r="AU7" s="282"/>
      <c r="AV7" s="282"/>
      <c r="AW7" s="282"/>
      <c r="AX7" s="283"/>
      <c r="AY7" s="1270">
        <f ca="1">Revenue!AY19</f>
        <v>10839.9</v>
      </c>
      <c r="AZ7" s="1270">
        <f ca="1">Revenue!AZ19</f>
        <v>10950.1</v>
      </c>
      <c r="BA7" s="1270">
        <f ca="1">Revenue!BA19</f>
        <v>10898.1</v>
      </c>
      <c r="BB7" s="1270">
        <f ca="1">Revenue!BB19</f>
        <v>11003.8</v>
      </c>
      <c r="BC7" s="283"/>
      <c r="BD7" s="1270">
        <f ca="1">Revenue!BD19</f>
        <v>10822.400000000001</v>
      </c>
      <c r="BE7" s="1270">
        <f>Revenue!BE19</f>
        <v>11058.3</v>
      </c>
      <c r="BF7" s="1270">
        <f>Revenue!BF19</f>
        <v>11263.699999999999</v>
      </c>
      <c r="BG7" s="1270">
        <f>Revenue!BG19</f>
        <v>11827.3</v>
      </c>
      <c r="BH7" s="283"/>
      <c r="BI7" s="1270">
        <f ca="1">Revenue!BI19</f>
        <v>11783.1</v>
      </c>
      <c r="BJ7" s="1270">
        <f ca="1">Revenue!BJ19</f>
        <v>26894.7</v>
      </c>
      <c r="BK7" s="1270">
        <f ca="1">Revenue!BK19</f>
        <v>26184.5</v>
      </c>
      <c r="BL7" s="1270">
        <f ca="1">Revenue!BL19</f>
        <v>26827.700000000004</v>
      </c>
      <c r="BM7" s="283">
        <f ca="1">SUM(BI7:BL7)</f>
        <v>91690</v>
      </c>
      <c r="BN7" s="1270">
        <f ca="1">Revenue!BN19</f>
        <v>25588.2</v>
      </c>
      <c r="BO7" s="1270">
        <f ca="1">Revenue!BO19</f>
        <v>25897.7</v>
      </c>
      <c r="BP7" s="1270">
        <f ca="1">Revenue!BP19</f>
        <v>25359.200000000001</v>
      </c>
      <c r="BQ7" s="1270">
        <f ca="1">Revenue!BQ19</f>
        <v>25240.796076089362</v>
      </c>
      <c r="BR7" s="283">
        <f ca="1">SUM(BN7:BQ7)</f>
        <v>102085.89607608937</v>
      </c>
      <c r="BS7" s="1270">
        <f ca="1">Revenue!BS19</f>
        <v>23136.7</v>
      </c>
      <c r="BT7" s="1270">
        <f ca="1">Revenue!BT19</f>
        <v>24504.899999999998</v>
      </c>
      <c r="BU7" s="1270">
        <f ca="1">Revenue!BU19</f>
        <v>25161.600000000002</v>
      </c>
      <c r="BV7" s="1270">
        <f ca="1">Revenue!BV19</f>
        <v>25688.799999999999</v>
      </c>
      <c r="BW7" s="283">
        <f ca="1">SUM(BS7:BV7)</f>
        <v>98492</v>
      </c>
      <c r="BX7" s="1270">
        <f ca="1">Revenue!BX19</f>
        <v>24274.2</v>
      </c>
      <c r="BY7" s="1270">
        <f ca="1">Revenue!BY19</f>
        <v>24784</v>
      </c>
      <c r="BZ7" s="1270">
        <f ca="1">Revenue!BZ19</f>
        <v>24535.200000000001</v>
      </c>
      <c r="CA7" s="1270">
        <f ca="1">Revenue!CA19</f>
        <v>25462.000000000004</v>
      </c>
      <c r="CB7" s="283">
        <f ca="1">SUM(BX7:CA7)</f>
        <v>99055.4</v>
      </c>
      <c r="CC7" s="1270">
        <f ca="1">Revenue!CC19</f>
        <v>23988.3</v>
      </c>
      <c r="CD7" s="1270">
        <f ca="1">Revenue!CD19</f>
        <v>24289.3</v>
      </c>
      <c r="CE7" s="1270">
        <f ca="1">Revenue!CE19</f>
        <v>24464.799999999999</v>
      </c>
      <c r="CF7" s="1270">
        <f ca="1">Revenue!CF19</f>
        <v>23967.599999999995</v>
      </c>
      <c r="CG7" s="283">
        <f ca="1">SUM(CC7:CF7)</f>
        <v>96709.999999999985</v>
      </c>
      <c r="CH7" s="1270">
        <f ca="1">Revenue!CH19</f>
        <v>23616.7</v>
      </c>
      <c r="CI7" s="1270">
        <f ca="1">Revenue!CI19</f>
        <v>24187.1</v>
      </c>
      <c r="CJ7" s="1270">
        <f ca="1">Revenue!CJ19</f>
        <v>23528.5</v>
      </c>
      <c r="CK7" s="1270">
        <f ca="1">Revenue!CK19</f>
        <v>24010.776303177758</v>
      </c>
      <c r="CL7" s="283">
        <f ca="1">SUM(CH7:CK7)</f>
        <v>95343.076303177761</v>
      </c>
      <c r="CM7" s="1270">
        <f ca="1">Revenue!CM19</f>
        <v>23246.182211636711</v>
      </c>
      <c r="CN7" s="1270">
        <f ca="1">Revenue!CN19</f>
        <v>23786.394339957955</v>
      </c>
      <c r="CO7" s="1270">
        <f ca="1">Revenue!CO19</f>
        <v>23768.458138025941</v>
      </c>
      <c r="CP7" s="1270">
        <f ca="1">Revenue!CP19</f>
        <v>24253.583806121322</v>
      </c>
      <c r="CQ7" s="283">
        <f ca="1">SUM(CM7:CP7)</f>
        <v>95054.618495741917</v>
      </c>
      <c r="CR7" s="1270">
        <f ca="1">Revenue!CR19</f>
        <v>24316.883958633545</v>
      </c>
      <c r="CS7" s="1270">
        <f ca="1">Revenue!CS19</f>
        <v>25012.916253370018</v>
      </c>
      <c r="CT7" s="1270">
        <f ca="1">Revenue!CT19</f>
        <v>25052.89610879495</v>
      </c>
      <c r="CU7" s="1270">
        <f ca="1">Revenue!CU19</f>
        <v>25563.171247189846</v>
      </c>
      <c r="CV7" s="283">
        <f ca="1">SUM(CR7:CU7)</f>
        <v>99945.86756798836</v>
      </c>
      <c r="CW7" s="1270">
        <f ca="1">Revenue!CW19</f>
        <v>22843.114510688571</v>
      </c>
      <c r="CX7" s="1270">
        <f ca="1">Revenue!CX19</f>
        <v>23504.279205760937</v>
      </c>
      <c r="CY7" s="1270">
        <f ca="1">Revenue!CY19</f>
        <v>23589.95995807842</v>
      </c>
      <c r="CZ7" s="1270">
        <f ca="1">Revenue!CZ19</f>
        <v>24024.526317761873</v>
      </c>
      <c r="DA7" s="283">
        <f ca="1">SUM(CW7:CZ7)</f>
        <v>93961.879992289803</v>
      </c>
      <c r="DB7" s="1270">
        <f ca="1">Revenue!DB19</f>
        <v>21537.114177106785</v>
      </c>
      <c r="DC7" s="1270">
        <f ca="1">Revenue!DC19</f>
        <v>22166.433065132223</v>
      </c>
      <c r="DD7" s="1270">
        <f ca="1">Revenue!DD19</f>
        <v>22294.466459764957</v>
      </c>
      <c r="DE7" s="1270">
        <f ca="1">Revenue!DE19</f>
        <v>22662.401726855802</v>
      </c>
      <c r="DF7" s="283">
        <f ca="1">SUM(DB7:DE7)</f>
        <v>88660.415428859764</v>
      </c>
    </row>
    <row r="8" spans="2:110" s="296" customFormat="1" x14ac:dyDescent="0.25">
      <c r="B8" s="284" t="s">
        <v>188</v>
      </c>
      <c r="C8" s="285"/>
      <c r="D8" s="605"/>
      <c r="E8" s="320"/>
      <c r="F8" s="320"/>
      <c r="G8" s="320"/>
      <c r="H8" s="320"/>
      <c r="I8" s="606"/>
      <c r="J8" s="320"/>
      <c r="K8" s="320"/>
      <c r="L8" s="320"/>
      <c r="M8" s="320"/>
      <c r="N8" s="607"/>
      <c r="O8" s="608"/>
      <c r="P8" s="291"/>
      <c r="Q8" s="291"/>
      <c r="R8" s="291"/>
      <c r="S8" s="609"/>
      <c r="T8" s="286"/>
      <c r="U8" s="286"/>
      <c r="V8" s="286"/>
      <c r="W8" s="286"/>
      <c r="X8" s="286"/>
      <c r="Y8" s="286"/>
      <c r="Z8" s="286"/>
      <c r="AA8" s="286"/>
      <c r="AB8" s="286"/>
      <c r="AC8" s="286"/>
      <c r="AD8" s="286"/>
      <c r="AE8" s="287"/>
      <c r="AF8" s="286"/>
      <c r="AG8" s="287"/>
      <c r="AH8" s="286"/>
      <c r="AI8" s="288"/>
      <c r="AJ8" s="287"/>
      <c r="AK8" s="287"/>
      <c r="AL8" s="287"/>
      <c r="AM8" s="287"/>
      <c r="AN8" s="288"/>
      <c r="AO8" s="287"/>
      <c r="AP8" s="287"/>
      <c r="AQ8" s="287"/>
      <c r="AR8" s="287"/>
      <c r="AS8" s="288"/>
      <c r="AT8" s="287"/>
      <c r="AU8" s="287"/>
      <c r="AV8" s="287"/>
      <c r="AW8" s="287"/>
      <c r="AX8" s="288"/>
      <c r="AY8" s="277">
        <f ca="1">AY7-AY12</f>
        <v>10134.999999</v>
      </c>
      <c r="AZ8" s="277">
        <f ca="1">AZ7-AZ12</f>
        <v>10185.899998999999</v>
      </c>
      <c r="BA8" s="277">
        <f ca="1">BA7-BA12</f>
        <v>10103.400001</v>
      </c>
      <c r="BB8" s="277">
        <f ca="1">BB7-BB12</f>
        <v>10182.299998999999</v>
      </c>
      <c r="BC8" s="288"/>
      <c r="BD8" s="277">
        <f ca="1">BD7-BD12</f>
        <v>10061.200000000001</v>
      </c>
      <c r="BE8" s="277">
        <f>BE7-BE12</f>
        <v>10259.5</v>
      </c>
      <c r="BF8" s="277">
        <f>BF7-BF12</f>
        <v>10410.799999999999</v>
      </c>
      <c r="BG8" s="277">
        <f>BG7-BG12</f>
        <v>10967.5</v>
      </c>
      <c r="BH8" s="288"/>
      <c r="BI8" s="277">
        <f ca="1">BI7-BI12</f>
        <v>10935.5</v>
      </c>
      <c r="BJ8" s="277">
        <f ca="1">BJ7-BJ12</f>
        <v>24856.9</v>
      </c>
      <c r="BK8" s="277">
        <f ca="1">BK7-BK12</f>
        <v>24124</v>
      </c>
      <c r="BL8" s="277">
        <f ca="1">BL7-BL12</f>
        <v>24360.392250000004</v>
      </c>
      <c r="BM8" s="288">
        <f ca="1">SUM(BI8:BL8)</f>
        <v>84276.792249999999</v>
      </c>
      <c r="BN8" s="277">
        <f ca="1">BN7-BN12</f>
        <v>23362.806199999999</v>
      </c>
      <c r="BO8" s="277">
        <f ca="1">BO7-BO12</f>
        <v>23596.213800000001</v>
      </c>
      <c r="BP8" s="277">
        <f ca="1">BP7-BP12</f>
        <v>23370.799999999999</v>
      </c>
      <c r="BQ8" s="277">
        <f ca="1">BQ7-BQ12</f>
        <v>23374.296076089362</v>
      </c>
      <c r="BR8" s="288">
        <f ca="1">SUM(BN8:BQ8)</f>
        <v>93704.116076089369</v>
      </c>
      <c r="BS8" s="277">
        <f ca="1">BS7-BS12</f>
        <v>21429.100000000002</v>
      </c>
      <c r="BT8" s="277">
        <f ca="1">BT7-BT12</f>
        <v>22539.599999999999</v>
      </c>
      <c r="BU8" s="277">
        <f ca="1">BU7-BU12</f>
        <v>23086.286019810988</v>
      </c>
      <c r="BV8" s="277">
        <f ca="1">BV7-BV12</f>
        <v>23688.213980189015</v>
      </c>
      <c r="BW8" s="288">
        <f ca="1">SUM(BS8:BV8)</f>
        <v>90743.2</v>
      </c>
      <c r="BX8" s="277">
        <f ca="1">BX7-BX9</f>
        <v>22411.200000000001</v>
      </c>
      <c r="BY8" s="277">
        <f ca="1">BY7-BY9</f>
        <v>22637.9</v>
      </c>
      <c r="BZ8" s="277">
        <f ca="1">BZ7-BZ9</f>
        <v>22341</v>
      </c>
      <c r="CA8" s="277">
        <f ca="1">CA7-CA9</f>
        <v>23152.300000000003</v>
      </c>
      <c r="CB8" s="288">
        <f ca="1">SUM(BX8:CA8)</f>
        <v>90542.400000000009</v>
      </c>
      <c r="CC8" s="277">
        <f ca="1">CC7-CC12</f>
        <v>22157.3</v>
      </c>
      <c r="CD8" s="277">
        <f ca="1">CD7-CD12</f>
        <v>22116.1</v>
      </c>
      <c r="CE8" s="277">
        <f ca="1">CE7-CE12</f>
        <v>22177.899999999998</v>
      </c>
      <c r="CF8" s="277">
        <f ca="1">CF7-CF12</f>
        <v>21549.999999999996</v>
      </c>
      <c r="CG8" s="288">
        <f ca="1">SUM(CC8:CF8)</f>
        <v>88001.299999999988</v>
      </c>
      <c r="CH8" s="277">
        <f ca="1">CH7-CH12</f>
        <v>21274.800000000003</v>
      </c>
      <c r="CI8" s="277">
        <f ca="1">CI7-CI12</f>
        <v>21842.3</v>
      </c>
      <c r="CJ8" s="277">
        <f ca="1">CJ7-CJ12</f>
        <v>21182.2</v>
      </c>
      <c r="CK8" s="277">
        <f ca="1">CK7-CK12</f>
        <v>21690.176303177759</v>
      </c>
      <c r="CL8" s="288">
        <f ca="1">SUM(CH8:CK8)</f>
        <v>85989.476303177769</v>
      </c>
      <c r="CM8" s="277">
        <f ca="1">CM7-CM12</f>
        <v>21389.253071643358</v>
      </c>
      <c r="CN8" s="277">
        <f ca="1">CN7-CN12</f>
        <v>21587.066926240474</v>
      </c>
      <c r="CO8" s="277">
        <f ca="1">CO7-CO12</f>
        <v>21551.670410283616</v>
      </c>
      <c r="CP8" s="277">
        <f ca="1">CP7-CP12</f>
        <v>21875.20069350793</v>
      </c>
      <c r="CQ8" s="288">
        <f ca="1">SUM(CM8:CP8)</f>
        <v>86403.191101675373</v>
      </c>
      <c r="CR8" s="277">
        <f ca="1">CR7-CR12</f>
        <v>22477.166346874248</v>
      </c>
      <c r="CS8" s="277">
        <f ca="1">CS7-CS12</f>
        <v>22896.85166137783</v>
      </c>
      <c r="CT8" s="277">
        <f ca="1">CT7-CT12</f>
        <v>22942.44974563396</v>
      </c>
      <c r="CU8" s="277">
        <f ca="1">CU7-CU12</f>
        <v>23306.159776764041</v>
      </c>
      <c r="CV8" s="288">
        <f ca="1">SUM(CR8:CU8)</f>
        <v>91622.62753065009</v>
      </c>
      <c r="CW8" s="277">
        <f ca="1">CW7-CW12</f>
        <v>21216.41905839094</v>
      </c>
      <c r="CX8" s="277">
        <f ca="1">CX7-CX12</f>
        <v>21661.477448241723</v>
      </c>
      <c r="CY8" s="277">
        <f ca="1">CY7-CY12</f>
        <v>21766.225674849615</v>
      </c>
      <c r="CZ8" s="277">
        <f ca="1">CZ7-CZ12</f>
        <v>22081.483433450634</v>
      </c>
      <c r="DA8" s="288">
        <f ca="1">SUM(CW8:CZ8)</f>
        <v>86725.605614932909</v>
      </c>
      <c r="DB8" s="277">
        <f ca="1">DB7-DB12</f>
        <v>20125.734292577021</v>
      </c>
      <c r="DC8" s="277">
        <f ca="1">DC7-DC12</f>
        <v>20597.546732526764</v>
      </c>
      <c r="DD8" s="277">
        <f ca="1">DD7-DD12</f>
        <v>20694.569116730054</v>
      </c>
      <c r="DE8" s="277">
        <f ca="1">DE7-DE12</f>
        <v>20981.660111529971</v>
      </c>
      <c r="DF8" s="288">
        <f ca="1">SUM(DB8:DE8)</f>
        <v>82399.510253363813</v>
      </c>
    </row>
    <row r="9" spans="2:110" s="296" customFormat="1" hidden="1" outlineLevel="1" x14ac:dyDescent="0.25">
      <c r="B9" s="1272" t="s">
        <v>186</v>
      </c>
      <c r="C9" s="285"/>
      <c r="D9" s="605"/>
      <c r="E9" s="606"/>
      <c r="F9" s="606"/>
      <c r="G9" s="606"/>
      <c r="H9" s="606"/>
      <c r="I9" s="606"/>
      <c r="J9" s="606"/>
      <c r="K9" s="606"/>
      <c r="L9" s="606"/>
      <c r="M9" s="606"/>
      <c r="N9" s="606"/>
      <c r="O9" s="610"/>
      <c r="P9" s="291"/>
      <c r="Q9" s="291"/>
      <c r="R9" s="291"/>
      <c r="S9" s="291"/>
      <c r="T9" s="291"/>
      <c r="U9" s="291"/>
      <c r="V9" s="291"/>
      <c r="W9" s="291"/>
      <c r="X9" s="291"/>
      <c r="Y9" s="291"/>
      <c r="Z9" s="291"/>
      <c r="AA9" s="291"/>
      <c r="AB9" s="291"/>
      <c r="AC9" s="291"/>
      <c r="AD9" s="291"/>
      <c r="AE9" s="291"/>
      <c r="AF9" s="291"/>
      <c r="AG9" s="291"/>
      <c r="AH9" s="291"/>
      <c r="AI9" s="288"/>
      <c r="AJ9" s="291"/>
      <c r="AK9" s="291"/>
      <c r="AL9" s="291"/>
      <c r="AM9" s="291"/>
      <c r="AN9" s="288"/>
      <c r="AO9" s="291"/>
      <c r="AP9" s="291"/>
      <c r="AQ9" s="291"/>
      <c r="AR9" s="291"/>
      <c r="AS9" s="288"/>
      <c r="AT9" s="277"/>
      <c r="AU9" s="291"/>
      <c r="AV9" s="291"/>
      <c r="AW9" s="291"/>
      <c r="AX9" s="288"/>
      <c r="AY9" s="1271">
        <f ca="1">'Gross Margin'!AY47</f>
        <v>704.90000099999975</v>
      </c>
      <c r="AZ9" s="1271">
        <f ca="1">'Gross Margin'!AZ47</f>
        <v>764.20000100000061</v>
      </c>
      <c r="BA9" s="1271">
        <f ca="1">'Gross Margin'!BA47</f>
        <v>794.69999900000084</v>
      </c>
      <c r="BB9" s="1271">
        <f ca="1">'Gross Margin'!BB47</f>
        <v>821.500001</v>
      </c>
      <c r="BC9" s="288"/>
      <c r="BD9" s="287">
        <f>732.7+28.5</f>
        <v>761.2</v>
      </c>
      <c r="BE9" s="287">
        <f>770.3+28.5</f>
        <v>798.8</v>
      </c>
      <c r="BF9" s="287">
        <f>824.4+28.5</f>
        <v>852.9</v>
      </c>
      <c r="BG9" s="287">
        <f>831.4+28.4</f>
        <v>859.8</v>
      </c>
      <c r="BH9" s="288"/>
      <c r="BI9" s="287">
        <f>819.1+28.5</f>
        <v>847.6</v>
      </c>
      <c r="BJ9" s="287">
        <f>2009.3+28.5</f>
        <v>2037.8</v>
      </c>
      <c r="BK9" s="287">
        <f>2032+28.5</f>
        <v>2060.5</v>
      </c>
      <c r="BL9" s="287">
        <f>2237.6+28.5</f>
        <v>2266.1</v>
      </c>
      <c r="BM9" s="288">
        <f t="shared" ref="BM9:BM16" si="0">SUM(BI9:BL9)</f>
        <v>7212</v>
      </c>
      <c r="BN9" s="287">
        <f>1966.6+28.5</f>
        <v>1995.1</v>
      </c>
      <c r="BO9" s="287">
        <f>2117.6+28.5</f>
        <v>2146.1</v>
      </c>
      <c r="BP9" s="287">
        <f>1959.9+28.5</f>
        <v>1988.4</v>
      </c>
      <c r="BQ9" s="287">
        <f>7996.1-BP9-BO9-BN9</f>
        <v>1866.5000000000009</v>
      </c>
      <c r="BR9" s="288">
        <f t="shared" ref="BR9:BR16" si="1">SUM(BN9:BQ9)</f>
        <v>7996.1000000000013</v>
      </c>
      <c r="BS9" s="287">
        <v>1707.6</v>
      </c>
      <c r="BT9" s="287">
        <v>1965.3</v>
      </c>
      <c r="BU9" s="287">
        <v>2075.3139801890147</v>
      </c>
      <c r="BV9" s="287">
        <f>7748.8-BU9-BT9-BS9</f>
        <v>2000.5860198109854</v>
      </c>
      <c r="BW9" s="288">
        <f t="shared" ref="BW9:BW16" si="2">SUM(BS9:BV9)</f>
        <v>7748.7999999999993</v>
      </c>
      <c r="BX9" s="1849">
        <f>1912.5-EM!BX9</f>
        <v>1863</v>
      </c>
      <c r="BY9" s="1849">
        <f>2195.7-EM!BY9</f>
        <v>2146.1</v>
      </c>
      <c r="BZ9" s="1849">
        <f>2242.5-EM!BZ9</f>
        <v>2194.1999999999998</v>
      </c>
      <c r="CA9" s="1849">
        <f>2364.3-EM!CA9</f>
        <v>2309.7000000000003</v>
      </c>
      <c r="CB9" s="1854">
        <f>SUM(BX9:CA9)</f>
        <v>8513</v>
      </c>
      <c r="CC9" s="1849">
        <f>1881.3-EM!CC9</f>
        <v>1831</v>
      </c>
      <c r="CD9" s="1849">
        <f>2216.6-EM!CD9</f>
        <v>2173.1999999999998</v>
      </c>
      <c r="CE9" s="1849">
        <f>2329.5-EM!CE9</f>
        <v>2286.9</v>
      </c>
      <c r="CF9" s="1849">
        <f>2393.6-EM!CF9</f>
        <v>2417.6</v>
      </c>
      <c r="CG9" s="288">
        <f>SUM(CC9:CF9)</f>
        <v>8708.7000000000007</v>
      </c>
      <c r="CH9" s="1849">
        <f>2393.6-EM!CH9</f>
        <v>2341.8999999999996</v>
      </c>
      <c r="CI9" s="1271">
        <f>2393.6-EM!CI9</f>
        <v>2344.8000000000002</v>
      </c>
      <c r="CJ9" s="1271">
        <f>2393.6-EM!CJ9</f>
        <v>2346.3000000000002</v>
      </c>
      <c r="CK9" s="1271">
        <f>2393.6-EM!CK9</f>
        <v>2320.5999999999995</v>
      </c>
      <c r="CL9" s="288">
        <f>SUM(CH9:CK9)</f>
        <v>9353.5999999999985</v>
      </c>
      <c r="CM9" s="1271">
        <f ca="1">'Gross Margin'!CM47</f>
        <v>1856.9291399933527</v>
      </c>
      <c r="CN9" s="1271">
        <f ca="1">'Gross Margin'!CN47</f>
        <v>2199.3274137174803</v>
      </c>
      <c r="CO9" s="1271">
        <f ca="1">'Gross Margin'!CO47</f>
        <v>2216.7877277423231</v>
      </c>
      <c r="CP9" s="1271">
        <f ca="1">'Gross Margin'!CP47</f>
        <v>2378.3831126133919</v>
      </c>
      <c r="CQ9" s="288">
        <f ca="1">SUM(CM9:CP9)</f>
        <v>8651.427394066548</v>
      </c>
      <c r="CR9" s="1271">
        <f ca="1">'Gross Margin'!CR47</f>
        <v>1839.7176117592983</v>
      </c>
      <c r="CS9" s="1271">
        <f ca="1">'Gross Margin'!CS47</f>
        <v>2116.0645919921876</v>
      </c>
      <c r="CT9" s="1271">
        <f ca="1">'Gross Margin'!CT47</f>
        <v>2110.4463631609924</v>
      </c>
      <c r="CU9" s="1271">
        <f ca="1">'Gross Margin'!CU47</f>
        <v>2257.0114704258062</v>
      </c>
      <c r="CV9" s="288">
        <f ca="1">SUM(CR9:CU9)</f>
        <v>8323.2400373382843</v>
      </c>
      <c r="CW9" s="1271">
        <f ca="1">'Gross Margin'!CW47</f>
        <v>1626.6954522976312</v>
      </c>
      <c r="CX9" s="1271">
        <f ca="1">'Gross Margin'!CX47</f>
        <v>1842.801757519215</v>
      </c>
      <c r="CY9" s="1271">
        <f ca="1">'Gross Margin'!CY47</f>
        <v>1823.7342832288045</v>
      </c>
      <c r="CZ9" s="1271">
        <f ca="1">'Gross Margin'!CZ47</f>
        <v>1943.0428843112377</v>
      </c>
      <c r="DA9" s="288">
        <f ca="1">SUM(CW9:CZ9)</f>
        <v>7236.2743773568882</v>
      </c>
      <c r="DB9" s="1271">
        <f ca="1">'Gross Margin'!DB47</f>
        <v>1411.3798845297629</v>
      </c>
      <c r="DC9" s="1271">
        <f ca="1">'Gross Margin'!DC47</f>
        <v>1568.8863326054584</v>
      </c>
      <c r="DD9" s="1271">
        <f ca="1">'Gross Margin'!DD47</f>
        <v>1599.897343034902</v>
      </c>
      <c r="DE9" s="1271">
        <f ca="1">'Gross Margin'!DE47</f>
        <v>1680.7416153258298</v>
      </c>
      <c r="DF9" s="288">
        <f ca="1">SUM(DB9:DE9)</f>
        <v>6260.9051754959537</v>
      </c>
    </row>
    <row r="10" spans="2:110" s="296" customFormat="1" hidden="1" outlineLevel="1" x14ac:dyDescent="0.25">
      <c r="B10" s="1272" t="s">
        <v>18</v>
      </c>
      <c r="C10" s="285"/>
      <c r="D10" s="605"/>
      <c r="E10" s="606"/>
      <c r="F10" s="606"/>
      <c r="G10" s="606"/>
      <c r="H10" s="606"/>
      <c r="I10" s="606"/>
      <c r="J10" s="606"/>
      <c r="K10" s="606"/>
      <c r="L10" s="606"/>
      <c r="M10" s="606"/>
      <c r="N10" s="606"/>
      <c r="O10" s="610"/>
      <c r="P10" s="291"/>
      <c r="Q10" s="291"/>
      <c r="R10" s="291"/>
      <c r="S10" s="291"/>
      <c r="T10" s="291"/>
      <c r="U10" s="291"/>
      <c r="V10" s="291"/>
      <c r="W10" s="291"/>
      <c r="X10" s="291"/>
      <c r="Y10" s="291"/>
      <c r="Z10" s="291"/>
      <c r="AA10" s="291"/>
      <c r="AB10" s="291"/>
      <c r="AC10" s="291"/>
      <c r="AD10" s="291"/>
      <c r="AE10" s="291"/>
      <c r="AF10" s="291"/>
      <c r="AG10" s="291"/>
      <c r="AH10" s="291"/>
      <c r="AI10" s="288"/>
      <c r="AJ10" s="291"/>
      <c r="AK10" s="291"/>
      <c r="AL10" s="291"/>
      <c r="AM10" s="291"/>
      <c r="AN10" s="288"/>
      <c r="AO10" s="291"/>
      <c r="AP10" s="291"/>
      <c r="AQ10" s="291"/>
      <c r="AR10" s="291"/>
      <c r="AS10" s="288"/>
      <c r="AT10" s="277"/>
      <c r="AU10" s="291"/>
      <c r="AV10" s="291"/>
      <c r="AW10" s="291"/>
      <c r="AX10" s="288"/>
      <c r="AY10" s="277">
        <f ca="1">AY7*AY26</f>
        <v>0</v>
      </c>
      <c r="AZ10" s="277">
        <f ca="1">AZ7*AZ26</f>
        <v>0</v>
      </c>
      <c r="BA10" s="277">
        <f ca="1">BA7*BA26</f>
        <v>0</v>
      </c>
      <c r="BB10" s="277">
        <f ca="1">BB7*BB26</f>
        <v>0</v>
      </c>
      <c r="BC10" s="288"/>
      <c r="BD10" s="277">
        <f ca="1">BD7*BD26</f>
        <v>0</v>
      </c>
      <c r="BE10" s="277">
        <f>BE7*BE26</f>
        <v>0</v>
      </c>
      <c r="BF10" s="277">
        <f>BF7*BF26</f>
        <v>0</v>
      </c>
      <c r="BG10" s="277">
        <f>BG7*BG26</f>
        <v>0</v>
      </c>
      <c r="BH10" s="288"/>
      <c r="BI10" s="277">
        <f ca="1">BI7*BI26</f>
        <v>0</v>
      </c>
      <c r="BJ10" s="277">
        <f ca="1">BJ7*BJ26</f>
        <v>0</v>
      </c>
      <c r="BK10" s="277">
        <f ca="1">BK7*BK26</f>
        <v>0</v>
      </c>
      <c r="BL10" s="277">
        <f ca="1">BL7*BL26</f>
        <v>201.20775000000003</v>
      </c>
      <c r="BM10" s="288">
        <f ca="1">SUM(BI10:BL10)</f>
        <v>201.20775000000003</v>
      </c>
      <c r="BN10" s="277">
        <f ca="1">BN7*BN26</f>
        <v>230.29379999999998</v>
      </c>
      <c r="BO10" s="277">
        <f ca="1">BO7*BO26</f>
        <v>155.3862</v>
      </c>
      <c r="BP10" s="277">
        <v>0</v>
      </c>
      <c r="BQ10" s="277">
        <f ca="1">BQ7*BQ26</f>
        <v>0</v>
      </c>
      <c r="BR10" s="288">
        <f ca="1">SUM(BN10:BQ10)</f>
        <v>385.67999999999995</v>
      </c>
      <c r="BS10" s="277"/>
      <c r="BT10" s="277">
        <f ca="1">BT7*BT26</f>
        <v>0</v>
      </c>
      <c r="BU10" s="277">
        <f ca="1">BU7*BU26</f>
        <v>0</v>
      </c>
      <c r="BV10" s="277"/>
      <c r="BW10" s="288">
        <f ca="1">SUM(BS10:BV10)</f>
        <v>0</v>
      </c>
      <c r="BX10" s="277">
        <v>0</v>
      </c>
      <c r="BY10" s="277">
        <f ca="1">BY7*BY26</f>
        <v>0</v>
      </c>
      <c r="BZ10" s="277">
        <f ca="1">BZ7*BZ26</f>
        <v>0</v>
      </c>
      <c r="CA10" s="277">
        <f ca="1">CA7*CA26</f>
        <v>0</v>
      </c>
      <c r="CB10" s="288">
        <f ca="1">SUM(BX10:CA10)</f>
        <v>0</v>
      </c>
      <c r="CC10" s="277">
        <f ca="1">CC7*CC26</f>
        <v>0</v>
      </c>
      <c r="CD10" s="277">
        <f ca="1">CD7*CD26</f>
        <v>0</v>
      </c>
      <c r="CE10" s="277">
        <f ca="1">CE7*CE26</f>
        <v>0</v>
      </c>
      <c r="CF10" s="277">
        <f ca="1">CF7*CF26</f>
        <v>0</v>
      </c>
      <c r="CG10" s="288">
        <f ca="1">SUM(CC10:CF10)</f>
        <v>0</v>
      </c>
      <c r="CH10" s="277">
        <f ca="1">CH7*CH26</f>
        <v>0</v>
      </c>
      <c r="CI10" s="277">
        <f ca="1">CI7*CI26</f>
        <v>0</v>
      </c>
      <c r="CJ10" s="277">
        <f ca="1">CJ7*CJ26</f>
        <v>0</v>
      </c>
      <c r="CK10" s="277">
        <f ca="1">CK7*CK26</f>
        <v>0</v>
      </c>
      <c r="CL10" s="288">
        <f ca="1">SUM(CH10:CK10)</f>
        <v>0</v>
      </c>
      <c r="CM10" s="277">
        <f ca="1">CM7*CM26</f>
        <v>0</v>
      </c>
      <c r="CN10" s="277">
        <f ca="1">CN7*CN26</f>
        <v>0</v>
      </c>
      <c r="CO10" s="277">
        <f ca="1">CO7*CO26</f>
        <v>0</v>
      </c>
      <c r="CP10" s="277">
        <f ca="1">CP7*CP26</f>
        <v>0</v>
      </c>
      <c r="CQ10" s="288">
        <f ca="1">SUM(CM10:CP10)</f>
        <v>0</v>
      </c>
      <c r="CR10" s="277">
        <f ca="1">CR7*CR26</f>
        <v>0</v>
      </c>
      <c r="CS10" s="277">
        <f ca="1">CS7*CS26</f>
        <v>0</v>
      </c>
      <c r="CT10" s="277">
        <f ca="1">CT7*CT26</f>
        <v>0</v>
      </c>
      <c r="CU10" s="277">
        <f ca="1">CU7*CU26</f>
        <v>0</v>
      </c>
      <c r="CV10" s="288">
        <f ca="1">SUM(CR10:CU10)</f>
        <v>0</v>
      </c>
      <c r="CW10" s="277">
        <f ca="1">CW7*CW26</f>
        <v>0</v>
      </c>
      <c r="CX10" s="277">
        <f ca="1">CX7*CX26</f>
        <v>0</v>
      </c>
      <c r="CY10" s="277">
        <f ca="1">CY7*CY26</f>
        <v>0</v>
      </c>
      <c r="CZ10" s="277">
        <f ca="1">CZ7*CZ26</f>
        <v>0</v>
      </c>
      <c r="DA10" s="288">
        <f ca="1">SUM(CW10:CZ10)</f>
        <v>0</v>
      </c>
      <c r="DB10" s="277">
        <f ca="1">DB7*DB26</f>
        <v>0</v>
      </c>
      <c r="DC10" s="277">
        <f ca="1">DC7*DC26</f>
        <v>0</v>
      </c>
      <c r="DD10" s="277">
        <f ca="1">DD7*DD26</f>
        <v>0</v>
      </c>
      <c r="DE10" s="277">
        <f ca="1">DE7*DE26</f>
        <v>0</v>
      </c>
      <c r="DF10" s="288">
        <f ca="1">SUM(DB10:DE10)</f>
        <v>0</v>
      </c>
    </row>
    <row r="11" spans="2:110" s="296" customFormat="1" hidden="1" outlineLevel="1" x14ac:dyDescent="0.25">
      <c r="B11" s="284" t="s">
        <v>505</v>
      </c>
      <c r="C11" s="285"/>
      <c r="D11" s="605"/>
      <c r="E11" s="606"/>
      <c r="F11" s="606"/>
      <c r="G11" s="606"/>
      <c r="H11" s="606"/>
      <c r="I11" s="606"/>
      <c r="J11" s="606"/>
      <c r="K11" s="606"/>
      <c r="L11" s="606"/>
      <c r="M11" s="606"/>
      <c r="N11" s="606"/>
      <c r="O11" s="610"/>
      <c r="P11" s="291"/>
      <c r="Q11" s="291"/>
      <c r="R11" s="291"/>
      <c r="S11" s="291"/>
      <c r="T11" s="291"/>
      <c r="U11" s="291"/>
      <c r="V11" s="291"/>
      <c r="W11" s="291"/>
      <c r="X11" s="291"/>
      <c r="Y11" s="291"/>
      <c r="Z11" s="291"/>
      <c r="AA11" s="291"/>
      <c r="AB11" s="291"/>
      <c r="AC11" s="291"/>
      <c r="AD11" s="291"/>
      <c r="AE11" s="291"/>
      <c r="AF11" s="291"/>
      <c r="AG11" s="291"/>
      <c r="AH11" s="291"/>
      <c r="AI11" s="288"/>
      <c r="AJ11" s="291"/>
      <c r="AK11" s="291"/>
      <c r="AL11" s="291"/>
      <c r="AM11" s="291"/>
      <c r="AN11" s="288"/>
      <c r="AO11" s="291"/>
      <c r="AP11" s="291"/>
      <c r="AQ11" s="291"/>
      <c r="AR11" s="291"/>
      <c r="AS11" s="288"/>
      <c r="AT11" s="277"/>
      <c r="AU11" s="291"/>
      <c r="AV11" s="291"/>
      <c r="AW11" s="291"/>
      <c r="AX11" s="288"/>
      <c r="AY11" s="277"/>
      <c r="AZ11" s="277"/>
      <c r="BA11" s="277"/>
      <c r="BB11" s="277"/>
      <c r="BC11" s="288"/>
      <c r="BD11" s="277"/>
      <c r="BE11" s="277"/>
      <c r="BF11" s="277"/>
      <c r="BG11" s="277"/>
      <c r="BH11" s="288"/>
      <c r="BI11" s="277"/>
      <c r="BJ11" s="277"/>
      <c r="BK11" s="277"/>
      <c r="BL11" s="277"/>
      <c r="BM11" s="288"/>
      <c r="BN11" s="277"/>
      <c r="BO11" s="277"/>
      <c r="BP11" s="277"/>
      <c r="BQ11" s="277"/>
      <c r="BR11" s="288"/>
      <c r="BS11" s="277"/>
      <c r="BT11" s="277"/>
      <c r="BU11" s="277"/>
      <c r="BV11" s="277"/>
      <c r="BW11" s="288"/>
      <c r="BX11" s="277"/>
      <c r="BY11" s="277"/>
      <c r="BZ11" s="277"/>
      <c r="CA11" s="277"/>
      <c r="CB11" s="288"/>
      <c r="CC11" s="277"/>
      <c r="CD11" s="277"/>
      <c r="CE11" s="277"/>
      <c r="CF11" s="277"/>
      <c r="CG11" s="288"/>
      <c r="CH11" s="277"/>
      <c r="CI11" s="277"/>
      <c r="CJ11" s="277"/>
      <c r="CK11" s="277"/>
      <c r="CL11" s="288"/>
      <c r="CM11" s="277"/>
      <c r="CN11" s="277"/>
      <c r="CO11" s="277"/>
      <c r="CP11" s="277"/>
      <c r="CQ11" s="288"/>
      <c r="CR11" s="277"/>
      <c r="CS11" s="277"/>
      <c r="CT11" s="277"/>
      <c r="CU11" s="277"/>
      <c r="CV11" s="288"/>
      <c r="CW11" s="277"/>
      <c r="CX11" s="277"/>
      <c r="CY11" s="277"/>
      <c r="CZ11" s="277"/>
      <c r="DA11" s="288"/>
      <c r="DB11" s="277"/>
      <c r="DC11" s="277"/>
      <c r="DD11" s="277"/>
      <c r="DE11" s="277"/>
      <c r="DF11" s="288"/>
    </row>
    <row r="12" spans="2:110" s="296" customFormat="1" ht="13.5" collapsed="1" thickBot="1" x14ac:dyDescent="0.3">
      <c r="B12" s="1382" t="s">
        <v>19</v>
      </c>
      <c r="C12" s="1383"/>
      <c r="D12" s="1384"/>
      <c r="E12" s="1385"/>
      <c r="F12" s="1385"/>
      <c r="G12" s="1385"/>
      <c r="H12" s="1385"/>
      <c r="I12" s="1385"/>
      <c r="J12" s="1385"/>
      <c r="K12" s="1385"/>
      <c r="L12" s="1385"/>
      <c r="M12" s="1385"/>
      <c r="N12" s="1385"/>
      <c r="O12" s="1386"/>
      <c r="P12" s="1387"/>
      <c r="Q12" s="1387"/>
      <c r="R12" s="1387"/>
      <c r="S12" s="1387"/>
      <c r="T12" s="1387"/>
      <c r="U12" s="1387"/>
      <c r="V12" s="1387"/>
      <c r="W12" s="1387"/>
      <c r="X12" s="1387"/>
      <c r="Y12" s="1387"/>
      <c r="Z12" s="1387"/>
      <c r="AA12" s="1387"/>
      <c r="AB12" s="1387"/>
      <c r="AC12" s="1387"/>
      <c r="AD12" s="1387"/>
      <c r="AE12" s="1387"/>
      <c r="AF12" s="1387"/>
      <c r="AG12" s="1387"/>
      <c r="AH12" s="1387"/>
      <c r="AI12" s="1388"/>
      <c r="AJ12" s="1387"/>
      <c r="AK12" s="1387"/>
      <c r="AL12" s="1387"/>
      <c r="AM12" s="1387"/>
      <c r="AN12" s="1388"/>
      <c r="AO12" s="1387"/>
      <c r="AP12" s="1387"/>
      <c r="AQ12" s="1387"/>
      <c r="AR12" s="1387"/>
      <c r="AS12" s="1388"/>
      <c r="AT12" s="1389"/>
      <c r="AU12" s="1387"/>
      <c r="AV12" s="1387"/>
      <c r="AW12" s="1387"/>
      <c r="AX12" s="1388"/>
      <c r="AY12" s="1389">
        <f ca="1">SUM(AY9:AY10)</f>
        <v>704.90000099999975</v>
      </c>
      <c r="AZ12" s="1389">
        <f ca="1">SUM(AZ9:AZ10)</f>
        <v>764.20000100000061</v>
      </c>
      <c r="BA12" s="1389">
        <f ca="1">SUM(BA9:BA10)</f>
        <v>794.69999900000084</v>
      </c>
      <c r="BB12" s="1389">
        <f ca="1">SUM(BB9:BB10)</f>
        <v>821.500001</v>
      </c>
      <c r="BC12" s="1388"/>
      <c r="BD12" s="1389">
        <f ca="1">SUM(BD9:BD10)</f>
        <v>761.2</v>
      </c>
      <c r="BE12" s="1389">
        <f>SUM(BE9:BE10)</f>
        <v>798.8</v>
      </c>
      <c r="BF12" s="1389">
        <f>SUM(BF9:BF10)</f>
        <v>852.9</v>
      </c>
      <c r="BG12" s="1389">
        <f>SUM(BG9:BG10)</f>
        <v>859.8</v>
      </c>
      <c r="BH12" s="1388"/>
      <c r="BI12" s="1389">
        <f ca="1">SUM(BI9:BI10)</f>
        <v>847.6</v>
      </c>
      <c r="BJ12" s="1389">
        <f ca="1">SUM(BJ9:BJ11)</f>
        <v>2037.8</v>
      </c>
      <c r="BK12" s="1389">
        <f ca="1">SUM(BK9:BK10)</f>
        <v>2060.5</v>
      </c>
      <c r="BL12" s="1389">
        <f ca="1">SUM(BL9:BL10)</f>
        <v>2467.3077499999999</v>
      </c>
      <c r="BM12" s="1388">
        <f ca="1">SUM(BI12:BL12)</f>
        <v>7413.2077499999996</v>
      </c>
      <c r="BN12" s="1389">
        <f ca="1">SUM(BN9:BN10)</f>
        <v>2225.3937999999998</v>
      </c>
      <c r="BO12" s="1389">
        <f ca="1">SUM(BO9:BO10)</f>
        <v>2301.4861999999998</v>
      </c>
      <c r="BP12" s="1389">
        <f>SUM(BP9:BP10)</f>
        <v>1988.4</v>
      </c>
      <c r="BQ12" s="1389">
        <f ca="1">SUM(BQ9:BQ10)</f>
        <v>1866.5000000000009</v>
      </c>
      <c r="BR12" s="1388">
        <f ca="1">SUM(BN12:BQ12)</f>
        <v>8381.7799999999988</v>
      </c>
      <c r="BS12" s="1389">
        <f>SUM(BS9:BS10)</f>
        <v>1707.6</v>
      </c>
      <c r="BT12" s="1389">
        <f ca="1">SUM(BT9:BT10)</f>
        <v>1965.3</v>
      </c>
      <c r="BU12" s="1389">
        <f ca="1">SUM(BU9:BU10)</f>
        <v>2075.3139801890147</v>
      </c>
      <c r="BV12" s="1389">
        <f>SUM(BV9:BV10)</f>
        <v>2000.5860198109854</v>
      </c>
      <c r="BW12" s="1388">
        <f ca="1">SUM(BS12:BV12)</f>
        <v>7748.7999999999993</v>
      </c>
      <c r="BX12" s="1389">
        <f>SUM(BX9:BX10)</f>
        <v>1863</v>
      </c>
      <c r="BY12" s="1389">
        <f ca="1">SUM(BY9:BY10)</f>
        <v>2146.1</v>
      </c>
      <c r="BZ12" s="1389">
        <f ca="1">SUM(BZ9:BZ10)</f>
        <v>2194.1999999999998</v>
      </c>
      <c r="CA12" s="1389">
        <f ca="1">SUM(CA9:CA10)</f>
        <v>2309.7000000000003</v>
      </c>
      <c r="CB12" s="1388">
        <f ca="1">SUM(BX12:CA12)</f>
        <v>8513</v>
      </c>
      <c r="CC12" s="1389">
        <f ca="1">SUM(CC9:CC10)</f>
        <v>1831</v>
      </c>
      <c r="CD12" s="1389">
        <f ca="1">SUM(CD9:CD10)</f>
        <v>2173.1999999999998</v>
      </c>
      <c r="CE12" s="1389">
        <f ca="1">SUM(CE9:CE10)</f>
        <v>2286.9</v>
      </c>
      <c r="CF12" s="1389">
        <f ca="1">SUM(CF9:CF10)</f>
        <v>2417.6</v>
      </c>
      <c r="CG12" s="1388">
        <f ca="1">SUM(CC12:CF12)</f>
        <v>8708.7000000000007</v>
      </c>
      <c r="CH12" s="1389">
        <f ca="1">SUM(CH9:CH10)</f>
        <v>2341.8999999999996</v>
      </c>
      <c r="CI12" s="1389">
        <f ca="1">SUM(CI9:CI10)</f>
        <v>2344.8000000000002</v>
      </c>
      <c r="CJ12" s="1389">
        <f ca="1">SUM(CJ9:CJ10)</f>
        <v>2346.3000000000002</v>
      </c>
      <c r="CK12" s="1389">
        <f ca="1">SUM(CK9:CK10)</f>
        <v>2320.5999999999995</v>
      </c>
      <c r="CL12" s="1388">
        <f ca="1">SUM(CH12:CK12)</f>
        <v>9353.5999999999985</v>
      </c>
      <c r="CM12" s="1389">
        <f ca="1">SUM(CM9:CM10)</f>
        <v>1856.9291399933527</v>
      </c>
      <c r="CN12" s="1389">
        <f ca="1">SUM(CN9:CN10)</f>
        <v>2199.3274137174803</v>
      </c>
      <c r="CO12" s="1389">
        <f ca="1">SUM(CO9:CO10)</f>
        <v>2216.7877277423231</v>
      </c>
      <c r="CP12" s="1389">
        <f ca="1">SUM(CP9:CP10)</f>
        <v>2378.3831126133919</v>
      </c>
      <c r="CQ12" s="1388">
        <f ca="1">SUM(CM12:CP12)</f>
        <v>8651.427394066548</v>
      </c>
      <c r="CR12" s="1389">
        <f ca="1">SUM(CR9:CR10)</f>
        <v>1839.7176117592983</v>
      </c>
      <c r="CS12" s="1389">
        <f ca="1">SUM(CS9:CS10)</f>
        <v>2116.0645919921876</v>
      </c>
      <c r="CT12" s="1389">
        <f ca="1">SUM(CT9:CT10)</f>
        <v>2110.4463631609924</v>
      </c>
      <c r="CU12" s="1389">
        <f ca="1">SUM(CU9:CU10)</f>
        <v>2257.0114704258062</v>
      </c>
      <c r="CV12" s="1388">
        <f ca="1">SUM(CR12:CU12)</f>
        <v>8323.2400373382843</v>
      </c>
      <c r="CW12" s="1389">
        <f ca="1">SUM(CW9:CW10)</f>
        <v>1626.6954522976312</v>
      </c>
      <c r="CX12" s="1389">
        <f ca="1">SUM(CX9:CX10)</f>
        <v>1842.801757519215</v>
      </c>
      <c r="CY12" s="1389">
        <f ca="1">SUM(CY9:CY10)</f>
        <v>1823.7342832288045</v>
      </c>
      <c r="CZ12" s="1389">
        <f ca="1">SUM(CZ9:CZ10)</f>
        <v>1943.0428843112377</v>
      </c>
      <c r="DA12" s="1388">
        <f ca="1">SUM(CW12:CZ12)</f>
        <v>7236.2743773568882</v>
      </c>
      <c r="DB12" s="1389">
        <f ca="1">SUM(DB9:DB10)</f>
        <v>1411.3798845297629</v>
      </c>
      <c r="DC12" s="1389">
        <f ca="1">SUM(DC9:DC10)</f>
        <v>1568.8863326054584</v>
      </c>
      <c r="DD12" s="1389">
        <f ca="1">SUM(DD9:DD10)</f>
        <v>1599.897343034902</v>
      </c>
      <c r="DE12" s="1389">
        <f ca="1">SUM(DE9:DE10)</f>
        <v>1680.7416153258298</v>
      </c>
      <c r="DF12" s="1388">
        <f ca="1">SUM(DB12:DE12)</f>
        <v>6260.9051754959537</v>
      </c>
    </row>
    <row r="13" spans="2:110" s="1355" customFormat="1" hidden="1" outlineLevel="1" x14ac:dyDescent="0.25">
      <c r="B13" s="1356" t="s">
        <v>413</v>
      </c>
      <c r="C13" s="1357"/>
      <c r="D13" s="1357"/>
      <c r="E13" s="1358"/>
      <c r="F13" s="1358"/>
      <c r="G13" s="1358"/>
      <c r="H13" s="1358"/>
      <c r="I13" s="1358"/>
      <c r="J13" s="1358"/>
      <c r="K13" s="1358"/>
      <c r="L13" s="1358"/>
      <c r="M13" s="1358"/>
      <c r="N13" s="1358"/>
      <c r="O13" s="1359"/>
      <c r="P13" s="1360"/>
      <c r="Q13" s="1360"/>
      <c r="R13" s="1360"/>
      <c r="S13" s="1360"/>
      <c r="T13" s="1361"/>
      <c r="U13" s="1361"/>
      <c r="V13" s="1361"/>
      <c r="W13" s="1361"/>
      <c r="X13" s="1361"/>
      <c r="Y13" s="1361"/>
      <c r="Z13" s="1361"/>
      <c r="AA13" s="1361"/>
      <c r="AB13" s="1361"/>
      <c r="AC13" s="1361"/>
      <c r="AD13" s="1361"/>
      <c r="AE13" s="1361"/>
      <c r="AF13" s="1361"/>
      <c r="AG13" s="1361"/>
      <c r="AH13" s="1361"/>
      <c r="AI13" s="1362"/>
      <c r="AJ13" s="1361"/>
      <c r="AK13" s="1361"/>
      <c r="AL13" s="1361"/>
      <c r="AM13" s="1361"/>
      <c r="AN13" s="1362"/>
      <c r="AO13" s="1361"/>
      <c r="AP13" s="1361"/>
      <c r="AQ13" s="1361"/>
      <c r="AR13" s="1361"/>
      <c r="AS13" s="1362"/>
      <c r="AT13" s="1361"/>
      <c r="AU13" s="1361"/>
      <c r="AV13" s="1361"/>
      <c r="AW13" s="1361"/>
      <c r="AX13" s="1362"/>
      <c r="AY13" s="1363">
        <f>Model!AY15-EM!AY10</f>
        <v>183.60000000000002</v>
      </c>
      <c r="AZ13" s="1363">
        <f>Model!AZ15-EM!AZ10</f>
        <v>204.1</v>
      </c>
      <c r="BA13" s="1363">
        <f>Model!BA15-EM!BA10</f>
        <v>204.79999999999998</v>
      </c>
      <c r="BB13" s="1363">
        <f ca="1">Model!BB15-EM!BB10</f>
        <v>174.5</v>
      </c>
      <c r="BC13" s="1364"/>
      <c r="BD13" s="1363">
        <f>Model!BD15-EM!BD10</f>
        <v>173</v>
      </c>
      <c r="BE13" s="1363">
        <f>Model!BE15-EM!BE10</f>
        <v>185.00000000000003</v>
      </c>
      <c r="BF13" s="1363">
        <v>193.1</v>
      </c>
      <c r="BG13" s="1361">
        <v>202</v>
      </c>
      <c r="BH13" s="1364">
        <f>SUM(BD13:BG13)</f>
        <v>753.1</v>
      </c>
      <c r="BI13" s="1361">
        <f>Model!BI15-EM!BI10</f>
        <v>218.59999999999997</v>
      </c>
      <c r="BJ13" s="1361">
        <v>199.26120904074057</v>
      </c>
      <c r="BK13" s="1361">
        <v>199</v>
      </c>
      <c r="BL13" s="1361">
        <v>400</v>
      </c>
      <c r="BM13" s="1364">
        <f t="shared" si="0"/>
        <v>1016.8612090407405</v>
      </c>
      <c r="BN13" s="1361">
        <v>255.299246213499</v>
      </c>
      <c r="BO13" s="1361">
        <v>219.07803527776099</v>
      </c>
      <c r="BP13" s="1361">
        <v>239.42314887107801</v>
      </c>
      <c r="BQ13" s="1361">
        <v>295.25088474517497</v>
      </c>
      <c r="BR13" s="1364">
        <f t="shared" si="1"/>
        <v>1009.0513151075129</v>
      </c>
      <c r="BS13" s="1361">
        <f>BN13*1.08</f>
        <v>275.72318591057893</v>
      </c>
      <c r="BT13" s="1361">
        <f>BO13*1.35</f>
        <v>295.75534762497733</v>
      </c>
      <c r="BU13" s="1361">
        <f>BP13*1.2</f>
        <v>287.30777864529358</v>
      </c>
      <c r="BV13" s="1361">
        <f>BQ13*0.98</f>
        <v>289.34586705027147</v>
      </c>
      <c r="BW13" s="1364">
        <f t="shared" si="2"/>
        <v>1148.1321792311212</v>
      </c>
      <c r="BX13" s="1361">
        <f>BS13*1.07</f>
        <v>295.0238089243195</v>
      </c>
      <c r="BY13" s="1361">
        <f>BT13*1.07</f>
        <v>316.45822195872574</v>
      </c>
      <c r="BZ13" s="1361">
        <f>BU13*1.07</f>
        <v>307.41932315046415</v>
      </c>
      <c r="CA13" s="1361">
        <f>BV13*1.07</f>
        <v>309.60007774379051</v>
      </c>
      <c r="CB13" s="1364">
        <f>SUM(BX13:CA13)</f>
        <v>1228.5014317772998</v>
      </c>
      <c r="CC13" s="1361">
        <f t="shared" ref="CC13:CK14" si="3">BX13*1.025</f>
        <v>302.39940414742745</v>
      </c>
      <c r="CD13" s="1361">
        <f t="shared" si="3"/>
        <v>324.36967750769384</v>
      </c>
      <c r="CE13" s="1361">
        <f t="shared" si="3"/>
        <v>315.10480622922574</v>
      </c>
      <c r="CF13" s="1361">
        <f t="shared" si="3"/>
        <v>317.34007968738524</v>
      </c>
      <c r="CG13" s="1364">
        <f>SUM(CC13:CF13)</f>
        <v>1259.2139675717322</v>
      </c>
      <c r="CH13" s="1361">
        <f t="shared" si="3"/>
        <v>309.95938925111312</v>
      </c>
      <c r="CI13" s="1361">
        <f t="shared" si="3"/>
        <v>332.47891944538617</v>
      </c>
      <c r="CJ13" s="1361">
        <f t="shared" si="3"/>
        <v>322.98242638495634</v>
      </c>
      <c r="CK13" s="1361">
        <f t="shared" si="3"/>
        <v>325.27358167956987</v>
      </c>
      <c r="CL13" s="1364">
        <f>SUM(CH13:CK13)</f>
        <v>1290.6943167610254</v>
      </c>
      <c r="CM13" s="1361">
        <f t="shared" ref="CM13:CP14" si="4">CH13*1.025</f>
        <v>317.70837398239092</v>
      </c>
      <c r="CN13" s="1361">
        <f t="shared" si="4"/>
        <v>340.79089243152077</v>
      </c>
      <c r="CO13" s="1361">
        <f t="shared" si="4"/>
        <v>331.05698704458024</v>
      </c>
      <c r="CP13" s="1361">
        <f t="shared" si="4"/>
        <v>333.4054212215591</v>
      </c>
      <c r="CQ13" s="1364">
        <f>SUM(CM13:CP13)</f>
        <v>1322.9616746800511</v>
      </c>
      <c r="CR13" s="1361">
        <f t="shared" ref="CR13:CR14" si="5">CM13*1.025</f>
        <v>325.65108333195064</v>
      </c>
      <c r="CS13" s="1361">
        <f t="shared" ref="CS13:CS14" si="6">CN13*1.025</f>
        <v>349.31066474230875</v>
      </c>
      <c r="CT13" s="1361">
        <f t="shared" ref="CT13:CT14" si="7">CO13*1.025</f>
        <v>339.3334117206947</v>
      </c>
      <c r="CU13" s="1361">
        <f t="shared" ref="CU13:CU14" si="8">CP13*1.025</f>
        <v>341.74055675209803</v>
      </c>
      <c r="CV13" s="1364">
        <f>SUM(CR13:CU13)</f>
        <v>1356.0357165470521</v>
      </c>
      <c r="CW13" s="1361">
        <f t="shared" ref="CW13:CW14" si="9">CR13*1.025</f>
        <v>333.79236041524939</v>
      </c>
      <c r="CX13" s="1361">
        <f t="shared" ref="CX13:CX14" si="10">CS13*1.025</f>
        <v>358.04343136086641</v>
      </c>
      <c r="CY13" s="1361">
        <f t="shared" ref="CY13:CY14" si="11">CT13*1.025</f>
        <v>347.81674701371202</v>
      </c>
      <c r="CZ13" s="1361">
        <f t="shared" ref="CZ13:CZ14" si="12">CU13*1.025</f>
        <v>350.28407067090046</v>
      </c>
      <c r="DA13" s="1364">
        <f>SUM(CW13:CZ13)</f>
        <v>1389.9366094607283</v>
      </c>
      <c r="DB13" s="1361">
        <f t="shared" ref="DB13:DB14" si="13">CW13*1.025</f>
        <v>342.13716942563059</v>
      </c>
      <c r="DC13" s="1361">
        <f t="shared" ref="DC13:DC14" si="14">CX13*1.025</f>
        <v>366.99451714488805</v>
      </c>
      <c r="DD13" s="1361">
        <f t="shared" ref="DD13:DD14" si="15">CY13*1.025</f>
        <v>356.51216568905477</v>
      </c>
      <c r="DE13" s="1361">
        <f t="shared" ref="DE13:DE14" si="16">CZ13*1.025</f>
        <v>359.04117243767297</v>
      </c>
      <c r="DF13" s="1364">
        <f>SUM(DB13:DE13)</f>
        <v>1424.6850246972465</v>
      </c>
    </row>
    <row r="14" spans="2:110" s="1355" customFormat="1" hidden="1" outlineLevel="1" x14ac:dyDescent="0.25">
      <c r="B14" s="1365" t="s">
        <v>414</v>
      </c>
      <c r="C14" s="1366"/>
      <c r="D14" s="1357"/>
      <c r="E14" s="1358"/>
      <c r="F14" s="1358"/>
      <c r="G14" s="1358"/>
      <c r="H14" s="1358"/>
      <c r="I14" s="1358"/>
      <c r="J14" s="1358"/>
      <c r="K14" s="1358"/>
      <c r="L14" s="1358"/>
      <c r="M14" s="1358"/>
      <c r="N14" s="1358"/>
      <c r="O14" s="1359"/>
      <c r="P14" s="1360"/>
      <c r="Q14" s="1360"/>
      <c r="R14" s="1360"/>
      <c r="S14" s="1360"/>
      <c r="T14" s="1361"/>
      <c r="U14" s="1361"/>
      <c r="V14" s="1361"/>
      <c r="W14" s="1361"/>
      <c r="X14" s="1361"/>
      <c r="Y14" s="1361"/>
      <c r="Z14" s="1361"/>
      <c r="AA14" s="1361"/>
      <c r="AB14" s="1361"/>
      <c r="AC14" s="1361"/>
      <c r="AD14" s="1361"/>
      <c r="AE14" s="1367"/>
      <c r="AF14" s="1361"/>
      <c r="AG14" s="1367"/>
      <c r="AH14" s="1361"/>
      <c r="AI14" s="1368"/>
      <c r="AJ14" s="1367"/>
      <c r="AK14" s="1367"/>
      <c r="AL14" s="1367"/>
      <c r="AM14" s="1367"/>
      <c r="AN14" s="1368"/>
      <c r="AO14" s="1367"/>
      <c r="AP14" s="1367"/>
      <c r="AQ14" s="1367"/>
      <c r="AR14" s="1367"/>
      <c r="AS14" s="1368"/>
      <c r="AT14" s="1367"/>
      <c r="AU14" s="1367"/>
      <c r="AV14" s="1367"/>
      <c r="AW14" s="1367"/>
      <c r="AX14" s="1362"/>
      <c r="AY14" s="1361">
        <v>0</v>
      </c>
      <c r="AZ14" s="1361">
        <v>0</v>
      </c>
      <c r="BA14" s="1361">
        <v>0</v>
      </c>
      <c r="BB14" s="1361">
        <v>0</v>
      </c>
      <c r="BC14" s="1362"/>
      <c r="BD14" s="1361">
        <v>0</v>
      </c>
      <c r="BE14" s="1361">
        <v>0</v>
      </c>
      <c r="BF14" s="1361">
        <v>0</v>
      </c>
      <c r="BG14" s="1361">
        <v>0</v>
      </c>
      <c r="BH14" s="1362"/>
      <c r="BI14" s="1361">
        <v>0</v>
      </c>
      <c r="BJ14" s="1361">
        <f>BJ15-BJ13</f>
        <v>435.83879095925931</v>
      </c>
      <c r="BK14" s="1361">
        <f>BK15-BK13</f>
        <v>346.30000000000018</v>
      </c>
      <c r="BL14" s="1361">
        <f>BL15-BL13</f>
        <v>321.39999999999986</v>
      </c>
      <c r="BM14" s="1364">
        <f t="shared" si="0"/>
        <v>1103.5387909592594</v>
      </c>
      <c r="BN14" s="1361">
        <v>264.70075378650102</v>
      </c>
      <c r="BO14" s="1361">
        <v>337.92196472223901</v>
      </c>
      <c r="BP14" s="1361">
        <v>327.57685112892204</v>
      </c>
      <c r="BQ14" s="1361">
        <v>341.74911525482452</v>
      </c>
      <c r="BR14" s="1364">
        <f t="shared" si="1"/>
        <v>1271.9486848924867</v>
      </c>
      <c r="BS14" s="1361">
        <v>255</v>
      </c>
      <c r="BT14" s="1361">
        <f>BO14*0.9</f>
        <v>304.1297682500151</v>
      </c>
      <c r="BU14" s="1361">
        <f>BP14*0.85</f>
        <v>278.44032345958374</v>
      </c>
      <c r="BV14" s="1361">
        <v>325</v>
      </c>
      <c r="BW14" s="1364">
        <f t="shared" si="2"/>
        <v>1162.5700917095987</v>
      </c>
      <c r="BX14" s="1361">
        <v>268.85000000000002</v>
      </c>
      <c r="BY14" s="1772">
        <v>268.85000000000002</v>
      </c>
      <c r="BZ14" s="1772">
        <v>268.85000000000002</v>
      </c>
      <c r="CA14" s="1361">
        <v>341.75</v>
      </c>
      <c r="CB14" s="1364">
        <f>SUM(BX14:CA14)</f>
        <v>1148.3000000000002</v>
      </c>
      <c r="CC14" s="1361">
        <f t="shared" si="3"/>
        <v>275.57125000000002</v>
      </c>
      <c r="CD14" s="1361">
        <f t="shared" si="3"/>
        <v>275.57125000000002</v>
      </c>
      <c r="CE14" s="1361">
        <f t="shared" si="3"/>
        <v>275.57125000000002</v>
      </c>
      <c r="CF14" s="1361">
        <f t="shared" si="3"/>
        <v>350.29374999999999</v>
      </c>
      <c r="CG14" s="1364">
        <f>SUM(CC14:CF14)</f>
        <v>1177.0075000000002</v>
      </c>
      <c r="CH14" s="1361">
        <f t="shared" si="3"/>
        <v>282.46053124999997</v>
      </c>
      <c r="CI14" s="1361">
        <f t="shared" si="3"/>
        <v>282.46053124999997</v>
      </c>
      <c r="CJ14" s="1361">
        <f t="shared" si="3"/>
        <v>282.46053124999997</v>
      </c>
      <c r="CK14" s="1361">
        <f t="shared" si="3"/>
        <v>359.05109374999995</v>
      </c>
      <c r="CL14" s="1364">
        <f>SUM(CH14:CK14)</f>
        <v>1206.4326874999997</v>
      </c>
      <c r="CM14" s="1361">
        <f t="shared" si="4"/>
        <v>289.52204453124995</v>
      </c>
      <c r="CN14" s="1361">
        <f t="shared" si="4"/>
        <v>289.52204453124995</v>
      </c>
      <c r="CO14" s="1361">
        <f t="shared" si="4"/>
        <v>289.52204453124995</v>
      </c>
      <c r="CP14" s="1361">
        <f t="shared" si="4"/>
        <v>368.02737109374993</v>
      </c>
      <c r="CQ14" s="1364">
        <f>SUM(CM14:CP14)</f>
        <v>1236.5935046874997</v>
      </c>
      <c r="CR14" s="1361">
        <f t="shared" si="5"/>
        <v>296.76009564453119</v>
      </c>
      <c r="CS14" s="1361">
        <f t="shared" si="6"/>
        <v>296.76009564453119</v>
      </c>
      <c r="CT14" s="1361">
        <f t="shared" si="7"/>
        <v>296.76009564453119</v>
      </c>
      <c r="CU14" s="1361">
        <f t="shared" si="8"/>
        <v>377.22805537109366</v>
      </c>
      <c r="CV14" s="1364">
        <f>SUM(CR14:CU14)</f>
        <v>1267.5083423046872</v>
      </c>
      <c r="CW14" s="1361">
        <f t="shared" si="9"/>
        <v>304.17909803564447</v>
      </c>
      <c r="CX14" s="1361">
        <f t="shared" si="10"/>
        <v>304.17909803564447</v>
      </c>
      <c r="CY14" s="1361">
        <f t="shared" si="11"/>
        <v>304.17909803564447</v>
      </c>
      <c r="CZ14" s="1361">
        <f t="shared" si="12"/>
        <v>386.65875675537097</v>
      </c>
      <c r="DA14" s="1364">
        <f>SUM(CW14:CZ14)</f>
        <v>1299.1960508623042</v>
      </c>
      <c r="DB14" s="1361">
        <f t="shared" si="13"/>
        <v>311.78357548653554</v>
      </c>
      <c r="DC14" s="1361">
        <f t="shared" si="14"/>
        <v>311.78357548653554</v>
      </c>
      <c r="DD14" s="1361">
        <f t="shared" si="15"/>
        <v>311.78357548653554</v>
      </c>
      <c r="DE14" s="1361">
        <f t="shared" si="16"/>
        <v>396.32522567425519</v>
      </c>
      <c r="DF14" s="1364">
        <f>SUM(DB14:DE14)</f>
        <v>1331.6759521338618</v>
      </c>
    </row>
    <row r="15" spans="2:110" s="1355" customFormat="1" hidden="1" outlineLevel="1" x14ac:dyDescent="0.25">
      <c r="B15" s="1365" t="s">
        <v>415</v>
      </c>
      <c r="C15" s="1366"/>
      <c r="D15" s="1357"/>
      <c r="E15" s="1358"/>
      <c r="F15" s="1358"/>
      <c r="G15" s="1358"/>
      <c r="H15" s="1358"/>
      <c r="I15" s="1358"/>
      <c r="J15" s="1358"/>
      <c r="K15" s="1358"/>
      <c r="L15" s="1358"/>
      <c r="M15" s="1358"/>
      <c r="N15" s="1358"/>
      <c r="O15" s="1359"/>
      <c r="P15" s="1360"/>
      <c r="Q15" s="1360"/>
      <c r="R15" s="1360"/>
      <c r="S15" s="1360"/>
      <c r="T15" s="1361"/>
      <c r="U15" s="1361"/>
      <c r="V15" s="1361"/>
      <c r="W15" s="1361"/>
      <c r="X15" s="1361"/>
      <c r="Y15" s="1361"/>
      <c r="Z15" s="1361"/>
      <c r="AA15" s="1361"/>
      <c r="AB15" s="1361"/>
      <c r="AC15" s="1361"/>
      <c r="AD15" s="1361"/>
      <c r="AE15" s="1367"/>
      <c r="AF15" s="1361"/>
      <c r="AG15" s="1367"/>
      <c r="AH15" s="1361"/>
      <c r="AI15" s="1368"/>
      <c r="AJ15" s="1367"/>
      <c r="AK15" s="1367"/>
      <c r="AL15" s="1367"/>
      <c r="AM15" s="1367"/>
      <c r="AN15" s="1368"/>
      <c r="AO15" s="1367"/>
      <c r="AP15" s="1367"/>
      <c r="AQ15" s="1367"/>
      <c r="AR15" s="1367"/>
      <c r="AS15" s="1368"/>
      <c r="AT15" s="1367"/>
      <c r="AU15" s="1367"/>
      <c r="AV15" s="1367"/>
      <c r="AW15" s="1367"/>
      <c r="AX15" s="1362"/>
      <c r="AY15" s="1363">
        <f>SUM(AY13:AY14)</f>
        <v>183.60000000000002</v>
      </c>
      <c r="AZ15" s="1363">
        <f>SUM(AZ13:AZ14)</f>
        <v>204.1</v>
      </c>
      <c r="BA15" s="1363">
        <f>SUM(BA13:BA14)</f>
        <v>204.79999999999998</v>
      </c>
      <c r="BB15" s="1363">
        <f ca="1">SUM(BB13:BB14)</f>
        <v>174.5</v>
      </c>
      <c r="BC15" s="1362"/>
      <c r="BD15" s="1363">
        <f>SUM(BD13:BD14)</f>
        <v>173</v>
      </c>
      <c r="BE15" s="1363">
        <f>SUM(BE13:BE14)</f>
        <v>185.00000000000003</v>
      </c>
      <c r="BF15" s="1363">
        <f>SUM(BF13:BF14)</f>
        <v>193.1</v>
      </c>
      <c r="BG15" s="1363">
        <f>SUM(BG13:BG14)</f>
        <v>202</v>
      </c>
      <c r="BH15" s="1362"/>
      <c r="BI15" s="1361">
        <f>255.5-8.6-1.6-26.7</f>
        <v>218.60000000000002</v>
      </c>
      <c r="BJ15" s="1361">
        <f>1471.1-10.2-481.9-343.9</f>
        <v>635.09999999999991</v>
      </c>
      <c r="BK15" s="1361">
        <f>1230.4-10.1-495.9-179.1</f>
        <v>545.30000000000018</v>
      </c>
      <c r="BL15" s="1361">
        <f>1335.3-10.2-472.9-130.8</f>
        <v>721.39999999999986</v>
      </c>
      <c r="BM15" s="1362">
        <f t="shared" si="0"/>
        <v>2120.3999999999996</v>
      </c>
      <c r="BN15" s="1363">
        <f>SUM(BN13:BN14)</f>
        <v>520</v>
      </c>
      <c r="BO15" s="1363">
        <f>SUM(BO13:BO14)</f>
        <v>557</v>
      </c>
      <c r="BP15" s="1363">
        <f>SUM(BP13:BP14)</f>
        <v>567</v>
      </c>
      <c r="BQ15" s="1363">
        <f>SUM(BQ13:BQ14)</f>
        <v>636.99999999999955</v>
      </c>
      <c r="BR15" s="1362">
        <f t="shared" si="1"/>
        <v>2280.9999999999995</v>
      </c>
      <c r="BS15" s="1363">
        <f>SUM(BS13:BS14)</f>
        <v>530.72318591057888</v>
      </c>
      <c r="BT15" s="1363">
        <f>SUM(BT13:BT14)</f>
        <v>599.88511587499238</v>
      </c>
      <c r="BU15" s="1363">
        <f>SUM(BU13:BU14)</f>
        <v>565.74810210487726</v>
      </c>
      <c r="BV15" s="1363">
        <f>SUM(BV13:BV14)</f>
        <v>614.34586705027141</v>
      </c>
      <c r="BW15" s="1362">
        <f t="shared" si="2"/>
        <v>2310.7022709407202</v>
      </c>
      <c r="BX15" s="1363">
        <f>SUM(BX13:BX14)</f>
        <v>563.87380892431952</v>
      </c>
      <c r="BY15" s="1363">
        <f>SUM(BY13:BY14)</f>
        <v>585.30822195872577</v>
      </c>
      <c r="BZ15" s="1363">
        <f>SUM(BZ13:BZ14)</f>
        <v>576.26932315046417</v>
      </c>
      <c r="CA15" s="1363">
        <f>SUM(CA13:CA14)</f>
        <v>651.35007774379051</v>
      </c>
      <c r="CB15" s="1362">
        <f t="shared" ref="CB15:CB16" si="17">SUM(BX15:CA15)</f>
        <v>2376.8014317772995</v>
      </c>
      <c r="CC15" s="1363">
        <f>SUM(CC13:CC14)</f>
        <v>577.97065414742747</v>
      </c>
      <c r="CD15" s="1363">
        <f>SUM(CD13:CD14)</f>
        <v>599.94092750769391</v>
      </c>
      <c r="CE15" s="1363">
        <f>SUM(CE13:CE14)</f>
        <v>590.67605622922576</v>
      </c>
      <c r="CF15" s="1363">
        <f>SUM(CF13:CF14)</f>
        <v>667.63382968738529</v>
      </c>
      <c r="CG15" s="1362">
        <f>SUM(CC15:CF15)</f>
        <v>2436.2214675717323</v>
      </c>
      <c r="CH15" s="1363">
        <f>SUM(CH13:CH14)</f>
        <v>592.4199205011131</v>
      </c>
      <c r="CI15" s="1363">
        <f>SUM(CI13:CI14)</f>
        <v>614.93945069538609</v>
      </c>
      <c r="CJ15" s="1363">
        <f>SUM(CJ13:CJ14)</f>
        <v>605.44295763495631</v>
      </c>
      <c r="CK15" s="1363">
        <f>SUM(CK13:CK14)</f>
        <v>684.32467542956988</v>
      </c>
      <c r="CL15" s="1362">
        <f>SUM(CH15:CK15)</f>
        <v>2497.1270042610249</v>
      </c>
      <c r="CM15" s="1363">
        <f>SUM(CM13:CM14)</f>
        <v>607.23041851364087</v>
      </c>
      <c r="CN15" s="1363">
        <f>SUM(CN13:CN14)</f>
        <v>630.31293696277066</v>
      </c>
      <c r="CO15" s="1363">
        <f>SUM(CO13:CO14)</f>
        <v>620.57903157583019</v>
      </c>
      <c r="CP15" s="1363">
        <f>SUM(CP13:CP14)</f>
        <v>701.43279231530903</v>
      </c>
      <c r="CQ15" s="1362">
        <f>SUM(CM15:CP15)</f>
        <v>2559.5551793675509</v>
      </c>
      <c r="CR15" s="1363">
        <f>SUM(CR13:CR14)</f>
        <v>622.41117897648178</v>
      </c>
      <c r="CS15" s="1363">
        <f>SUM(CS13:CS14)</f>
        <v>646.07076038683999</v>
      </c>
      <c r="CT15" s="1363">
        <f>SUM(CT13:CT14)</f>
        <v>636.09350736522583</v>
      </c>
      <c r="CU15" s="1363">
        <f>SUM(CU13:CU14)</f>
        <v>718.96861212319163</v>
      </c>
      <c r="CV15" s="1362">
        <f>SUM(CR15:CU15)</f>
        <v>2623.5440588517395</v>
      </c>
      <c r="CW15" s="1363">
        <f>SUM(CW13:CW14)</f>
        <v>637.97145845089381</v>
      </c>
      <c r="CX15" s="1363">
        <f>SUM(CX13:CX14)</f>
        <v>662.22252939651094</v>
      </c>
      <c r="CY15" s="1363">
        <f>SUM(CY13:CY14)</f>
        <v>651.99584504935649</v>
      </c>
      <c r="CZ15" s="1363">
        <f>SUM(CZ13:CZ14)</f>
        <v>736.94282742627138</v>
      </c>
      <c r="DA15" s="1362">
        <f>SUM(CW15:CZ15)</f>
        <v>2689.1326603230327</v>
      </c>
      <c r="DB15" s="1363">
        <f>SUM(DB13:DB14)</f>
        <v>653.92074491216613</v>
      </c>
      <c r="DC15" s="1363">
        <f>SUM(DC13:DC14)</f>
        <v>678.77809263142353</v>
      </c>
      <c r="DD15" s="1363">
        <f>SUM(DD13:DD14)</f>
        <v>668.29574117559036</v>
      </c>
      <c r="DE15" s="1363">
        <f>SUM(DE13:DE14)</f>
        <v>755.36639811192822</v>
      </c>
      <c r="DF15" s="1362">
        <f>SUM(DB15:DE15)</f>
        <v>2756.360976831108</v>
      </c>
    </row>
    <row r="16" spans="2:110" s="296" customFormat="1" hidden="1" outlineLevel="1" x14ac:dyDescent="0.25">
      <c r="B16" s="1272" t="s">
        <v>17</v>
      </c>
      <c r="C16" s="285"/>
      <c r="D16" s="605"/>
      <c r="E16" s="606"/>
      <c r="F16" s="606"/>
      <c r="G16" s="606"/>
      <c r="H16" s="606"/>
      <c r="I16" s="606"/>
      <c r="J16" s="606"/>
      <c r="K16" s="606"/>
      <c r="L16" s="606"/>
      <c r="M16" s="606"/>
      <c r="N16" s="606"/>
      <c r="O16" s="610"/>
      <c r="P16" s="291"/>
      <c r="Q16" s="291"/>
      <c r="R16" s="291"/>
      <c r="S16" s="291"/>
      <c r="T16" s="286"/>
      <c r="U16" s="286"/>
      <c r="V16" s="286"/>
      <c r="W16" s="286"/>
      <c r="X16" s="286"/>
      <c r="Y16" s="286"/>
      <c r="Z16" s="286"/>
      <c r="AA16" s="286"/>
      <c r="AB16" s="286"/>
      <c r="AC16" s="286"/>
      <c r="AD16" s="286"/>
      <c r="AE16" s="287"/>
      <c r="AF16" s="286"/>
      <c r="AG16" s="287"/>
      <c r="AH16" s="286"/>
      <c r="AI16" s="288"/>
      <c r="AJ16" s="287"/>
      <c r="AK16" s="287"/>
      <c r="AL16" s="287"/>
      <c r="AM16" s="287"/>
      <c r="AN16" s="288"/>
      <c r="AO16" s="287"/>
      <c r="AP16" s="287"/>
      <c r="AQ16" s="287"/>
      <c r="AR16" s="287"/>
      <c r="AS16" s="288"/>
      <c r="AT16" s="287"/>
      <c r="AU16" s="287"/>
      <c r="AV16" s="287"/>
      <c r="AW16" s="287"/>
      <c r="AX16" s="656"/>
      <c r="AY16" s="286">
        <v>0</v>
      </c>
      <c r="AZ16" s="286">
        <v>0</v>
      </c>
      <c r="BA16" s="286">
        <v>0</v>
      </c>
      <c r="BB16" s="286">
        <v>0</v>
      </c>
      <c r="BC16" s="656"/>
      <c r="BD16" s="286">
        <v>0</v>
      </c>
      <c r="BE16" s="286">
        <v>0</v>
      </c>
      <c r="BF16" s="286">
        <v>0</v>
      </c>
      <c r="BG16" s="286">
        <v>0</v>
      </c>
      <c r="BH16" s="656"/>
      <c r="BI16" s="286">
        <v>0</v>
      </c>
      <c r="BJ16" s="298">
        <f>BJ14*BJ29</f>
        <v>32.997354863525523</v>
      </c>
      <c r="BK16" s="298">
        <f>BK14*BK29</f>
        <v>-33.123595000000016</v>
      </c>
      <c r="BL16" s="298">
        <f>BL14*BL29</f>
        <v>0</v>
      </c>
      <c r="BM16" s="656">
        <f t="shared" si="0"/>
        <v>-0.12624013647449317</v>
      </c>
      <c r="BN16" s="298">
        <f>BN14*BN29</f>
        <v>-16.199686131733863</v>
      </c>
      <c r="BO16" s="298">
        <f>BO14*BO29</f>
        <v>-61.95799223182253</v>
      </c>
      <c r="BP16" s="298">
        <f>BP14*BP29</f>
        <v>-78.297418956834946</v>
      </c>
      <c r="BQ16" s="298">
        <f>BQ14*BQ29</f>
        <v>-62.43756335705644</v>
      </c>
      <c r="BR16" s="656">
        <f t="shared" si="1"/>
        <v>-218.89266067744776</v>
      </c>
      <c r="BS16" s="298">
        <f>BS14*BS29</f>
        <v>-25.5</v>
      </c>
      <c r="BT16" s="298">
        <f>BT14*BT29</f>
        <v>-121.65190730000604</v>
      </c>
      <c r="BU16" s="298">
        <f>BU14*BU29</f>
        <v>-79.049207830175817</v>
      </c>
      <c r="BV16" s="298">
        <f>BV14*BV29</f>
        <v>0</v>
      </c>
      <c r="BW16" s="656">
        <f t="shared" si="2"/>
        <v>-226.20111513018185</v>
      </c>
      <c r="BX16" s="298">
        <f>BX14*BX29</f>
        <v>-26.885000000000005</v>
      </c>
      <c r="BY16" s="298">
        <f>BY14*BY29</f>
        <v>-107.54000000000002</v>
      </c>
      <c r="BZ16" s="298">
        <f>BZ14*BZ29</f>
        <v>-76.326515000000001</v>
      </c>
      <c r="CA16" s="298">
        <f>CA14*CA29</f>
        <v>0</v>
      </c>
      <c r="CB16" s="656">
        <f t="shared" si="17"/>
        <v>-210.75151500000001</v>
      </c>
      <c r="CC16" s="298">
        <f>-(CC15-CC18)</f>
        <v>-112.97065414742747</v>
      </c>
      <c r="CD16" s="298">
        <f t="shared" ref="CD16:CF16" si="18">-(CD15-CD18)</f>
        <v>-135.94092750769391</v>
      </c>
      <c r="CE16" s="298">
        <f t="shared" si="18"/>
        <v>-172.37605622922575</v>
      </c>
      <c r="CF16" s="298">
        <f t="shared" si="18"/>
        <v>-260.23382968738525</v>
      </c>
      <c r="CG16" s="656">
        <f>SUM(CC16:CF16)</f>
        <v>-681.52146757173239</v>
      </c>
      <c r="CH16" s="298">
        <f t="shared" ref="CH16:CI16" si="19">-(CH15-CH18)</f>
        <v>-121.71992050111305</v>
      </c>
      <c r="CI16" s="298">
        <f t="shared" si="19"/>
        <v>-167.43945069538609</v>
      </c>
      <c r="CJ16" s="298">
        <f t="shared" ref="CJ16:CK16" si="20">-(CJ15-CJ18)</f>
        <v>-202.94295763495631</v>
      </c>
      <c r="CK16" s="298">
        <f t="shared" si="20"/>
        <v>-243.01467542956988</v>
      </c>
      <c r="CL16" s="656">
        <f>SUM(CH16:CK16)</f>
        <v>-735.11700426102539</v>
      </c>
      <c r="CM16" s="298">
        <f>CM14*CM29</f>
        <v>0</v>
      </c>
      <c r="CN16" s="298">
        <f>CN14*CN29</f>
        <v>0</v>
      </c>
      <c r="CO16" s="298">
        <f>CO14*CO29</f>
        <v>0</v>
      </c>
      <c r="CP16" s="298">
        <f>CP14*CP29</f>
        <v>0</v>
      </c>
      <c r="CQ16" s="656">
        <f>SUM(CM16:CP16)</f>
        <v>0</v>
      </c>
      <c r="CR16" s="298">
        <f>CR14*CR29</f>
        <v>0</v>
      </c>
      <c r="CS16" s="298">
        <f>CS14*CS29</f>
        <v>0</v>
      </c>
      <c r="CT16" s="298">
        <f>CT14*CT29</f>
        <v>0</v>
      </c>
      <c r="CU16" s="298">
        <f>CU14*CU29</f>
        <v>0</v>
      </c>
      <c r="CV16" s="656">
        <f>SUM(CR16:CU16)</f>
        <v>0</v>
      </c>
      <c r="CW16" s="298">
        <f>CW14*CW29</f>
        <v>0</v>
      </c>
      <c r="CX16" s="298">
        <f>CX14*CX29</f>
        <v>0</v>
      </c>
      <c r="CY16" s="298">
        <f>CY14*CY29</f>
        <v>0</v>
      </c>
      <c r="CZ16" s="298">
        <f>CZ14*CZ29</f>
        <v>0</v>
      </c>
      <c r="DA16" s="656">
        <f>SUM(CW16:CZ16)</f>
        <v>0</v>
      </c>
      <c r="DB16" s="298">
        <f>DB14*DB29</f>
        <v>0</v>
      </c>
      <c r="DC16" s="298">
        <f>DC14*DC29</f>
        <v>0</v>
      </c>
      <c r="DD16" s="298">
        <f>DD14*DD29</f>
        <v>0</v>
      </c>
      <c r="DE16" s="298">
        <f>DE14*DE29</f>
        <v>0</v>
      </c>
      <c r="DF16" s="656">
        <f>SUM(DB16:DE16)</f>
        <v>0</v>
      </c>
    </row>
    <row r="17" spans="2:110" s="296" customFormat="1" ht="13.5" hidden="1" outlineLevel="1" thickBot="1" x14ac:dyDescent="0.3">
      <c r="B17" s="284" t="s">
        <v>504</v>
      </c>
      <c r="C17" s="285"/>
      <c r="D17" s="605"/>
      <c r="E17" s="606"/>
      <c r="F17" s="606"/>
      <c r="G17" s="606"/>
      <c r="H17" s="606"/>
      <c r="I17" s="606"/>
      <c r="J17" s="606"/>
      <c r="K17" s="606"/>
      <c r="L17" s="606"/>
      <c r="M17" s="606"/>
      <c r="N17" s="606"/>
      <c r="O17" s="610"/>
      <c r="P17" s="291"/>
      <c r="Q17" s="291"/>
      <c r="R17" s="291"/>
      <c r="S17" s="291"/>
      <c r="T17" s="286"/>
      <c r="U17" s="286"/>
      <c r="V17" s="286"/>
      <c r="W17" s="286"/>
      <c r="X17" s="286"/>
      <c r="Y17" s="286"/>
      <c r="Z17" s="286"/>
      <c r="AA17" s="286"/>
      <c r="AB17" s="286"/>
      <c r="AC17" s="286"/>
      <c r="AD17" s="286"/>
      <c r="AE17" s="287"/>
      <c r="AF17" s="286"/>
      <c r="AG17" s="287"/>
      <c r="AH17" s="286"/>
      <c r="AI17" s="288"/>
      <c r="AJ17" s="287"/>
      <c r="AK17" s="287"/>
      <c r="AL17" s="287"/>
      <c r="AM17" s="287"/>
      <c r="AN17" s="288"/>
      <c r="AO17" s="287"/>
      <c r="AP17" s="287"/>
      <c r="AQ17" s="287"/>
      <c r="AR17" s="287"/>
      <c r="AS17" s="288"/>
      <c r="AT17" s="287"/>
      <c r="AU17" s="287"/>
      <c r="AV17" s="287"/>
      <c r="AW17" s="287"/>
      <c r="AX17" s="656"/>
      <c r="AY17" s="286"/>
      <c r="AZ17" s="286"/>
      <c r="BA17" s="286"/>
      <c r="BB17" s="286"/>
      <c r="BC17" s="656"/>
      <c r="BD17" s="286"/>
      <c r="BE17" s="286"/>
      <c r="BF17" s="286"/>
      <c r="BG17" s="286"/>
      <c r="BH17" s="656"/>
      <c r="BI17" s="286"/>
      <c r="BJ17" s="298"/>
      <c r="BK17" s="298"/>
      <c r="BL17" s="298"/>
      <c r="BM17" s="656"/>
      <c r="BN17" s="298"/>
      <c r="BO17" s="298"/>
      <c r="BP17" s="298"/>
      <c r="BQ17" s="298"/>
      <c r="BR17" s="656"/>
      <c r="BS17" s="298"/>
      <c r="BT17" s="298"/>
      <c r="BU17" s="298"/>
      <c r="BV17" s="298"/>
      <c r="BW17" s="656"/>
      <c r="BX17" s="298"/>
      <c r="BY17" s="298"/>
      <c r="BZ17" s="298"/>
      <c r="CA17" s="298"/>
      <c r="CB17" s="656"/>
      <c r="CC17" s="298"/>
      <c r="CD17" s="298"/>
      <c r="CE17" s="298"/>
      <c r="CF17" s="298"/>
      <c r="CG17" s="656"/>
      <c r="CH17" s="298"/>
      <c r="CI17" s="298"/>
      <c r="CJ17" s="298"/>
      <c r="CK17" s="298"/>
      <c r="CL17" s="656"/>
      <c r="CM17" s="298"/>
      <c r="CN17" s="298"/>
      <c r="CO17" s="298"/>
      <c r="CP17" s="298"/>
      <c r="CQ17" s="656"/>
      <c r="CR17" s="298"/>
      <c r="CS17" s="298"/>
      <c r="CT17" s="298"/>
      <c r="CU17" s="298"/>
      <c r="CV17" s="656"/>
      <c r="CW17" s="298"/>
      <c r="CX17" s="298"/>
      <c r="CY17" s="298"/>
      <c r="CZ17" s="298"/>
      <c r="DA17" s="656"/>
      <c r="DB17" s="298"/>
      <c r="DC17" s="298"/>
      <c r="DD17" s="298"/>
      <c r="DE17" s="298"/>
      <c r="DF17" s="656"/>
    </row>
    <row r="18" spans="2:110" s="296" customFormat="1" ht="13.5" collapsed="1" thickBot="1" x14ac:dyDescent="0.3">
      <c r="B18" s="1400" t="s">
        <v>418</v>
      </c>
      <c r="C18" s="1401"/>
      <c r="D18" s="1401"/>
      <c r="E18" s="1402"/>
      <c r="F18" s="1402"/>
      <c r="G18" s="1402"/>
      <c r="H18" s="1402"/>
      <c r="I18" s="1402"/>
      <c r="J18" s="1402"/>
      <c r="K18" s="1402"/>
      <c r="L18" s="1402"/>
      <c r="M18" s="1402"/>
      <c r="N18" s="1402"/>
      <c r="O18" s="1403"/>
      <c r="P18" s="1404"/>
      <c r="Q18" s="1404"/>
      <c r="R18" s="1404"/>
      <c r="S18" s="1404"/>
      <c r="T18" s="1404"/>
      <c r="U18" s="1404"/>
      <c r="V18" s="1404"/>
      <c r="W18" s="1404"/>
      <c r="X18" s="1404"/>
      <c r="Y18" s="1404"/>
      <c r="Z18" s="1404"/>
      <c r="AA18" s="1404"/>
      <c r="AB18" s="1404"/>
      <c r="AC18" s="1404"/>
      <c r="AD18" s="1404"/>
      <c r="AE18" s="1404"/>
      <c r="AF18" s="1404"/>
      <c r="AG18" s="1404"/>
      <c r="AH18" s="1404"/>
      <c r="AI18" s="1405"/>
      <c r="AJ18" s="1404"/>
      <c r="AK18" s="1404"/>
      <c r="AL18" s="1404"/>
      <c r="AM18" s="1404"/>
      <c r="AN18" s="1405"/>
      <c r="AO18" s="1404"/>
      <c r="AP18" s="1404"/>
      <c r="AQ18" s="1404"/>
      <c r="AR18" s="1404"/>
      <c r="AS18" s="1405"/>
      <c r="AT18" s="1404"/>
      <c r="AU18" s="1404"/>
      <c r="AV18" s="1404"/>
      <c r="AW18" s="1404"/>
      <c r="AX18" s="1405"/>
      <c r="AY18" s="1404">
        <f>SUM(AY15:AY16)</f>
        <v>183.60000000000002</v>
      </c>
      <c r="AZ18" s="1404">
        <f>SUM(AZ15:AZ16)</f>
        <v>204.1</v>
      </c>
      <c r="BA18" s="1404">
        <f>SUM(BA15:BA16)</f>
        <v>204.79999999999998</v>
      </c>
      <c r="BB18" s="1404">
        <f ca="1">SUM(BB15:BB16)</f>
        <v>174.5</v>
      </c>
      <c r="BC18" s="1405"/>
      <c r="BD18" s="1404">
        <f>SUM(BD15:BD16)</f>
        <v>173</v>
      </c>
      <c r="BE18" s="1404">
        <f>SUM(BE15:BE16)</f>
        <v>185.00000000000003</v>
      </c>
      <c r="BF18" s="1404">
        <f>SUM(BF15:BF16)</f>
        <v>193.1</v>
      </c>
      <c r="BG18" s="1404">
        <f>SUM(BG15:BG16)</f>
        <v>202</v>
      </c>
      <c r="BH18" s="1405"/>
      <c r="BI18" s="1404">
        <f>+Model!BI15-EM!BI10</f>
        <v>218.59999999999997</v>
      </c>
      <c r="BJ18" s="1404">
        <f>+Model!BJ15-EM!BJ10</f>
        <v>668.0999999999998</v>
      </c>
      <c r="BK18" s="1404">
        <f>+Model!BK15-EM!BK10</f>
        <v>512.19999999999993</v>
      </c>
      <c r="BL18" s="1404">
        <f>+Model!BL15-EM!BL10</f>
        <v>721.4</v>
      </c>
      <c r="BM18" s="1405">
        <f>+Model!BM15-EM!BM10</f>
        <v>2120.2999999999997</v>
      </c>
      <c r="BN18" s="1404">
        <f>+Model!BN15-EM!BN10</f>
        <v>503.8</v>
      </c>
      <c r="BO18" s="1404">
        <f ca="1">+Model!BO15-EM!BO10</f>
        <v>495.04019471488175</v>
      </c>
      <c r="BP18" s="1404">
        <f>+Model!BP15-EM!BP10</f>
        <v>488.7</v>
      </c>
      <c r="BQ18" s="1404">
        <f>+Model!BQ15-EM!BQ10</f>
        <v>574.5630000000001</v>
      </c>
      <c r="BR18" s="1405">
        <f ca="1">+Model!BR15-EM!BR10</f>
        <v>2062.1031947148817</v>
      </c>
      <c r="BS18" s="1404">
        <f ca="1">+Model!BS15-EM!BS10</f>
        <v>484.50605231663531</v>
      </c>
      <c r="BT18" s="1404">
        <f>+Model!BT15-EM!BT10</f>
        <v>473.3</v>
      </c>
      <c r="BU18" s="1404">
        <f>+Model!BU15-EM!BU10</f>
        <v>486.70000000000005</v>
      </c>
      <c r="BV18" s="1404">
        <f ca="1">+Model!BV15-EM!BV10</f>
        <v>502.39394768336467</v>
      </c>
      <c r="BW18" s="1405">
        <f ca="1">+Model!BW15-EM!BW10</f>
        <v>1946.9000000000003</v>
      </c>
      <c r="BX18" s="1404">
        <f>+Model!BX15-EM!BX10</f>
        <v>467.3</v>
      </c>
      <c r="BY18" s="1404">
        <f>+Model!BY15-EM!BY10</f>
        <v>471.8</v>
      </c>
      <c r="BZ18" s="1404">
        <f>+Model!BZ15-EM!BZ10</f>
        <v>497.20000000000005</v>
      </c>
      <c r="CA18" s="1404">
        <f>+Model!CA15-EM!CA10</f>
        <v>506.79999999999995</v>
      </c>
      <c r="CB18" s="1405">
        <f>+Model!CB15-EM!CB10</f>
        <v>1943.1</v>
      </c>
      <c r="CC18" s="1404">
        <f>+Model!CC15-EM!CC10</f>
        <v>465</v>
      </c>
      <c r="CD18" s="1404">
        <f>+Model!CD15-EM!CD10</f>
        <v>464</v>
      </c>
      <c r="CE18" s="1404">
        <f>+Model!CE15-EM!CE10</f>
        <v>418.3</v>
      </c>
      <c r="CF18" s="1404">
        <f>+Model!CF15-EM!CF10</f>
        <v>407.40000000000003</v>
      </c>
      <c r="CG18" s="1405">
        <f>+Model!CG15-EM!CG10</f>
        <v>1754.6999999999998</v>
      </c>
      <c r="CH18" s="1404">
        <f>+Model!CH15-EM!CH10</f>
        <v>470.70000000000005</v>
      </c>
      <c r="CI18" s="1404">
        <f>+Model!CI15-EM!CI10</f>
        <v>447.5</v>
      </c>
      <c r="CJ18" s="1404">
        <f>+Model!CJ15-EM!CJ10</f>
        <v>402.5</v>
      </c>
      <c r="CK18" s="1404">
        <f>+Model!CK15-EM!CK10</f>
        <v>441.31</v>
      </c>
      <c r="CL18" s="1405">
        <f>SUM(CL15:CL16)</f>
        <v>1762.0099999999995</v>
      </c>
      <c r="CM18" s="1404">
        <f ca="1">CM30*CM7</f>
        <v>480.81665250391626</v>
      </c>
      <c r="CN18" s="1404">
        <f ca="1">CN30*CN7</f>
        <v>394.85414604330208</v>
      </c>
      <c r="CO18" s="1404">
        <f ca="1">CO30*CO7</f>
        <v>394.5564050912306</v>
      </c>
      <c r="CP18" s="1404">
        <f ca="1">CP30*CP7</f>
        <v>402.60949118161392</v>
      </c>
      <c r="CQ18" s="1405">
        <f>SUM(CQ15:CQ16)</f>
        <v>2559.5551793675509</v>
      </c>
      <c r="CR18" s="1404">
        <f ca="1">CR30*CR7</f>
        <v>473.78244675451032</v>
      </c>
      <c r="CS18" s="1404">
        <f ca="1">CS30*CS7</f>
        <v>385.19891030189831</v>
      </c>
      <c r="CT18" s="1404">
        <f ca="1">CT30*CT7</f>
        <v>385.81460007544223</v>
      </c>
      <c r="CU18" s="1404">
        <f ca="1">CU30*CU7</f>
        <v>393.67283720672367</v>
      </c>
      <c r="CV18" s="1405">
        <f>SUM(CV15:CV16)</f>
        <v>2623.5440588517395</v>
      </c>
      <c r="CW18" s="1404">
        <f ca="1">CW30*CW7</f>
        <v>445.06799073344985</v>
      </c>
      <c r="CX18" s="1404">
        <f ca="1">CX30*CX7</f>
        <v>361.96589976871843</v>
      </c>
      <c r="CY18" s="1404">
        <f ca="1">CY30*CY7</f>
        <v>363.28538335440766</v>
      </c>
      <c r="CZ18" s="1404">
        <f ca="1">CZ30*CZ7</f>
        <v>369.97770529353284</v>
      </c>
      <c r="DA18" s="1405">
        <f>SUM(DA15:DA16)</f>
        <v>2689.1326603230327</v>
      </c>
      <c r="DB18" s="1404">
        <f ca="1">DB30*DB7</f>
        <v>419.62229487212227</v>
      </c>
      <c r="DC18" s="1404">
        <f ca="1">DC30*DC7</f>
        <v>341.36306920303628</v>
      </c>
      <c r="DD18" s="1404">
        <f ca="1">DD30*DD7</f>
        <v>343.33478348038034</v>
      </c>
      <c r="DE18" s="1404">
        <f ca="1">DE30*DE7</f>
        <v>349.00098659357934</v>
      </c>
      <c r="DF18" s="1405">
        <f>SUM(DF15:DF16)</f>
        <v>2756.360976831108</v>
      </c>
    </row>
    <row r="19" spans="2:110" s="1371" customFormat="1" ht="13.5" thickBot="1" x14ac:dyDescent="0.3">
      <c r="B19" s="1390" t="s">
        <v>189</v>
      </c>
      <c r="C19" s="1391"/>
      <c r="D19" s="1392"/>
      <c r="E19" s="1393"/>
      <c r="F19" s="1393"/>
      <c r="G19" s="1393"/>
      <c r="H19" s="1393"/>
      <c r="I19" s="1393"/>
      <c r="J19" s="1393"/>
      <c r="K19" s="1393"/>
      <c r="L19" s="1393"/>
      <c r="M19" s="1393"/>
      <c r="N19" s="1393"/>
      <c r="O19" s="1394"/>
      <c r="P19" s="1395"/>
      <c r="Q19" s="1395"/>
      <c r="R19" s="1395"/>
      <c r="S19" s="1395"/>
      <c r="T19" s="1395"/>
      <c r="U19" s="1395"/>
      <c r="V19" s="1395"/>
      <c r="W19" s="1395"/>
      <c r="X19" s="1395"/>
      <c r="Y19" s="1395"/>
      <c r="Z19" s="1395"/>
      <c r="AA19" s="1395"/>
      <c r="AB19" s="1395"/>
      <c r="AC19" s="1395"/>
      <c r="AD19" s="1395"/>
      <c r="AE19" s="1395"/>
      <c r="AF19" s="1395"/>
      <c r="AG19" s="1396"/>
      <c r="AH19" s="1395"/>
      <c r="AI19" s="1397"/>
      <c r="AJ19" s="1396"/>
      <c r="AK19" s="1396"/>
      <c r="AL19" s="1396"/>
      <c r="AM19" s="1396"/>
      <c r="AN19" s="1397"/>
      <c r="AO19" s="1396"/>
      <c r="AP19" s="1396"/>
      <c r="AQ19" s="1396"/>
      <c r="AR19" s="1396"/>
      <c r="AS19" s="1397"/>
      <c r="AT19" s="1398"/>
      <c r="AU19" s="1396"/>
      <c r="AV19" s="1396"/>
      <c r="AW19" s="1395"/>
      <c r="AX19" s="1399"/>
      <c r="AY19" s="1395">
        <f ca="1">AY12-AY18</f>
        <v>521.30000099999972</v>
      </c>
      <c r="AZ19" s="1395">
        <f ca="1">AZ12-AZ18</f>
        <v>560.10000100000059</v>
      </c>
      <c r="BA19" s="1395">
        <f ca="1">BA12-BA18</f>
        <v>589.89999900000089</v>
      </c>
      <c r="BB19" s="1395">
        <f ca="1">BB12-BB18</f>
        <v>647.000001</v>
      </c>
      <c r="BC19" s="1399"/>
      <c r="BD19" s="1395">
        <f ca="1">BD12-BD18</f>
        <v>588.20000000000005</v>
      </c>
      <c r="BE19" s="1395">
        <f>BE12-BE18</f>
        <v>613.79999999999995</v>
      </c>
      <c r="BF19" s="1395">
        <f>BF12-BF18</f>
        <v>659.8</v>
      </c>
      <c r="BG19" s="1395">
        <f>BG12-BG18</f>
        <v>657.8</v>
      </c>
      <c r="BH19" s="1399"/>
      <c r="BI19" s="1395">
        <f ca="1">BI12-BI18</f>
        <v>629</v>
      </c>
      <c r="BJ19" s="1395">
        <f ca="1">BJ12-BJ18</f>
        <v>1369.7000000000003</v>
      </c>
      <c r="BK19" s="1395">
        <f ca="1">BK12-BK18</f>
        <v>1548.3000000000002</v>
      </c>
      <c r="BL19" s="1395">
        <f ca="1">BL12-BL18</f>
        <v>1745.9077499999999</v>
      </c>
      <c r="BM19" s="1399">
        <f ca="1">SUM(BI19:BL19)</f>
        <v>5292.9077500000003</v>
      </c>
      <c r="BN19" s="1395">
        <f ca="1">BN12-BN18</f>
        <v>1721.5937999999999</v>
      </c>
      <c r="BO19" s="1395">
        <f ca="1">BO12-BO18</f>
        <v>1806.4460052851182</v>
      </c>
      <c r="BP19" s="1395">
        <f>BP12-BP18</f>
        <v>1499.7</v>
      </c>
      <c r="BQ19" s="1395">
        <f ca="1">BQ12-BQ18</f>
        <v>1291.9370000000008</v>
      </c>
      <c r="BR19" s="1399">
        <f ca="1">SUM(BN19:BQ19)</f>
        <v>6319.6768052851185</v>
      </c>
      <c r="BS19" s="1395">
        <f ca="1">BS12-BS18</f>
        <v>1223.0939476833646</v>
      </c>
      <c r="BT19" s="1395">
        <f ca="1">BT12-BT18</f>
        <v>1492</v>
      </c>
      <c r="BU19" s="1395">
        <f ca="1">BU12-BU18</f>
        <v>1588.6139801890147</v>
      </c>
      <c r="BV19" s="1395">
        <f ca="1">BV12-BV18</f>
        <v>1498.1920721276206</v>
      </c>
      <c r="BW19" s="1399">
        <f ca="1">SUM(BS19:BV19)</f>
        <v>5801.9</v>
      </c>
      <c r="BX19" s="1860">
        <f>BX12-BX18</f>
        <v>1395.7</v>
      </c>
      <c r="BY19" s="1860">
        <f ca="1">BY12-BY18</f>
        <v>1674.3</v>
      </c>
      <c r="BZ19" s="1860">
        <f ca="1">BZ12-BZ18</f>
        <v>1696.9999999999998</v>
      </c>
      <c r="CA19" s="1860">
        <f ca="1">CA12-CA18</f>
        <v>1802.9000000000003</v>
      </c>
      <c r="CB19" s="1861">
        <f ca="1">SUM(BX19:CA19)</f>
        <v>6569.9000000000005</v>
      </c>
      <c r="CC19" s="1860">
        <f ca="1">CC12-CC18</f>
        <v>1366</v>
      </c>
      <c r="CD19" s="1860">
        <f ca="1">CD12-CD18</f>
        <v>1709.1999999999998</v>
      </c>
      <c r="CE19" s="1860">
        <f ca="1">CE12-CE18</f>
        <v>1868.6000000000001</v>
      </c>
      <c r="CF19" s="1395">
        <f ca="1">CF12-CF18</f>
        <v>2010.1999999999998</v>
      </c>
      <c r="CG19" s="1399">
        <f ca="1">SUM(CC19:CF19)</f>
        <v>6954</v>
      </c>
      <c r="CH19" s="1395">
        <f ca="1">CH12-CH18</f>
        <v>1871.1999999999996</v>
      </c>
      <c r="CI19" s="1395">
        <f ca="1">CI12-CI18</f>
        <v>1897.3000000000002</v>
      </c>
      <c r="CJ19" s="1395">
        <f ca="1">CJ12-CJ18</f>
        <v>1943.8000000000002</v>
      </c>
      <c r="CK19" s="1395">
        <f ca="1">CK12-CK18</f>
        <v>1879.2899999999995</v>
      </c>
      <c r="CL19" s="1399">
        <f ca="1">SUM(CH19:CK19)</f>
        <v>7591.59</v>
      </c>
      <c r="CM19" s="1395">
        <f ca="1">CM12-CM18</f>
        <v>1376.1124874894365</v>
      </c>
      <c r="CN19" s="1395">
        <f ca="1">CN12-CN18</f>
        <v>1804.4732676741783</v>
      </c>
      <c r="CO19" s="1395">
        <f ca="1">CO12-CO18</f>
        <v>1822.2313226510926</v>
      </c>
      <c r="CP19" s="1395">
        <f ca="1">CP12-CP18</f>
        <v>1975.7736214317779</v>
      </c>
      <c r="CQ19" s="1399">
        <f ca="1">SUM(CM19:CP19)</f>
        <v>6978.5906992464843</v>
      </c>
      <c r="CR19" s="1395">
        <f ca="1">CR12-CR18</f>
        <v>1365.9351650047879</v>
      </c>
      <c r="CS19" s="1395">
        <f ca="1">CS12-CS18</f>
        <v>1730.8656816902894</v>
      </c>
      <c r="CT19" s="1395">
        <f ca="1">CT12-CT18</f>
        <v>1724.6317630855501</v>
      </c>
      <c r="CU19" s="1395">
        <f ca="1">CU12-CU18</f>
        <v>1863.3386332190826</v>
      </c>
      <c r="CV19" s="1399">
        <f ca="1">SUM(CR19:CU19)</f>
        <v>6684.77124299971</v>
      </c>
      <c r="CW19" s="1395">
        <f ca="1">CW12-CW18</f>
        <v>1181.6274615641814</v>
      </c>
      <c r="CX19" s="1395">
        <f ca="1">CX12-CX18</f>
        <v>1480.8358577504966</v>
      </c>
      <c r="CY19" s="1395">
        <f ca="1">CY12-CY18</f>
        <v>1460.4488998743968</v>
      </c>
      <c r="CZ19" s="1395">
        <f ca="1">CZ12-CZ18</f>
        <v>1573.0651790177048</v>
      </c>
      <c r="DA19" s="1399">
        <f ca="1">SUM(CW19:CZ19)</f>
        <v>5695.97739820678</v>
      </c>
      <c r="DB19" s="1395">
        <f ca="1">DB12-DB18</f>
        <v>991.75758965764066</v>
      </c>
      <c r="DC19" s="1395">
        <f ca="1">DC12-DC18</f>
        <v>1227.5232634024221</v>
      </c>
      <c r="DD19" s="1395">
        <f ca="1">DD12-DD18</f>
        <v>1256.5625595545216</v>
      </c>
      <c r="DE19" s="1395">
        <f ca="1">DE12-DE18</f>
        <v>1331.7406287322506</v>
      </c>
      <c r="DF19" s="1399">
        <f ca="1">SUM(DB19:DE19)</f>
        <v>4807.584041346835</v>
      </c>
    </row>
    <row r="20" spans="2:110" s="296" customFormat="1" ht="13.5" x14ac:dyDescent="0.25">
      <c r="B20" s="295"/>
      <c r="C20" s="295"/>
      <c r="D20" s="295"/>
      <c r="E20" s="290"/>
      <c r="F20" s="290"/>
      <c r="G20" s="290"/>
      <c r="H20" s="290"/>
      <c r="I20" s="290"/>
      <c r="J20" s="290"/>
      <c r="K20" s="290"/>
      <c r="L20" s="290"/>
      <c r="N20" s="290"/>
      <c r="O20" s="297"/>
      <c r="P20" s="298"/>
      <c r="Q20" s="298"/>
      <c r="R20" s="298"/>
      <c r="S20" s="298"/>
      <c r="T20" s="298"/>
      <c r="U20" s="298"/>
      <c r="V20" s="298"/>
      <c r="W20" s="298"/>
      <c r="X20" s="277"/>
      <c r="Y20" s="277"/>
      <c r="Z20" s="277"/>
      <c r="AA20" s="277"/>
      <c r="AB20" s="277"/>
      <c r="AC20" s="277"/>
      <c r="AD20" s="277"/>
      <c r="AE20" s="277"/>
      <c r="AF20" s="277"/>
      <c r="AG20" s="277"/>
      <c r="AH20" s="277"/>
      <c r="AI20" s="277"/>
      <c r="AJ20" s="277"/>
      <c r="AK20" s="277"/>
      <c r="AL20" s="277"/>
      <c r="AM20" s="277"/>
      <c r="AN20" s="277"/>
      <c r="AO20" s="277"/>
      <c r="AP20" s="277"/>
      <c r="AQ20" s="277"/>
      <c r="AR20" s="277"/>
      <c r="AS20" s="277"/>
      <c r="AT20" s="277"/>
      <c r="AU20" s="277"/>
      <c r="AV20" s="277"/>
      <c r="AW20" s="277"/>
      <c r="AX20" s="277"/>
      <c r="AY20" s="277"/>
      <c r="AZ20" s="277"/>
      <c r="BA20" s="277"/>
      <c r="BB20" s="277"/>
      <c r="BC20" s="277"/>
      <c r="BD20" s="277"/>
      <c r="BE20" s="277"/>
      <c r="BF20" s="277"/>
      <c r="BG20" s="277"/>
      <c r="BH20" s="277"/>
      <c r="BI20" s="277"/>
      <c r="BJ20" s="277"/>
      <c r="BK20" s="277"/>
      <c r="BL20" s="277"/>
      <c r="BM20" s="277"/>
      <c r="BN20" s="277"/>
      <c r="BO20" s="277"/>
      <c r="BP20" s="277"/>
      <c r="BQ20" s="277"/>
      <c r="BR20" s="277"/>
      <c r="BS20" s="277"/>
      <c r="BT20" s="277"/>
      <c r="BU20" s="277"/>
      <c r="BV20" s="277"/>
      <c r="BW20" s="277"/>
      <c r="BX20" s="277"/>
      <c r="BY20" s="277"/>
      <c r="BZ20" s="277"/>
      <c r="CA20" s="277"/>
      <c r="CB20" s="277"/>
      <c r="CC20"/>
      <c r="CD20"/>
      <c r="CE20"/>
      <c r="CF20"/>
      <c r="CG20"/>
      <c r="CH20"/>
      <c r="CI20" s="277"/>
      <c r="CJ20" s="277"/>
      <c r="CK20" s="277"/>
      <c r="CL20" s="277"/>
      <c r="CM20" s="277"/>
      <c r="CN20" s="277"/>
      <c r="CO20" s="277"/>
      <c r="CP20" s="277"/>
      <c r="CQ20" s="277">
        <v>37.5</v>
      </c>
      <c r="CR20" s="277"/>
      <c r="CS20" s="277"/>
      <c r="CT20" s="277"/>
      <c r="CU20" s="277"/>
      <c r="CV20" s="277">
        <v>37.5</v>
      </c>
      <c r="CW20" s="277"/>
      <c r="CX20" s="277"/>
      <c r="CY20" s="277"/>
      <c r="CZ20" s="277"/>
      <c r="DA20" s="277">
        <v>115</v>
      </c>
      <c r="DB20" s="277"/>
      <c r="DC20" s="277"/>
      <c r="DD20" s="277"/>
      <c r="DE20" s="277"/>
      <c r="DF20" s="277">
        <v>97.5</v>
      </c>
    </row>
    <row r="21" spans="2:110" s="296" customFormat="1" ht="13.5" hidden="1" thickBot="1" x14ac:dyDescent="0.3">
      <c r="B21" s="1400" t="s">
        <v>424</v>
      </c>
      <c r="C21" s="1401"/>
      <c r="D21" s="1401"/>
      <c r="E21" s="1402"/>
      <c r="F21" s="1402"/>
      <c r="G21" s="1402"/>
      <c r="H21" s="1402"/>
      <c r="I21" s="1402"/>
      <c r="J21" s="1402"/>
      <c r="K21" s="1402"/>
      <c r="L21" s="1402"/>
      <c r="M21" s="1402"/>
      <c r="N21" s="1402"/>
      <c r="O21" s="1403"/>
      <c r="P21" s="1404"/>
      <c r="Q21" s="1404"/>
      <c r="R21" s="1404"/>
      <c r="S21" s="1404"/>
      <c r="T21" s="1404"/>
      <c r="U21" s="1404"/>
      <c r="V21" s="1404"/>
      <c r="W21" s="1404"/>
      <c r="X21" s="1404"/>
      <c r="Y21" s="1404"/>
      <c r="Z21" s="1404"/>
      <c r="AA21" s="1404"/>
      <c r="AB21" s="1404"/>
      <c r="AC21" s="1404"/>
      <c r="AD21" s="1404"/>
      <c r="AE21" s="1404"/>
      <c r="AF21" s="1404"/>
      <c r="AG21" s="1404"/>
      <c r="AH21" s="1404"/>
      <c r="AI21" s="1405"/>
      <c r="AJ21" s="1404"/>
      <c r="AK21" s="1404"/>
      <c r="AL21" s="1404"/>
      <c r="AM21" s="1404"/>
      <c r="AN21" s="1405"/>
      <c r="AO21" s="1404"/>
      <c r="AP21" s="1404"/>
      <c r="AQ21" s="1404"/>
      <c r="AR21" s="1404"/>
      <c r="AS21" s="1405"/>
      <c r="AT21" s="1404"/>
      <c r="AU21" s="1404"/>
      <c r="AV21" s="1404"/>
      <c r="AW21" s="1404"/>
      <c r="AX21" s="1405"/>
      <c r="AY21" s="1404">
        <f ca="1">-AY16+AY10</f>
        <v>0</v>
      </c>
      <c r="AZ21" s="1404">
        <f ca="1">-AZ16+AZ10</f>
        <v>0</v>
      </c>
      <c r="BA21" s="1404">
        <f ca="1">-BA16+BA10</f>
        <v>0</v>
      </c>
      <c r="BB21" s="1404">
        <f ca="1">-BB16+BB10</f>
        <v>0</v>
      </c>
      <c r="BC21" s="1405">
        <f t="shared" ref="BC21:BX21" si="21">-BC16+BC10</f>
        <v>0</v>
      </c>
      <c r="BD21" s="1404">
        <f ca="1">-BD16+BD10</f>
        <v>0</v>
      </c>
      <c r="BE21" s="1404">
        <f t="shared" si="21"/>
        <v>0</v>
      </c>
      <c r="BF21" s="1404">
        <f t="shared" si="21"/>
        <v>0</v>
      </c>
      <c r="BG21" s="1404">
        <f t="shared" si="21"/>
        <v>0</v>
      </c>
      <c r="BH21" s="1405">
        <f t="shared" si="21"/>
        <v>0</v>
      </c>
      <c r="BI21" s="1404">
        <f t="shared" ref="BI21:BO21" ca="1" si="22">-BI16+BI10</f>
        <v>0</v>
      </c>
      <c r="BJ21" s="1404">
        <f t="shared" ca="1" si="22"/>
        <v>-32.997354863525523</v>
      </c>
      <c r="BK21" s="1404">
        <f t="shared" ca="1" si="22"/>
        <v>33.123595000000016</v>
      </c>
      <c r="BL21" s="1404">
        <f t="shared" ca="1" si="22"/>
        <v>201.20775000000003</v>
      </c>
      <c r="BM21" s="1405">
        <f t="shared" ca="1" si="22"/>
        <v>201.33399013647454</v>
      </c>
      <c r="BN21" s="1403">
        <f t="shared" ca="1" si="22"/>
        <v>246.49348613173385</v>
      </c>
      <c r="BO21" s="1403">
        <f t="shared" ca="1" si="22"/>
        <v>217.34419223182255</v>
      </c>
      <c r="BP21" s="1403">
        <f t="shared" si="21"/>
        <v>78.297418956834946</v>
      </c>
      <c r="BQ21" s="1403">
        <f ca="1">-BQ16+BQ10</f>
        <v>62.43756335705644</v>
      </c>
      <c r="BR21" s="1456">
        <f ca="1">-BR16+BR10</f>
        <v>604.57266067744774</v>
      </c>
      <c r="BS21" s="1403">
        <f t="shared" si="21"/>
        <v>25.5</v>
      </c>
      <c r="BT21" s="1403">
        <f ca="1">-BT16+BT10</f>
        <v>121.65190730000604</v>
      </c>
      <c r="BU21" s="1403">
        <f ca="1">-BU16+BU10</f>
        <v>79.049207830175817</v>
      </c>
      <c r="BV21" s="1403">
        <f t="shared" si="21"/>
        <v>0</v>
      </c>
      <c r="BW21" s="1456">
        <f ca="1">-BW16+BW10</f>
        <v>226.20111513018185</v>
      </c>
      <c r="BX21" s="1403">
        <f t="shared" si="21"/>
        <v>26.885000000000005</v>
      </c>
      <c r="BY21" s="1403">
        <f t="shared" ref="BY21:CQ21" ca="1" si="23">-BY16+BY10</f>
        <v>107.54000000000002</v>
      </c>
      <c r="BZ21" s="1403">
        <f t="shared" ca="1" si="23"/>
        <v>76.326515000000001</v>
      </c>
      <c r="CA21" s="1403">
        <f t="shared" ca="1" si="23"/>
        <v>0</v>
      </c>
      <c r="CB21" s="1456">
        <f t="shared" ca="1" si="23"/>
        <v>210.75151500000001</v>
      </c>
      <c r="CC21" s="1403">
        <f t="shared" ca="1" si="23"/>
        <v>112.97065414742747</v>
      </c>
      <c r="CD21" s="1403">
        <f t="shared" ca="1" si="23"/>
        <v>135.94092750769391</v>
      </c>
      <c r="CE21" s="1403">
        <f t="shared" ca="1" si="23"/>
        <v>172.37605622922575</v>
      </c>
      <c r="CF21" s="1403">
        <f t="shared" ca="1" si="23"/>
        <v>260.23382968738525</v>
      </c>
      <c r="CG21" s="1456">
        <f t="shared" ca="1" si="23"/>
        <v>681.52146757173239</v>
      </c>
      <c r="CH21" s="1403">
        <f t="shared" ref="CH21:CI21" ca="1" si="24">-CH16+CH10</f>
        <v>121.71992050111305</v>
      </c>
      <c r="CI21" s="1403">
        <f t="shared" ca="1" si="24"/>
        <v>167.43945069538609</v>
      </c>
      <c r="CJ21" s="1403">
        <f t="shared" ref="CJ21:CK21" ca="1" si="25">-CJ16+CJ10</f>
        <v>202.94295763495631</v>
      </c>
      <c r="CK21" s="1403">
        <f t="shared" ca="1" si="25"/>
        <v>243.01467542956988</v>
      </c>
      <c r="CL21" s="1456">
        <f t="shared" ca="1" si="23"/>
        <v>735.11700426102539</v>
      </c>
      <c r="CM21" s="1403">
        <f t="shared" ca="1" si="23"/>
        <v>0</v>
      </c>
      <c r="CN21" s="1403">
        <f t="shared" ca="1" si="23"/>
        <v>0</v>
      </c>
      <c r="CO21" s="1403">
        <f t="shared" ca="1" si="23"/>
        <v>0</v>
      </c>
      <c r="CP21" s="1403">
        <f t="shared" ca="1" si="23"/>
        <v>0</v>
      </c>
      <c r="CQ21" s="1456">
        <f t="shared" ca="1" si="23"/>
        <v>0</v>
      </c>
      <c r="CR21" s="1403">
        <f t="shared" ref="CR21:CV21" ca="1" si="26">-CR16+CR10</f>
        <v>0</v>
      </c>
      <c r="CS21" s="1403">
        <f t="shared" ca="1" si="26"/>
        <v>0</v>
      </c>
      <c r="CT21" s="1403">
        <f t="shared" ca="1" si="26"/>
        <v>0</v>
      </c>
      <c r="CU21" s="1403">
        <f t="shared" ca="1" si="26"/>
        <v>0</v>
      </c>
      <c r="CV21" s="1456">
        <f t="shared" ca="1" si="26"/>
        <v>0</v>
      </c>
      <c r="CW21" s="1403">
        <f t="shared" ref="CW21:DF21" ca="1" si="27">-CW16+CW10</f>
        <v>0</v>
      </c>
      <c r="CX21" s="1403">
        <f t="shared" ca="1" si="27"/>
        <v>0</v>
      </c>
      <c r="CY21" s="1403">
        <f t="shared" ca="1" si="27"/>
        <v>0</v>
      </c>
      <c r="CZ21" s="1403">
        <f t="shared" ca="1" si="27"/>
        <v>0</v>
      </c>
      <c r="DA21" s="1456">
        <f t="shared" ca="1" si="27"/>
        <v>0</v>
      </c>
      <c r="DB21" s="1403">
        <f t="shared" ca="1" si="27"/>
        <v>0</v>
      </c>
      <c r="DC21" s="1403">
        <f t="shared" ca="1" si="27"/>
        <v>0</v>
      </c>
      <c r="DD21" s="1403">
        <f t="shared" ca="1" si="27"/>
        <v>0</v>
      </c>
      <c r="DE21" s="1403">
        <f t="shared" ca="1" si="27"/>
        <v>0</v>
      </c>
      <c r="DF21" s="1456">
        <f t="shared" ca="1" si="27"/>
        <v>0</v>
      </c>
    </row>
    <row r="22" spans="2:110" s="296" customFormat="1" ht="13.5" thickBot="1" x14ac:dyDescent="0.3">
      <c r="B22" s="295"/>
      <c r="C22" s="295"/>
      <c r="D22" s="295"/>
      <c r="E22" s="290"/>
      <c r="F22" s="290"/>
      <c r="G22" s="290"/>
      <c r="H22" s="290"/>
      <c r="I22" s="290"/>
      <c r="J22" s="290"/>
      <c r="K22" s="290"/>
      <c r="L22" s="290"/>
      <c r="N22" s="290"/>
      <c r="O22" s="297"/>
      <c r="P22" s="298"/>
      <c r="Q22" s="298"/>
      <c r="R22" s="298"/>
      <c r="S22" s="298"/>
      <c r="T22" s="298"/>
      <c r="U22" s="298"/>
      <c r="V22" s="298"/>
      <c r="W22" s="298"/>
      <c r="X22" s="277"/>
      <c r="Y22" s="277"/>
      <c r="Z22" s="277"/>
      <c r="AA22" s="277"/>
      <c r="AB22" s="277"/>
      <c r="AC22" s="277"/>
      <c r="AD22" s="277"/>
      <c r="AE22" s="277"/>
      <c r="AF22" s="277"/>
      <c r="AG22" s="277"/>
      <c r="AH22" s="277"/>
      <c r="AI22" s="277"/>
      <c r="AJ22" s="277"/>
      <c r="AK22" s="277"/>
      <c r="AL22" s="277"/>
      <c r="AM22" s="277"/>
      <c r="AN22" s="277"/>
      <c r="AO22" s="277"/>
      <c r="AP22" s="277"/>
      <c r="AQ22" s="277"/>
      <c r="AR22" s="277"/>
      <c r="AS22" s="277"/>
      <c r="AT22" s="277"/>
      <c r="AU22" s="277"/>
      <c r="AV22" s="277"/>
      <c r="AW22" s="277"/>
      <c r="AX22" s="277"/>
      <c r="AY22" s="277"/>
      <c r="AZ22" s="277"/>
      <c r="BA22" s="277"/>
      <c r="BB22" s="277"/>
      <c r="BC22" s="277"/>
      <c r="BD22" s="277"/>
      <c r="BE22" s="277"/>
      <c r="BF22" s="277"/>
      <c r="BG22" s="277"/>
      <c r="BH22" s="277"/>
      <c r="BI22" s="277"/>
      <c r="BJ22" s="277"/>
      <c r="BK22" s="277"/>
      <c r="BL22" s="277"/>
      <c r="BM22" s="277"/>
      <c r="BN22" s="277"/>
      <c r="BO22" s="277"/>
      <c r="BP22" s="277"/>
      <c r="BQ22" s="277"/>
      <c r="BR22" s="277"/>
      <c r="BS22" s="277"/>
      <c r="BT22" s="277"/>
      <c r="BU22" s="277"/>
      <c r="BV22" s="277"/>
      <c r="BW22" s="277"/>
      <c r="BX22" s="277"/>
      <c r="BY22" s="277"/>
      <c r="BZ22" s="277"/>
      <c r="CA22" s="277"/>
      <c r="CB22" s="277"/>
      <c r="CC22" s="277"/>
      <c r="CD22" s="277"/>
      <c r="CE22" s="277"/>
      <c r="CF22" s="277"/>
      <c r="CG22" s="277"/>
      <c r="CH22" s="277"/>
      <c r="CI22" s="277"/>
      <c r="CJ22" s="277"/>
      <c r="CK22" s="277"/>
      <c r="CL22" s="277"/>
      <c r="CM22" s="277"/>
      <c r="CN22" s="277"/>
      <c r="CO22" s="277"/>
      <c r="CP22" s="277"/>
      <c r="CQ22" s="1963">
        <f ca="1">CQ20/CQ7</f>
        <v>3.9451002585087286E-4</v>
      </c>
      <c r="CR22" s="277"/>
      <c r="CS22" s="277"/>
      <c r="CT22" s="277"/>
      <c r="CU22" s="277"/>
      <c r="CV22" s="1963">
        <f ca="1">CV20/CV7</f>
        <v>3.752031065665677E-4</v>
      </c>
      <c r="CW22" s="277"/>
      <c r="CX22" s="277"/>
      <c r="CY22" s="277"/>
      <c r="CZ22" s="277"/>
      <c r="DA22" s="1963">
        <f ca="1">DA20/DA7</f>
        <v>1.2239005861678855E-3</v>
      </c>
      <c r="DB22" s="277"/>
      <c r="DC22" s="277"/>
      <c r="DD22" s="277"/>
      <c r="DE22" s="277"/>
      <c r="DF22" s="1963">
        <f ca="1">DF20/DF7</f>
        <v>1.099701592062052E-3</v>
      </c>
    </row>
    <row r="23" spans="2:110" s="296" customFormat="1" ht="13.5" thickBot="1" x14ac:dyDescent="0.3">
      <c r="B23" s="949" t="s">
        <v>190</v>
      </c>
      <c r="C23" s="950"/>
      <c r="D23" s="950"/>
      <c r="E23" s="951"/>
      <c r="F23" s="951"/>
      <c r="G23" s="951"/>
      <c r="H23" s="951"/>
      <c r="I23" s="951"/>
      <c r="J23" s="951"/>
      <c r="K23" s="951"/>
      <c r="L23" s="951"/>
      <c r="M23" s="951"/>
      <c r="N23" s="951"/>
      <c r="O23" s="951"/>
      <c r="P23" s="951"/>
      <c r="Q23" s="951"/>
      <c r="R23" s="951"/>
      <c r="S23" s="951"/>
      <c r="T23" s="951"/>
      <c r="U23" s="951"/>
      <c r="V23" s="951"/>
      <c r="W23" s="951"/>
      <c r="X23" s="951"/>
      <c r="Y23" s="951"/>
      <c r="Z23" s="951"/>
      <c r="AA23" s="951"/>
      <c r="AB23" s="952"/>
      <c r="AC23" s="951"/>
      <c r="AD23" s="951"/>
      <c r="AE23" s="951"/>
      <c r="AF23" s="952"/>
      <c r="AG23" s="952"/>
      <c r="AH23" s="951"/>
      <c r="AI23" s="951"/>
      <c r="AJ23" s="951"/>
      <c r="AK23" s="951"/>
      <c r="AL23" s="952"/>
      <c r="AM23" s="951"/>
      <c r="AN23" s="951"/>
      <c r="AO23" s="951"/>
      <c r="AP23" s="951"/>
      <c r="AQ23" s="951"/>
      <c r="AR23" s="951"/>
      <c r="AS23" s="951"/>
      <c r="AT23" s="951"/>
      <c r="AU23" s="951"/>
      <c r="AV23" s="951"/>
      <c r="AW23" s="951"/>
      <c r="AX23" s="951"/>
      <c r="AY23" s="951"/>
      <c r="AZ23" s="951"/>
      <c r="BA23" s="951"/>
      <c r="BB23" s="951"/>
      <c r="BC23" s="951"/>
      <c r="BD23" s="951"/>
      <c r="BE23" s="951"/>
      <c r="BF23" s="951"/>
      <c r="BG23" s="951"/>
      <c r="BH23" s="951"/>
      <c r="BI23" s="951"/>
      <c r="BJ23" s="951"/>
      <c r="BK23" s="951"/>
      <c r="BL23" s="951"/>
      <c r="BM23" s="951"/>
      <c r="BN23" s="951"/>
      <c r="BO23" s="951"/>
      <c r="BP23" s="951"/>
      <c r="BQ23" s="951"/>
      <c r="BR23" s="951"/>
      <c r="BS23" s="951"/>
      <c r="BT23" s="951"/>
      <c r="BU23" s="951"/>
      <c r="BV23" s="951"/>
      <c r="BW23" s="951"/>
      <c r="BX23" s="951"/>
      <c r="BY23" s="951"/>
      <c r="BZ23" s="951"/>
      <c r="CA23" s="951"/>
      <c r="CB23" s="953"/>
      <c r="CC23" s="951"/>
      <c r="CD23" s="951"/>
      <c r="CE23" s="951"/>
      <c r="CF23" s="951"/>
      <c r="CG23" s="953"/>
      <c r="CH23" s="951"/>
      <c r="CI23" s="951"/>
      <c r="CJ23" s="951"/>
      <c r="CK23" s="951"/>
      <c r="CL23" s="953"/>
      <c r="CM23" s="951"/>
      <c r="CN23" s="951"/>
      <c r="CO23" s="951"/>
      <c r="CP23" s="951"/>
      <c r="CQ23" s="953"/>
      <c r="CR23" s="951"/>
      <c r="CS23" s="951"/>
      <c r="CT23" s="951"/>
      <c r="CU23" s="951"/>
      <c r="CV23" s="953"/>
      <c r="CW23" s="951"/>
      <c r="CX23" s="951"/>
      <c r="CY23" s="951"/>
      <c r="CZ23" s="951"/>
      <c r="DA23" s="953"/>
      <c r="DB23" s="951"/>
      <c r="DC23" s="951"/>
      <c r="DD23" s="951"/>
      <c r="DE23" s="951"/>
      <c r="DF23" s="953"/>
    </row>
    <row r="24" spans="2:110" s="296" customFormat="1" x14ac:dyDescent="0.25">
      <c r="B24" s="302" t="s">
        <v>169</v>
      </c>
      <c r="C24" s="303"/>
      <c r="D24" s="303"/>
      <c r="E24" s="304"/>
      <c r="F24" s="305"/>
      <c r="G24" s="305"/>
      <c r="H24" s="305"/>
      <c r="I24" s="305"/>
      <c r="J24" s="305"/>
      <c r="K24" s="305"/>
      <c r="L24" s="305"/>
      <c r="M24" s="305"/>
      <c r="N24" s="305"/>
      <c r="O24" s="305"/>
      <c r="P24" s="305"/>
      <c r="Q24" s="305"/>
      <c r="R24" s="305"/>
      <c r="S24" s="305"/>
      <c r="T24" s="305"/>
      <c r="U24" s="305"/>
      <c r="V24" s="305"/>
      <c r="W24" s="305"/>
      <c r="X24" s="305"/>
      <c r="Y24" s="305"/>
      <c r="Z24" s="305"/>
      <c r="AA24" s="305"/>
      <c r="AB24" s="305"/>
      <c r="AC24" s="305"/>
      <c r="AD24" s="305"/>
      <c r="AE24" s="305"/>
      <c r="AF24" s="305"/>
      <c r="AG24" s="305"/>
      <c r="AH24" s="305"/>
      <c r="AI24" s="306"/>
      <c r="AJ24" s="305"/>
      <c r="AK24" s="305"/>
      <c r="AL24" s="305"/>
      <c r="AM24" s="305"/>
      <c r="AN24" s="306"/>
      <c r="AO24" s="305"/>
      <c r="AP24" s="305"/>
      <c r="AQ24" s="305"/>
      <c r="AR24" s="305"/>
      <c r="AS24" s="306"/>
      <c r="AT24" s="305"/>
      <c r="AU24" s="305"/>
      <c r="AV24" s="305"/>
      <c r="AW24" s="305"/>
      <c r="AX24" s="306"/>
      <c r="AY24" s="305">
        <f ca="1">AY8/AY7</f>
        <v>0.93497172473915813</v>
      </c>
      <c r="AZ24" s="305">
        <f ca="1">AZ8/AZ7</f>
        <v>0.93021068291613762</v>
      </c>
      <c r="BA24" s="305">
        <f ca="1">BA8/BA7</f>
        <v>0.92707903221662491</v>
      </c>
      <c r="BB24" s="305">
        <f ca="1">BB8/BB7</f>
        <v>0.92534397199149376</v>
      </c>
      <c r="BC24" s="306"/>
      <c r="BD24" s="305">
        <f ca="1">BD8/BD7</f>
        <v>0.9296643997634535</v>
      </c>
      <c r="BE24" s="305">
        <f>BE8/BE7</f>
        <v>0.92776466545490721</v>
      </c>
      <c r="BF24" s="305">
        <f>BF8/BF7</f>
        <v>0.9242788781661444</v>
      </c>
      <c r="BG24" s="305">
        <f>BG8/BG7</f>
        <v>0.9273037802372478</v>
      </c>
      <c r="BH24" s="306"/>
      <c r="BI24" s="305">
        <f ca="1">BI8/BI7</f>
        <v>0.92806646807716131</v>
      </c>
      <c r="BJ24" s="305">
        <f ca="1">BJ8/BJ7</f>
        <v>0.92423042458179494</v>
      </c>
      <c r="BK24" s="305">
        <f ca="1">BK8/BK7</f>
        <v>0.92130840764574462</v>
      </c>
      <c r="BL24" s="305">
        <f ca="1">BL8/BL7</f>
        <v>0.90803133514986378</v>
      </c>
      <c r="BM24" s="306">
        <f ca="1">BM8/BM$7</f>
        <v>0.91914922292507362</v>
      </c>
      <c r="BN24" s="305">
        <f ca="1">BN8/BN7</f>
        <v>0.91303046716846037</v>
      </c>
      <c r="BO24" s="305">
        <f ca="1">BO8/BO7</f>
        <v>0.91113163717241297</v>
      </c>
      <c r="BP24" s="305">
        <f ca="1">BP8/BP7</f>
        <v>0.9215905864538313</v>
      </c>
      <c r="BQ24" s="305">
        <f ca="1">BQ8/BQ7</f>
        <v>0.92605225309164718</v>
      </c>
      <c r="BR24" s="306">
        <f ca="1">BR8/BR$7</f>
        <v>0.9178948285495514</v>
      </c>
      <c r="BS24" s="305">
        <f ca="1">BS8/BS7</f>
        <v>0.92619517908776972</v>
      </c>
      <c r="BT24" s="305">
        <f ca="1">BT8/BT7</f>
        <v>0.91979971352668244</v>
      </c>
      <c r="BU24" s="305">
        <f ca="1">BU8/BU7</f>
        <v>0.91752058771345968</v>
      </c>
      <c r="BV24" s="305">
        <f ca="1">BV8/BV7</f>
        <v>0.92212224705665569</v>
      </c>
      <c r="BW24" s="306">
        <f ca="1">BW8/BW$7</f>
        <v>0.92132558989562596</v>
      </c>
      <c r="BX24" s="305">
        <v>0.92012153300421295</v>
      </c>
      <c r="BY24" s="305">
        <f ca="1">BY8/BY7</f>
        <v>0.91340784377017437</v>
      </c>
      <c r="BZ24" s="305">
        <f ca="1">BZ8/BZ7</f>
        <v>0.91056930450943951</v>
      </c>
      <c r="CA24" s="305">
        <f ca="1">CA8/CA7</f>
        <v>0.909288351268557</v>
      </c>
      <c r="CB24" s="306">
        <f ca="1">CB8/CB$7</f>
        <v>0.91405819369766828</v>
      </c>
      <c r="CC24" s="305">
        <f ca="1">CC8/CC7</f>
        <v>0.92367112300579868</v>
      </c>
      <c r="CD24" s="305">
        <f ca="1">CD8/CD7</f>
        <v>0.91052850432083254</v>
      </c>
      <c r="CE24" s="305">
        <f ca="1">CE8/CE7</f>
        <v>0.90652284097969316</v>
      </c>
      <c r="CF24" s="305">
        <f ca="1">CF8/CF7</f>
        <v>0.89913049283198987</v>
      </c>
      <c r="CG24" s="306">
        <f ca="1">CG8/CG$7</f>
        <v>0.90995036707682764</v>
      </c>
      <c r="CH24" s="305">
        <f ca="1">CH8/CH7</f>
        <v>0.90083711949595002</v>
      </c>
      <c r="CI24" s="305">
        <f ca="1">CI8/CI7</f>
        <v>0.90305576112886621</v>
      </c>
      <c r="CJ24" s="305">
        <f ca="1">CJ8/CJ7</f>
        <v>0.90027838578744934</v>
      </c>
      <c r="CK24" s="305">
        <f ca="1">CK8/CK7</f>
        <v>0.90335172962763088</v>
      </c>
      <c r="CL24" s="306">
        <f ca="1">CL8/CL$7</f>
        <v>0.90189534088183976</v>
      </c>
      <c r="CM24" s="305">
        <f ca="1">CM8/CM7</f>
        <v>0.92011896305863927</v>
      </c>
      <c r="CN24" s="305">
        <f ca="1">CN8/CN7</f>
        <v>0.90753842796497719</v>
      </c>
      <c r="CO24" s="305">
        <f ca="1">CO8/CO7</f>
        <v>0.90673405422980302</v>
      </c>
      <c r="CP24" s="305">
        <f ca="1">CP8/CP7</f>
        <v>0.90193683821633341</v>
      </c>
      <c r="CQ24" s="306">
        <f ca="1">CQ8/CQ$7</f>
        <v>0.90898467080319623</v>
      </c>
      <c r="CR24" s="305">
        <f ca="1">CR8/CR7</f>
        <v>0.92434402307101038</v>
      </c>
      <c r="CS24" s="305">
        <f ca="1">CS8/CS7</f>
        <v>0.91540112434082577</v>
      </c>
      <c r="CT24" s="305">
        <f ca="1">CT8/CT7</f>
        <v>0.91576038339056109</v>
      </c>
      <c r="CU24" s="305">
        <f ca="1">CU8/CU7</f>
        <v>0.91170847119862264</v>
      </c>
      <c r="CV24" s="306">
        <f ca="1">CV8/CV$7</f>
        <v>0.91672251950110528</v>
      </c>
      <c r="CW24" s="305">
        <f ca="1">CW8/CW7</f>
        <v>0.92878836852406965</v>
      </c>
      <c r="CX24" s="305">
        <f ca="1">CX8/CX7</f>
        <v>0.92159718060754059</v>
      </c>
      <c r="CY24" s="305">
        <f ca="1">CY8/CY7</f>
        <v>0.92269023404576556</v>
      </c>
      <c r="CZ24" s="305">
        <f ca="1">CZ8/CZ7</f>
        <v>0.91912253092479479</v>
      </c>
      <c r="DA24" s="306">
        <f ca="1">DA8/DA$7</f>
        <v>0.92298712650331516</v>
      </c>
      <c r="DB24" s="305">
        <f ca="1">DB8/DB7</f>
        <v>0.93446754876611959</v>
      </c>
      <c r="DC24" s="305">
        <f ca="1">DC8/DC7</f>
        <v>0.92922242708172487</v>
      </c>
      <c r="DD24" s="305">
        <f ca="1">DD8/DD7</f>
        <v>0.92823791742573192</v>
      </c>
      <c r="DE24" s="305">
        <f ca="1">DE8/DE7</f>
        <v>0.92583567992557081</v>
      </c>
      <c r="DF24" s="306">
        <f ca="1">DF8/DF$7</f>
        <v>0.92938330882828268</v>
      </c>
    </row>
    <row r="25" spans="2:110" s="296" customFormat="1" x14ac:dyDescent="0.25">
      <c r="B25" s="307" t="s">
        <v>420</v>
      </c>
      <c r="C25" s="299"/>
      <c r="D25" s="299"/>
      <c r="F25" s="301"/>
      <c r="G25" s="301"/>
      <c r="H25" s="301"/>
      <c r="I25" s="301"/>
      <c r="J25" s="301"/>
      <c r="K25" s="301"/>
      <c r="L25" s="301"/>
      <c r="M25" s="301"/>
      <c r="N25" s="301"/>
      <c r="O25" s="301"/>
      <c r="P25" s="301"/>
      <c r="Q25" s="301"/>
      <c r="R25" s="301"/>
      <c r="S25" s="301"/>
      <c r="T25" s="301"/>
      <c r="U25" s="301"/>
      <c r="V25" s="301"/>
      <c r="W25" s="301"/>
      <c r="X25" s="301"/>
      <c r="Y25" s="301"/>
      <c r="Z25" s="301"/>
      <c r="AA25" s="301"/>
      <c r="AB25" s="301"/>
      <c r="AC25" s="301"/>
      <c r="AD25" s="301"/>
      <c r="AE25" s="301"/>
      <c r="AF25" s="301"/>
      <c r="AG25" s="301"/>
      <c r="AH25" s="301"/>
      <c r="AI25" s="308"/>
      <c r="AJ25" s="301"/>
      <c r="AK25" s="301"/>
      <c r="AL25" s="301"/>
      <c r="AM25" s="301"/>
      <c r="AN25" s="308"/>
      <c r="AO25" s="301"/>
      <c r="AP25" s="301"/>
      <c r="AQ25" s="301"/>
      <c r="AR25" s="301"/>
      <c r="AS25" s="308"/>
      <c r="AT25" s="301"/>
      <c r="AU25" s="301"/>
      <c r="AV25" s="301"/>
      <c r="AW25" s="301"/>
      <c r="AX25" s="308"/>
      <c r="AY25" s="301">
        <f ca="1">AY9/AY7</f>
        <v>6.5028275260841872E-2</v>
      </c>
      <c r="AZ25" s="301">
        <f ca="1">AZ9/AZ7</f>
        <v>6.9789317083862296E-2</v>
      </c>
      <c r="BA25" s="301">
        <f ca="1">BA9/BA7</f>
        <v>7.292096778337516E-2</v>
      </c>
      <c r="BB25" s="301">
        <f ca="1">BB9/BB7</f>
        <v>7.4656028008506153E-2</v>
      </c>
      <c r="BC25" s="308"/>
      <c r="BD25" s="301">
        <f ca="1">BD9/BD7</f>
        <v>7.0335600236546419E-2</v>
      </c>
      <c r="BE25" s="301">
        <f>BE9/BE7</f>
        <v>7.223533454509283E-2</v>
      </c>
      <c r="BF25" s="301">
        <f>BF9/BF7</f>
        <v>7.5721121833855667E-2</v>
      </c>
      <c r="BG25" s="301">
        <f>BG9/BG7</f>
        <v>7.269621976275227E-2</v>
      </c>
      <c r="BH25" s="308"/>
      <c r="BI25" s="301">
        <f ca="1">BI9/BI7</f>
        <v>7.1933531922838648E-2</v>
      </c>
      <c r="BJ25" s="301">
        <f ca="1">BJ9/BJ7</f>
        <v>7.5769575418205073E-2</v>
      </c>
      <c r="BK25" s="301">
        <f ca="1">BK9/BK7</f>
        <v>7.869159235425538E-2</v>
      </c>
      <c r="BL25" s="301">
        <f ca="1">BL9/BL7</f>
        <v>8.4468664850136224E-2</v>
      </c>
      <c r="BM25" s="308">
        <f ca="1">BM9/BM$7</f>
        <v>7.8656342022030756E-2</v>
      </c>
      <c r="BN25" s="301">
        <f ca="1">BN9/BN7</f>
        <v>7.7969532831539526E-2</v>
      </c>
      <c r="BO25" s="301">
        <f ca="1">BO9/BO7</f>
        <v>8.2868362827587E-2</v>
      </c>
      <c r="BP25" s="301">
        <f ca="1">BP9/BP7</f>
        <v>7.8409413546168649E-2</v>
      </c>
      <c r="BQ25" s="301">
        <f ca="1">BQ9/BQ7</f>
        <v>7.3947746908352818E-2</v>
      </c>
      <c r="BR25" s="308">
        <f ca="1">BR9/BR$7</f>
        <v>7.8327176498897907E-2</v>
      </c>
      <c r="BS25" s="301">
        <v>7.3878466995787012E-2</v>
      </c>
      <c r="BT25" s="301">
        <f ca="1">BT9/BT7</f>
        <v>8.0200286473317589E-2</v>
      </c>
      <c r="BU25" s="301">
        <f ca="1">BU9/BU7</f>
        <v>8.2479412286540391E-2</v>
      </c>
      <c r="BV25" s="301">
        <f ca="1">BV9/BV7</f>
        <v>7.7877752943344397E-2</v>
      </c>
      <c r="BW25" s="308">
        <f ca="1">BW9/BW$7</f>
        <v>7.8674410104373954E-2</v>
      </c>
      <c r="BX25" s="301">
        <v>7.3878466995787012E-2</v>
      </c>
      <c r="BY25" s="301">
        <f ca="1">BY9/BY7</f>
        <v>8.659215622982569E-2</v>
      </c>
      <c r="BZ25" s="301">
        <f ca="1">BZ9/BZ7</f>
        <v>8.9430695490560486E-2</v>
      </c>
      <c r="CA25" s="301">
        <f ca="1">CA9/CA7</f>
        <v>9.0711648731442926E-2</v>
      </c>
      <c r="CB25" s="308">
        <f ca="1">CB9/CB$7</f>
        <v>8.5941806302331836E-2</v>
      </c>
      <c r="CC25" s="301">
        <f ca="1">CC9/CC7</f>
        <v>7.6328876994201336E-2</v>
      </c>
      <c r="CD25" s="301">
        <f ca="1">CD9/CD7</f>
        <v>8.9471495679167359E-2</v>
      </c>
      <c r="CE25" s="301">
        <f ca="1">CE9/CE7</f>
        <v>9.3477159020306733E-2</v>
      </c>
      <c r="CF25" s="301">
        <f ca="1">CF9/CF7</f>
        <v>0.10086950716801016</v>
      </c>
      <c r="CG25" s="308">
        <f ca="1">CG9/CG$7</f>
        <v>9.004963292317239E-2</v>
      </c>
      <c r="CH25" s="301">
        <f ca="1">CH9/CH7</f>
        <v>9.9162880504050088E-2</v>
      </c>
      <c r="CI25" s="301">
        <f ca="1">CI9/CI7</f>
        <v>9.6944238871133806E-2</v>
      </c>
      <c r="CJ25" s="301">
        <f ca="1">CJ9/CJ7</f>
        <v>9.9721614212550741E-2</v>
      </c>
      <c r="CK25" s="301">
        <f ca="1">CK9/CK7</f>
        <v>9.6648270372369199E-2</v>
      </c>
      <c r="CL25" s="308">
        <f ca="1">CL9/CL$7</f>
        <v>9.810465911816027E-2</v>
      </c>
      <c r="CM25" s="301">
        <f ca="1">CM9/CM7</f>
        <v>7.9881036941360645E-2</v>
      </c>
      <c r="CN25" s="301">
        <f ca="1">CN9/CN7</f>
        <v>9.2461572035022768E-2</v>
      </c>
      <c r="CO25" s="301">
        <f ca="1">CO9/CO7</f>
        <v>9.3265945770196923E-2</v>
      </c>
      <c r="CP25" s="301">
        <f ca="1">CP9/CP7</f>
        <v>9.8063161783666614E-2</v>
      </c>
      <c r="CQ25" s="308">
        <f ca="1">CQ9/CQ$7</f>
        <v>9.1015329196803829E-2</v>
      </c>
      <c r="CR25" s="301">
        <f ca="1">CR9/CR7</f>
        <v>7.5655976928989663E-2</v>
      </c>
      <c r="CS25" s="301">
        <f ca="1">CS9/CS7</f>
        <v>8.4598875659174205E-2</v>
      </c>
      <c r="CT25" s="301">
        <f ca="1">CT9/CT7</f>
        <v>8.4239616609438989E-2</v>
      </c>
      <c r="CU25" s="301">
        <f ca="1">CU9/CU7</f>
        <v>8.8291528801377445E-2</v>
      </c>
      <c r="CV25" s="308">
        <f ca="1">CV9/CV$7</f>
        <v>8.3277480498894912E-2</v>
      </c>
      <c r="CW25" s="301">
        <f ca="1">CW9/CW7</f>
        <v>7.1211631475930334E-2</v>
      </c>
      <c r="CX25" s="301">
        <f ca="1">CX9/CX7</f>
        <v>7.8402819392459452E-2</v>
      </c>
      <c r="CY25" s="301">
        <f ca="1">CY9/CY7</f>
        <v>7.730976595423443E-2</v>
      </c>
      <c r="CZ25" s="301">
        <f ca="1">CZ9/CZ7</f>
        <v>8.0877469075205127E-2</v>
      </c>
      <c r="DA25" s="308">
        <f ca="1">DA9/DA$7</f>
        <v>7.7012873496684744E-2</v>
      </c>
      <c r="DB25" s="301">
        <f ca="1">DB9/DB7</f>
        <v>6.5532451233880323E-2</v>
      </c>
      <c r="DC25" s="301">
        <f ca="1">DC9/DC7</f>
        <v>7.0777572918275022E-2</v>
      </c>
      <c r="DD25" s="301">
        <f ca="1">DD9/DD7</f>
        <v>7.1762082574268027E-2</v>
      </c>
      <c r="DE25" s="301">
        <f ca="1">DE9/DE7</f>
        <v>7.4164320074429163E-2</v>
      </c>
      <c r="DF25" s="308">
        <f ca="1">DF9/DF$7</f>
        <v>7.0616691171717344E-2</v>
      </c>
    </row>
    <row r="26" spans="2:110" s="296" customFormat="1" outlineLevel="1" x14ac:dyDescent="0.25">
      <c r="B26" s="307" t="s">
        <v>20</v>
      </c>
      <c r="C26" s="299"/>
      <c r="D26" s="299"/>
      <c r="F26" s="301"/>
      <c r="G26" s="301"/>
      <c r="H26" s="301"/>
      <c r="I26" s="301"/>
      <c r="J26" s="301"/>
      <c r="K26" s="301"/>
      <c r="L26" s="301"/>
      <c r="M26" s="301"/>
      <c r="N26" s="301"/>
      <c r="O26" s="301"/>
      <c r="P26" s="301"/>
      <c r="Q26" s="301"/>
      <c r="R26" s="301"/>
      <c r="S26" s="301"/>
      <c r="T26" s="301"/>
      <c r="U26" s="301"/>
      <c r="V26" s="301"/>
      <c r="W26" s="301"/>
      <c r="X26" s="301"/>
      <c r="Y26" s="301"/>
      <c r="Z26" s="301"/>
      <c r="AA26" s="301"/>
      <c r="AB26" s="301"/>
      <c r="AC26" s="301"/>
      <c r="AD26" s="301"/>
      <c r="AE26" s="301"/>
      <c r="AF26" s="301"/>
      <c r="AG26" s="301"/>
      <c r="AH26" s="301"/>
      <c r="AI26" s="308"/>
      <c r="AJ26" s="301"/>
      <c r="AK26" s="301"/>
      <c r="AL26" s="301"/>
      <c r="AM26" s="301"/>
      <c r="AN26" s="308"/>
      <c r="AO26" s="301"/>
      <c r="AP26" s="301"/>
      <c r="AQ26" s="301"/>
      <c r="AR26" s="301"/>
      <c r="AS26" s="308"/>
      <c r="AT26" s="301"/>
      <c r="AU26" s="301"/>
      <c r="AV26" s="301"/>
      <c r="AW26" s="301"/>
      <c r="AX26" s="308"/>
      <c r="AY26" s="309">
        <v>0</v>
      </c>
      <c r="AZ26" s="309">
        <v>0</v>
      </c>
      <c r="BA26" s="309">
        <v>0</v>
      </c>
      <c r="BB26" s="309">
        <v>0</v>
      </c>
      <c r="BC26" s="308"/>
      <c r="BD26" s="309">
        <v>0</v>
      </c>
      <c r="BE26" s="301">
        <v>0</v>
      </c>
      <c r="BF26" s="301">
        <v>0</v>
      </c>
      <c r="BG26" s="301">
        <v>0</v>
      </c>
      <c r="BH26" s="308"/>
      <c r="BI26" s="1381">
        <v>0</v>
      </c>
      <c r="BJ26" s="1381">
        <v>0</v>
      </c>
      <c r="BK26" s="1381">
        <v>0</v>
      </c>
      <c r="BL26" s="1381">
        <v>7.4999999999999997E-3</v>
      </c>
      <c r="BM26" s="308">
        <f ca="1">BM7/BM$7</f>
        <v>1</v>
      </c>
      <c r="BN26" s="1378">
        <v>8.9999999999999993E-3</v>
      </c>
      <c r="BO26" s="1378">
        <v>6.0000000000000001E-3</v>
      </c>
      <c r="BP26" s="1378">
        <v>6.0000000000000001E-3</v>
      </c>
      <c r="BQ26" s="1378">
        <v>0</v>
      </c>
      <c r="BR26" s="308">
        <f ca="1">BR10/BR$7</f>
        <v>3.7779949515507481E-3</v>
      </c>
      <c r="BS26" s="1378">
        <v>6.0000000000000001E-3</v>
      </c>
      <c r="BT26" s="1378">
        <v>0</v>
      </c>
      <c r="BU26" s="1378">
        <v>0</v>
      </c>
      <c r="BV26" s="1378">
        <v>0</v>
      </c>
      <c r="BW26" s="308">
        <f ca="1">BW10/BW$7</f>
        <v>0</v>
      </c>
      <c r="BX26" s="1378">
        <v>6.0000000000000001E-3</v>
      </c>
      <c r="BY26" s="1378">
        <v>0</v>
      </c>
      <c r="BZ26" s="1378">
        <v>0</v>
      </c>
      <c r="CA26" s="1378">
        <v>0</v>
      </c>
      <c r="CB26" s="308">
        <f ca="1">CB10/CB$8</f>
        <v>0</v>
      </c>
      <c r="CC26" s="1378">
        <v>0</v>
      </c>
      <c r="CD26" s="1378">
        <v>0</v>
      </c>
      <c r="CE26" s="1378">
        <v>0</v>
      </c>
      <c r="CF26" s="1378">
        <v>0</v>
      </c>
      <c r="CG26" s="308">
        <f ca="1">CG10/CG$8</f>
        <v>0</v>
      </c>
      <c r="CH26" s="1378">
        <v>0</v>
      </c>
      <c r="CI26" s="1381">
        <v>0</v>
      </c>
      <c r="CJ26" s="1381">
        <v>0</v>
      </c>
      <c r="CK26" s="1381">
        <v>0</v>
      </c>
      <c r="CL26" s="308">
        <f ca="1">CL10/CL$8</f>
        <v>0</v>
      </c>
      <c r="CM26" s="1381">
        <v>0</v>
      </c>
      <c r="CN26" s="1381">
        <v>0</v>
      </c>
      <c r="CO26" s="1381">
        <v>0</v>
      </c>
      <c r="CP26" s="1381">
        <v>0</v>
      </c>
      <c r="CQ26" s="308">
        <f ca="1">CQ10/CQ$8</f>
        <v>0</v>
      </c>
      <c r="CR26" s="1381">
        <v>0</v>
      </c>
      <c r="CS26" s="1381">
        <v>0</v>
      </c>
      <c r="CT26" s="1381">
        <v>0</v>
      </c>
      <c r="CU26" s="1381">
        <v>0</v>
      </c>
      <c r="CV26" s="308">
        <f ca="1">CV10/CV$8</f>
        <v>0</v>
      </c>
      <c r="CW26" s="1381">
        <v>0</v>
      </c>
      <c r="CX26" s="1381">
        <v>0</v>
      </c>
      <c r="CY26" s="1381">
        <v>0</v>
      </c>
      <c r="CZ26" s="1381">
        <v>0</v>
      </c>
      <c r="DA26" s="308">
        <f ca="1">DA10/DA$8</f>
        <v>0</v>
      </c>
      <c r="DB26" s="1381">
        <v>0</v>
      </c>
      <c r="DC26" s="1381">
        <v>0</v>
      </c>
      <c r="DD26" s="1381">
        <v>0</v>
      </c>
      <c r="DE26" s="1381">
        <v>0</v>
      </c>
      <c r="DF26" s="308">
        <f ca="1">DF10/DF$8</f>
        <v>0</v>
      </c>
    </row>
    <row r="27" spans="2:110" s="296" customFormat="1" x14ac:dyDescent="0.25">
      <c r="B27" s="307" t="s">
        <v>191</v>
      </c>
      <c r="C27" s="299"/>
      <c r="D27" s="299"/>
      <c r="F27" s="301"/>
      <c r="G27" s="301"/>
      <c r="H27" s="301"/>
      <c r="I27" s="301"/>
      <c r="J27" s="301"/>
      <c r="K27" s="301"/>
      <c r="L27" s="301"/>
      <c r="M27" s="301"/>
      <c r="N27" s="301"/>
      <c r="O27" s="301"/>
      <c r="P27" s="301"/>
      <c r="Q27" s="301"/>
      <c r="R27" s="301"/>
      <c r="S27" s="301"/>
      <c r="T27" s="301"/>
      <c r="U27" s="301"/>
      <c r="V27" s="301"/>
      <c r="W27" s="301"/>
      <c r="X27" s="301"/>
      <c r="Y27" s="301"/>
      <c r="Z27" s="301"/>
      <c r="AA27" s="301"/>
      <c r="AB27" s="301"/>
      <c r="AC27" s="301"/>
      <c r="AD27" s="301"/>
      <c r="AE27" s="301"/>
      <c r="AF27" s="301"/>
      <c r="AG27" s="301"/>
      <c r="AH27" s="301"/>
      <c r="AI27" s="308"/>
      <c r="AJ27" s="301"/>
      <c r="AK27" s="301"/>
      <c r="AL27" s="301"/>
      <c r="AM27" s="301"/>
      <c r="AN27" s="308"/>
      <c r="AO27" s="301"/>
      <c r="AP27" s="301"/>
      <c r="AQ27" s="301"/>
      <c r="AR27" s="301"/>
      <c r="AS27" s="308"/>
      <c r="AT27" s="301"/>
      <c r="AU27" s="301"/>
      <c r="AV27" s="301"/>
      <c r="AW27" s="301"/>
      <c r="AX27" s="308"/>
      <c r="AY27" s="301">
        <f ca="1">AY12/AY$7</f>
        <v>6.5028275260841872E-2</v>
      </c>
      <c r="AZ27" s="301">
        <f ca="1">AZ12/AZ$7</f>
        <v>6.9789317083862296E-2</v>
      </c>
      <c r="BA27" s="301">
        <f ca="1">BA12/BA$7</f>
        <v>7.292096778337516E-2</v>
      </c>
      <c r="BB27" s="301">
        <f ca="1">BB12/BB$7</f>
        <v>7.4656028008506153E-2</v>
      </c>
      <c r="BC27" s="308"/>
      <c r="BD27" s="301">
        <f ca="1">BD12/BD$7</f>
        <v>7.0335600236546419E-2</v>
      </c>
      <c r="BE27" s="301">
        <f>BE12/BE$7</f>
        <v>7.223533454509283E-2</v>
      </c>
      <c r="BF27" s="301">
        <f>BF12/BF$7</f>
        <v>7.5721121833855667E-2</v>
      </c>
      <c r="BG27" s="301">
        <f>BG12/BG$7</f>
        <v>7.269621976275227E-2</v>
      </c>
      <c r="BH27" s="308"/>
      <c r="BI27" s="301">
        <f t="shared" ref="BI27:BR27" ca="1" si="28">BI12/BI$7</f>
        <v>7.1933531922838648E-2</v>
      </c>
      <c r="BJ27" s="301">
        <f t="shared" ca="1" si="28"/>
        <v>7.5769575418205073E-2</v>
      </c>
      <c r="BK27" s="301">
        <f t="shared" ca="1" si="28"/>
        <v>7.869159235425538E-2</v>
      </c>
      <c r="BL27" s="301">
        <f t="shared" ca="1" si="28"/>
        <v>9.1968664850136217E-2</v>
      </c>
      <c r="BM27" s="308">
        <f t="shared" ca="1" si="28"/>
        <v>8.0850777074926383E-2</v>
      </c>
      <c r="BN27" s="301">
        <f t="shared" ca="1" si="28"/>
        <v>8.6969532831539534E-2</v>
      </c>
      <c r="BO27" s="301">
        <f t="shared" ca="1" si="28"/>
        <v>8.8868362827586991E-2</v>
      </c>
      <c r="BP27" s="301">
        <f t="shared" ca="1" si="28"/>
        <v>7.8409413546168649E-2</v>
      </c>
      <c r="BQ27" s="301">
        <f t="shared" ca="1" si="28"/>
        <v>7.3947746908352818E-2</v>
      </c>
      <c r="BR27" s="308">
        <f t="shared" ca="1" si="28"/>
        <v>8.2105171450448627E-2</v>
      </c>
      <c r="BS27" s="301">
        <v>7.9878466995787004E-2</v>
      </c>
      <c r="BT27" s="301">
        <f ca="1">BT12/BT$7</f>
        <v>8.0200286473317589E-2</v>
      </c>
      <c r="BU27" s="301">
        <f ca="1">BU12/BU$7</f>
        <v>8.2479412286540391E-2</v>
      </c>
      <c r="BV27" s="301">
        <f ca="1">BV12/BV$7</f>
        <v>7.7877752943344397E-2</v>
      </c>
      <c r="BW27" s="308">
        <f ca="1">BW12/BW$7</f>
        <v>7.8674410104373954E-2</v>
      </c>
      <c r="BX27" s="301">
        <v>7.9878466995787004E-2</v>
      </c>
      <c r="BY27" s="301">
        <f t="shared" ref="BY27:CQ27" ca="1" si="29">BY12/BY$7</f>
        <v>8.659215622982569E-2</v>
      </c>
      <c r="BZ27" s="301">
        <f t="shared" ca="1" si="29"/>
        <v>8.9430695490560486E-2</v>
      </c>
      <c r="CA27" s="301">
        <f t="shared" ca="1" si="29"/>
        <v>9.0711648731442926E-2</v>
      </c>
      <c r="CB27" s="308">
        <f t="shared" ca="1" si="29"/>
        <v>8.5941806302331836E-2</v>
      </c>
      <c r="CC27" s="301">
        <f t="shared" ca="1" si="29"/>
        <v>7.6328876994201336E-2</v>
      </c>
      <c r="CD27" s="301">
        <f t="shared" ca="1" si="29"/>
        <v>8.9471495679167359E-2</v>
      </c>
      <c r="CE27" s="301">
        <f t="shared" ca="1" si="29"/>
        <v>9.3477159020306733E-2</v>
      </c>
      <c r="CF27" s="301">
        <f t="shared" ca="1" si="29"/>
        <v>0.10086950716801016</v>
      </c>
      <c r="CG27" s="308">
        <f t="shared" ca="1" si="29"/>
        <v>9.004963292317239E-2</v>
      </c>
      <c r="CH27" s="301">
        <f t="shared" ref="CH27:CI27" ca="1" si="30">CH12/CH$7</f>
        <v>9.9162880504050088E-2</v>
      </c>
      <c r="CI27" s="301">
        <f t="shared" ca="1" si="30"/>
        <v>9.6944238871133806E-2</v>
      </c>
      <c r="CJ27" s="301">
        <f t="shared" ref="CJ27:CK27" ca="1" si="31">CJ12/CJ$7</f>
        <v>9.9721614212550741E-2</v>
      </c>
      <c r="CK27" s="301">
        <f t="shared" ca="1" si="31"/>
        <v>9.6648270372369199E-2</v>
      </c>
      <c r="CL27" s="308">
        <f t="shared" ca="1" si="29"/>
        <v>9.810465911816027E-2</v>
      </c>
      <c r="CM27" s="301">
        <f t="shared" ca="1" si="29"/>
        <v>7.9881036941360645E-2</v>
      </c>
      <c r="CN27" s="301">
        <f t="shared" ca="1" si="29"/>
        <v>9.2461572035022768E-2</v>
      </c>
      <c r="CO27" s="301">
        <f t="shared" ca="1" si="29"/>
        <v>9.3265945770196923E-2</v>
      </c>
      <c r="CP27" s="301">
        <f t="shared" ca="1" si="29"/>
        <v>9.8063161783666614E-2</v>
      </c>
      <c r="CQ27" s="308">
        <f t="shared" ca="1" si="29"/>
        <v>9.1015329196803829E-2</v>
      </c>
      <c r="CR27" s="301">
        <f t="shared" ref="CR27:CV27" ca="1" si="32">CR12/CR$7</f>
        <v>7.5655976928989663E-2</v>
      </c>
      <c r="CS27" s="301">
        <f t="shared" ca="1" si="32"/>
        <v>8.4598875659174205E-2</v>
      </c>
      <c r="CT27" s="301">
        <f t="shared" ca="1" si="32"/>
        <v>8.4239616609438989E-2</v>
      </c>
      <c r="CU27" s="301">
        <f t="shared" ca="1" si="32"/>
        <v>8.8291528801377445E-2</v>
      </c>
      <c r="CV27" s="308">
        <f t="shared" ca="1" si="32"/>
        <v>8.3277480498894912E-2</v>
      </c>
      <c r="CW27" s="301">
        <f t="shared" ref="CW27:DF27" ca="1" si="33">CW12/CW$7</f>
        <v>7.1211631475930334E-2</v>
      </c>
      <c r="CX27" s="301">
        <f t="shared" ca="1" si="33"/>
        <v>7.8402819392459452E-2</v>
      </c>
      <c r="CY27" s="301">
        <f t="shared" ca="1" si="33"/>
        <v>7.730976595423443E-2</v>
      </c>
      <c r="CZ27" s="301">
        <f t="shared" ca="1" si="33"/>
        <v>8.0877469075205127E-2</v>
      </c>
      <c r="DA27" s="308">
        <f t="shared" ca="1" si="33"/>
        <v>7.7012873496684744E-2</v>
      </c>
      <c r="DB27" s="301">
        <f t="shared" ca="1" si="33"/>
        <v>6.5532451233880323E-2</v>
      </c>
      <c r="DC27" s="301">
        <f t="shared" ca="1" si="33"/>
        <v>7.0777572918275022E-2</v>
      </c>
      <c r="DD27" s="301">
        <f t="shared" ca="1" si="33"/>
        <v>7.1762082574268027E-2</v>
      </c>
      <c r="DE27" s="301">
        <f t="shared" ca="1" si="33"/>
        <v>7.4164320074429163E-2</v>
      </c>
      <c r="DF27" s="308">
        <f t="shared" ca="1" si="33"/>
        <v>7.0616691171717344E-2</v>
      </c>
    </row>
    <row r="28" spans="2:110" s="1355" customFormat="1" outlineLevel="1" x14ac:dyDescent="0.25">
      <c r="B28" s="1372" t="s">
        <v>415</v>
      </c>
      <c r="C28" s="1373"/>
      <c r="D28" s="1373"/>
      <c r="F28" s="1374"/>
      <c r="G28" s="1374"/>
      <c r="H28" s="1374"/>
      <c r="I28" s="1374"/>
      <c r="J28" s="1374"/>
      <c r="K28" s="1374"/>
      <c r="L28" s="1374"/>
      <c r="M28" s="1374"/>
      <c r="N28" s="1374"/>
      <c r="O28" s="1374"/>
      <c r="P28" s="1374"/>
      <c r="Q28" s="1374"/>
      <c r="R28" s="1374"/>
      <c r="S28" s="1374"/>
      <c r="T28" s="1374"/>
      <c r="U28" s="1374"/>
      <c r="V28" s="1374"/>
      <c r="W28" s="1374"/>
      <c r="X28" s="1374"/>
      <c r="Y28" s="1374"/>
      <c r="Z28" s="1374"/>
      <c r="AA28" s="1374"/>
      <c r="AB28" s="1374"/>
      <c r="AC28" s="1374"/>
      <c r="AD28" s="1374"/>
      <c r="AE28" s="1374"/>
      <c r="AF28" s="1374"/>
      <c r="AG28" s="1374"/>
      <c r="AH28" s="1374"/>
      <c r="AI28" s="1375"/>
      <c r="AJ28" s="1374"/>
      <c r="AK28" s="1374"/>
      <c r="AL28" s="1374"/>
      <c r="AM28" s="1374"/>
      <c r="AN28" s="1375"/>
      <c r="AO28" s="1374"/>
      <c r="AP28" s="1374"/>
      <c r="AQ28" s="1374"/>
      <c r="AR28" s="1374"/>
      <c r="AS28" s="1375"/>
      <c r="AT28" s="1374"/>
      <c r="AU28" s="1374"/>
      <c r="AV28" s="1374"/>
      <c r="AW28" s="1374"/>
      <c r="AX28" s="1375"/>
      <c r="AY28" s="1374">
        <f ca="1">SUM(AY13:AY14)/AY7</f>
        <v>1.6937425622007587E-2</v>
      </c>
      <c r="AZ28" s="1374">
        <f ca="1">SUM(AZ13:AZ14)/AZ7</f>
        <v>1.8639099186308801E-2</v>
      </c>
      <c r="BA28" s="1374">
        <f ca="1">SUM(BA13:BA14)/BA7</f>
        <v>1.879226654187427E-2</v>
      </c>
      <c r="BB28" s="1374">
        <f ca="1">SUM(BB13:BB14)/BB7</f>
        <v>1.5858158090841346E-2</v>
      </c>
      <c r="BC28" s="1375"/>
      <c r="BD28" s="1374">
        <f ca="1">SUM(BD13:BD14)/BD7</f>
        <v>1.5985363690124186E-2</v>
      </c>
      <c r="BE28" s="1374">
        <f>SUM(BE13:BE14)/BE7</f>
        <v>1.6729515386632667E-2</v>
      </c>
      <c r="BF28" s="1374">
        <f>SUM(BF13:BF14)/BF7</f>
        <v>1.7143567389046228E-2</v>
      </c>
      <c r="BG28" s="1374">
        <f>SUM(BG13:BG14)/BG7</f>
        <v>1.7079130486247918E-2</v>
      </c>
      <c r="BH28" s="1375"/>
      <c r="BI28" s="1374">
        <f t="shared" ref="BI28:BR28" ca="1" si="34">SUM(BI13:BI14)/BI7</f>
        <v>1.8551993957447527E-2</v>
      </c>
      <c r="BJ28" s="1374">
        <f t="shared" ca="1" si="34"/>
        <v>2.3614318062666617E-2</v>
      </c>
      <c r="BK28" s="1374">
        <f t="shared" ca="1" si="34"/>
        <v>2.0825297408772373E-2</v>
      </c>
      <c r="BL28" s="1374">
        <f t="shared" ca="1" si="34"/>
        <v>2.6890117304129678E-2</v>
      </c>
      <c r="BM28" s="1375">
        <f t="shared" ca="1" si="34"/>
        <v>2.3125749809139489E-2</v>
      </c>
      <c r="BN28" s="1374">
        <f t="shared" ca="1" si="34"/>
        <v>2.0321867110621301E-2</v>
      </c>
      <c r="BO28" s="1374">
        <f t="shared" ca="1" si="34"/>
        <v>2.1507701456113863E-2</v>
      </c>
      <c r="BP28" s="1374">
        <f t="shared" ca="1" si="34"/>
        <v>2.2358749487365531E-2</v>
      </c>
      <c r="BQ28" s="1374">
        <f t="shared" ca="1" si="34"/>
        <v>2.5236921929076176E-2</v>
      </c>
      <c r="BR28" s="1375">
        <f t="shared" ca="1" si="34"/>
        <v>2.2343928864569734E-2</v>
      </c>
      <c r="BS28" s="1374">
        <v>2.2961475388963246E-2</v>
      </c>
      <c r="BT28" s="1374">
        <f ca="1">SUM(BT13:BT14)/BT7</f>
        <v>2.4480210728262203E-2</v>
      </c>
      <c r="BU28" s="1374">
        <f ca="1">SUM(BU13:BU14)/BU7</f>
        <v>2.2484583734932485E-2</v>
      </c>
      <c r="BV28" s="1374">
        <f ca="1">SUM(BV13:BV14)/BV7</f>
        <v>2.3914930516422388E-2</v>
      </c>
      <c r="BW28" s="1375">
        <f ca="1">SUM(BW13:BW14)/BW7</f>
        <v>2.3460811750606346E-2</v>
      </c>
      <c r="BX28" s="1374">
        <v>2.2961475388963246E-2</v>
      </c>
      <c r="BY28" s="1374">
        <f t="shared" ref="BY28:CQ28" ca="1" si="35">SUM(BY13:BY14)/BY7</f>
        <v>2.3616374352756851E-2</v>
      </c>
      <c r="BZ28" s="1374">
        <f t="shared" ca="1" si="35"/>
        <v>2.3487451626661455E-2</v>
      </c>
      <c r="CA28" s="1374">
        <f t="shared" ca="1" si="35"/>
        <v>2.5581261399096316E-2</v>
      </c>
      <c r="CB28" s="1375">
        <f t="shared" ca="1" si="35"/>
        <v>2.3994667951240417E-2</v>
      </c>
      <c r="CC28" s="1374">
        <f t="shared" ca="1" si="35"/>
        <v>2.409385634444406E-2</v>
      </c>
      <c r="CD28" s="1374">
        <f t="shared" ca="1" si="35"/>
        <v>2.4699803102917497E-2</v>
      </c>
      <c r="CE28" s="1374">
        <f t="shared" ca="1" si="35"/>
        <v>2.4143915185459344E-2</v>
      </c>
      <c r="CF28" s="1374">
        <f t="shared" ca="1" si="35"/>
        <v>2.7855681406873674E-2</v>
      </c>
      <c r="CG28" s="1375">
        <f t="shared" ca="1" si="35"/>
        <v>2.5190998527264322E-2</v>
      </c>
      <c r="CH28" s="1374">
        <f t="shared" ref="CH28:CI28" ca="1" si="36">SUM(CH13:CH14)/CH7</f>
        <v>2.5084788327798258E-2</v>
      </c>
      <c r="CI28" s="1374">
        <f t="shared" ca="1" si="36"/>
        <v>2.5424273711829287E-2</v>
      </c>
      <c r="CJ28" s="1374">
        <f t="shared" ref="CJ28:CK28" ca="1" si="37">SUM(CJ13:CJ14)/CJ7</f>
        <v>2.573232282699519E-2</v>
      </c>
      <c r="CK28" s="1374">
        <f t="shared" ca="1" si="37"/>
        <v>2.8500730954667278E-2</v>
      </c>
      <c r="CL28" s="1375">
        <f t="shared" ca="1" si="35"/>
        <v>2.6190963214995363E-2</v>
      </c>
      <c r="CM28" s="1374">
        <f t="shared" ca="1" si="35"/>
        <v>2.6121726698402539E-2</v>
      </c>
      <c r="CN28" s="1374">
        <f t="shared" ca="1" si="35"/>
        <v>2.6498885369268827E-2</v>
      </c>
      <c r="CO28" s="1374">
        <f t="shared" ca="1" si="35"/>
        <v>2.6109351644606579E-2</v>
      </c>
      <c r="CP28" s="1374">
        <f t="shared" ca="1" si="35"/>
        <v>2.892078951805364E-2</v>
      </c>
      <c r="CQ28" s="1375">
        <f t="shared" ca="1" si="35"/>
        <v>2.6927204799440746E-2</v>
      </c>
      <c r="CR28" s="1374">
        <f t="shared" ref="CR28:CV28" ca="1" si="38">SUM(CR13:CR14)/CR7</f>
        <v>2.5595844436124757E-2</v>
      </c>
      <c r="CS28" s="1374">
        <f t="shared" ca="1" si="38"/>
        <v>2.5829485608252264E-2</v>
      </c>
      <c r="CT28" s="1374">
        <f t="shared" ca="1" si="38"/>
        <v>2.539001896638696E-2</v>
      </c>
      <c r="CU28" s="1374">
        <f t="shared" ca="1" si="38"/>
        <v>2.8125172936132786E-2</v>
      </c>
      <c r="CV28" s="1375">
        <f t="shared" ca="1" si="38"/>
        <v>2.6249650162544928E-2</v>
      </c>
      <c r="CW28" s="1374">
        <f t="shared" ref="CW28:DF28" ca="1" si="39">SUM(CW13:CW14)/CW7</f>
        <v>2.7928392082978842E-2</v>
      </c>
      <c r="CX28" s="1374">
        <f t="shared" ca="1" si="39"/>
        <v>2.8174551689047291E-2</v>
      </c>
      <c r="CY28" s="1374">
        <f t="shared" ca="1" si="39"/>
        <v>2.7638700795084625E-2</v>
      </c>
      <c r="CZ28" s="1374">
        <f t="shared" ca="1" si="39"/>
        <v>3.0674603847711784E-2</v>
      </c>
      <c r="DA28" s="1375">
        <f t="shared" ca="1" si="39"/>
        <v>2.8619400341326651E-2</v>
      </c>
      <c r="DB28" s="1374">
        <f t="shared" ca="1" si="39"/>
        <v>3.0362505372575007E-2</v>
      </c>
      <c r="DC28" s="1374">
        <f t="shared" ca="1" si="39"/>
        <v>3.0621890794831613E-2</v>
      </c>
      <c r="DD28" s="1374">
        <f t="shared" ca="1" si="39"/>
        <v>2.9975857120495358E-2</v>
      </c>
      <c r="DE28" s="1374">
        <f t="shared" ca="1" si="39"/>
        <v>3.3331259732139976E-2</v>
      </c>
      <c r="DF28" s="1375">
        <f t="shared" ca="1" si="39"/>
        <v>3.1088969789937256E-2</v>
      </c>
    </row>
    <row r="29" spans="2:110" s="1377" customFormat="1" outlineLevel="1" x14ac:dyDescent="0.25">
      <c r="B29" s="1380" t="s">
        <v>419</v>
      </c>
      <c r="C29" s="1376" t="s">
        <v>23</v>
      </c>
      <c r="D29" s="1376"/>
      <c r="F29" s="1378"/>
      <c r="G29" s="1378"/>
      <c r="H29" s="1378"/>
      <c r="I29" s="1378"/>
      <c r="J29" s="1378"/>
      <c r="K29" s="1378"/>
      <c r="L29" s="1378"/>
      <c r="M29" s="1378"/>
      <c r="N29" s="1378"/>
      <c r="O29" s="1378"/>
      <c r="P29" s="1378"/>
      <c r="Q29" s="1378"/>
      <c r="R29" s="1378"/>
      <c r="S29" s="1378"/>
      <c r="T29" s="1378"/>
      <c r="U29" s="1378"/>
      <c r="V29" s="1378"/>
      <c r="W29" s="1378"/>
      <c r="X29" s="1378"/>
      <c r="Y29" s="1378"/>
      <c r="Z29" s="1378"/>
      <c r="AA29" s="1378"/>
      <c r="AB29" s="1378"/>
      <c r="AC29" s="1378"/>
      <c r="AD29" s="1378"/>
      <c r="AE29" s="1378"/>
      <c r="AF29" s="1378"/>
      <c r="AG29" s="1378"/>
      <c r="AH29" s="1378"/>
      <c r="AI29" s="1379"/>
      <c r="AJ29" s="1378"/>
      <c r="AK29" s="1378"/>
      <c r="AL29" s="1378"/>
      <c r="AM29" s="1378"/>
      <c r="AN29" s="1379"/>
      <c r="AO29" s="1378"/>
      <c r="AP29" s="1378"/>
      <c r="AQ29" s="1378"/>
      <c r="AR29" s="1378"/>
      <c r="AS29" s="1379"/>
      <c r="AT29" s="1378"/>
      <c r="AU29" s="1378"/>
      <c r="AV29" s="1378"/>
      <c r="AW29" s="1378"/>
      <c r="AX29" s="1379"/>
      <c r="AY29" s="1378" t="str">
        <f>IF(AY16=0,"NA",AY16/AY14)</f>
        <v>NA</v>
      </c>
      <c r="AZ29" s="1378" t="str">
        <f>IF(AZ16=0,"NA",AZ16/AZ14)</f>
        <v>NA</v>
      </c>
      <c r="BA29" s="1378" t="str">
        <f>IF(BA16=0,"NA",BA16/BA14)</f>
        <v>NA</v>
      </c>
      <c r="BB29" s="1378" t="str">
        <f>IF(BB16=0,"NA",BB16/BB14)</f>
        <v>NA</v>
      </c>
      <c r="BC29" s="1379"/>
      <c r="BD29" s="1378" t="str">
        <f>IF(BD16=0,"NA",BD16/BD14)</f>
        <v>NA</v>
      </c>
      <c r="BE29" s="1378" t="str">
        <f>IF(BE16=0,"NA",BE16/BE14)</f>
        <v>NA</v>
      </c>
      <c r="BF29" s="1378" t="str">
        <f>IF(BF16=0,"NA",BF16/BF14)</f>
        <v>NA</v>
      </c>
      <c r="BG29" s="1378" t="str">
        <f>IF(BG16=0,"NA",BG16/BG14)</f>
        <v>NA</v>
      </c>
      <c r="BH29" s="1379"/>
      <c r="BI29" s="1378" t="str">
        <f>IF(BI16=0,"NA",BI16/BI14)</f>
        <v>NA</v>
      </c>
      <c r="BJ29" s="1381">
        <v>7.571E-2</v>
      </c>
      <c r="BK29" s="1381">
        <v>-9.5649999999999999E-2</v>
      </c>
      <c r="BL29" s="1381">
        <v>0</v>
      </c>
      <c r="BM29" s="1379">
        <f>IF(BM16=0,"NA",BM16/BM14)</f>
        <v>-1.1439573987676317E-4</v>
      </c>
      <c r="BN29" s="1378">
        <v>-6.1199999999999997E-2</v>
      </c>
      <c r="BO29" s="1378">
        <v>-0.18335000000000001</v>
      </c>
      <c r="BP29" s="1378">
        <v>-0.23902000000000001</v>
      </c>
      <c r="BQ29" s="1378">
        <v>-0.1827</v>
      </c>
      <c r="BR29" s="1379">
        <f>IF(BR16=0,"NA",BR16/BR14)</f>
        <v>-0.17209236762247998</v>
      </c>
      <c r="BS29" s="1378">
        <v>-0.1</v>
      </c>
      <c r="BT29" s="1378">
        <v>-0.4</v>
      </c>
      <c r="BU29" s="1378">
        <v>-0.28389999999999999</v>
      </c>
      <c r="BV29" s="1381">
        <v>0</v>
      </c>
      <c r="BW29" s="1379">
        <f>IF(BW16=0,"NA",BW16/BW14)</f>
        <v>-0.19456987302808162</v>
      </c>
      <c r="BX29" s="1378">
        <v>-0.1</v>
      </c>
      <c r="BY29" s="1378">
        <v>-0.4</v>
      </c>
      <c r="BZ29" s="1378">
        <v>-0.28389999999999999</v>
      </c>
      <c r="CA29" s="1381">
        <v>0</v>
      </c>
      <c r="CB29" s="1379">
        <v>0</v>
      </c>
      <c r="CC29" s="1378">
        <v>0</v>
      </c>
      <c r="CD29" s="1378">
        <v>0</v>
      </c>
      <c r="CE29" s="1378">
        <v>0</v>
      </c>
      <c r="CF29" s="1378">
        <v>0</v>
      </c>
      <c r="CG29" s="1379">
        <v>0</v>
      </c>
      <c r="CH29" s="1378">
        <v>0</v>
      </c>
      <c r="CI29" s="1381">
        <v>0</v>
      </c>
      <c r="CJ29" s="1381">
        <v>0</v>
      </c>
      <c r="CK29" s="1381">
        <v>0</v>
      </c>
      <c r="CL29" s="1379">
        <v>0</v>
      </c>
      <c r="CM29" s="1381">
        <v>0</v>
      </c>
      <c r="CN29" s="1381">
        <v>0</v>
      </c>
      <c r="CO29" s="1381">
        <v>0</v>
      </c>
      <c r="CP29" s="1381">
        <v>0</v>
      </c>
      <c r="CQ29" s="1379">
        <v>0</v>
      </c>
      <c r="CR29" s="1381">
        <v>0</v>
      </c>
      <c r="CS29" s="1381">
        <v>0</v>
      </c>
      <c r="CT29" s="1381">
        <v>0</v>
      </c>
      <c r="CU29" s="1381">
        <v>0</v>
      </c>
      <c r="CV29" s="1379">
        <v>0</v>
      </c>
      <c r="CW29" s="1381">
        <v>0</v>
      </c>
      <c r="CX29" s="1381">
        <v>0</v>
      </c>
      <c r="CY29" s="1381">
        <v>0</v>
      </c>
      <c r="CZ29" s="1381">
        <v>0</v>
      </c>
      <c r="DA29" s="1379">
        <v>0</v>
      </c>
      <c r="DB29" s="1381">
        <v>0</v>
      </c>
      <c r="DC29" s="1381">
        <v>0</v>
      </c>
      <c r="DD29" s="1381">
        <v>0</v>
      </c>
      <c r="DE29" s="1381">
        <v>0</v>
      </c>
      <c r="DF29" s="1379">
        <v>0</v>
      </c>
    </row>
    <row r="30" spans="2:110" s="296" customFormat="1" x14ac:dyDescent="0.25">
      <c r="B30" s="307" t="s">
        <v>418</v>
      </c>
      <c r="C30" s="299"/>
      <c r="D30" s="299"/>
      <c r="F30" s="301"/>
      <c r="G30" s="301"/>
      <c r="H30" s="301"/>
      <c r="I30" s="301"/>
      <c r="J30" s="301"/>
      <c r="K30" s="301"/>
      <c r="L30" s="301"/>
      <c r="M30" s="301"/>
      <c r="N30" s="301"/>
      <c r="O30" s="301"/>
      <c r="P30" s="301"/>
      <c r="Q30" s="301"/>
      <c r="R30" s="301"/>
      <c r="S30" s="301"/>
      <c r="T30" s="301"/>
      <c r="U30" s="301"/>
      <c r="V30" s="301"/>
      <c r="W30" s="301"/>
      <c r="X30" s="301"/>
      <c r="Y30" s="301"/>
      <c r="Z30" s="301"/>
      <c r="AA30" s="301"/>
      <c r="AB30" s="301"/>
      <c r="AC30" s="301"/>
      <c r="AD30" s="301"/>
      <c r="AE30" s="301"/>
      <c r="AF30" s="301"/>
      <c r="AG30" s="301"/>
      <c r="AH30" s="301"/>
      <c r="AI30" s="308"/>
      <c r="AJ30" s="301"/>
      <c r="AK30" s="301"/>
      <c r="AL30" s="301"/>
      <c r="AM30" s="301"/>
      <c r="AN30" s="308"/>
      <c r="AO30" s="301"/>
      <c r="AP30" s="301"/>
      <c r="AQ30" s="301"/>
      <c r="AR30" s="301"/>
      <c r="AS30" s="308"/>
      <c r="AT30" s="301"/>
      <c r="AU30" s="301"/>
      <c r="AV30" s="301"/>
      <c r="AW30" s="301"/>
      <c r="AX30" s="308"/>
      <c r="AY30" s="301">
        <f ca="1">SUM(AY13:AY16)/AY7</f>
        <v>3.3874851244015174E-2</v>
      </c>
      <c r="AZ30" s="301">
        <f ca="1">SUM(AZ13:AZ16)/AZ7</f>
        <v>3.7278198372617602E-2</v>
      </c>
      <c r="BA30" s="301">
        <f ca="1">SUM(BA13:BA16)/BA7</f>
        <v>3.7584533083748539E-2</v>
      </c>
      <c r="BB30" s="301">
        <f ca="1">SUM(BB13:BB16)/BB7</f>
        <v>3.1716316181682691E-2</v>
      </c>
      <c r="BC30" s="308"/>
      <c r="BD30" s="301">
        <f ca="1">SUM(BD13:BD16)/BD7</f>
        <v>3.1970727380248372E-2</v>
      </c>
      <c r="BE30" s="301">
        <f>SUM(BE13:BE16)/BE7</f>
        <v>3.3459030773265334E-2</v>
      </c>
      <c r="BF30" s="301">
        <f>SUM(BF13:BF16)/BF7</f>
        <v>3.4287134778092455E-2</v>
      </c>
      <c r="BG30" s="301">
        <f>SUM(BG13:BG16)/BG7</f>
        <v>3.4158260972495837E-2</v>
      </c>
      <c r="BH30" s="308"/>
      <c r="BI30" s="301">
        <f t="shared" ref="BI30:BR30" ca="1" si="40">SUM(BI15:BI16)/BI7</f>
        <v>1.8551993957447534E-2</v>
      </c>
      <c r="BJ30" s="301">
        <f t="shared" ca="1" si="40"/>
        <v>2.4841227262751599E-2</v>
      </c>
      <c r="BK30" s="301">
        <f t="shared" ca="1" si="40"/>
        <v>1.9560289675189527E-2</v>
      </c>
      <c r="BL30" s="301">
        <f t="shared" ca="1" si="40"/>
        <v>2.6890117304129678E-2</v>
      </c>
      <c r="BM30" s="308">
        <f t="shared" ca="1" si="40"/>
        <v>2.3124372994476228E-2</v>
      </c>
      <c r="BN30" s="301">
        <f t="shared" ca="1" si="40"/>
        <v>1.9688775055231166E-2</v>
      </c>
      <c r="BO30" s="301">
        <f t="shared" ca="1" si="40"/>
        <v>1.9115288530185209E-2</v>
      </c>
      <c r="BP30" s="301">
        <f t="shared" ca="1" si="40"/>
        <v>1.9271214432756752E-2</v>
      </c>
      <c r="BQ30" s="301">
        <f t="shared" ca="1" si="40"/>
        <v>2.276324545830101E-2</v>
      </c>
      <c r="BR30" s="308">
        <f t="shared" ca="1" si="40"/>
        <v>2.0199728058277192E-2</v>
      </c>
      <c r="BS30" s="301">
        <f ca="1">+BS18/BS7</f>
        <v>2.0941018049965437E-2</v>
      </c>
      <c r="BT30" s="301">
        <f t="shared" ref="BT30:BV30" ca="1" si="41">+BT18/BT7</f>
        <v>1.9314504446049569E-2</v>
      </c>
      <c r="BU30" s="301">
        <f t="shared" ca="1" si="41"/>
        <v>1.9342967060918224E-2</v>
      </c>
      <c r="BV30" s="301">
        <f t="shared" ca="1" si="41"/>
        <v>1.9556925496066951E-2</v>
      </c>
      <c r="BW30" s="308">
        <f ca="1">SUM(BW15:BW16)/BW7</f>
        <v>2.1164167199473442E-2</v>
      </c>
      <c r="BX30" s="301">
        <v>2.1858230537480129E-2</v>
      </c>
      <c r="BY30" s="301">
        <f ca="1">SUM(BY15:BY16)/BY7</f>
        <v>1.9277284617443744E-2</v>
      </c>
      <c r="BZ30" s="301">
        <f ca="1">SUM(BZ15:BZ16)/BZ7</f>
        <v>2.037655320317194E-2</v>
      </c>
      <c r="CA30" s="301">
        <f ca="1">SUM(CA15:CA16)/CA7</f>
        <v>2.5581261399096316E-2</v>
      </c>
      <c r="CB30" s="308">
        <f ca="1">SUM(CB15:CB16)/CB7</f>
        <v>2.1867055372824698E-2</v>
      </c>
      <c r="CC30" s="301">
        <f ca="1">+CC18/CC7</f>
        <v>1.9384449919335675E-2</v>
      </c>
      <c r="CD30" s="301">
        <f t="shared" ref="CD30:CF30" ca="1" si="42">+CD18/CD7</f>
        <v>1.9103061842045674E-2</v>
      </c>
      <c r="CE30" s="301">
        <f t="shared" ca="1" si="42"/>
        <v>1.7098034727445147E-2</v>
      </c>
      <c r="CF30" s="1378">
        <f t="shared" ca="1" si="42"/>
        <v>1.6997947228758831E-2</v>
      </c>
      <c r="CG30" s="308">
        <f ca="1">SUM(CG15:CG16)/CG7</f>
        <v>1.8143935477199877E-2</v>
      </c>
      <c r="CH30" s="1378">
        <f t="shared" ref="CH30:CI30" ca="1" si="43">+CH18/CH7</f>
        <v>1.9930811671402017E-2</v>
      </c>
      <c r="CI30" s="1381">
        <f t="shared" ca="1" si="43"/>
        <v>1.8501597959242739E-2</v>
      </c>
      <c r="CJ30" s="1381">
        <f t="shared" ref="CJ30:CK30" ca="1" si="44">+CJ18/CJ7</f>
        <v>1.7106912892874599E-2</v>
      </c>
      <c r="CK30" s="1381">
        <f t="shared" ca="1" si="44"/>
        <v>1.8379663965366829E-2</v>
      </c>
      <c r="CL30" s="308">
        <f ca="1">SUM(CL15:CL16)/CL7</f>
        <v>1.8480733665411132E-2</v>
      </c>
      <c r="CM30" s="1381">
        <f>CHOOSE(Scenarios!$C$56,Scenarios!AX59,Scenarios!AX60,Scenarios!AX61)</f>
        <v>2.068368251296018E-2</v>
      </c>
      <c r="CN30" s="1381">
        <f>CHOOSE(Scenarios!$C$56,Scenarios!AY59,Scenarios!AY60,Scenarios!AY61)</f>
        <v>1.66E-2</v>
      </c>
      <c r="CO30" s="1381">
        <f>CHOOSE(Scenarios!$C$56,Scenarios!AZ59,Scenarios!AZ60,Scenarios!AZ61)</f>
        <v>1.66E-2</v>
      </c>
      <c r="CP30" s="1381">
        <f>CHOOSE(Scenarios!$C$56,Scenarios!BA59,Scenarios!BA60,Scenarios!BA61)</f>
        <v>1.66E-2</v>
      </c>
      <c r="CQ30" s="308">
        <f ca="1">SUM(CQ15:CQ16)/CQ7</f>
        <v>2.6927204799440746E-2</v>
      </c>
      <c r="CR30" s="1381">
        <f>CHOOSE(Scenarios!$C$56,Scenarios!BC59,Scenarios!BC60,Scenarios!BC61)</f>
        <v>1.948368251296018E-2</v>
      </c>
      <c r="CS30" s="1381">
        <f>CHOOSE(Scenarios!$C$56,Scenarios!BD59,Scenarios!BD60,Scenarios!BD61)</f>
        <v>1.54E-2</v>
      </c>
      <c r="CT30" s="1381">
        <f>CHOOSE(Scenarios!$C$56,Scenarios!BE59,Scenarios!BE60,Scenarios!BE61)</f>
        <v>1.54E-2</v>
      </c>
      <c r="CU30" s="1381">
        <f>CHOOSE(Scenarios!$C$56,Scenarios!BF59,Scenarios!BF60,Scenarios!BF61)</f>
        <v>1.54E-2</v>
      </c>
      <c r="CV30" s="308">
        <f ca="1">SUM(CV15:CV16)/CV7</f>
        <v>2.6249650162544928E-2</v>
      </c>
      <c r="CW30" s="1381">
        <f>CHOOSE(Scenarios!$C$56,Scenarios!BH59,Scenarios!BH60,Scenarios!BH61)</f>
        <v>1.948368251296018E-2</v>
      </c>
      <c r="CX30" s="1381">
        <f>CHOOSE(Scenarios!$C$56,Scenarios!BI59,Scenarios!BI60,Scenarios!BI61)</f>
        <v>1.54E-2</v>
      </c>
      <c r="CY30" s="1381">
        <f>CHOOSE(Scenarios!$C$56,Scenarios!BJ59,Scenarios!BJ60,Scenarios!BJ61)</f>
        <v>1.54E-2</v>
      </c>
      <c r="CZ30" s="1381">
        <f>CHOOSE(Scenarios!$C$56,Scenarios!BK59,Scenarios!BK60,Scenarios!BK61)</f>
        <v>1.54E-2</v>
      </c>
      <c r="DA30" s="308">
        <f ca="1">SUM(DA15:DA16)/DA7</f>
        <v>2.8619400341326651E-2</v>
      </c>
      <c r="DB30" s="1381">
        <f>CHOOSE(Scenarios!$C$56,Scenarios!BM59,Scenarios!BM60,Scenarios!BM61)</f>
        <v>1.948368251296018E-2</v>
      </c>
      <c r="DC30" s="1381">
        <f>CHOOSE(Scenarios!$C$56,Scenarios!BN59,Scenarios!BN60,Scenarios!BN61)</f>
        <v>1.54E-2</v>
      </c>
      <c r="DD30" s="1381">
        <f>CHOOSE(Scenarios!$C$56,Scenarios!BO59,Scenarios!BO60,Scenarios!BO61)</f>
        <v>1.54E-2</v>
      </c>
      <c r="DE30" s="1381">
        <f>CHOOSE(Scenarios!$C$56,Scenarios!BP59,Scenarios!BP60,Scenarios!BP61)</f>
        <v>1.54E-2</v>
      </c>
      <c r="DF30" s="308">
        <f ca="1">SUM(DF15:DF16)/DF7</f>
        <v>3.1088969789937256E-2</v>
      </c>
    </row>
    <row r="31" spans="2:110" s="296" customFormat="1" ht="13.5" thickBot="1" x14ac:dyDescent="0.3">
      <c r="B31" s="317" t="s">
        <v>192</v>
      </c>
      <c r="C31" s="310"/>
      <c r="D31" s="310"/>
      <c r="E31" s="311"/>
      <c r="F31" s="312"/>
      <c r="G31" s="312"/>
      <c r="H31" s="312"/>
      <c r="I31" s="312"/>
      <c r="J31" s="312"/>
      <c r="K31" s="312"/>
      <c r="L31" s="312"/>
      <c r="M31" s="312"/>
      <c r="N31" s="312"/>
      <c r="O31" s="312"/>
      <c r="P31" s="312"/>
      <c r="Q31" s="312"/>
      <c r="R31" s="312"/>
      <c r="S31" s="312"/>
      <c r="T31" s="312"/>
      <c r="U31" s="312"/>
      <c r="V31" s="312"/>
      <c r="W31" s="312"/>
      <c r="X31" s="312"/>
      <c r="Y31" s="312"/>
      <c r="Z31" s="312"/>
      <c r="AA31" s="312"/>
      <c r="AB31" s="312"/>
      <c r="AC31" s="312"/>
      <c r="AD31" s="312"/>
      <c r="AE31" s="312"/>
      <c r="AF31" s="312"/>
      <c r="AG31" s="312"/>
      <c r="AH31" s="312"/>
      <c r="AI31" s="313"/>
      <c r="AJ31" s="312"/>
      <c r="AK31" s="312"/>
      <c r="AL31" s="312"/>
      <c r="AM31" s="312"/>
      <c r="AN31" s="313"/>
      <c r="AO31" s="312"/>
      <c r="AP31" s="312"/>
      <c r="AQ31" s="312"/>
      <c r="AR31" s="312"/>
      <c r="AS31" s="313"/>
      <c r="AT31" s="312"/>
      <c r="AU31" s="312"/>
      <c r="AV31" s="312"/>
      <c r="AW31" s="312"/>
      <c r="AX31" s="313"/>
      <c r="AY31" s="312">
        <f ca="1">AY19/AY$7</f>
        <v>4.8090849638834282E-2</v>
      </c>
      <c r="AZ31" s="312">
        <f ca="1">AZ19/AZ$7</f>
        <v>5.1150217897553502E-2</v>
      </c>
      <c r="BA31" s="312">
        <f ca="1">BA19/BA$7</f>
        <v>5.412870124150089E-2</v>
      </c>
      <c r="BB31" s="312">
        <f ca="1">BB19/BB$7</f>
        <v>5.8797869917664808E-2</v>
      </c>
      <c r="BC31" s="313"/>
      <c r="BD31" s="312">
        <f ca="1">BD19/BD$7</f>
        <v>5.435023654642223E-2</v>
      </c>
      <c r="BE31" s="312">
        <f>BE19/BE$7</f>
        <v>5.550581915846016E-2</v>
      </c>
      <c r="BF31" s="312">
        <f>BF19/BF$7</f>
        <v>5.8577554444809436E-2</v>
      </c>
      <c r="BG31" s="312">
        <f>BG19/BG$7</f>
        <v>5.5617089276504356E-2</v>
      </c>
      <c r="BH31" s="313"/>
      <c r="BI31" s="312">
        <f t="shared" ref="BI31:BR31" ca="1" si="45">BI19/BI$7</f>
        <v>5.3381537965391107E-2</v>
      </c>
      <c r="BJ31" s="312">
        <f t="shared" ca="1" si="45"/>
        <v>5.0928249803864713E-2</v>
      </c>
      <c r="BK31" s="312">
        <f t="shared" ca="1" si="45"/>
        <v>5.9130401573449946E-2</v>
      </c>
      <c r="BL31" s="312">
        <f t="shared" ca="1" si="45"/>
        <v>6.5078547546006532E-2</v>
      </c>
      <c r="BM31" s="313">
        <f t="shared" ca="1" si="45"/>
        <v>5.7726117897262522E-2</v>
      </c>
      <c r="BN31" s="312">
        <f t="shared" ca="1" si="45"/>
        <v>6.7280770042441429E-2</v>
      </c>
      <c r="BO31" s="312">
        <f t="shared" ca="1" si="45"/>
        <v>6.9753144305676487E-2</v>
      </c>
      <c r="BP31" s="312">
        <f t="shared" ca="1" si="45"/>
        <v>5.9138300892772645E-2</v>
      </c>
      <c r="BQ31" s="312">
        <f t="shared" ca="1" si="45"/>
        <v>5.1184479130745579E-2</v>
      </c>
      <c r="BR31" s="313">
        <f t="shared" ca="1" si="45"/>
        <v>6.1905483991390634E-2</v>
      </c>
      <c r="BS31" s="312">
        <v>5.8020236458306881E-2</v>
      </c>
      <c r="BT31" s="312">
        <f ca="1">BT19/BT$7</f>
        <v>6.0885782027268021E-2</v>
      </c>
      <c r="BU31" s="312">
        <f ca="1">BU19/BU$7</f>
        <v>6.3136445225622159E-2</v>
      </c>
      <c r="BV31" s="312">
        <f ca="1">BV19/BV$7</f>
        <v>5.8320827447277436E-2</v>
      </c>
      <c r="BW31" s="313">
        <f ca="1">BW19/BW$7</f>
        <v>5.8907322422125652E-2</v>
      </c>
      <c r="BX31" s="312">
        <v>5.8020236458306881E-2</v>
      </c>
      <c r="BY31" s="312">
        <f t="shared" ref="BY31:CQ31" ca="1" si="46">BY19/BY$7</f>
        <v>6.755568108457069E-2</v>
      </c>
      <c r="BZ31" s="312">
        <f t="shared" ca="1" si="46"/>
        <v>6.9165933026834908E-2</v>
      </c>
      <c r="CA31" s="312">
        <f t="shared" ca="1" si="46"/>
        <v>7.0807477810069908E-2</v>
      </c>
      <c r="CB31" s="313">
        <f t="shared" ca="1" si="46"/>
        <v>6.6325510774778565E-2</v>
      </c>
      <c r="CC31" s="312">
        <f t="shared" ca="1" si="46"/>
        <v>5.6944427074865668E-2</v>
      </c>
      <c r="CD31" s="312">
        <f t="shared" ca="1" si="46"/>
        <v>7.0368433837121686E-2</v>
      </c>
      <c r="CE31" s="312">
        <f t="shared" ca="1" si="46"/>
        <v>7.6379124292861589E-2</v>
      </c>
      <c r="CF31" s="312">
        <f t="shared" ca="1" si="46"/>
        <v>8.3871559939251328E-2</v>
      </c>
      <c r="CG31" s="313">
        <f t="shared" ca="1" si="46"/>
        <v>7.19056974459725E-2</v>
      </c>
      <c r="CH31" s="312">
        <f t="shared" ref="CH31:CI31" ca="1" si="47">CH19/CH$7</f>
        <v>7.9232068832648064E-2</v>
      </c>
      <c r="CI31" s="312">
        <f t="shared" ca="1" si="47"/>
        <v>7.8442640911891057E-2</v>
      </c>
      <c r="CJ31" s="312">
        <f t="shared" ref="CJ31:CK31" ca="1" si="48">CJ19/CJ$7</f>
        <v>8.2614701319676145E-2</v>
      </c>
      <c r="CK31" s="312">
        <f t="shared" ca="1" si="48"/>
        <v>7.8268606407002381E-2</v>
      </c>
      <c r="CL31" s="313">
        <f t="shared" ca="1" si="46"/>
        <v>7.9623925452749156E-2</v>
      </c>
      <c r="CM31" s="312">
        <f t="shared" ca="1" si="46"/>
        <v>5.9197354428400462E-2</v>
      </c>
      <c r="CN31" s="312">
        <f t="shared" ca="1" si="46"/>
        <v>7.5861572035022765E-2</v>
      </c>
      <c r="CO31" s="312">
        <f t="shared" ca="1" si="46"/>
        <v>7.6665945770196919E-2</v>
      </c>
      <c r="CP31" s="312">
        <f t="shared" ca="1" si="46"/>
        <v>8.146316178366661E-2</v>
      </c>
      <c r="CQ31" s="313">
        <f t="shared" ca="1" si="46"/>
        <v>7.3416639924330437E-2</v>
      </c>
      <c r="CR31" s="312">
        <f t="shared" ref="CR31:CV31" ca="1" si="49">CR19/CR$7</f>
        <v>5.6172294416029479E-2</v>
      </c>
      <c r="CS31" s="312">
        <f t="shared" ca="1" si="49"/>
        <v>6.9198875659174208E-2</v>
      </c>
      <c r="CT31" s="312">
        <f t="shared" ca="1" si="49"/>
        <v>6.8839616609438978E-2</v>
      </c>
      <c r="CU31" s="312">
        <f t="shared" ca="1" si="49"/>
        <v>7.2891528801377448E-2</v>
      </c>
      <c r="CV31" s="313">
        <f t="shared" ca="1" si="49"/>
        <v>6.6883918321609268E-2</v>
      </c>
      <c r="CW31" s="312">
        <f t="shared" ref="CW31:DF31" ca="1" si="50">CW19/CW$7</f>
        <v>5.1727948962970158E-2</v>
      </c>
      <c r="CX31" s="312">
        <f t="shared" ca="1" si="50"/>
        <v>6.3002819392459455E-2</v>
      </c>
      <c r="CY31" s="312">
        <f t="shared" ca="1" si="50"/>
        <v>6.1909765954234433E-2</v>
      </c>
      <c r="CZ31" s="312">
        <f t="shared" ca="1" si="50"/>
        <v>6.547746907520513E-2</v>
      </c>
      <c r="DA31" s="313">
        <f t="shared" ca="1" si="50"/>
        <v>6.0620087621428738E-2</v>
      </c>
      <c r="DB31" s="312">
        <f t="shared" ca="1" si="50"/>
        <v>4.604876872092014E-2</v>
      </c>
      <c r="DC31" s="312">
        <f t="shared" ca="1" si="50"/>
        <v>5.5377572918275018E-2</v>
      </c>
      <c r="DD31" s="312">
        <f t="shared" ca="1" si="50"/>
        <v>5.636208257426803E-2</v>
      </c>
      <c r="DE31" s="312">
        <f t="shared" ca="1" si="50"/>
        <v>5.8764320074429166E-2</v>
      </c>
      <c r="DF31" s="313">
        <f t="shared" ca="1" si="50"/>
        <v>5.4224695633243371E-2</v>
      </c>
    </row>
    <row r="32" spans="2:110" s="296" customFormat="1" ht="13.5" thickBot="1" x14ac:dyDescent="0.3">
      <c r="B32" s="299"/>
      <c r="C32" s="299"/>
      <c r="D32" s="299"/>
    </row>
    <row r="33" spans="2:110" s="296" customFormat="1" ht="13.5" thickBot="1" x14ac:dyDescent="0.3">
      <c r="B33" s="949" t="s">
        <v>193</v>
      </c>
      <c r="C33" s="950"/>
      <c r="D33" s="950"/>
      <c r="E33" s="951"/>
      <c r="F33" s="951"/>
      <c r="G33" s="951"/>
      <c r="H33" s="951"/>
      <c r="I33" s="951"/>
      <c r="J33" s="951"/>
      <c r="K33" s="951"/>
      <c r="L33" s="951"/>
      <c r="M33" s="951"/>
      <c r="N33" s="951"/>
      <c r="O33" s="951"/>
      <c r="P33" s="951"/>
      <c r="Q33" s="951"/>
      <c r="R33" s="951"/>
      <c r="S33" s="951"/>
      <c r="T33" s="951"/>
      <c r="U33" s="951"/>
      <c r="V33" s="951"/>
      <c r="W33" s="951"/>
      <c r="X33" s="951"/>
      <c r="Y33" s="951"/>
      <c r="Z33" s="951"/>
      <c r="AA33" s="951"/>
      <c r="AB33" s="951"/>
      <c r="AC33" s="951"/>
      <c r="AD33" s="951"/>
      <c r="AE33" s="951"/>
      <c r="AF33" s="951"/>
      <c r="AG33" s="951"/>
      <c r="AH33" s="951"/>
      <c r="AI33" s="951"/>
      <c r="AJ33" s="951"/>
      <c r="AK33" s="951"/>
      <c r="AL33" s="951"/>
      <c r="AM33" s="951"/>
      <c r="AN33" s="951"/>
      <c r="AO33" s="951"/>
      <c r="AP33" s="951"/>
      <c r="AQ33" s="951"/>
      <c r="AR33" s="951"/>
      <c r="AS33" s="951"/>
      <c r="AT33" s="951"/>
      <c r="AU33" s="951"/>
      <c r="AV33" s="951"/>
      <c r="AW33" s="951"/>
      <c r="AX33" s="951"/>
      <c r="AY33" s="951"/>
      <c r="AZ33" s="951"/>
      <c r="BA33" s="951"/>
      <c r="BB33" s="951"/>
      <c r="BC33" s="951"/>
      <c r="BD33" s="951"/>
      <c r="BE33" s="951"/>
      <c r="BF33" s="951"/>
      <c r="BG33" s="951"/>
      <c r="BH33" s="951"/>
      <c r="BI33" s="951"/>
      <c r="BJ33" s="951"/>
      <c r="BK33" s="951"/>
      <c r="BL33" s="951"/>
      <c r="BM33" s="951"/>
      <c r="BN33" s="951"/>
      <c r="BO33" s="951"/>
      <c r="BP33" s="951"/>
      <c r="BQ33" s="951"/>
      <c r="BR33" s="951"/>
      <c r="BS33" s="951"/>
      <c r="BT33" s="951"/>
      <c r="BU33" s="951"/>
      <c r="BV33" s="951"/>
      <c r="BW33" s="951"/>
      <c r="BX33" s="951"/>
      <c r="BY33" s="951"/>
      <c r="BZ33" s="951"/>
      <c r="CA33" s="951"/>
      <c r="CB33" s="953"/>
      <c r="CC33" s="951"/>
      <c r="CD33" s="951"/>
      <c r="CE33" s="951"/>
      <c r="CF33" s="951"/>
      <c r="CG33" s="953"/>
      <c r="CH33" s="951"/>
      <c r="CI33" s="951"/>
      <c r="CJ33" s="951"/>
      <c r="CK33" s="951"/>
      <c r="CL33" s="953"/>
      <c r="CM33" s="951"/>
      <c r="CN33" s="951"/>
      <c r="CO33" s="951"/>
      <c r="CP33" s="951"/>
      <c r="CQ33" s="953"/>
      <c r="CR33" s="951"/>
      <c r="CS33" s="951"/>
      <c r="CT33" s="951"/>
      <c r="CU33" s="951"/>
      <c r="CV33" s="953"/>
      <c r="CW33" s="951"/>
      <c r="CX33" s="951"/>
      <c r="CY33" s="951"/>
      <c r="CZ33" s="951"/>
      <c r="DA33" s="953"/>
      <c r="DB33" s="951"/>
      <c r="DC33" s="951"/>
      <c r="DD33" s="951"/>
      <c r="DE33" s="951"/>
      <c r="DF33" s="953"/>
    </row>
    <row r="34" spans="2:110" s="296" customFormat="1" x14ac:dyDescent="0.25">
      <c r="B34" s="302" t="s">
        <v>194</v>
      </c>
      <c r="C34" s="303"/>
      <c r="D34" s="303"/>
      <c r="E34" s="304"/>
      <c r="F34" s="304"/>
      <c r="G34" s="304"/>
      <c r="H34" s="304"/>
      <c r="I34" s="304"/>
      <c r="J34" s="304"/>
      <c r="K34" s="314"/>
      <c r="L34" s="314"/>
      <c r="M34" s="314"/>
      <c r="N34" s="314"/>
      <c r="O34" s="314"/>
      <c r="P34" s="314"/>
      <c r="Q34" s="314"/>
      <c r="R34" s="314"/>
      <c r="S34" s="314"/>
      <c r="T34" s="314"/>
      <c r="U34" s="314"/>
      <c r="V34" s="314"/>
      <c r="W34" s="314"/>
      <c r="X34" s="314"/>
      <c r="Y34" s="314"/>
      <c r="Z34" s="314"/>
      <c r="AA34" s="314"/>
      <c r="AB34" s="314"/>
      <c r="AC34" s="314"/>
      <c r="AD34" s="314"/>
      <c r="AE34" s="314"/>
      <c r="AF34" s="314"/>
      <c r="AG34" s="314"/>
      <c r="AH34" s="314"/>
      <c r="AI34" s="315"/>
      <c r="AJ34" s="314"/>
      <c r="AK34" s="314"/>
      <c r="AL34" s="314"/>
      <c r="AM34" s="314"/>
      <c r="AN34" s="315"/>
      <c r="AO34" s="314"/>
      <c r="AP34" s="314"/>
      <c r="AQ34" s="314"/>
      <c r="AR34" s="314"/>
      <c r="AS34" s="315"/>
      <c r="AT34" s="314"/>
      <c r="AU34" s="314"/>
      <c r="AV34" s="314"/>
      <c r="AW34" s="314"/>
      <c r="AX34" s="315"/>
      <c r="AY34" s="314"/>
      <c r="AZ34" s="314"/>
      <c r="BA34" s="314"/>
      <c r="BB34" s="314"/>
      <c r="BC34" s="315"/>
      <c r="BD34" s="314"/>
      <c r="BE34" s="314"/>
      <c r="BF34" s="314"/>
      <c r="BG34" s="314"/>
      <c r="BH34" s="315"/>
      <c r="BI34" s="314"/>
      <c r="BJ34" s="314"/>
      <c r="BK34" s="314"/>
      <c r="BL34" s="314"/>
      <c r="BM34" s="315"/>
      <c r="BN34" s="314"/>
      <c r="BO34" s="314"/>
      <c r="BP34" s="314"/>
      <c r="BQ34" s="314">
        <f t="shared" ref="BQ34:BZ35" ca="1" si="51">BQ7/BL7-1</f>
        <v>-5.9151694849377434E-2</v>
      </c>
      <c r="BR34" s="315">
        <f t="shared" ca="1" si="51"/>
        <v>0.11338091477903123</v>
      </c>
      <c r="BS34" s="314">
        <f t="shared" ca="1" si="51"/>
        <v>-9.580587927247719E-2</v>
      </c>
      <c r="BT34" s="314">
        <f t="shared" ca="1" si="51"/>
        <v>-5.3780837680566296E-2</v>
      </c>
      <c r="BU34" s="314">
        <f t="shared" ca="1" si="51"/>
        <v>-7.7920439130571006E-3</v>
      </c>
      <c r="BV34" s="314">
        <f t="shared" ca="1" si="51"/>
        <v>1.7749199453143794E-2</v>
      </c>
      <c r="BW34" s="315">
        <f t="shared" ca="1" si="51"/>
        <v>-3.5204628790353909E-2</v>
      </c>
      <c r="BX34" s="314">
        <f t="shared" ca="1" si="51"/>
        <v>4.9164314703479706E-2</v>
      </c>
      <c r="BY34" s="314">
        <f t="shared" ca="1" si="51"/>
        <v>1.1389558822929358E-2</v>
      </c>
      <c r="BZ34" s="314">
        <f t="shared" ca="1" si="51"/>
        <v>-2.4895078214422051E-2</v>
      </c>
      <c r="CA34" s="314">
        <f t="shared" ref="CA34:CK35" ca="1" si="52">CA7/BV7-1</f>
        <v>-8.8287502724920808E-3</v>
      </c>
      <c r="CB34" s="315">
        <f t="shared" ca="1" si="52"/>
        <v>5.7202615440847815E-3</v>
      </c>
      <c r="CC34" s="314">
        <f t="shared" ca="1" si="52"/>
        <v>-1.1777937068986888E-2</v>
      </c>
      <c r="CD34" s="314">
        <f t="shared" ca="1" si="52"/>
        <v>-1.9960458360232414E-2</v>
      </c>
      <c r="CE34" s="314">
        <f t="shared" ca="1" si="52"/>
        <v>-2.8693468975187209E-3</v>
      </c>
      <c r="CF34" s="314">
        <f t="shared" ca="1" si="52"/>
        <v>-5.8691383237766459E-2</v>
      </c>
      <c r="CG34" s="315">
        <f t="shared" ca="1" si="52"/>
        <v>-2.3677659168505838E-2</v>
      </c>
      <c r="CH34" s="314">
        <f t="shared" ca="1" si="52"/>
        <v>-1.5490885139838984E-2</v>
      </c>
      <c r="CI34" s="314">
        <f t="shared" ca="1" si="52"/>
        <v>-4.207614052278208E-3</v>
      </c>
      <c r="CJ34" s="314">
        <f t="shared" ca="1" si="52"/>
        <v>-3.8271312252705858E-2</v>
      </c>
      <c r="CK34" s="314">
        <f t="shared" ca="1" si="52"/>
        <v>1.8014445825933478E-3</v>
      </c>
      <c r="CL34" s="315">
        <f t="shared" ref="CL34:CQ35" ca="1" si="53">CL7/CG7-1</f>
        <v>-1.413425392226475E-2</v>
      </c>
      <c r="CM34" s="314">
        <f t="shared" ca="1" si="53"/>
        <v>-1.568880446308285E-2</v>
      </c>
      <c r="CN34" s="314">
        <f t="shared" ca="1" si="53"/>
        <v>-1.6566916250482455E-2</v>
      </c>
      <c r="CO34" s="314">
        <f t="shared" ca="1" si="53"/>
        <v>1.0198616062474963E-2</v>
      </c>
      <c r="CP34" s="314">
        <f t="shared" ca="1" si="53"/>
        <v>1.011243867660494E-2</v>
      </c>
      <c r="CQ34" s="315">
        <f t="shared" ca="1" si="53"/>
        <v>-3.0254719967141019E-3</v>
      </c>
      <c r="CR34" s="314">
        <f t="shared" ref="CR34:CR35" ca="1" si="54">CR7/CM7-1</f>
        <v>4.6059251246032717E-2</v>
      </c>
      <c r="CS34" s="314">
        <f t="shared" ref="CS34:CS35" ca="1" si="55">CS7/CN7-1</f>
        <v>5.1564011589249947E-2</v>
      </c>
      <c r="CT34" s="314">
        <f t="shared" ref="CT34:CT35" ca="1" si="56">CT7/CO7-1</f>
        <v>5.4039600015707512E-2</v>
      </c>
      <c r="CU34" s="314">
        <f t="shared" ref="CU34:CU35" ca="1" si="57">CU7/CP7-1</f>
        <v>5.3995626029420096E-2</v>
      </c>
      <c r="CV34" s="315">
        <f t="shared" ref="CV34:CV35" ca="1" si="58">CV7/CQ7-1</f>
        <v>5.1457247944933338E-2</v>
      </c>
      <c r="CW34" s="314">
        <f t="shared" ref="CW34:CW35" ca="1" si="59">CW7/CR7-1</f>
        <v>-6.0606838049318545E-2</v>
      </c>
      <c r="CX34" s="314">
        <f t="shared" ref="CX34:CX35" ca="1" si="60">CX7/CS7-1</f>
        <v>-6.031432050254526E-2</v>
      </c>
      <c r="CY34" s="314">
        <f t="shared" ref="CY34:CY35" ca="1" si="61">CY7/CT7-1</f>
        <v>-5.839389363862646E-2</v>
      </c>
      <c r="CZ34" s="314">
        <f t="shared" ref="CZ34:CZ35" ca="1" si="62">CZ7/CU7-1</f>
        <v>-6.0189908151443317E-2</v>
      </c>
      <c r="DA34" s="315">
        <f t="shared" ref="DA34:DA35" ca="1" si="63">DA7/CV7-1</f>
        <v>-5.9872286081542492E-2</v>
      </c>
      <c r="DB34" s="314">
        <f t="shared" ref="DB34:DB35" ca="1" si="64">DB7/CW7-1</f>
        <v>-5.7172603717005943E-2</v>
      </c>
      <c r="DC34" s="314">
        <f t="shared" ref="DC34:DC35" ca="1" si="65">DC7/CX7-1</f>
        <v>-5.6919258357891023E-2</v>
      </c>
      <c r="DD34" s="314">
        <f t="shared" ref="DD34:DD35" ca="1" si="66">DD7/CY7-1</f>
        <v>-5.4917155460020961E-2</v>
      </c>
      <c r="DE34" s="314">
        <f t="shared" ref="DE34:DE35" ca="1" si="67">DE7/CZ7-1</f>
        <v>-5.6697250671661426E-2</v>
      </c>
      <c r="DF34" s="315">
        <f t="shared" ref="DF34:DF35" ca="1" si="68">DF7/DA7-1</f>
        <v>-5.6421439884611346E-2</v>
      </c>
    </row>
    <row r="35" spans="2:110" s="296" customFormat="1" x14ac:dyDescent="0.25">
      <c r="B35" s="307" t="s">
        <v>195</v>
      </c>
      <c r="C35" s="299"/>
      <c r="D35" s="299"/>
      <c r="K35" s="300"/>
      <c r="L35" s="300"/>
      <c r="M35" s="300"/>
      <c r="N35" s="300"/>
      <c r="O35" s="300"/>
      <c r="P35" s="300"/>
      <c r="Q35" s="300"/>
      <c r="R35" s="300"/>
      <c r="S35" s="300"/>
      <c r="T35" s="300"/>
      <c r="U35" s="300"/>
      <c r="V35" s="300"/>
      <c r="W35" s="300"/>
      <c r="X35" s="300"/>
      <c r="Y35" s="300"/>
      <c r="Z35" s="300"/>
      <c r="AA35" s="300"/>
      <c r="AB35" s="300"/>
      <c r="AC35" s="300"/>
      <c r="AD35" s="300"/>
      <c r="AE35" s="300"/>
      <c r="AF35" s="300"/>
      <c r="AG35" s="300"/>
      <c r="AH35" s="300"/>
      <c r="AI35" s="316"/>
      <c r="AJ35" s="300"/>
      <c r="AK35" s="300"/>
      <c r="AL35" s="300"/>
      <c r="AM35" s="300"/>
      <c r="AN35" s="316"/>
      <c r="AO35" s="300"/>
      <c r="AP35" s="300"/>
      <c r="AQ35" s="300"/>
      <c r="AR35" s="300"/>
      <c r="AS35" s="316"/>
      <c r="AT35" s="300"/>
      <c r="AU35" s="300"/>
      <c r="AV35" s="300"/>
      <c r="AW35" s="300"/>
      <c r="AX35" s="316"/>
      <c r="AY35" s="300"/>
      <c r="AZ35" s="300"/>
      <c r="BA35" s="300"/>
      <c r="BB35" s="300"/>
      <c r="BC35" s="316"/>
      <c r="BD35" s="300"/>
      <c r="BE35" s="300"/>
      <c r="BF35" s="300"/>
      <c r="BG35" s="300"/>
      <c r="BH35" s="316"/>
      <c r="BI35" s="300"/>
      <c r="BJ35" s="300"/>
      <c r="BK35" s="300"/>
      <c r="BL35" s="300"/>
      <c r="BM35" s="316"/>
      <c r="BN35" s="300"/>
      <c r="BO35" s="300"/>
      <c r="BP35" s="300"/>
      <c r="BQ35" s="300">
        <f t="shared" ca="1" si="51"/>
        <v>-4.0479486692610256E-2</v>
      </c>
      <c r="BR35" s="316">
        <f t="shared" ca="1" si="51"/>
        <v>0.11186144577173751</v>
      </c>
      <c r="BS35" s="300">
        <f t="shared" ca="1" si="51"/>
        <v>-8.2768575976973069E-2</v>
      </c>
      <c r="BT35" s="300">
        <f t="shared" ca="1" si="51"/>
        <v>-4.477895517288466E-2</v>
      </c>
      <c r="BU35" s="300">
        <f t="shared" ca="1" si="51"/>
        <v>-1.2173908475063389E-2</v>
      </c>
      <c r="BV35" s="300">
        <f t="shared" ca="1" si="51"/>
        <v>1.3430047393845346E-2</v>
      </c>
      <c r="BW35" s="316">
        <f t="shared" ca="1" si="51"/>
        <v>-3.1598570053049335E-2</v>
      </c>
      <c r="BX35" s="300">
        <f t="shared" ca="1" si="51"/>
        <v>4.5830202854996172E-2</v>
      </c>
      <c r="BY35" s="300">
        <f t="shared" ca="1" si="51"/>
        <v>4.3612131537384968E-3</v>
      </c>
      <c r="BZ35" s="300">
        <f t="shared" ca="1" si="51"/>
        <v>-3.2282629573740729E-2</v>
      </c>
      <c r="CA35" s="300">
        <f t="shared" ca="1" si="52"/>
        <v>-2.2623654980371666E-2</v>
      </c>
      <c r="CB35" s="316">
        <f t="shared" ca="1" si="52"/>
        <v>-2.2128379867580872E-3</v>
      </c>
      <c r="CC35" s="300">
        <f t="shared" ca="1" si="52"/>
        <v>-1.132915685014646E-2</v>
      </c>
      <c r="CD35" s="300">
        <f t="shared" ca="1" si="52"/>
        <v>-2.304984119551734E-2</v>
      </c>
      <c r="CE35" s="300">
        <f t="shared" ca="1" si="52"/>
        <v>-7.300478940065469E-3</v>
      </c>
      <c r="CF35" s="300">
        <f t="shared" ca="1" si="52"/>
        <v>-6.9206947041978828E-2</v>
      </c>
      <c r="CG35" s="316">
        <f t="shared" ca="1" si="52"/>
        <v>-2.8065304211066011E-2</v>
      </c>
      <c r="CH35" s="300">
        <f t="shared" ca="1" si="52"/>
        <v>-3.9828860014532341E-2</v>
      </c>
      <c r="CI35" s="300">
        <f t="shared" ca="1" si="52"/>
        <v>-1.2380121269120692E-2</v>
      </c>
      <c r="CJ35" s="300">
        <f t="shared" ca="1" si="52"/>
        <v>-4.4896045162075682E-2</v>
      </c>
      <c r="CK35" s="300">
        <f t="shared" ca="1" si="52"/>
        <v>6.5047008435157316E-3</v>
      </c>
      <c r="CL35" s="316">
        <f t="shared" ca="1" si="53"/>
        <v>-2.2861295194755327E-2</v>
      </c>
      <c r="CM35" s="300">
        <f t="shared" ca="1" si="53"/>
        <v>5.3797484180040378E-3</v>
      </c>
      <c r="CN35" s="300">
        <f t="shared" ca="1" si="53"/>
        <v>-1.1685265460117611E-2</v>
      </c>
      <c r="CO35" s="300">
        <f t="shared" ca="1" si="53"/>
        <v>1.7442494655116825E-2</v>
      </c>
      <c r="CP35" s="300">
        <f t="shared" ca="1" si="53"/>
        <v>8.5303313234510458E-3</v>
      </c>
      <c r="CQ35" s="316">
        <f t="shared" ca="1" si="53"/>
        <v>4.8112259346591024E-3</v>
      </c>
      <c r="CR35" s="300">
        <f t="shared" ca="1" si="54"/>
        <v>5.0862611779239009E-2</v>
      </c>
      <c r="CS35" s="300">
        <f t="shared" ca="1" si="55"/>
        <v>6.0674511253088648E-2</v>
      </c>
      <c r="CT35" s="300">
        <f t="shared" ca="1" si="56"/>
        <v>6.4532322036936707E-2</v>
      </c>
      <c r="CU35" s="300">
        <f t="shared" ca="1" si="57"/>
        <v>6.5414672226563386E-2</v>
      </c>
      <c r="CV35" s="316">
        <f t="shared" ca="1" si="58"/>
        <v>6.0407912745175318E-2</v>
      </c>
      <c r="CW35" s="300">
        <f t="shared" ca="1" si="59"/>
        <v>-5.6090134718366436E-2</v>
      </c>
      <c r="CX35" s="300">
        <f t="shared" ca="1" si="60"/>
        <v>-5.3953889879975181E-2</v>
      </c>
      <c r="CY35" s="300">
        <f t="shared" ca="1" si="61"/>
        <v>-5.1268460161199014E-2</v>
      </c>
      <c r="CZ35" s="300">
        <f t="shared" ca="1" si="62"/>
        <v>-5.254732461477396E-2</v>
      </c>
      <c r="DA35" s="316">
        <f t="shared" ca="1" si="63"/>
        <v>-5.3447734994054863E-2</v>
      </c>
      <c r="DB35" s="300">
        <f t="shared" ca="1" si="64"/>
        <v>-5.1407580271306985E-2</v>
      </c>
      <c r="DC35" s="300">
        <f t="shared" ca="1" si="65"/>
        <v>-4.9116258032589566E-2</v>
      </c>
      <c r="DD35" s="300">
        <f t="shared" ca="1" si="66"/>
        <v>-4.9234836306867646E-2</v>
      </c>
      <c r="DE35" s="300">
        <f t="shared" ca="1" si="67"/>
        <v>-4.9807492564316158E-2</v>
      </c>
      <c r="DF35" s="316">
        <f t="shared" ca="1" si="68"/>
        <v>-4.9882561567540118E-2</v>
      </c>
    </row>
    <row r="36" spans="2:110" s="296" customFormat="1" x14ac:dyDescent="0.25">
      <c r="B36" s="307" t="s">
        <v>89</v>
      </c>
      <c r="C36" s="299"/>
      <c r="D36" s="299"/>
      <c r="K36" s="300"/>
      <c r="L36" s="300"/>
      <c r="M36" s="300"/>
      <c r="N36" s="300"/>
      <c r="O36" s="300"/>
      <c r="P36" s="300"/>
      <c r="Q36" s="300"/>
      <c r="R36" s="300"/>
      <c r="S36" s="300"/>
      <c r="T36" s="300"/>
      <c r="U36" s="300"/>
      <c r="V36" s="300"/>
      <c r="W36" s="300"/>
      <c r="X36" s="300"/>
      <c r="Y36" s="300"/>
      <c r="Z36" s="300"/>
      <c r="AA36" s="300"/>
      <c r="AB36" s="300"/>
      <c r="AC36" s="300"/>
      <c r="AD36" s="300"/>
      <c r="AE36" s="300"/>
      <c r="AF36" s="300"/>
      <c r="AG36" s="300"/>
      <c r="AH36" s="300"/>
      <c r="AI36" s="316"/>
      <c r="AJ36" s="300"/>
      <c r="AK36" s="300"/>
      <c r="AL36" s="300"/>
      <c r="AM36" s="300"/>
      <c r="AN36" s="316"/>
      <c r="AO36" s="300"/>
      <c r="AP36" s="300"/>
      <c r="AQ36" s="300"/>
      <c r="AR36" s="300"/>
      <c r="AS36" s="316"/>
      <c r="AT36" s="300"/>
      <c r="AU36" s="300"/>
      <c r="AV36" s="300"/>
      <c r="AW36" s="300"/>
      <c r="AX36" s="316"/>
      <c r="AY36" s="300"/>
      <c r="AZ36" s="300"/>
      <c r="BA36" s="300"/>
      <c r="BB36" s="300"/>
      <c r="BC36" s="316"/>
      <c r="BD36" s="300"/>
      <c r="BE36" s="300"/>
      <c r="BF36" s="300"/>
      <c r="BG36" s="300"/>
      <c r="BH36" s="316"/>
      <c r="BI36" s="300"/>
      <c r="BJ36" s="300"/>
      <c r="BK36" s="300"/>
      <c r="BL36" s="300"/>
      <c r="BM36" s="316"/>
      <c r="BN36" s="300"/>
      <c r="BO36" s="300"/>
      <c r="BP36" s="300"/>
      <c r="BQ36" s="300">
        <f t="shared" ref="BQ36:BW36" ca="1" si="69">BQ12/BL12-1</f>
        <v>-0.24350742220949095</v>
      </c>
      <c r="BR36" s="316">
        <f t="shared" ca="1" si="69"/>
        <v>0.13065494488536356</v>
      </c>
      <c r="BS36" s="300">
        <f t="shared" ca="1" si="69"/>
        <v>-0.23267513372240001</v>
      </c>
      <c r="BT36" s="300">
        <f t="shared" ca="1" si="69"/>
        <v>-0.14607352414279084</v>
      </c>
      <c r="BU36" s="300">
        <f t="shared" ca="1" si="69"/>
        <v>4.3710511058647539E-2</v>
      </c>
      <c r="BV36" s="300">
        <f t="shared" ca="1" si="69"/>
        <v>7.1838210453246454E-2</v>
      </c>
      <c r="BW36" s="316">
        <f t="shared" ca="1" si="69"/>
        <v>-7.5518565268952398E-2</v>
      </c>
      <c r="BX36" s="300">
        <f t="shared" ref="BX36" si="70">BX12/BS12-1</f>
        <v>9.1004919184820787E-2</v>
      </c>
      <c r="BY36" s="300">
        <f t="shared" ref="BY36:CQ36" ca="1" si="71">BY12/BT12-1</f>
        <v>9.1996132905917571E-2</v>
      </c>
      <c r="BZ36" s="300">
        <f t="shared" ca="1" si="71"/>
        <v>5.7285799134913162E-2</v>
      </c>
      <c r="CA36" s="300">
        <f t="shared" ca="1" si="71"/>
        <v>0.15451171663101992</v>
      </c>
      <c r="CB36" s="316">
        <f t="shared" ca="1" si="71"/>
        <v>9.8621722073095386E-2</v>
      </c>
      <c r="CC36" s="300">
        <f t="shared" ca="1" si="71"/>
        <v>-1.717659688674178E-2</v>
      </c>
      <c r="CD36" s="300">
        <f t="shared" ca="1" si="71"/>
        <v>1.2627556963794806E-2</v>
      </c>
      <c r="CE36" s="300">
        <f t="shared" ca="1" si="71"/>
        <v>4.2247744052502201E-2</v>
      </c>
      <c r="CF36" s="300">
        <f t="shared" ca="1" si="71"/>
        <v>4.6716023726024902E-2</v>
      </c>
      <c r="CG36" s="316">
        <f t="shared" ca="1" si="71"/>
        <v>2.2988370727123231E-2</v>
      </c>
      <c r="CH36" s="300">
        <f t="shared" ca="1" si="71"/>
        <v>0.27902785363189486</v>
      </c>
      <c r="CI36" s="300">
        <f t="shared" ca="1" si="71"/>
        <v>7.8961899503037225E-2</v>
      </c>
      <c r="CJ36" s="300">
        <f t="shared" ca="1" si="71"/>
        <v>2.5974025974025983E-2</v>
      </c>
      <c r="CK36" s="300">
        <f t="shared" ca="1" si="71"/>
        <v>-4.0122435473196716E-2</v>
      </c>
      <c r="CL36" s="316">
        <f t="shared" ca="1" si="71"/>
        <v>7.4052384397211624E-2</v>
      </c>
      <c r="CM36" s="300">
        <f t="shared" ca="1" si="71"/>
        <v>-0.20708435885676035</v>
      </c>
      <c r="CN36" s="300">
        <f t="shared" ca="1" si="71"/>
        <v>-6.2040509332360938E-2</v>
      </c>
      <c r="CO36" s="300">
        <f t="shared" ca="1" si="71"/>
        <v>-5.51985135139057E-2</v>
      </c>
      <c r="CP36" s="300">
        <f t="shared" ca="1" si="71"/>
        <v>2.4900074383087389E-2</v>
      </c>
      <c r="CQ36" s="316">
        <f t="shared" ca="1" si="71"/>
        <v>-7.5069770562505411E-2</v>
      </c>
      <c r="CR36" s="300">
        <f t="shared" ref="CR36" ca="1" si="72">CR12/CM12-1</f>
        <v>-9.2688126129121251E-3</v>
      </c>
      <c r="CS36" s="300">
        <f t="shared" ref="CS36" ca="1" si="73">CS12/CN12-1</f>
        <v>-3.7858311230047903E-2</v>
      </c>
      <c r="CT36" s="300">
        <f t="shared" ref="CT36" ca="1" si="74">CT12/CO12-1</f>
        <v>-4.7970928046247141E-2</v>
      </c>
      <c r="CU36" s="300">
        <f t="shared" ref="CU36" ca="1" si="75">CU12/CP12-1</f>
        <v>-5.1031157067971789E-2</v>
      </c>
      <c r="CV36" s="316">
        <f t="shared" ref="CV36" ca="1" si="76">CV12/CQ12-1</f>
        <v>-3.7934475061692785E-2</v>
      </c>
      <c r="CW36" s="300">
        <f t="shared" ref="CW36" ca="1" si="77">CW12/CR12-1</f>
        <v>-0.11579068336360421</v>
      </c>
      <c r="CX36" s="300">
        <f t="shared" ref="CX36" ca="1" si="78">CX12/CS12-1</f>
        <v>-0.12913728413918923</v>
      </c>
      <c r="CY36" s="300">
        <f t="shared" ref="CY36" ca="1" si="79">CY12/CT12-1</f>
        <v>-0.13585376294650542</v>
      </c>
      <c r="CZ36" s="300">
        <f t="shared" ref="CZ36" ca="1" si="80">CZ12/CU12-1</f>
        <v>-0.13910810389250505</v>
      </c>
      <c r="DA36" s="316">
        <f t="shared" ref="DA36" ca="1" si="81">DA12/CV12-1</f>
        <v>-0.13059405413099201</v>
      </c>
      <c r="DB36" s="300">
        <f t="shared" ref="DB36" ca="1" si="82">DB12/CW12-1</f>
        <v>-0.13236378540540283</v>
      </c>
      <c r="DC36" s="300">
        <f t="shared" ref="DC36" ca="1" si="83">DC12/CX12-1</f>
        <v>-0.14864074434273511</v>
      </c>
      <c r="DD36" s="300">
        <f t="shared" ref="DD36" ca="1" si="84">DD12/CY12-1</f>
        <v>-0.12273550058927096</v>
      </c>
      <c r="DE36" s="300">
        <f t="shared" ref="DE36" ca="1" si="85">DE12/CZ12-1</f>
        <v>-0.13499510026428851</v>
      </c>
      <c r="DF36" s="316">
        <f t="shared" ref="DF36" ca="1" si="86">DF12/DA12-1</f>
        <v>-0.13478886385416422</v>
      </c>
    </row>
    <row r="37" spans="2:110" s="296" customFormat="1" hidden="1" x14ac:dyDescent="0.25">
      <c r="B37" s="1406" t="s">
        <v>415</v>
      </c>
      <c r="C37" s="299"/>
      <c r="D37" s="299"/>
      <c r="K37" s="300"/>
      <c r="L37" s="300"/>
      <c r="M37" s="300"/>
      <c r="N37" s="300"/>
      <c r="O37" s="300"/>
      <c r="P37" s="300"/>
      <c r="Q37" s="300"/>
      <c r="R37" s="300"/>
      <c r="S37" s="300"/>
      <c r="T37" s="300"/>
      <c r="U37" s="300"/>
      <c r="V37" s="300"/>
      <c r="W37" s="300"/>
      <c r="X37" s="300"/>
      <c r="Y37" s="300"/>
      <c r="Z37" s="300"/>
      <c r="AA37" s="300"/>
      <c r="AB37" s="300"/>
      <c r="AC37" s="300"/>
      <c r="AD37" s="300"/>
      <c r="AE37" s="300"/>
      <c r="AF37" s="300"/>
      <c r="AG37" s="300"/>
      <c r="AH37" s="300"/>
      <c r="AI37" s="316"/>
      <c r="AJ37" s="300"/>
      <c r="AK37" s="300"/>
      <c r="AL37" s="300"/>
      <c r="AM37" s="300"/>
      <c r="AN37" s="316"/>
      <c r="AO37" s="300"/>
      <c r="AP37" s="300"/>
      <c r="AQ37" s="300"/>
      <c r="AR37" s="300"/>
      <c r="AS37" s="316"/>
      <c r="AT37" s="300"/>
      <c r="AU37" s="300"/>
      <c r="AV37" s="300"/>
      <c r="AW37" s="300"/>
      <c r="AX37" s="316"/>
      <c r="AY37" s="300"/>
      <c r="AZ37" s="300"/>
      <c r="BA37" s="300"/>
      <c r="BB37" s="300"/>
      <c r="BC37" s="316"/>
      <c r="BD37" s="300"/>
      <c r="BE37" s="300"/>
      <c r="BF37" s="300"/>
      <c r="BG37" s="300"/>
      <c r="BH37" s="316"/>
      <c r="BI37" s="300"/>
      <c r="BJ37" s="300"/>
      <c r="BK37" s="300"/>
      <c r="BL37" s="300"/>
      <c r="BM37" s="316"/>
      <c r="BN37" s="300"/>
      <c r="BO37" s="300"/>
      <c r="BP37" s="300"/>
      <c r="BQ37" s="300">
        <f t="shared" ref="BQ37:CA37" si="87">BQ15/BL15-1</f>
        <v>-0.11699473246465253</v>
      </c>
      <c r="BR37" s="316">
        <f t="shared" si="87"/>
        <v>7.5740426334653721E-2</v>
      </c>
      <c r="BS37" s="300">
        <f t="shared" si="87"/>
        <v>2.0621511366497813E-2</v>
      </c>
      <c r="BT37" s="300">
        <f t="shared" si="87"/>
        <v>7.6993026705551859E-2</v>
      </c>
      <c r="BU37" s="300">
        <f t="shared" si="87"/>
        <v>-2.207932795630918E-3</v>
      </c>
      <c r="BV37" s="300">
        <f t="shared" si="87"/>
        <v>-3.5563787990154139E-2</v>
      </c>
      <c r="BW37" s="316">
        <f t="shared" si="87"/>
        <v>1.302160058777746E-2</v>
      </c>
      <c r="BX37" s="300">
        <f t="shared" si="87"/>
        <v>6.2463114282190313E-2</v>
      </c>
      <c r="BY37" s="300">
        <f t="shared" si="87"/>
        <v>-2.4299475900489309E-2</v>
      </c>
      <c r="BZ37" s="300">
        <f t="shared" si="87"/>
        <v>1.8597006346892764E-2</v>
      </c>
      <c r="CA37" s="300">
        <f t="shared" si="87"/>
        <v>6.0233514504120622E-2</v>
      </c>
      <c r="CB37" s="316">
        <f t="shared" ref="CB37:CK37" si="88">CB15/BW15-1</f>
        <v>2.8605658837072667E-2</v>
      </c>
      <c r="CC37" s="300">
        <f t="shared" si="88"/>
        <v>2.4999999999999911E-2</v>
      </c>
      <c r="CD37" s="300">
        <f t="shared" si="88"/>
        <v>2.4999999999999911E-2</v>
      </c>
      <c r="CE37" s="300">
        <f t="shared" si="88"/>
        <v>2.4999999999999911E-2</v>
      </c>
      <c r="CF37" s="300">
        <f t="shared" si="88"/>
        <v>2.5000000000000133E-2</v>
      </c>
      <c r="CG37" s="316">
        <f t="shared" si="88"/>
        <v>2.5000000000000133E-2</v>
      </c>
      <c r="CH37" s="300">
        <f t="shared" si="88"/>
        <v>2.4999999999999911E-2</v>
      </c>
      <c r="CI37" s="300">
        <f t="shared" si="88"/>
        <v>2.4999999999999689E-2</v>
      </c>
      <c r="CJ37" s="300">
        <f t="shared" si="88"/>
        <v>2.4999999999999911E-2</v>
      </c>
      <c r="CK37" s="300">
        <f t="shared" si="88"/>
        <v>2.4999999999999911E-2</v>
      </c>
      <c r="CL37" s="316">
        <f t="shared" ref="CL37:CQ37" si="89">CL15/CG15-1</f>
        <v>2.4999999999999689E-2</v>
      </c>
      <c r="CM37" s="300">
        <f t="shared" si="89"/>
        <v>2.4999999999999911E-2</v>
      </c>
      <c r="CN37" s="300">
        <f t="shared" si="89"/>
        <v>2.4999999999999911E-2</v>
      </c>
      <c r="CO37" s="300">
        <f t="shared" si="89"/>
        <v>2.4999999999999911E-2</v>
      </c>
      <c r="CP37" s="300">
        <f t="shared" si="89"/>
        <v>2.4999999999999911E-2</v>
      </c>
      <c r="CQ37" s="316">
        <f t="shared" si="89"/>
        <v>2.5000000000000133E-2</v>
      </c>
      <c r="CR37" s="300">
        <f t="shared" ref="CR37" si="90">CR15/CM15-1</f>
        <v>2.4999999999999911E-2</v>
      </c>
      <c r="CS37" s="300">
        <f t="shared" ref="CS37" si="91">CS15/CN15-1</f>
        <v>2.5000000000000133E-2</v>
      </c>
      <c r="CT37" s="300">
        <f t="shared" ref="CT37" si="92">CT15/CO15-1</f>
        <v>2.4999999999999911E-2</v>
      </c>
      <c r="CU37" s="300">
        <f t="shared" ref="CU37" si="93">CU15/CP15-1</f>
        <v>2.4999999999999911E-2</v>
      </c>
      <c r="CV37" s="316">
        <f t="shared" ref="CV37" si="94">CV15/CQ15-1</f>
        <v>2.4999999999999911E-2</v>
      </c>
      <c r="CW37" s="300">
        <f t="shared" ref="CW37" si="95">CW15/CR15-1</f>
        <v>2.4999999999999911E-2</v>
      </c>
      <c r="CX37" s="300">
        <f t="shared" ref="CX37" si="96">CX15/CS15-1</f>
        <v>2.4999999999999911E-2</v>
      </c>
      <c r="CY37" s="300">
        <f t="shared" ref="CY37" si="97">CY15/CT15-1</f>
        <v>2.4999999999999911E-2</v>
      </c>
      <c r="CZ37" s="300">
        <f t="shared" ref="CZ37" si="98">CZ15/CU15-1</f>
        <v>2.4999999999999911E-2</v>
      </c>
      <c r="DA37" s="316">
        <f t="shared" ref="DA37" si="99">DA15/CV15-1</f>
        <v>2.4999999999999911E-2</v>
      </c>
      <c r="DB37" s="300">
        <f t="shared" ref="DB37" si="100">DB15/CW15-1</f>
        <v>2.4999999999999911E-2</v>
      </c>
      <c r="DC37" s="300">
        <f t="shared" ref="DC37" si="101">DC15/CX15-1</f>
        <v>2.4999999999999689E-2</v>
      </c>
      <c r="DD37" s="300">
        <f t="shared" ref="DD37" si="102">DD15/CY15-1</f>
        <v>2.4999999999999911E-2</v>
      </c>
      <c r="DE37" s="300">
        <f t="shared" ref="DE37" si="103">DE15/CZ15-1</f>
        <v>2.5000000000000133E-2</v>
      </c>
      <c r="DF37" s="316">
        <f t="shared" ref="DF37" si="104">DF15/DA15-1</f>
        <v>2.4999999999999911E-2</v>
      </c>
    </row>
    <row r="38" spans="2:110" s="296" customFormat="1" outlineLevel="1" x14ac:dyDescent="0.25">
      <c r="B38" s="307" t="s">
        <v>418</v>
      </c>
      <c r="C38" s="299"/>
      <c r="D38" s="299"/>
      <c r="K38" s="300"/>
      <c r="L38" s="300"/>
      <c r="M38" s="300"/>
      <c r="N38" s="300"/>
      <c r="O38" s="300"/>
      <c r="P38" s="300"/>
      <c r="Q38" s="300"/>
      <c r="R38" s="300"/>
      <c r="S38" s="300"/>
      <c r="T38" s="300"/>
      <c r="U38" s="300"/>
      <c r="V38" s="300"/>
      <c r="W38" s="300"/>
      <c r="X38" s="300"/>
      <c r="Y38" s="300"/>
      <c r="Z38" s="300"/>
      <c r="AA38" s="300"/>
      <c r="AB38" s="300"/>
      <c r="AC38" s="300"/>
      <c r="AD38" s="300"/>
      <c r="AE38" s="300"/>
      <c r="AF38" s="300"/>
      <c r="AG38" s="300"/>
      <c r="AH38" s="300"/>
      <c r="AI38" s="316"/>
      <c r="AJ38" s="300"/>
      <c r="AK38" s="300"/>
      <c r="AL38" s="300"/>
      <c r="AM38" s="300"/>
      <c r="AN38" s="316"/>
      <c r="AO38" s="300"/>
      <c r="AP38" s="300"/>
      <c r="AQ38" s="300"/>
      <c r="AR38" s="300"/>
      <c r="AS38" s="316"/>
      <c r="AT38" s="300"/>
      <c r="AU38" s="300"/>
      <c r="AV38" s="300"/>
      <c r="AW38" s="300"/>
      <c r="AX38" s="316"/>
      <c r="AY38" s="300"/>
      <c r="AZ38" s="300"/>
      <c r="BA38" s="300"/>
      <c r="BB38" s="300"/>
      <c r="BC38" s="316"/>
      <c r="BD38" s="300"/>
      <c r="BE38" s="300"/>
      <c r="BF38" s="300"/>
      <c r="BG38" s="300"/>
      <c r="BH38" s="316"/>
      <c r="BI38" s="300"/>
      <c r="BJ38" s="300"/>
      <c r="BK38" s="300"/>
      <c r="BL38" s="300"/>
      <c r="BM38" s="316"/>
      <c r="BN38" s="300"/>
      <c r="BO38" s="300"/>
      <c r="BP38" s="300"/>
      <c r="BQ38" s="300">
        <f t="shared" ref="BQ38:CA38" si="105">BQ18/BL18-1</f>
        <v>-0.20354449681175479</v>
      </c>
      <c r="BR38" s="316">
        <f t="shared" ca="1" si="105"/>
        <v>-2.7447439176115696E-2</v>
      </c>
      <c r="BS38" s="300">
        <f t="shared" ca="1" si="105"/>
        <v>-3.8296839387385262E-2</v>
      </c>
      <c r="BT38" s="300">
        <f t="shared" ca="1" si="105"/>
        <v>-4.3916019238403492E-2</v>
      </c>
      <c r="BU38" s="300">
        <f t="shared" si="105"/>
        <v>-4.0924902803354257E-3</v>
      </c>
      <c r="BV38" s="300">
        <f t="shared" ca="1" si="105"/>
        <v>-0.12560685654425263</v>
      </c>
      <c r="BW38" s="316">
        <f t="shared" ca="1" si="105"/>
        <v>-5.5866842653725768E-2</v>
      </c>
      <c r="BX38" s="300">
        <f t="shared" ca="1" si="105"/>
        <v>-3.5512564258724177E-2</v>
      </c>
      <c r="BY38" s="300">
        <f t="shared" si="105"/>
        <v>-3.1692372702303295E-3</v>
      </c>
      <c r="BZ38" s="300">
        <f t="shared" si="105"/>
        <v>2.1573864803780651E-2</v>
      </c>
      <c r="CA38" s="300">
        <f t="shared" ca="1" si="105"/>
        <v>8.7701142439164936E-3</v>
      </c>
      <c r="CB38" s="316">
        <f t="shared" ref="CB38:CG38" ca="1" si="106">CB18/BW18-1</f>
        <v>-1.9518208433922934E-3</v>
      </c>
      <c r="CC38" s="300">
        <f t="shared" ref="CC38:CK39" si="107">CC18/BX18-1</f>
        <v>-4.9218917183821986E-3</v>
      </c>
      <c r="CD38" s="300">
        <f t="shared" si="107"/>
        <v>-1.6532428995337023E-2</v>
      </c>
      <c r="CE38" s="300">
        <f t="shared" si="107"/>
        <v>-0.15868865647626718</v>
      </c>
      <c r="CF38" s="300">
        <f t="shared" si="107"/>
        <v>-0.19613259668508276</v>
      </c>
      <c r="CG38" s="316">
        <f t="shared" si="106"/>
        <v>-9.6958468426740829E-2</v>
      </c>
      <c r="CH38" s="300">
        <f t="shared" si="107"/>
        <v>1.2258064516129208E-2</v>
      </c>
      <c r="CI38" s="300">
        <f t="shared" si="107"/>
        <v>-3.5560344827586188E-2</v>
      </c>
      <c r="CJ38" s="300">
        <f t="shared" si="107"/>
        <v>-3.777193401864698E-2</v>
      </c>
      <c r="CK38" s="300">
        <f t="shared" si="107"/>
        <v>8.3235149729995017E-2</v>
      </c>
      <c r="CL38" s="316">
        <f t="shared" ref="CL38" si="108">CL18/CG18-1</f>
        <v>4.1659542941812067E-3</v>
      </c>
      <c r="CM38" s="300">
        <f t="shared" ref="CM38:CP39" ca="1" si="109">CM18/CH18-1</f>
        <v>2.1492782035088531E-2</v>
      </c>
      <c r="CN38" s="300">
        <f t="shared" ca="1" si="109"/>
        <v>-0.11764436638368247</v>
      </c>
      <c r="CO38" s="300">
        <f t="shared" ca="1" si="109"/>
        <v>-1.9735639524892878E-2</v>
      </c>
      <c r="CP38" s="300">
        <f t="shared" ca="1" si="109"/>
        <v>-8.7694611086053031E-2</v>
      </c>
      <c r="CQ38" s="316">
        <f t="shared" ref="CQ38" si="110">CQ18/CL18-1</f>
        <v>0.45263374178781701</v>
      </c>
      <c r="CR38" s="300">
        <f t="shared" ref="CR38:CR39" ca="1" si="111">CR18/CM18-1</f>
        <v>-1.462970492551452E-2</v>
      </c>
      <c r="CS38" s="300">
        <f t="shared" ref="CS38:CS39" ca="1" si="112">CS18/CN18-1</f>
        <v>-2.4452663947322262E-2</v>
      </c>
      <c r="CT38" s="300">
        <f t="shared" ref="CT38:CT39" ca="1" si="113">CT18/CO18-1</f>
        <v>-2.2156033720367674E-2</v>
      </c>
      <c r="CU38" s="300">
        <f t="shared" ref="CU38:CU39" ca="1" si="114">CU18/CP18-1</f>
        <v>-2.2196828864272877E-2</v>
      </c>
      <c r="CV38" s="316">
        <f t="shared" ref="CV38" si="115">CV18/CQ18-1</f>
        <v>2.4999999999999911E-2</v>
      </c>
      <c r="CW38" s="300">
        <f t="shared" ref="CW38:CW39" ca="1" si="116">CW18/CR18-1</f>
        <v>-6.0606838049318545E-2</v>
      </c>
      <c r="CX38" s="300">
        <f t="shared" ref="CX38:CX39" ca="1" si="117">CX18/CS18-1</f>
        <v>-6.031432050254526E-2</v>
      </c>
      <c r="CY38" s="300">
        <f t="shared" ref="CY38:CY39" ca="1" si="118">CY18/CT18-1</f>
        <v>-5.839389363862646E-2</v>
      </c>
      <c r="CZ38" s="300">
        <f t="shared" ref="CZ38:CZ39" ca="1" si="119">CZ18/CU18-1</f>
        <v>-6.0189908151443428E-2</v>
      </c>
      <c r="DA38" s="316">
        <f t="shared" ref="DA38" si="120">DA18/CV18-1</f>
        <v>2.4999999999999911E-2</v>
      </c>
      <c r="DB38" s="300">
        <f t="shared" ref="DB38:DB39" ca="1" si="121">DB18/CW18-1</f>
        <v>-5.7172603717005943E-2</v>
      </c>
      <c r="DC38" s="300">
        <f t="shared" ref="DC38:DC39" ca="1" si="122">DC18/CX18-1</f>
        <v>-5.6919258357891023E-2</v>
      </c>
      <c r="DD38" s="300">
        <f t="shared" ref="DD38:DD39" ca="1" si="123">DD18/CY18-1</f>
        <v>-5.4917155460020961E-2</v>
      </c>
      <c r="DE38" s="300">
        <f t="shared" ref="DE38:DE39" ca="1" si="124">DE18/CZ18-1</f>
        <v>-5.6697250671661426E-2</v>
      </c>
      <c r="DF38" s="316">
        <f t="shared" ref="DF38" si="125">DF18/DA18-1</f>
        <v>2.4999999999999911E-2</v>
      </c>
    </row>
    <row r="39" spans="2:110" s="296" customFormat="1" ht="13.5" thickBot="1" x14ac:dyDescent="0.3">
      <c r="B39" s="317" t="s">
        <v>192</v>
      </c>
      <c r="C39" s="310"/>
      <c r="D39" s="310"/>
      <c r="E39" s="311"/>
      <c r="F39" s="311"/>
      <c r="G39" s="311"/>
      <c r="H39" s="311"/>
      <c r="I39" s="311"/>
      <c r="J39" s="311"/>
      <c r="K39" s="318"/>
      <c r="L39" s="318"/>
      <c r="M39" s="318"/>
      <c r="N39" s="318"/>
      <c r="O39" s="318"/>
      <c r="P39" s="318"/>
      <c r="Q39" s="318"/>
      <c r="R39" s="318"/>
      <c r="S39" s="318"/>
      <c r="T39" s="318"/>
      <c r="U39" s="318"/>
      <c r="V39" s="318"/>
      <c r="W39" s="318"/>
      <c r="X39" s="318"/>
      <c r="Y39" s="318"/>
      <c r="Z39" s="318"/>
      <c r="AA39" s="318"/>
      <c r="AB39" s="318"/>
      <c r="AC39" s="318"/>
      <c r="AD39" s="318"/>
      <c r="AE39" s="318"/>
      <c r="AF39" s="318"/>
      <c r="AG39" s="318"/>
      <c r="AH39" s="318"/>
      <c r="AI39" s="319"/>
      <c r="AJ39" s="318"/>
      <c r="AK39" s="318"/>
      <c r="AL39" s="318"/>
      <c r="AM39" s="318"/>
      <c r="AN39" s="319"/>
      <c r="AO39" s="318"/>
      <c r="AP39" s="318"/>
      <c r="AQ39" s="318"/>
      <c r="AR39" s="318"/>
      <c r="AS39" s="319"/>
      <c r="AT39" s="318"/>
      <c r="AU39" s="318"/>
      <c r="AV39" s="318"/>
      <c r="AW39" s="318"/>
      <c r="AX39" s="319"/>
      <c r="AY39" s="318"/>
      <c r="AZ39" s="318"/>
      <c r="BA39" s="318"/>
      <c r="BB39" s="318"/>
      <c r="BC39" s="319"/>
      <c r="BD39" s="318"/>
      <c r="BE39" s="318"/>
      <c r="BF39" s="318"/>
      <c r="BG39" s="318"/>
      <c r="BH39" s="319"/>
      <c r="BI39" s="318"/>
      <c r="BJ39" s="318"/>
      <c r="BK39" s="318"/>
      <c r="BL39" s="318"/>
      <c r="BM39" s="319"/>
      <c r="BN39" s="318"/>
      <c r="BO39" s="318"/>
      <c r="BP39" s="318"/>
      <c r="BQ39" s="318">
        <f t="shared" ref="BQ39:CB39" ca="1" si="126">BQ19/BL19-1</f>
        <v>-0.26001989509468593</v>
      </c>
      <c r="BR39" s="319">
        <f t="shared" ca="1" si="126"/>
        <v>0.19398959962699491</v>
      </c>
      <c r="BS39" s="318">
        <f t="shared" ca="1" si="126"/>
        <v>-0.28955718376578454</v>
      </c>
      <c r="BT39" s="318">
        <f t="shared" ca="1" si="126"/>
        <v>-0.17406886470181981</v>
      </c>
      <c r="BU39" s="318">
        <f t="shared" ca="1" si="126"/>
        <v>5.9287844361548769E-2</v>
      </c>
      <c r="BV39" s="318">
        <f t="shared" ca="1" si="126"/>
        <v>0.15964793339583871</v>
      </c>
      <c r="BW39" s="319">
        <f t="shared" ca="1" si="126"/>
        <v>-8.1930899512472566E-2</v>
      </c>
      <c r="BX39" s="318">
        <f t="shared" ca="1" si="126"/>
        <v>0.14112248093743318</v>
      </c>
      <c r="BY39" s="318">
        <f t="shared" ca="1" si="126"/>
        <v>0.12218498659517429</v>
      </c>
      <c r="BZ39" s="318">
        <f t="shared" ca="1" si="126"/>
        <v>6.8226782064507052E-2</v>
      </c>
      <c r="CA39" s="318">
        <f t="shared" ca="1" si="126"/>
        <v>0.20338375402004116</v>
      </c>
      <c r="CB39" s="319">
        <f t="shared" ca="1" si="126"/>
        <v>0.13237043037625629</v>
      </c>
      <c r="CC39" s="318">
        <f t="shared" ca="1" si="107"/>
        <v>-2.1279644622769989E-2</v>
      </c>
      <c r="CD39" s="318">
        <f t="shared" ca="1" si="107"/>
        <v>2.084453204324177E-2</v>
      </c>
      <c r="CE39" s="318">
        <f t="shared" ca="1" si="107"/>
        <v>0.10111962286387777</v>
      </c>
      <c r="CF39" s="318">
        <f t="shared" ca="1" si="107"/>
        <v>0.11498141882522583</v>
      </c>
      <c r="CG39" s="319">
        <f ca="1">CG19/CB19-1</f>
        <v>5.8463599141539424E-2</v>
      </c>
      <c r="CH39" s="318">
        <f t="shared" ca="1" si="107"/>
        <v>0.36983894582723242</v>
      </c>
      <c r="CI39" s="318">
        <f t="shared" ca="1" si="107"/>
        <v>0.1100514860753572</v>
      </c>
      <c r="CJ39" s="318">
        <f t="shared" ca="1" si="107"/>
        <v>4.024403296585688E-2</v>
      </c>
      <c r="CK39" s="318">
        <f t="shared" ca="1" si="107"/>
        <v>-6.5122873345935917E-2</v>
      </c>
      <c r="CL39" s="319">
        <f ca="1">CL19/CG19-1</f>
        <v>9.1686798964624616E-2</v>
      </c>
      <c r="CM39" s="318">
        <f t="shared" ca="1" si="109"/>
        <v>-0.26458289467216933</v>
      </c>
      <c r="CN39" s="318">
        <f t="shared" ca="1" si="109"/>
        <v>-4.8925700904349334E-2</v>
      </c>
      <c r="CO39" s="318">
        <f t="shared" ca="1" si="109"/>
        <v>-6.2541762192050432E-2</v>
      </c>
      <c r="CP39" s="318">
        <f t="shared" ca="1" si="109"/>
        <v>5.1340464447625633E-2</v>
      </c>
      <c r="CQ39" s="319">
        <f ca="1">CQ19/CL19-1</f>
        <v>-8.074715583343095E-2</v>
      </c>
      <c r="CR39" s="318">
        <f t="shared" ca="1" si="111"/>
        <v>-7.3957053490706359E-3</v>
      </c>
      <c r="CS39" s="318">
        <f t="shared" ca="1" si="112"/>
        <v>-4.0791729809753874E-2</v>
      </c>
      <c r="CT39" s="318">
        <f t="shared" ca="1" si="113"/>
        <v>-5.3560466419570019E-2</v>
      </c>
      <c r="CU39" s="318">
        <f t="shared" ca="1" si="114"/>
        <v>-5.6906817154091516E-2</v>
      </c>
      <c r="CV39" s="319">
        <f ca="1">CV19/CQ19-1</f>
        <v>-4.2102978797495583E-2</v>
      </c>
      <c r="CW39" s="318">
        <f t="shared" ca="1" si="116"/>
        <v>-0.13493151663604797</v>
      </c>
      <c r="CX39" s="318">
        <f t="shared" ca="1" si="117"/>
        <v>-0.14445362605816092</v>
      </c>
      <c r="CY39" s="318">
        <f t="shared" ca="1" si="118"/>
        <v>-0.15318218582412169</v>
      </c>
      <c r="CZ39" s="318">
        <f t="shared" ca="1" si="119"/>
        <v>-0.15578137490763266</v>
      </c>
      <c r="DA39" s="319">
        <f ca="1">DA19/CV19-1</f>
        <v>-0.14791737949572992</v>
      </c>
      <c r="DB39" s="318">
        <f t="shared" ca="1" si="121"/>
        <v>-0.16068505352372242</v>
      </c>
      <c r="DC39" s="318">
        <f t="shared" ca="1" si="122"/>
        <v>-0.17106054869097764</v>
      </c>
      <c r="DD39" s="318">
        <f t="shared" ca="1" si="123"/>
        <v>-0.13960525447854433</v>
      </c>
      <c r="DE39" s="318">
        <f t="shared" ca="1" si="124"/>
        <v>-0.15341039488023545</v>
      </c>
      <c r="DF39" s="319">
        <f ca="1">DF19/DA19-1</f>
        <v>-0.15596855372699181</v>
      </c>
    </row>
    <row r="40" spans="2:110" s="296" customFormat="1" ht="13.5" thickBot="1" x14ac:dyDescent="0.3">
      <c r="B40" s="299"/>
      <c r="C40" s="299"/>
      <c r="D40" s="299"/>
      <c r="P40" s="320"/>
      <c r="Q40" s="320"/>
      <c r="U40" s="320"/>
      <c r="V40" s="320"/>
    </row>
    <row r="41" spans="2:110" s="77" customFormat="1" ht="11.25" outlineLevel="1" x14ac:dyDescent="0.2">
      <c r="B41" s="1506" t="s">
        <v>538</v>
      </c>
      <c r="C41" s="60"/>
      <c r="D41" s="60"/>
      <c r="E41" s="60"/>
      <c r="F41" s="60"/>
      <c r="G41" s="60"/>
      <c r="H41" s="60"/>
      <c r="I41" s="60"/>
      <c r="J41" s="60"/>
      <c r="K41" s="60"/>
      <c r="L41" s="60"/>
      <c r="M41" s="60"/>
      <c r="N41" s="60"/>
      <c r="O41" s="60"/>
      <c r="P41" s="1507"/>
      <c r="Q41" s="1507"/>
      <c r="R41" s="1507"/>
      <c r="S41" s="1507"/>
      <c r="T41" s="1508"/>
      <c r="U41" s="1507"/>
      <c r="V41" s="1507"/>
      <c r="W41" s="1507"/>
      <c r="X41" s="1507"/>
      <c r="Y41" s="1508"/>
      <c r="Z41" s="1507"/>
      <c r="AA41" s="1507"/>
      <c r="AB41" s="1507"/>
      <c r="AC41" s="1507"/>
      <c r="AD41" s="1508"/>
      <c r="AE41" s="1507"/>
      <c r="AF41" s="1507"/>
      <c r="AG41" s="1507"/>
      <c r="AH41" s="1507"/>
      <c r="AI41" s="1508"/>
      <c r="AJ41" s="1507"/>
      <c r="AK41" s="1507"/>
      <c r="AL41" s="1507"/>
      <c r="AM41" s="1507"/>
      <c r="AN41" s="1508"/>
      <c r="AO41" s="1507"/>
      <c r="AP41" s="1507"/>
      <c r="AQ41" s="1507"/>
      <c r="AR41" s="1507"/>
      <c r="AS41" s="1508"/>
      <c r="AT41" s="1507"/>
      <c r="AU41" s="1507"/>
      <c r="AV41" s="1507"/>
      <c r="AW41" s="1507"/>
      <c r="AX41" s="1508"/>
      <c r="AY41" s="1507">
        <f>AY18+EM!AY10</f>
        <v>194.60000000000002</v>
      </c>
      <c r="AZ41" s="1507">
        <f>AZ18+EM!AZ10</f>
        <v>212.7</v>
      </c>
      <c r="BA41" s="1507">
        <f>BA18+EM!BA10</f>
        <v>213.6</v>
      </c>
      <c r="BB41" s="1507">
        <f ca="1">BB18+EM!BB10</f>
        <v>199.9</v>
      </c>
      <c r="BC41" s="1508">
        <f ca="1">BC18+EM!BC10</f>
        <v>53.800000000000011</v>
      </c>
      <c r="BD41" s="1507">
        <f>BD18+EM!BD10</f>
        <v>182.9</v>
      </c>
      <c r="BE41" s="1507">
        <f>BE18+EM!BE10</f>
        <v>194.60000000000002</v>
      </c>
      <c r="BF41" s="1507">
        <f>BF18+EM!BF10</f>
        <v>202.29999999999998</v>
      </c>
      <c r="BG41" s="1507">
        <f>BG18+EM!BG10</f>
        <v>212.6</v>
      </c>
      <c r="BH41" s="1508">
        <f>BH18+EM!BH10</f>
        <v>39.299999999999997</v>
      </c>
      <c r="BI41" s="1507">
        <f>BI18+EM!BI10</f>
        <v>228.19999999999996</v>
      </c>
      <c r="BJ41" s="1507">
        <f>BJ18+EM!BJ10</f>
        <v>751.69999999999982</v>
      </c>
      <c r="BK41" s="1507">
        <f>BK18+EM!BK10</f>
        <v>609.29999999999995</v>
      </c>
      <c r="BL41" s="1507">
        <f>BL18+EM!BL10</f>
        <v>784.5</v>
      </c>
      <c r="BM41" s="1508">
        <f>BM18+EM!BM10</f>
        <v>2373.6999999999998</v>
      </c>
      <c r="BN41" s="1507">
        <f>BN18+EM!BN10</f>
        <v>541.70000000000005</v>
      </c>
      <c r="BO41" s="1507">
        <f ca="1">BO18+EM!BO10</f>
        <v>544.9</v>
      </c>
      <c r="BP41" s="1507">
        <f>BP18+EM!BP10</f>
        <v>510.8</v>
      </c>
      <c r="BQ41" s="1507">
        <f>BQ18+EM!BQ10</f>
        <v>614.40000000000009</v>
      </c>
      <c r="BR41" s="1508">
        <f ca="1">BR18+EM!BR10</f>
        <v>2211.8000000000002</v>
      </c>
      <c r="BS41" s="1507">
        <f ca="1">BS18+EM!BS10</f>
        <v>506.29999999999995</v>
      </c>
      <c r="BT41" s="1507">
        <f>BT18+EM!BT10</f>
        <v>502.6</v>
      </c>
      <c r="BU41" s="1507">
        <f>BU18+EM!BU10</f>
        <v>517.70000000000005</v>
      </c>
      <c r="BV41" s="1507">
        <f ca="1">BV18+EM!BV10</f>
        <v>540.6</v>
      </c>
      <c r="BW41" s="1508">
        <f ca="1">BW18+EM!BW10</f>
        <v>2067.2000000000003</v>
      </c>
      <c r="BX41" s="1507">
        <f>BX18+EM!BX10</f>
        <v>497.5</v>
      </c>
      <c r="BY41" s="1507">
        <f>BY18+EM!BY10</f>
        <v>501.5</v>
      </c>
      <c r="BZ41" s="1507">
        <f>BZ18+EM!BZ10</f>
        <v>530.1</v>
      </c>
      <c r="CA41" s="1507">
        <f>CA18+EM!CA10</f>
        <v>538.9</v>
      </c>
      <c r="CB41" s="1508">
        <f>CB18+EM!CB10</f>
        <v>2068</v>
      </c>
      <c r="CC41" s="1507">
        <f>CC18+EM!CC10</f>
        <v>497.2</v>
      </c>
      <c r="CD41" s="1507">
        <f>CD18+EM!CD10</f>
        <v>496.6</v>
      </c>
      <c r="CE41" s="1507">
        <f>CE18+EM!CE10</f>
        <v>449.8</v>
      </c>
      <c r="CF41" s="1507">
        <f>CF18+EM!CF10</f>
        <v>415.6</v>
      </c>
      <c r="CG41" s="1508">
        <f>CG18+EM!CG10</f>
        <v>1859.1999999999998</v>
      </c>
      <c r="CH41" s="1507">
        <f>CH18+EM!CH10</f>
        <v>511.1</v>
      </c>
      <c r="CI41" s="1507">
        <f>CI18+EM!CI10</f>
        <v>473.9</v>
      </c>
      <c r="CJ41" s="1507">
        <f>CJ18+EM!CJ10</f>
        <v>427.7</v>
      </c>
      <c r="CK41" s="1507">
        <f>CK18+EM!CK10</f>
        <v>483.2</v>
      </c>
      <c r="CL41" s="1508">
        <f>CL18+EM!CQ10</f>
        <v>2157.612465941228</v>
      </c>
      <c r="CM41" s="1507">
        <f ca="1">CM18+EM!CR10</f>
        <v>581.20726879933557</v>
      </c>
      <c r="CN41" s="1507">
        <f ca="1">CN18+EM!CS10</f>
        <v>498.35011467165867</v>
      </c>
      <c r="CO41" s="1507">
        <f ca="1">CO18+EM!CT10</f>
        <v>501.86871487419739</v>
      </c>
      <c r="CP41" s="1507">
        <f ca="1">CP18+EM!CU10</f>
        <v>514.0260485713444</v>
      </c>
      <c r="CQ41" s="1508">
        <f>CQ18+EM!CV10</f>
        <v>2982.1706314640242</v>
      </c>
      <c r="CR41" s="1507">
        <f ca="1">CR18+EM!CW10</f>
        <v>581.43306304992961</v>
      </c>
      <c r="CS41" s="1507">
        <f ca="1">CS18+EM!CX10</f>
        <v>495.95487893025489</v>
      </c>
      <c r="CT41" s="1507">
        <f ca="1">CT18+EM!CY10</f>
        <v>500.63279587672434</v>
      </c>
      <c r="CU41" s="1507">
        <f ca="1">CU18+EM!CZ10</f>
        <v>512.73362883893753</v>
      </c>
      <c r="CV41" s="1508">
        <f>CV18+EM!DA10</f>
        <v>3075.8296312090115</v>
      </c>
      <c r="CW41" s="1507">
        <f ca="1">CW18+EM!DB10</f>
        <v>560.70460702886919</v>
      </c>
      <c r="CX41" s="1507">
        <f ca="1">CX18+EM!DC10</f>
        <v>480.707868397075</v>
      </c>
      <c r="CY41" s="1507">
        <f ca="1">CY18+EM!DD10</f>
        <v>486.34122398658548</v>
      </c>
      <c r="CZ41" s="1507">
        <f ca="1">CZ18+EM!DE10</f>
        <v>497.41786164665916</v>
      </c>
      <c r="DA41" s="1508">
        <f>DA18+EM!DF10</f>
        <v>3174.0072422321127</v>
      </c>
      <c r="DB41" s="1507">
        <f ca="1">DB18+EM!DG10</f>
        <v>419.62229487212227</v>
      </c>
      <c r="DC41" s="1507">
        <f ca="1">DC18+EM!DH10</f>
        <v>341.36306920303628</v>
      </c>
      <c r="DD41" s="1507">
        <f ca="1">DD18+EM!DI10</f>
        <v>343.33478348038034</v>
      </c>
      <c r="DE41" s="1507">
        <f ca="1">DE18+EM!DJ10</f>
        <v>349.00098659357934</v>
      </c>
      <c r="DF41" s="1508">
        <f>DF18+EM!DK10</f>
        <v>2756.360976831108</v>
      </c>
    </row>
    <row r="42" spans="2:110" s="77" customFormat="1" ht="11.25" outlineLevel="1" x14ac:dyDescent="0.2">
      <c r="B42" s="1509" t="s">
        <v>506</v>
      </c>
      <c r="C42" s="1510"/>
      <c r="D42" s="1510"/>
      <c r="E42" s="1510"/>
      <c r="F42" s="1510"/>
      <c r="G42" s="1510"/>
      <c r="H42" s="1510"/>
      <c r="I42" s="1510"/>
      <c r="J42" s="1510"/>
      <c r="K42" s="1510"/>
      <c r="L42" s="1510"/>
      <c r="M42" s="1510"/>
      <c r="N42" s="1510"/>
      <c r="O42" s="1510"/>
      <c r="P42" s="1511"/>
      <c r="Q42" s="1511"/>
      <c r="R42" s="1511"/>
      <c r="S42" s="1511"/>
      <c r="T42" s="1512"/>
      <c r="U42" s="1511"/>
      <c r="V42" s="1511"/>
      <c r="W42" s="1511"/>
      <c r="X42" s="1511"/>
      <c r="Y42" s="1512"/>
      <c r="Z42" s="1511"/>
      <c r="AA42" s="1511"/>
      <c r="AB42" s="1511"/>
      <c r="AC42" s="1511"/>
      <c r="AD42" s="1512"/>
      <c r="AE42" s="1511"/>
      <c r="AF42" s="1511"/>
      <c r="AG42" s="1511"/>
      <c r="AH42" s="1511"/>
      <c r="AI42" s="1512"/>
      <c r="AJ42" s="1511"/>
      <c r="AK42" s="1511"/>
      <c r="AL42" s="1511"/>
      <c r="AM42" s="1511"/>
      <c r="AN42" s="1512"/>
      <c r="AO42" s="1511"/>
      <c r="AP42" s="1511"/>
      <c r="AQ42" s="1511"/>
      <c r="AR42" s="1511"/>
      <c r="AS42" s="1512"/>
      <c r="AT42" s="1511"/>
      <c r="AU42" s="1511"/>
      <c r="AV42" s="1511"/>
      <c r="AW42" s="1511"/>
      <c r="AX42" s="1512"/>
      <c r="AY42" s="1511">
        <f>Model!AY15</f>
        <v>194.60000000000002</v>
      </c>
      <c r="AZ42" s="1511">
        <f>Model!AZ15</f>
        <v>212.7</v>
      </c>
      <c r="BA42" s="1511">
        <f>Model!BA15</f>
        <v>213.6</v>
      </c>
      <c r="BB42" s="1511">
        <f>Model!BB15</f>
        <v>199.9</v>
      </c>
      <c r="BC42" s="1512">
        <f>Model!BC15</f>
        <v>820.8</v>
      </c>
      <c r="BD42" s="1511">
        <f>Model!BD15</f>
        <v>182.9</v>
      </c>
      <c r="BE42" s="1511">
        <f>Model!BE15</f>
        <v>194.60000000000002</v>
      </c>
      <c r="BF42" s="1511">
        <f>Model!BF15</f>
        <v>199.2</v>
      </c>
      <c r="BG42" s="1511">
        <f>Model!BG15</f>
        <v>204.60000000000005</v>
      </c>
      <c r="BH42" s="1512">
        <f>Model!BH15</f>
        <v>781.30000000000007</v>
      </c>
      <c r="BI42" s="1511">
        <f>Model!BI15</f>
        <v>228.19999999999996</v>
      </c>
      <c r="BJ42" s="1511">
        <f>Model!BJ15</f>
        <v>751.69999999999982</v>
      </c>
      <c r="BK42" s="1511">
        <f>Model!BK15</f>
        <v>609.29999999999995</v>
      </c>
      <c r="BL42" s="1511">
        <f>Model!BL15</f>
        <v>784.5</v>
      </c>
      <c r="BM42" s="1512">
        <f>Model!BM15</f>
        <v>2373.6999999999998</v>
      </c>
      <c r="BN42" s="1511">
        <f>Model!BN15</f>
        <v>541.70000000000005</v>
      </c>
      <c r="BO42" s="1511">
        <f>Model!BO15</f>
        <v>544.9</v>
      </c>
      <c r="BP42" s="1511">
        <f>Model!BP15</f>
        <v>510.8</v>
      </c>
      <c r="BQ42" s="1511">
        <f>Model!BQ15</f>
        <v>614.40000000000009</v>
      </c>
      <c r="BR42" s="1512">
        <f>Model!BR15</f>
        <v>2211.8000000000002</v>
      </c>
      <c r="BS42" s="1511">
        <f>Model!BS15</f>
        <v>506.3</v>
      </c>
      <c r="BT42" s="1511">
        <f>Model!BT15</f>
        <v>502.6</v>
      </c>
      <c r="BU42" s="1511">
        <f>Model!BU15</f>
        <v>517.70000000000005</v>
      </c>
      <c r="BV42" s="1511">
        <f>Model!BV15</f>
        <v>540.6</v>
      </c>
      <c r="BW42" s="1512">
        <f>Model!BW15</f>
        <v>2067.2000000000003</v>
      </c>
      <c r="BX42" s="1511">
        <f>Model!BX15</f>
        <v>497.5</v>
      </c>
      <c r="BY42" s="1511">
        <f>Model!BY15</f>
        <v>501.5</v>
      </c>
      <c r="BZ42" s="1511">
        <f>Model!BZ15</f>
        <v>530.1</v>
      </c>
      <c r="CA42" s="1511">
        <f>Model!CA15</f>
        <v>538.9</v>
      </c>
      <c r="CB42" s="1512">
        <f>Model!CB15</f>
        <v>2068</v>
      </c>
      <c r="CC42" s="1511">
        <f>Model!CC15</f>
        <v>497.2</v>
      </c>
      <c r="CD42" s="1511">
        <f>Model!CD15</f>
        <v>496.6</v>
      </c>
      <c r="CE42" s="1511">
        <f>Model!CE15</f>
        <v>449.8</v>
      </c>
      <c r="CF42" s="1511">
        <f>Model!CF15</f>
        <v>415.6</v>
      </c>
      <c r="CG42" s="1512">
        <f>Model!CG15</f>
        <v>1859.1999999999998</v>
      </c>
      <c r="CH42" s="1511">
        <f>Model!CH15</f>
        <v>511.1</v>
      </c>
      <c r="CI42" s="1511">
        <f>Model!CI15</f>
        <v>473.9</v>
      </c>
      <c r="CJ42" s="1511">
        <f>Model!CJ15</f>
        <v>427.7</v>
      </c>
      <c r="CK42" s="1511">
        <f>Model!CK15</f>
        <v>483.2</v>
      </c>
      <c r="CL42" s="1512">
        <f>Model!CL15</f>
        <v>1895.9</v>
      </c>
      <c r="CM42" s="1511">
        <f ca="1">Model!CM15</f>
        <v>574.60726879933554</v>
      </c>
      <c r="CN42" s="1511">
        <f ca="1">Model!CN15</f>
        <v>491.75011467165871</v>
      </c>
      <c r="CO42" s="1511">
        <f ca="1">Model!CO15</f>
        <v>495.02946740775411</v>
      </c>
      <c r="CP42" s="1511">
        <f ca="1">Model!CP15</f>
        <v>507.05230988254306</v>
      </c>
      <c r="CQ42" s="1512">
        <f ca="1">Model!CQ15</f>
        <v>2068.4391607612911</v>
      </c>
      <c r="CR42" s="1511">
        <f ca="1">Model!CR15</f>
        <v>574.17306304992962</v>
      </c>
      <c r="CS42" s="1511">
        <f ca="1">Model!CS15</f>
        <v>488.6948789302549</v>
      </c>
      <c r="CT42" s="1511">
        <f ca="1">Model!CT15</f>
        <v>493.12690985840902</v>
      </c>
      <c r="CU42" s="1511">
        <f ca="1">Model!CU15</f>
        <v>505.08939459645421</v>
      </c>
      <c r="CV42" s="1512">
        <f ca="1">Model!CV15</f>
        <v>2061.084246435048</v>
      </c>
      <c r="CW42" s="1511">
        <f ca="1">Model!CW15</f>
        <v>552.7186070288692</v>
      </c>
      <c r="CX42" s="1511">
        <f ca="1">Model!CX15</f>
        <v>472.72186839707501</v>
      </c>
      <c r="CY42" s="1511">
        <f ca="1">Model!CY15</f>
        <v>478.10357915568977</v>
      </c>
      <c r="CZ42" s="1511">
        <f ca="1">Model!CZ15</f>
        <v>489.03849692574676</v>
      </c>
      <c r="DA42" s="1512">
        <f ca="1">Model!DA15</f>
        <v>1992.5825515073809</v>
      </c>
      <c r="DB42" s="1511">
        <f ca="1">Model!DB15</f>
        <v>535.25891116754156</v>
      </c>
      <c r="DC42" s="1511">
        <f ca="1">Model!DC15</f>
        <v>460.10503783139291</v>
      </c>
      <c r="DD42" s="1511">
        <f ca="1">Model!DD15</f>
        <v>466.39062411255816</v>
      </c>
      <c r="DE42" s="1511">
        <f ca="1">Model!DE15</f>
        <v>476.44114294670567</v>
      </c>
      <c r="DF42" s="1512">
        <f ca="1">Model!DF15</f>
        <v>1938.1957160581983</v>
      </c>
    </row>
    <row r="43" spans="2:110" s="77" customFormat="1" ht="12" outlineLevel="1" thickBot="1" x14ac:dyDescent="0.25">
      <c r="B43" s="1513" t="s">
        <v>168</v>
      </c>
      <c r="C43" s="63"/>
      <c r="D43" s="63"/>
      <c r="E43" s="63"/>
      <c r="F43" s="63"/>
      <c r="G43" s="63"/>
      <c r="H43" s="63"/>
      <c r="I43" s="63"/>
      <c r="J43" s="63"/>
      <c r="K43" s="63"/>
      <c r="L43" s="63"/>
      <c r="M43" s="63"/>
      <c r="N43" s="63"/>
      <c r="O43" s="63"/>
      <c r="P43" s="1119"/>
      <c r="Q43" s="1119"/>
      <c r="R43" s="1119"/>
      <c r="S43" s="1119"/>
      <c r="T43" s="1121"/>
      <c r="U43" s="1119"/>
      <c r="V43" s="1119"/>
      <c r="W43" s="1119"/>
      <c r="X43" s="1119"/>
      <c r="Y43" s="1121"/>
      <c r="Z43" s="1119"/>
      <c r="AA43" s="1119"/>
      <c r="AB43" s="1119"/>
      <c r="AC43" s="1119"/>
      <c r="AD43" s="1121"/>
      <c r="AE43" s="1119"/>
      <c r="AF43" s="1119"/>
      <c r="AG43" s="1119"/>
      <c r="AH43" s="1119"/>
      <c r="AI43" s="1121"/>
      <c r="AJ43" s="1119"/>
      <c r="AK43" s="1119"/>
      <c r="AL43" s="1119"/>
      <c r="AM43" s="1119"/>
      <c r="AN43" s="1121"/>
      <c r="AO43" s="1119"/>
      <c r="AP43" s="1119"/>
      <c r="AQ43" s="1119"/>
      <c r="AR43" s="1119"/>
      <c r="AS43" s="1121"/>
      <c r="AT43" s="1119"/>
      <c r="AU43" s="1119"/>
      <c r="AV43" s="1119"/>
      <c r="AW43" s="1119"/>
      <c r="AX43" s="1121"/>
      <c r="AY43" s="1119">
        <f>AY41-AY42</f>
        <v>0</v>
      </c>
      <c r="AZ43" s="1119">
        <f>AZ41-AZ42</f>
        <v>0</v>
      </c>
      <c r="BA43" s="1119">
        <f>BA41-BA42</f>
        <v>0</v>
      </c>
      <c r="BB43" s="1119">
        <f ca="1">BB41-BB42</f>
        <v>0</v>
      </c>
      <c r="BC43" s="1121"/>
      <c r="BD43" s="1119">
        <f>BD41-BD42</f>
        <v>0</v>
      </c>
      <c r="BE43" s="1119">
        <f>BE41-BE42</f>
        <v>0</v>
      </c>
      <c r="BF43" s="1119">
        <f>BF41-BF42</f>
        <v>3.0999999999999943</v>
      </c>
      <c r="BG43" s="1119"/>
      <c r="BH43" s="1121"/>
      <c r="BI43" s="1119">
        <f>BI41-BI42</f>
        <v>0</v>
      </c>
      <c r="BJ43" s="1119">
        <f>BJ41-BJ42</f>
        <v>0</v>
      </c>
      <c r="BK43" s="1119">
        <f>BK41-BK42</f>
        <v>0</v>
      </c>
      <c r="BL43" s="1119">
        <f>BL41-BL42</f>
        <v>0</v>
      </c>
      <c r="BM43" s="1121"/>
      <c r="BN43" s="1119">
        <f>BN41-BN42</f>
        <v>0</v>
      </c>
      <c r="BO43" s="1119">
        <f ca="1">BO41-BO42</f>
        <v>0</v>
      </c>
      <c r="BP43" s="1119">
        <f>BP41-BP42</f>
        <v>0</v>
      </c>
      <c r="BQ43" s="1119"/>
      <c r="BR43" s="1121"/>
      <c r="BS43" s="1119">
        <f ca="1">BS41-BS42</f>
        <v>0</v>
      </c>
      <c r="BT43" s="1119">
        <f>BT41-BT42</f>
        <v>0</v>
      </c>
      <c r="BU43" s="1119">
        <f>BU41-BU42</f>
        <v>0</v>
      </c>
      <c r="BV43" s="1119"/>
      <c r="BW43" s="1121"/>
      <c r="BX43" s="1119">
        <f t="shared" ref="BX43:CE43" si="127">BX41-BX42</f>
        <v>0</v>
      </c>
      <c r="BY43" s="1119">
        <f t="shared" si="127"/>
        <v>0</v>
      </c>
      <c r="BZ43" s="1119">
        <f t="shared" si="127"/>
        <v>0</v>
      </c>
      <c r="CA43" s="1119">
        <f t="shared" si="127"/>
        <v>0</v>
      </c>
      <c r="CB43" s="1119">
        <f t="shared" si="127"/>
        <v>0</v>
      </c>
      <c r="CC43" s="1119">
        <f t="shared" si="127"/>
        <v>0</v>
      </c>
      <c r="CD43" s="1119">
        <f t="shared" si="127"/>
        <v>0</v>
      </c>
      <c r="CE43" s="1119">
        <f t="shared" si="127"/>
        <v>0</v>
      </c>
      <c r="CF43" s="1119"/>
      <c r="CG43" s="1121"/>
      <c r="CH43" s="1119"/>
      <c r="CI43" s="1119"/>
      <c r="CJ43" s="1119"/>
      <c r="CK43" s="1119"/>
      <c r="CL43" s="1121"/>
      <c r="CM43" s="1119">
        <f ca="1">CM41-CM42</f>
        <v>6.6000000000000227</v>
      </c>
      <c r="CN43" s="1119">
        <f ca="1">CN41-CN42</f>
        <v>6.5999999999999659</v>
      </c>
      <c r="CO43" s="1119">
        <f ca="1">CO41-CO42</f>
        <v>6.8392474664432825</v>
      </c>
      <c r="CP43" s="1119"/>
      <c r="CQ43" s="1121"/>
      <c r="CR43" s="1119">
        <f ca="1">CR41-CR42</f>
        <v>7.2599999999999909</v>
      </c>
      <c r="CS43" s="1119">
        <f ca="1">CS41-CS42</f>
        <v>7.2599999999999909</v>
      </c>
      <c r="CT43" s="1119">
        <f ca="1">CT41-CT42</f>
        <v>7.5058860183153229</v>
      </c>
      <c r="CU43" s="1119"/>
      <c r="CV43" s="1121"/>
      <c r="CW43" s="1119">
        <f ca="1">CW41-CW42</f>
        <v>7.98599999999999</v>
      </c>
      <c r="CX43" s="1119">
        <f ca="1">CX41-CX42</f>
        <v>7.98599999999999</v>
      </c>
      <c r="CY43" s="1119">
        <f ca="1">CY41-CY42</f>
        <v>8.2376448308957038</v>
      </c>
      <c r="CZ43" s="1119"/>
      <c r="DA43" s="1121"/>
      <c r="DB43" s="1119">
        <f ca="1">DB41-DB42</f>
        <v>-115.63661629541929</v>
      </c>
      <c r="DC43" s="1119">
        <f ca="1">DC41-DC42</f>
        <v>-118.74196862835663</v>
      </c>
      <c r="DD43" s="1119">
        <f ca="1">DD41-DD42</f>
        <v>-123.05584063217782</v>
      </c>
      <c r="DE43" s="1119"/>
      <c r="DF43" s="1121"/>
    </row>
    <row r="44" spans="2:110" x14ac:dyDescent="0.25">
      <c r="CB44" s="277"/>
      <c r="CR44" s="151"/>
      <c r="CS44" s="151"/>
      <c r="CT44" s="151"/>
      <c r="CU44" s="151"/>
      <c r="CV44" s="151"/>
      <c r="CW44" s="151"/>
      <c r="CX44" s="151"/>
      <c r="CY44" s="151"/>
      <c r="CZ44" s="151"/>
      <c r="DA44" s="151"/>
      <c r="DB44" s="151"/>
      <c r="DC44" s="151"/>
      <c r="DD44" s="151"/>
      <c r="DE44" s="151"/>
      <c r="DF44" s="151"/>
    </row>
    <row r="45" spans="2:110" x14ac:dyDescent="0.25">
      <c r="CB45" s="277"/>
      <c r="CD45" s="277"/>
      <c r="CR45" s="151"/>
      <c r="CS45" s="151"/>
      <c r="CT45" s="151"/>
      <c r="CU45" s="151"/>
      <c r="CV45" s="151"/>
      <c r="CW45" s="151"/>
      <c r="CX45" s="151"/>
      <c r="CY45" s="151"/>
      <c r="CZ45" s="151"/>
      <c r="DA45" s="151"/>
      <c r="DB45" s="151"/>
      <c r="DC45" s="151"/>
      <c r="DD45" s="151"/>
      <c r="DE45" s="151"/>
      <c r="DF45" s="151"/>
    </row>
    <row r="47" spans="2:110" x14ac:dyDescent="0.25">
      <c r="BM47" s="1464"/>
      <c r="BN47" s="1464"/>
      <c r="BV47" s="277"/>
      <c r="BW47" s="277"/>
      <c r="CB47" s="277"/>
    </row>
    <row r="48" spans="2:110" x14ac:dyDescent="0.25">
      <c r="CB48" s="277"/>
    </row>
    <row r="49" spans="3:80" x14ac:dyDescent="0.25">
      <c r="BR49" s="1463"/>
      <c r="BS49" s="1462"/>
      <c r="CB49" s="277"/>
    </row>
    <row r="52" spans="3:80" x14ac:dyDescent="0.25">
      <c r="CB52" s="277"/>
    </row>
    <row r="54" spans="3:80" x14ac:dyDescent="0.25">
      <c r="C54" s="321"/>
    </row>
    <row r="56" spans="3:80" x14ac:dyDescent="0.25">
      <c r="C56" s="321"/>
    </row>
  </sheetData>
  <phoneticPr fontId="0" type="noConversion"/>
  <pageMargins left="0.25" right="0.25" top="0.4" bottom="0.8" header="0.5" footer="0.5"/>
  <pageSetup paperSize="5" orientation="landscape" r:id="rId1"/>
  <headerFooter alignWithMargins="0">
    <oddFooter>&amp;L&amp;8&amp;F
&amp;D   &amp;T&amp;C&amp;8&amp;A&amp;R&amp;8&amp;P of &amp;N</oddFooter>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B1:DF53"/>
  <sheetViews>
    <sheetView showGridLines="0" workbookViewId="0">
      <pane xSplit="2" ySplit="5" topLeftCell="CH6" activePane="bottomRight" state="frozen"/>
      <selection activeCell="C6" sqref="C6"/>
      <selection pane="topRight" activeCell="C6" sqref="C6"/>
      <selection pane="bottomLeft" activeCell="C6" sqref="C6"/>
      <selection pane="bottomRight" activeCell="CM33" sqref="CM33"/>
    </sheetView>
  </sheetViews>
  <sheetFormatPr defaultRowHeight="12.75" outlineLevelRow="1" outlineLevelCol="1" x14ac:dyDescent="0.25"/>
  <cols>
    <col min="1" max="1" width="2.140625" style="151" customWidth="1"/>
    <col min="2" max="2" width="18.140625" style="151" customWidth="1"/>
    <col min="3" max="3" width="3.85546875" style="151" hidden="1" customWidth="1" outlineLevel="1"/>
    <col min="4" max="4" width="7.7109375" style="151" hidden="1" customWidth="1" outlineLevel="1"/>
    <col min="5" max="5" width="7.7109375" style="151" hidden="1" customWidth="1" outlineLevel="1" collapsed="1"/>
    <col min="6" max="9" width="0" style="151" hidden="1" customWidth="1" outlineLevel="1"/>
    <col min="10" max="10" width="9.42578125" style="151" hidden="1" customWidth="1" outlineLevel="1"/>
    <col min="11" max="14" width="0" style="151" hidden="1" customWidth="1" outlineLevel="1"/>
    <col min="15" max="15" width="7" style="151" hidden="1" customWidth="1" outlineLevel="1"/>
    <col min="16" max="16" width="8.140625" style="151" hidden="1" customWidth="1" outlineLevel="1" collapsed="1"/>
    <col min="17" max="19" width="8.140625" style="151" hidden="1" customWidth="1" outlineLevel="1"/>
    <col min="20" max="20" width="9" style="151" hidden="1" customWidth="1" outlineLevel="1" collapsed="1"/>
    <col min="21" max="24" width="8.140625" style="151" hidden="1" customWidth="1" outlineLevel="1"/>
    <col min="25" max="25" width="9" style="151" hidden="1" customWidth="1" outlineLevel="1" collapsed="1"/>
    <col min="26" max="26" width="8.140625" style="151" hidden="1" customWidth="1" outlineLevel="1"/>
    <col min="27" max="28" width="10.42578125" style="151" hidden="1" customWidth="1" outlineLevel="1"/>
    <col min="29" max="29" width="9.5703125" style="151" hidden="1" customWidth="1" outlineLevel="1"/>
    <col min="30" max="30" width="9.5703125" style="151" hidden="1" customWidth="1" outlineLevel="1" collapsed="1"/>
    <col min="31" max="39" width="10.42578125" style="151" hidden="1" customWidth="1" outlineLevel="1"/>
    <col min="40" max="40" width="10.42578125" style="151" hidden="1" customWidth="1" collapsed="1"/>
    <col min="41" max="44" width="10.42578125" style="151" hidden="1" customWidth="1" outlineLevel="1"/>
    <col min="45" max="45" width="10.42578125" style="151" hidden="1" customWidth="1" collapsed="1"/>
    <col min="46" max="49" width="10.42578125" style="151" hidden="1" customWidth="1" outlineLevel="1"/>
    <col min="50" max="50" width="10.42578125" style="151" hidden="1" customWidth="1" collapsed="1"/>
    <col min="51" max="51" width="8.42578125" style="151" hidden="1" customWidth="1" outlineLevel="1"/>
    <col min="52" max="54" width="9.140625" style="151" hidden="1" customWidth="1" outlineLevel="1"/>
    <col min="55" max="55" width="0" style="151" hidden="1" customWidth="1" collapsed="1"/>
    <col min="56" max="59" width="9.140625" style="151" hidden="1" customWidth="1" outlineLevel="1"/>
    <col min="60" max="60" width="0" style="151" hidden="1" customWidth="1" collapsed="1"/>
    <col min="61" max="64" width="9.140625" style="151" hidden="1" customWidth="1" outlineLevel="1"/>
    <col min="65" max="65" width="0" style="151" hidden="1" customWidth="1" collapsed="1"/>
    <col min="66" max="69" width="9.140625" style="151" hidden="1" customWidth="1" outlineLevel="1"/>
    <col min="70" max="70" width="0" style="151" hidden="1" customWidth="1" collapsed="1"/>
    <col min="71" max="74" width="9.140625" style="151" hidden="1" customWidth="1" outlineLevel="1"/>
    <col min="75" max="75" width="0" style="151" hidden="1" customWidth="1" collapsed="1"/>
    <col min="76" max="79" width="9.140625" style="151" hidden="1" customWidth="1" outlineLevel="1"/>
    <col min="80" max="80" width="0" style="151" hidden="1" customWidth="1" collapsed="1"/>
    <col min="81" max="84" width="9.140625" style="151" hidden="1" customWidth="1" outlineLevel="1"/>
    <col min="85" max="85" width="0" style="151" hidden="1" customWidth="1" collapsed="1"/>
    <col min="86" max="89" width="9.140625" style="151" customWidth="1" outlineLevel="1"/>
    <col min="90" max="90" width="9.140625" style="151"/>
    <col min="91" max="94" width="9.140625" style="151" customWidth="1" outlineLevel="1"/>
    <col min="95" max="95" width="9.140625" style="151"/>
    <col min="96" max="99" width="9.140625" style="151" hidden="1" customWidth="1" outlineLevel="1"/>
    <col min="100" max="100" width="9.140625" style="151" collapsed="1"/>
    <col min="101" max="104" width="0" style="151" hidden="1" customWidth="1" outlineLevel="1"/>
    <col min="105" max="105" width="9.140625" style="151" collapsed="1"/>
    <col min="106" max="109" width="0" style="151" hidden="1" customWidth="1" outlineLevel="1"/>
    <col min="110" max="110" width="9.140625" style="151" collapsed="1"/>
    <col min="111" max="16384" width="9.140625" style="151"/>
  </cols>
  <sheetData>
    <row r="1" spans="2:110" ht="18.75" x14ac:dyDescent="0.3">
      <c r="B1" s="882" t="str">
        <f>Ticker</f>
        <v>ESRX</v>
      </c>
      <c r="C1" s="883"/>
      <c r="D1" s="883"/>
      <c r="E1" s="884"/>
      <c r="F1" s="885"/>
      <c r="G1" s="884"/>
      <c r="H1" s="884"/>
      <c r="I1" s="886"/>
      <c r="J1" s="884"/>
      <c r="K1" s="884"/>
      <c r="L1" s="884"/>
      <c r="M1" s="887"/>
      <c r="N1" s="887"/>
      <c r="O1" s="886"/>
      <c r="P1" s="888"/>
      <c r="Q1" s="889"/>
      <c r="R1" s="890"/>
      <c r="S1" s="890"/>
      <c r="T1" s="884"/>
      <c r="U1" s="888"/>
      <c r="V1" s="889"/>
      <c r="W1" s="884"/>
      <c r="X1" s="884"/>
      <c r="Y1" s="890"/>
      <c r="Z1" s="884"/>
      <c r="AA1" s="884"/>
      <c r="AB1" s="884"/>
      <c r="AC1" s="884"/>
      <c r="AD1" s="884"/>
      <c r="AE1" s="884"/>
      <c r="AF1" s="884"/>
      <c r="AG1" s="884"/>
      <c r="AH1" s="884"/>
      <c r="AI1" s="891"/>
      <c r="AJ1" s="884"/>
      <c r="AK1" s="884"/>
      <c r="AL1" s="884"/>
      <c r="AM1" s="884"/>
      <c r="AN1" s="884"/>
      <c r="AO1" s="884"/>
      <c r="AP1" s="884"/>
      <c r="AQ1" s="884"/>
      <c r="AR1" s="884"/>
      <c r="AS1" s="884"/>
      <c r="AT1" s="884"/>
      <c r="AU1" s="884"/>
      <c r="AV1" s="884"/>
      <c r="AW1" s="884"/>
      <c r="AX1" s="884"/>
      <c r="AY1" s="884"/>
      <c r="AZ1" s="884"/>
      <c r="BA1" s="884"/>
      <c r="BB1" s="884"/>
      <c r="BC1" s="884"/>
      <c r="BD1" s="884"/>
      <c r="BE1" s="884"/>
      <c r="BF1" s="884"/>
      <c r="BG1" s="884"/>
      <c r="BH1" s="884"/>
      <c r="BI1" s="884"/>
      <c r="BJ1" s="884"/>
      <c r="BK1" s="884"/>
      <c r="BL1" s="884"/>
      <c r="BM1" s="884"/>
      <c r="BN1" s="884"/>
      <c r="BO1" s="884"/>
      <c r="BP1" s="884"/>
      <c r="BQ1" s="892"/>
      <c r="BR1" s="892"/>
      <c r="BS1" s="892"/>
      <c r="BT1" s="892"/>
      <c r="BU1" s="892"/>
      <c r="BV1" s="892"/>
      <c r="BW1" s="892"/>
      <c r="BX1" s="892"/>
      <c r="BY1" s="892"/>
      <c r="BZ1" s="892"/>
      <c r="CA1" s="892"/>
      <c r="CB1" s="892"/>
      <c r="CC1" s="892"/>
      <c r="CD1" s="892"/>
      <c r="CE1" s="892"/>
      <c r="CF1" s="892"/>
      <c r="CG1" s="892"/>
      <c r="CH1" s="892"/>
      <c r="CI1" s="892"/>
      <c r="CJ1" s="892"/>
      <c r="CK1" s="892"/>
      <c r="CL1" s="892"/>
      <c r="CM1" s="892"/>
      <c r="CN1" s="892"/>
      <c r="CO1" s="892"/>
      <c r="CP1" s="892"/>
      <c r="CQ1" s="892"/>
      <c r="CR1" s="892"/>
      <c r="CS1" s="892"/>
      <c r="CT1" s="892"/>
      <c r="CU1" s="892"/>
      <c r="CV1" s="892"/>
      <c r="CW1" s="892"/>
      <c r="CX1" s="892"/>
      <c r="CY1" s="892"/>
      <c r="CZ1" s="892"/>
      <c r="DA1" s="892"/>
      <c r="DB1" s="892"/>
      <c r="DC1" s="892"/>
      <c r="DD1" s="892"/>
      <c r="DE1" s="892"/>
      <c r="DF1" s="892"/>
    </row>
    <row r="2" spans="2:110" ht="13.5" thickBot="1" x14ac:dyDescent="0.3">
      <c r="B2" s="948" t="s">
        <v>764</v>
      </c>
      <c r="C2" s="884"/>
      <c r="D2" s="884"/>
      <c r="E2" s="884"/>
      <c r="F2" s="884"/>
      <c r="G2" s="894"/>
      <c r="H2" s="884"/>
      <c r="I2" s="884"/>
      <c r="J2" s="884"/>
      <c r="K2" s="886"/>
      <c r="L2" s="885"/>
      <c r="M2" s="886"/>
      <c r="N2" s="886"/>
      <c r="O2" s="884"/>
      <c r="P2" s="886"/>
      <c r="Q2" s="886"/>
      <c r="R2" s="886"/>
      <c r="S2" s="886"/>
      <c r="T2" s="889"/>
      <c r="U2" s="886"/>
      <c r="V2" s="886"/>
      <c r="W2" s="886"/>
      <c r="X2" s="889"/>
      <c r="Y2" s="889"/>
      <c r="Z2" s="884"/>
      <c r="AA2" s="884"/>
      <c r="AB2" s="884"/>
      <c r="AC2" s="891"/>
      <c r="AD2" s="884"/>
      <c r="AE2" s="895"/>
      <c r="AF2" s="896"/>
      <c r="AG2" s="889"/>
      <c r="AH2" s="884"/>
      <c r="AI2" s="897"/>
      <c r="AJ2" s="885"/>
      <c r="AK2" s="884"/>
      <c r="AL2" s="884"/>
      <c r="AM2" s="884"/>
      <c r="AN2" s="885"/>
      <c r="AO2" s="891"/>
      <c r="AP2" s="884"/>
      <c r="AQ2" s="884"/>
      <c r="AR2" s="884"/>
      <c r="AS2" s="884"/>
      <c r="AT2" s="891"/>
      <c r="AU2" s="884"/>
      <c r="AV2" s="884"/>
      <c r="AW2" s="884"/>
      <c r="AX2" s="884"/>
      <c r="AY2" s="898"/>
      <c r="AZ2" s="884"/>
      <c r="BA2" s="884"/>
      <c r="BB2" s="884"/>
      <c r="BC2" s="884"/>
      <c r="BD2" s="884"/>
      <c r="BE2" s="884"/>
      <c r="BF2" s="884"/>
      <c r="BG2" s="884"/>
      <c r="BH2" s="884"/>
      <c r="BI2" s="884"/>
      <c r="BJ2" s="884"/>
      <c r="BK2" s="884"/>
      <c r="BL2" s="884"/>
      <c r="BM2" s="884"/>
      <c r="BN2" s="884"/>
      <c r="BO2" s="884"/>
      <c r="BP2" s="884"/>
      <c r="BQ2" s="892"/>
      <c r="BR2" s="892"/>
      <c r="BS2" s="892"/>
      <c r="BT2" s="892"/>
      <c r="BU2" s="892"/>
      <c r="BV2" s="892"/>
      <c r="BW2" s="892"/>
      <c r="BX2" s="892"/>
      <c r="BY2" s="892"/>
      <c r="BZ2" s="892"/>
      <c r="CA2" s="892"/>
      <c r="CB2" s="892"/>
      <c r="CC2" s="892"/>
      <c r="CD2" s="892"/>
      <c r="CE2" s="892"/>
      <c r="CF2" s="892"/>
      <c r="CG2" s="892"/>
      <c r="CH2" s="892"/>
      <c r="CI2" s="892"/>
      <c r="CJ2" s="892"/>
      <c r="CK2" s="892"/>
      <c r="CL2" s="892"/>
      <c r="CM2" s="892"/>
      <c r="CN2" s="892"/>
      <c r="CO2" s="892"/>
      <c r="CP2" s="892"/>
      <c r="CQ2" s="892"/>
      <c r="CR2" s="892"/>
      <c r="CS2" s="892"/>
      <c r="CT2" s="892"/>
      <c r="CU2" s="892"/>
      <c r="CV2" s="892"/>
      <c r="CW2" s="892"/>
      <c r="CX2" s="892"/>
      <c r="CY2" s="892"/>
      <c r="CZ2" s="892"/>
      <c r="DA2" s="892"/>
      <c r="DB2" s="892"/>
      <c r="DC2" s="892"/>
      <c r="DD2" s="892"/>
      <c r="DE2" s="892"/>
      <c r="DF2" s="892"/>
    </row>
    <row r="3" spans="2:110" ht="13.5" hidden="1" outlineLevel="1" thickBot="1" x14ac:dyDescent="0.3">
      <c r="E3" s="278"/>
      <c r="F3" s="278"/>
      <c r="G3" s="278"/>
      <c r="H3" s="278"/>
      <c r="I3" s="278"/>
      <c r="J3" s="278"/>
      <c r="K3" s="278"/>
      <c r="L3" s="278"/>
      <c r="M3" s="278"/>
      <c r="N3" s="278"/>
      <c r="O3" s="278"/>
      <c r="P3" s="278"/>
      <c r="Q3" s="278"/>
      <c r="R3" s="278"/>
      <c r="S3" s="278"/>
      <c r="T3" s="278"/>
      <c r="U3" s="278"/>
      <c r="V3" s="278"/>
      <c r="W3" s="278"/>
      <c r="X3" s="278"/>
      <c r="Y3" s="278"/>
      <c r="Z3" s="278"/>
      <c r="AA3" s="278"/>
      <c r="AB3" s="278"/>
      <c r="AC3" s="278"/>
      <c r="AD3" s="278"/>
      <c r="AE3" s="278"/>
      <c r="AF3" s="278"/>
      <c r="AG3" s="278"/>
      <c r="AH3" s="278"/>
      <c r="AI3" s="278"/>
      <c r="AJ3" s="278"/>
      <c r="AK3" s="278"/>
      <c r="AL3" s="278"/>
      <c r="AM3" s="278"/>
      <c r="AN3" s="278"/>
      <c r="AO3" s="278"/>
      <c r="AP3" s="278"/>
      <c r="AQ3" s="278"/>
      <c r="AR3" s="278"/>
      <c r="AS3" s="278"/>
      <c r="AT3" s="278"/>
      <c r="AU3" s="278"/>
      <c r="AV3" s="278"/>
      <c r="AW3" s="278"/>
      <c r="AX3" s="278"/>
      <c r="AY3" s="278"/>
      <c r="AZ3" s="278"/>
      <c r="BA3" s="278"/>
      <c r="BB3" s="278"/>
      <c r="BC3" s="278"/>
      <c r="BD3" s="278"/>
      <c r="BE3" s="278"/>
      <c r="BF3" s="278"/>
      <c r="BG3" s="278"/>
      <c r="BH3" s="278"/>
      <c r="BI3" s="278"/>
      <c r="BJ3" s="278"/>
      <c r="BK3" s="278"/>
      <c r="BL3" s="278"/>
      <c r="BM3" s="278"/>
      <c r="BN3" s="278"/>
      <c r="BO3" s="278"/>
      <c r="BP3" s="278"/>
      <c r="BQ3" s="278"/>
      <c r="BR3" s="278"/>
      <c r="BS3" s="278"/>
      <c r="BT3" s="278"/>
      <c r="BU3" s="278"/>
      <c r="BV3" s="278"/>
      <c r="BW3" s="278"/>
      <c r="BX3" s="278"/>
      <c r="BY3" s="278"/>
      <c r="BZ3" s="278"/>
      <c r="CA3" s="278"/>
      <c r="CB3" s="278"/>
      <c r="CC3" s="278"/>
      <c r="CD3" s="278"/>
      <c r="CE3" s="278"/>
      <c r="CF3" s="278"/>
      <c r="CG3" s="278"/>
      <c r="CH3" s="278"/>
      <c r="CI3" s="278"/>
      <c r="CJ3" s="278"/>
      <c r="CK3" s="278"/>
      <c r="CL3" s="278"/>
      <c r="CM3" s="278"/>
      <c r="CN3" s="278"/>
      <c r="CO3" s="278"/>
      <c r="CP3" s="278"/>
      <c r="CQ3" s="278"/>
      <c r="CR3" s="278"/>
      <c r="CS3" s="278"/>
      <c r="CT3" s="278"/>
      <c r="CU3" s="278"/>
      <c r="CV3" s="278"/>
      <c r="CW3" s="278"/>
      <c r="CX3" s="278"/>
      <c r="CY3" s="278"/>
      <c r="CZ3" s="278"/>
      <c r="DA3" s="278"/>
      <c r="DB3" s="278"/>
      <c r="DC3" s="278"/>
      <c r="DD3" s="278"/>
      <c r="DE3" s="278"/>
      <c r="DF3" s="278"/>
    </row>
    <row r="4" spans="2:110" ht="13.5" collapsed="1" thickBot="1" x14ac:dyDescent="0.3">
      <c r="B4" s="799"/>
      <c r="C4" s="800"/>
      <c r="D4" s="801"/>
      <c r="E4" s="801"/>
      <c r="F4" s="802" t="s">
        <v>26</v>
      </c>
      <c r="G4" s="803"/>
      <c r="H4" s="803"/>
      <c r="I4" s="804"/>
      <c r="J4" s="801"/>
      <c r="K4" s="802" t="s">
        <v>27</v>
      </c>
      <c r="L4" s="803"/>
      <c r="M4" s="803"/>
      <c r="N4" s="804"/>
      <c r="O4" s="801"/>
      <c r="P4" s="802" t="s">
        <v>28</v>
      </c>
      <c r="Q4" s="803"/>
      <c r="R4" s="803"/>
      <c r="S4" s="804"/>
      <c r="T4" s="801"/>
      <c r="U4" s="802" t="s">
        <v>29</v>
      </c>
      <c r="V4" s="803"/>
      <c r="W4" s="803"/>
      <c r="X4" s="804"/>
      <c r="Y4" s="801"/>
      <c r="Z4" s="802" t="s">
        <v>30</v>
      </c>
      <c r="AA4" s="803"/>
      <c r="AB4" s="803"/>
      <c r="AC4" s="803"/>
      <c r="AD4" s="801"/>
      <c r="AE4" s="803" t="s">
        <v>31</v>
      </c>
      <c r="AF4" s="803"/>
      <c r="AG4" s="803"/>
      <c r="AH4" s="803"/>
      <c r="AI4" s="801"/>
      <c r="AJ4" s="803" t="s">
        <v>32</v>
      </c>
      <c r="AK4" s="803"/>
      <c r="AL4" s="803"/>
      <c r="AM4" s="803"/>
      <c r="AN4" s="801"/>
      <c r="AO4" s="803" t="s">
        <v>33</v>
      </c>
      <c r="AP4" s="803"/>
      <c r="AQ4" s="803"/>
      <c r="AR4" s="803"/>
      <c r="AS4" s="801"/>
      <c r="AT4" s="803" t="s">
        <v>34</v>
      </c>
      <c r="AU4" s="803"/>
      <c r="AV4" s="803"/>
      <c r="AW4" s="803"/>
      <c r="AX4" s="801"/>
      <c r="AY4" s="803" t="s">
        <v>35</v>
      </c>
      <c r="AZ4" s="803"/>
      <c r="BA4" s="803"/>
      <c r="BB4" s="803"/>
      <c r="BC4" s="801"/>
      <c r="BD4" s="803" t="s">
        <v>36</v>
      </c>
      <c r="BE4" s="803"/>
      <c r="BF4" s="803"/>
      <c r="BG4" s="803"/>
      <c r="BH4" s="801"/>
      <c r="BI4" s="803" t="s">
        <v>37</v>
      </c>
      <c r="BJ4" s="803"/>
      <c r="BK4" s="803"/>
      <c r="BL4" s="803"/>
      <c r="BM4" s="801"/>
      <c r="BN4" s="803" t="s">
        <v>331</v>
      </c>
      <c r="BO4" s="803"/>
      <c r="BP4" s="803"/>
      <c r="BQ4" s="803"/>
      <c r="BR4" s="801"/>
      <c r="BS4" s="803" t="s">
        <v>334</v>
      </c>
      <c r="BT4" s="803"/>
      <c r="BU4" s="803"/>
      <c r="BV4" s="803"/>
      <c r="BW4" s="801"/>
      <c r="BX4" s="803" t="s">
        <v>356</v>
      </c>
      <c r="BY4" s="803"/>
      <c r="BZ4" s="803"/>
      <c r="CA4" s="803"/>
      <c r="CB4" s="801"/>
      <c r="CC4" s="803" t="str">
        <f>Model!CC8</f>
        <v>Fiscal Year End, Dec 31 2016</v>
      </c>
      <c r="CD4" s="803"/>
      <c r="CE4" s="803"/>
      <c r="CF4" s="803"/>
      <c r="CG4" s="801"/>
      <c r="CH4" s="803" t="str">
        <f>Model!CH8</f>
        <v>Fiscal Year End, Dec 31 2017</v>
      </c>
      <c r="CI4" s="803"/>
      <c r="CJ4" s="803"/>
      <c r="CK4" s="803"/>
      <c r="CL4" s="801"/>
      <c r="CM4" s="803" t="str">
        <f>Model!CM8</f>
        <v>Fiscal Year End, Dec 31 2018</v>
      </c>
      <c r="CN4" s="803"/>
      <c r="CO4" s="803"/>
      <c r="CP4" s="803"/>
      <c r="CQ4" s="801"/>
      <c r="CR4" s="803" t="str">
        <f>Model!CR8</f>
        <v>Fiscal Year End, Dec 31 2019</v>
      </c>
      <c r="CS4" s="803"/>
      <c r="CT4" s="803"/>
      <c r="CU4" s="803"/>
      <c r="CV4" s="801"/>
      <c r="CW4" s="803" t="str">
        <f>Model!CW8</f>
        <v>Fiscal Year End, Dec 31 2020</v>
      </c>
      <c r="CX4" s="803"/>
      <c r="CY4" s="803"/>
      <c r="CZ4" s="803"/>
      <c r="DA4" s="801"/>
      <c r="DB4" s="803" t="str">
        <f>Model!DB8</f>
        <v>Fiscal Year End, Dec 31 2021</v>
      </c>
      <c r="DC4" s="803"/>
      <c r="DD4" s="803"/>
      <c r="DE4" s="803"/>
      <c r="DF4" s="801"/>
    </row>
    <row r="5" spans="2:110" ht="25.5" thickBot="1" x14ac:dyDescent="0.3">
      <c r="B5" s="807" t="s">
        <v>25</v>
      </c>
      <c r="C5" s="808"/>
      <c r="D5" s="808" t="str">
        <f>Model!D9</f>
        <v>1999A</v>
      </c>
      <c r="E5" s="809" t="str">
        <f>Model!E9</f>
        <v>2000A</v>
      </c>
      <c r="F5" s="810" t="str">
        <f>Model!F9</f>
        <v>1Q01A</v>
      </c>
      <c r="G5" s="810" t="str">
        <f>Model!G9</f>
        <v>2Q01A</v>
      </c>
      <c r="H5" s="810" t="str">
        <f>Model!H9</f>
        <v>3Q01A</v>
      </c>
      <c r="I5" s="810" t="str">
        <f>Model!I9</f>
        <v>4Q01A</v>
      </c>
      <c r="J5" s="809" t="str">
        <f>Model!J9</f>
        <v>2001A</v>
      </c>
      <c r="K5" s="810" t="str">
        <f>Model!K9</f>
        <v>1Q02A</v>
      </c>
      <c r="L5" s="810" t="str">
        <f>Model!L9</f>
        <v>2Q02A</v>
      </c>
      <c r="M5" s="810" t="str">
        <f>Model!M9</f>
        <v>3Q02A</v>
      </c>
      <c r="N5" s="810" t="str">
        <f>Model!N9</f>
        <v>4Q02A</v>
      </c>
      <c r="O5" s="809" t="str">
        <f>Model!O9</f>
        <v>2002A</v>
      </c>
      <c r="P5" s="811" t="str">
        <f>Model!P9</f>
        <v>1Q03A</v>
      </c>
      <c r="Q5" s="810" t="str">
        <f>Model!Q9</f>
        <v>2Q03A</v>
      </c>
      <c r="R5" s="810" t="str">
        <f>Model!R9</f>
        <v>3Q03A</v>
      </c>
      <c r="S5" s="812" t="str">
        <f>Model!S9</f>
        <v>4Q03A</v>
      </c>
      <c r="T5" s="809" t="str">
        <f>Model!T9</f>
        <v>2003A</v>
      </c>
      <c r="U5" s="810" t="str">
        <f>Model!U9</f>
        <v>1QA</v>
      </c>
      <c r="V5" s="810" t="str">
        <f>Model!V9</f>
        <v>2QA</v>
      </c>
      <c r="W5" s="810" t="str">
        <f>Model!W9</f>
        <v>3QA</v>
      </c>
      <c r="X5" s="810" t="str">
        <f>Model!X9</f>
        <v>4QA</v>
      </c>
      <c r="Y5" s="809" t="str">
        <f>Model!Y9</f>
        <v>2004A</v>
      </c>
      <c r="Z5" s="810" t="str">
        <f>Model!Z9</f>
        <v>1QA</v>
      </c>
      <c r="AA5" s="810" t="str">
        <f>Model!AA9</f>
        <v>2QA</v>
      </c>
      <c r="AB5" s="810" t="str">
        <f>Model!AB9</f>
        <v>3QA</v>
      </c>
      <c r="AC5" s="810" t="str">
        <f>Model!AC9</f>
        <v>4QA</v>
      </c>
      <c r="AD5" s="813" t="str">
        <f>Model!AD9</f>
        <v>2005A</v>
      </c>
      <c r="AE5" s="810" t="str">
        <f>Model!AE9</f>
        <v>1QA</v>
      </c>
      <c r="AF5" s="810" t="str">
        <f>Model!AF9</f>
        <v>2QA</v>
      </c>
      <c r="AG5" s="810" t="str">
        <f>Model!AG9</f>
        <v>3QA</v>
      </c>
      <c r="AH5" s="810" t="str">
        <f>Model!AH9</f>
        <v>4QA</v>
      </c>
      <c r="AI5" s="813" t="str">
        <f>Model!AI9</f>
        <v>2006A</v>
      </c>
      <c r="AJ5" s="810" t="str">
        <f>Model!AJ9</f>
        <v>1QA</v>
      </c>
      <c r="AK5" s="810" t="str">
        <f>Model!AK9</f>
        <v>2QA</v>
      </c>
      <c r="AL5" s="810" t="str">
        <f>Model!AL9</f>
        <v>3QA</v>
      </c>
      <c r="AM5" s="810" t="str">
        <f>Model!AM9</f>
        <v>4QA</v>
      </c>
      <c r="AN5" s="813" t="str">
        <f>Model!AN9</f>
        <v>2007A</v>
      </c>
      <c r="AO5" s="810" t="str">
        <f>Model!AO9</f>
        <v>1QA</v>
      </c>
      <c r="AP5" s="810" t="str">
        <f>Model!AP9</f>
        <v>2QA</v>
      </c>
      <c r="AQ5" s="810" t="str">
        <f>Model!AQ9</f>
        <v>3QA</v>
      </c>
      <c r="AR5" s="810" t="str">
        <f>Model!AR9</f>
        <v>4QA</v>
      </c>
      <c r="AS5" s="809" t="str">
        <f>Model!AS9</f>
        <v>2008A</v>
      </c>
      <c r="AT5" s="810" t="str">
        <f>Model!AT9</f>
        <v>1QA</v>
      </c>
      <c r="AU5" s="810" t="str">
        <f>Model!AU9</f>
        <v>2QA</v>
      </c>
      <c r="AV5" s="810" t="str">
        <f>Model!AV9</f>
        <v>3QA</v>
      </c>
      <c r="AW5" s="810" t="str">
        <f>Model!AW9</f>
        <v>4QA</v>
      </c>
      <c r="AX5" s="809" t="str">
        <f>Model!AX9</f>
        <v>2009A</v>
      </c>
      <c r="AY5" s="810" t="str">
        <f>Model!AY9</f>
        <v>1QA</v>
      </c>
      <c r="AZ5" s="810" t="str">
        <f>Model!AZ9</f>
        <v>2QA</v>
      </c>
      <c r="BA5" s="810" t="str">
        <f>Model!BA9</f>
        <v>3QA</v>
      </c>
      <c r="BB5" s="810" t="str">
        <f>Model!BB9</f>
        <v>4QA</v>
      </c>
      <c r="BC5" s="809" t="str">
        <f>Model!BC9</f>
        <v>2010A</v>
      </c>
      <c r="BD5" s="810" t="str">
        <f>Model!BD9</f>
        <v>1QA</v>
      </c>
      <c r="BE5" s="810" t="str">
        <f>Model!BE9</f>
        <v>2QA</v>
      </c>
      <c r="BF5" s="810" t="str">
        <f>Model!BF9</f>
        <v>3QA</v>
      </c>
      <c r="BG5" s="810" t="str">
        <f>Model!BG9</f>
        <v>4QA</v>
      </c>
      <c r="BH5" s="809" t="str">
        <f>Model!BH9</f>
        <v>2011A</v>
      </c>
      <c r="BI5" s="810" t="str">
        <f>Model!BI9</f>
        <v>1QA</v>
      </c>
      <c r="BJ5" s="810" t="str">
        <f>Model!BJ9</f>
        <v>2QA</v>
      </c>
      <c r="BK5" s="810" t="str">
        <f>Model!BK9</f>
        <v>3QA</v>
      </c>
      <c r="BL5" s="810" t="str">
        <f>Model!BL9</f>
        <v>4QA</v>
      </c>
      <c r="BM5" s="809" t="str">
        <f>Model!BM9</f>
        <v>2012A</v>
      </c>
      <c r="BN5" s="810" t="str">
        <f>Model!BN9</f>
        <v>1QA</v>
      </c>
      <c r="BO5" s="810" t="str">
        <f>Model!BO9</f>
        <v>2QA</v>
      </c>
      <c r="BP5" s="810" t="str">
        <f>Model!BP9</f>
        <v>3QA</v>
      </c>
      <c r="BQ5" s="810" t="str">
        <f>Model!BQ9</f>
        <v>4QA</v>
      </c>
      <c r="BR5" s="809" t="str">
        <f>Model!BR9</f>
        <v>2013A</v>
      </c>
      <c r="BS5" s="810" t="str">
        <f>Model!BS9</f>
        <v>1QA</v>
      </c>
      <c r="BT5" s="810" t="str">
        <f>Model!BT9</f>
        <v>2QA</v>
      </c>
      <c r="BU5" s="810" t="str">
        <f>Model!BU9</f>
        <v>3QA</v>
      </c>
      <c r="BV5" s="810" t="str">
        <f>Model!BV9</f>
        <v>4QA</v>
      </c>
      <c r="BW5" s="809" t="str">
        <f>Model!BW9</f>
        <v>2014A</v>
      </c>
      <c r="BX5" s="810" t="str">
        <f>Model!BX9</f>
        <v>1QA</v>
      </c>
      <c r="BY5" s="810" t="str">
        <f>Model!BY9</f>
        <v>2QA</v>
      </c>
      <c r="BZ5" s="810" t="str">
        <f>Model!BZ9</f>
        <v>3QA</v>
      </c>
      <c r="CA5" s="810" t="str">
        <f>Model!CA9</f>
        <v>4QA</v>
      </c>
      <c r="CB5" s="809" t="str">
        <f>Model!CB9</f>
        <v>2015A</v>
      </c>
      <c r="CC5" s="810" t="str">
        <f>Model!CC9</f>
        <v>1QA</v>
      </c>
      <c r="CD5" s="810" t="str">
        <f>Model!CD9</f>
        <v>2QA</v>
      </c>
      <c r="CE5" s="810" t="str">
        <f>Model!CE9</f>
        <v>3QA</v>
      </c>
      <c r="CF5" s="810" t="str">
        <f>Model!CF9</f>
        <v>4QA</v>
      </c>
      <c r="CG5" s="809" t="str">
        <f>Model!CG9</f>
        <v>2016A</v>
      </c>
      <c r="CH5" s="810" t="str">
        <f>Model!CH9</f>
        <v>1QA</v>
      </c>
      <c r="CI5" s="810" t="str">
        <f>Model!CI9</f>
        <v>2QA</v>
      </c>
      <c r="CJ5" s="810" t="str">
        <f>Model!CJ9</f>
        <v>3QA</v>
      </c>
      <c r="CK5" s="810" t="str">
        <f>Model!CK9</f>
        <v>4QA</v>
      </c>
      <c r="CL5" s="809" t="str">
        <f>Model!CL9</f>
        <v>2017A</v>
      </c>
      <c r="CM5" s="810" t="str">
        <f>Model!CM9</f>
        <v>1QE</v>
      </c>
      <c r="CN5" s="810" t="str">
        <f>Model!CN9</f>
        <v>2QE</v>
      </c>
      <c r="CO5" s="810" t="str">
        <f>Model!CO9</f>
        <v>3QE</v>
      </c>
      <c r="CP5" s="810" t="str">
        <f>Model!CP9</f>
        <v>4QE</v>
      </c>
      <c r="CQ5" s="809" t="str">
        <f>Model!CQ9</f>
        <v>2018E</v>
      </c>
      <c r="CR5" s="810" t="str">
        <f>Model!CR9</f>
        <v>1QE</v>
      </c>
      <c r="CS5" s="810" t="str">
        <f>Model!CS9</f>
        <v>2QE</v>
      </c>
      <c r="CT5" s="810" t="str">
        <f>Model!CT9</f>
        <v>3QE</v>
      </c>
      <c r="CU5" s="810" t="str">
        <f>Model!CU9</f>
        <v>4QE</v>
      </c>
      <c r="CV5" s="809" t="str">
        <f>Model!CV9</f>
        <v>2019E</v>
      </c>
      <c r="CW5" s="810" t="str">
        <f>Model!CW9</f>
        <v>1QE</v>
      </c>
      <c r="CX5" s="810" t="str">
        <f>Model!CX9</f>
        <v>2QE</v>
      </c>
      <c r="CY5" s="810" t="str">
        <f>Model!CY9</f>
        <v>3QE</v>
      </c>
      <c r="CZ5" s="810" t="str">
        <f>Model!CZ9</f>
        <v>4QE</v>
      </c>
      <c r="DA5" s="809" t="str">
        <f>Model!DA9</f>
        <v>2020E</v>
      </c>
      <c r="DB5" s="810" t="str">
        <f>Model!DB9</f>
        <v>1QE</v>
      </c>
      <c r="DC5" s="810" t="str">
        <f>Model!DC9</f>
        <v>2QE</v>
      </c>
      <c r="DD5" s="810" t="str">
        <f>Model!DD9</f>
        <v>3QE</v>
      </c>
      <c r="DE5" s="810" t="str">
        <f>Model!DE9</f>
        <v>4QE</v>
      </c>
      <c r="DF5" s="809" t="str">
        <f>Model!DF9</f>
        <v>2021E</v>
      </c>
    </row>
    <row r="6" spans="2:110" x14ac:dyDescent="0.25">
      <c r="B6" s="964" t="s">
        <v>223</v>
      </c>
      <c r="C6" s="965"/>
      <c r="D6" s="281"/>
      <c r="E6" s="281"/>
      <c r="F6" s="281"/>
      <c r="G6" s="281"/>
      <c r="H6" s="281"/>
      <c r="I6" s="281"/>
      <c r="J6" s="281"/>
      <c r="K6" s="281"/>
      <c r="L6" s="281"/>
      <c r="M6" s="281"/>
      <c r="N6" s="281"/>
      <c r="O6" s="604"/>
      <c r="P6" s="281"/>
      <c r="Q6" s="281"/>
      <c r="R6" s="281"/>
      <c r="S6" s="281"/>
      <c r="T6" s="281"/>
      <c r="U6" s="281"/>
      <c r="V6" s="281"/>
      <c r="W6" s="281"/>
      <c r="X6" s="281"/>
      <c r="Y6" s="281"/>
      <c r="Z6" s="281"/>
      <c r="AA6" s="281"/>
      <c r="AB6" s="281"/>
      <c r="AC6" s="281"/>
      <c r="AD6" s="281"/>
      <c r="AE6" s="281"/>
      <c r="AF6" s="281"/>
      <c r="AG6" s="281"/>
      <c r="AH6" s="281"/>
      <c r="AI6" s="966"/>
      <c r="AJ6" s="281"/>
      <c r="AK6" s="281"/>
      <c r="AL6" s="281"/>
      <c r="AM6" s="281"/>
      <c r="AN6" s="966"/>
      <c r="AO6" s="282">
        <v>362.1</v>
      </c>
      <c r="AP6" s="282">
        <v>363.2</v>
      </c>
      <c r="AQ6" s="282">
        <v>359</v>
      </c>
      <c r="AR6" s="282">
        <v>322.8</v>
      </c>
      <c r="AS6" s="283">
        <v>1407.1</v>
      </c>
      <c r="AT6" s="282">
        <v>310.3</v>
      </c>
      <c r="AU6" s="282">
        <v>313.89999999999998</v>
      </c>
      <c r="AV6" s="282">
        <v>348.4</v>
      </c>
      <c r="AW6" s="282">
        <v>309.39999999999998</v>
      </c>
      <c r="AX6" s="283">
        <v>1282</v>
      </c>
      <c r="AY6" s="281">
        <v>332.5</v>
      </c>
      <c r="AZ6" s="281">
        <v>337.2</v>
      </c>
      <c r="BA6" s="281">
        <v>382.2</v>
      </c>
      <c r="BB6" s="281">
        <v>318.89999999999998</v>
      </c>
      <c r="BC6" s="283">
        <v>1370.8</v>
      </c>
      <c r="BD6" s="282">
        <f>Revenue!BD24</f>
        <v>300.60000000000002</v>
      </c>
      <c r="BE6" s="282">
        <f>Revenue!BE24</f>
        <v>331.6</v>
      </c>
      <c r="BF6" s="282">
        <f>Revenue!BF24</f>
        <v>335.8</v>
      </c>
      <c r="BG6" s="282">
        <f>Revenue!BG24</f>
        <v>332.59999999999991</v>
      </c>
      <c r="BH6" s="283">
        <f>SUM(BD6:BG6)</f>
        <v>1300.5999999999999</v>
      </c>
      <c r="BI6" s="282">
        <f>Revenue!BI24</f>
        <v>378</v>
      </c>
      <c r="BJ6" s="282">
        <f>Revenue!BJ24</f>
        <v>638.4</v>
      </c>
      <c r="BK6" s="282">
        <f>Revenue!BK24</f>
        <v>654.19999999999993</v>
      </c>
      <c r="BL6" s="282">
        <f>Revenue!BL24</f>
        <v>611.5</v>
      </c>
      <c r="BM6" s="283">
        <f>SUM(BI6:BL6)</f>
        <v>2282.1</v>
      </c>
      <c r="BN6" s="1576">
        <v>503.3</v>
      </c>
      <c r="BO6" s="1576">
        <v>555.79999999999995</v>
      </c>
      <c r="BP6" s="1576">
        <v>584.9</v>
      </c>
      <c r="BQ6" s="282">
        <f>Revenue!BQ24</f>
        <v>569.10000000000014</v>
      </c>
      <c r="BR6" s="283">
        <f>SUM(BN6:BQ6)</f>
        <v>2213.1000000000004</v>
      </c>
      <c r="BS6" s="282">
        <v>576.79999999999995</v>
      </c>
      <c r="BT6" s="1576">
        <v>634.6</v>
      </c>
      <c r="BU6" s="1576">
        <v>645.4</v>
      </c>
      <c r="BV6" s="1576">
        <f>2507.5-BU6-BT6-BS6</f>
        <v>650.70000000000005</v>
      </c>
      <c r="BW6" s="283">
        <f>SUM(BS6:BV6)</f>
        <v>2507.5</v>
      </c>
      <c r="BX6" s="1771">
        <f>570.6+78.6</f>
        <v>649.20000000000005</v>
      </c>
      <c r="BY6" s="1771">
        <v>694</v>
      </c>
      <c r="BZ6" s="1771">
        <f>624.3+86.9</f>
        <v>711.19999999999993</v>
      </c>
      <c r="CA6" s="1857">
        <f>Revenue!CA24</f>
        <v>737.0999999999998</v>
      </c>
      <c r="CB6" s="1855">
        <f>2453.7+337.8</f>
        <v>2791.5</v>
      </c>
      <c r="CC6" s="1771">
        <f>748+89.8</f>
        <v>837.8</v>
      </c>
      <c r="CD6" s="1771">
        <f>908.1+80.3</f>
        <v>988.4</v>
      </c>
      <c r="CE6" s="1771">
        <f>922.2+78.5</f>
        <v>1000.7</v>
      </c>
      <c r="CF6" s="282">
        <f>Revenue!CF24</f>
        <v>951.09999999999991</v>
      </c>
      <c r="CG6" s="283">
        <f>SUM(CC6:CF6)</f>
        <v>3777.9999999999995</v>
      </c>
      <c r="CH6" s="282">
        <f>Revenue!CH24</f>
        <v>1093.6000000000001</v>
      </c>
      <c r="CI6" s="282">
        <f>Revenue!CI24</f>
        <v>1215.8</v>
      </c>
      <c r="CJ6" s="282">
        <f>Revenue!CJ24</f>
        <v>1210.3</v>
      </c>
      <c r="CK6" s="282">
        <f>Revenue!CK24</f>
        <v>1284.9000000000005</v>
      </c>
      <c r="CL6" s="283">
        <f>SUM(CH6:CK6)</f>
        <v>4804.6000000000004</v>
      </c>
      <c r="CM6" s="282">
        <f>Revenue!CM24</f>
        <v>1643.6000000000001</v>
      </c>
      <c r="CN6" s="282">
        <f>Revenue!CN24</f>
        <v>1765.8</v>
      </c>
      <c r="CO6" s="282">
        <f>Revenue!CO24</f>
        <v>1760.3</v>
      </c>
      <c r="CP6" s="282">
        <f>Revenue!CP24</f>
        <v>1834.9000000000005</v>
      </c>
      <c r="CQ6" s="283">
        <f>SUM(CM6:CP6)</f>
        <v>7004.6</v>
      </c>
      <c r="CR6" s="282">
        <f>Revenue!CR24</f>
        <v>1698.6000000000001</v>
      </c>
      <c r="CS6" s="282">
        <f>Revenue!CS24</f>
        <v>1820.8</v>
      </c>
      <c r="CT6" s="282">
        <f>Revenue!CT24</f>
        <v>1815.3</v>
      </c>
      <c r="CU6" s="282">
        <f>Revenue!CU24</f>
        <v>1889.9000000000005</v>
      </c>
      <c r="CV6" s="283">
        <f>SUM(CR6:CU6)</f>
        <v>7224.6</v>
      </c>
      <c r="CW6" s="282">
        <f>Revenue!CW24</f>
        <v>1759.1000000000001</v>
      </c>
      <c r="CX6" s="282">
        <f>Revenue!CX24</f>
        <v>1881.3</v>
      </c>
      <c r="CY6" s="282">
        <f>Revenue!CY24</f>
        <v>1875.8</v>
      </c>
      <c r="CZ6" s="282">
        <f>Revenue!CZ24</f>
        <v>1950.4000000000005</v>
      </c>
      <c r="DA6" s="283">
        <f>SUM(CW6:CZ6)</f>
        <v>7466.6</v>
      </c>
      <c r="DB6" s="282">
        <f>Revenue!DB24</f>
        <v>1825.65</v>
      </c>
      <c r="DC6" s="282">
        <f>Revenue!DC24</f>
        <v>1947.85</v>
      </c>
      <c r="DD6" s="282">
        <f>Revenue!DD24</f>
        <v>1942.35</v>
      </c>
      <c r="DE6" s="282">
        <f>Revenue!DE24</f>
        <v>2016.9500000000007</v>
      </c>
      <c r="DF6" s="283">
        <f>SUM(DB6:DE6)</f>
        <v>7732.8000000000011</v>
      </c>
    </row>
    <row r="7" spans="2:110" s="290" customFormat="1" x14ac:dyDescent="0.25">
      <c r="B7" s="655" t="s">
        <v>224</v>
      </c>
      <c r="C7" s="605"/>
      <c r="D7" s="605"/>
      <c r="E7" s="320"/>
      <c r="F7" s="320"/>
      <c r="G7" s="320"/>
      <c r="H7" s="320"/>
      <c r="I7" s="606"/>
      <c r="J7" s="320"/>
      <c r="K7" s="320"/>
      <c r="L7" s="320"/>
      <c r="M7" s="320"/>
      <c r="N7" s="607"/>
      <c r="O7" s="608"/>
      <c r="P7" s="291"/>
      <c r="Q7" s="291"/>
      <c r="R7" s="291"/>
      <c r="S7" s="609"/>
      <c r="T7" s="286"/>
      <c r="U7" s="286"/>
      <c r="V7" s="286"/>
      <c r="W7" s="286"/>
      <c r="X7" s="286"/>
      <c r="Y7" s="286"/>
      <c r="Z7" s="286"/>
      <c r="AA7" s="286"/>
      <c r="AB7" s="286"/>
      <c r="AC7" s="286"/>
      <c r="AD7" s="286"/>
      <c r="AE7" s="286"/>
      <c r="AF7" s="286"/>
      <c r="AG7" s="286"/>
      <c r="AH7" s="286"/>
      <c r="AI7" s="656"/>
      <c r="AJ7" s="286"/>
      <c r="AK7" s="286"/>
      <c r="AL7" s="286"/>
      <c r="AM7" s="286"/>
      <c r="AN7" s="656"/>
      <c r="AO7" s="287">
        <v>344.7</v>
      </c>
      <c r="AP7" s="287">
        <v>345.9</v>
      </c>
      <c r="AQ7" s="287">
        <v>346.7</v>
      </c>
      <c r="AR7" s="287">
        <v>304.7</v>
      </c>
      <c r="AS7" s="288">
        <f>SUM(AO7:AR7)</f>
        <v>1342</v>
      </c>
      <c r="AT7" s="287">
        <v>295.60000000000002</v>
      </c>
      <c r="AU7" s="287">
        <v>300</v>
      </c>
      <c r="AV7" s="287">
        <v>334</v>
      </c>
      <c r="AW7" s="287">
        <f>1224.3-SUM(AT7:AV7)</f>
        <v>294.69999999999993</v>
      </c>
      <c r="AX7" s="288">
        <f>SUM(AT7:AW7)</f>
        <v>1224.3</v>
      </c>
      <c r="AY7" s="286">
        <v>318</v>
      </c>
      <c r="AZ7" s="286">
        <v>323.7</v>
      </c>
      <c r="BA7" s="286">
        <v>369.2</v>
      </c>
      <c r="BB7" s="286">
        <f ca="1">Model!BB12-PBM!BB8</f>
        <v>306.70000100000107</v>
      </c>
      <c r="BC7" s="288">
        <f ca="1">SUM(AY7:BB7)</f>
        <v>1317.6000010000012</v>
      </c>
      <c r="BD7" s="287">
        <v>287.8</v>
      </c>
      <c r="BE7" s="287">
        <v>317.8</v>
      </c>
      <c r="BF7" s="287">
        <v>324.39999999999998</v>
      </c>
      <c r="BG7" s="287">
        <f>1249.5-SUM(BD7:BF7)</f>
        <v>319.5</v>
      </c>
      <c r="BH7" s="288">
        <f>SUM(BD7:BG7)</f>
        <v>1249.5</v>
      </c>
      <c r="BI7" s="287">
        <v>365.1</v>
      </c>
      <c r="BJ7" s="287">
        <v>560.6</v>
      </c>
      <c r="BK7" s="287">
        <v>578</v>
      </c>
      <c r="BL7" s="287">
        <v>546.20000000000005</v>
      </c>
      <c r="BM7" s="288">
        <f>SUM(BI7:BL7)</f>
        <v>2049.9</v>
      </c>
      <c r="BN7" s="287">
        <v>450</v>
      </c>
      <c r="BO7" s="289">
        <f ca="1">BO6*BO15</f>
        <v>496.94019471488173</v>
      </c>
      <c r="BP7" s="287">
        <v>550.6</v>
      </c>
      <c r="BQ7" s="289">
        <f>BQ6*BQ15</f>
        <v>500.80800000000011</v>
      </c>
      <c r="BR7" s="288">
        <f ca="1">SUM(BN7:BQ7)</f>
        <v>1998.3481947148816</v>
      </c>
      <c r="BS7" s="289">
        <f ca="1">BS6*BS15</f>
        <v>542.97500427423495</v>
      </c>
      <c r="BT7" s="287">
        <v>592.20000000000005</v>
      </c>
      <c r="BU7" s="287">
        <v>601.79999999999995</v>
      </c>
      <c r="BV7" s="287">
        <f ca="1">2331.2-BU7-BT7-BS7</f>
        <v>594.22499572576487</v>
      </c>
      <c r="BW7" s="288">
        <f ca="1">SUM(BS7:BV7)</f>
        <v>2331.1999999999998</v>
      </c>
      <c r="BX7" s="1774">
        <v>599.70000000000005</v>
      </c>
      <c r="BY7" s="1774">
        <v>644.4</v>
      </c>
      <c r="BZ7" s="1774">
        <v>662.9</v>
      </c>
      <c r="CA7" s="277">
        <f>CB7-SUM(BX7:BZ7)</f>
        <v>682.5</v>
      </c>
      <c r="CB7" s="1854">
        <v>2589.5</v>
      </c>
      <c r="CC7" s="1774">
        <v>787.5</v>
      </c>
      <c r="CD7" s="1774">
        <v>945</v>
      </c>
      <c r="CE7" s="1774">
        <v>958.1</v>
      </c>
      <c r="CF7" s="1849">
        <f>3665.7-CE7-CD7-CC7</f>
        <v>975.09999999999991</v>
      </c>
      <c r="CG7" s="288">
        <f>SUM(CC7:CF7)</f>
        <v>3665.7</v>
      </c>
      <c r="CH7" s="1849">
        <v>1041.9000000000001</v>
      </c>
      <c r="CI7" s="1849">
        <v>1167</v>
      </c>
      <c r="CJ7" s="1849">
        <v>1163</v>
      </c>
      <c r="CK7" s="1849">
        <f>4583.8-CJ7-CI7-CH7</f>
        <v>1211.9000000000001</v>
      </c>
      <c r="CL7" s="288">
        <f>SUM(CH7:CK7)</f>
        <v>4583.8</v>
      </c>
      <c r="CM7" s="289">
        <f>CM6*CM15</f>
        <v>1462.2048856719857</v>
      </c>
      <c r="CN7" s="289">
        <f>CN6*CN15</f>
        <v>1579.5</v>
      </c>
      <c r="CO7" s="289">
        <f>CO6*CO15</f>
        <v>1565.9741812207249</v>
      </c>
      <c r="CP7" s="289">
        <f>CP6*CP15</f>
        <v>1632.9782604531974</v>
      </c>
      <c r="CQ7" s="288">
        <f>SUM(CM7:CP7)</f>
        <v>6240.657327345908</v>
      </c>
      <c r="CR7" s="289">
        <f>CR6*CR15</f>
        <v>1503.4548856719857</v>
      </c>
      <c r="CS7" s="289">
        <f>CS6*CS15</f>
        <v>1620.75</v>
      </c>
      <c r="CT7" s="289">
        <f>CT6*CT15</f>
        <v>1606.6933640519387</v>
      </c>
      <c r="CU7" s="289">
        <f>CU6*CU15</f>
        <v>1673.3990482755109</v>
      </c>
      <c r="CV7" s="288">
        <f>SUM(CR7:CU7)</f>
        <v>6404.2972979994356</v>
      </c>
      <c r="CW7" s="289">
        <f>CW6*CW15</f>
        <v>1548.8298856719857</v>
      </c>
      <c r="CX7" s="289">
        <f>CX6*CX15</f>
        <v>1666.1249999999998</v>
      </c>
      <c r="CY7" s="289">
        <f>CY6*CY15</f>
        <v>1651.5228179609953</v>
      </c>
      <c r="CZ7" s="289">
        <f>CZ6*CZ15</f>
        <v>1717.9215496648558</v>
      </c>
      <c r="DA7" s="288">
        <f>SUM(CW7:CZ7)</f>
        <v>6584.3992532978373</v>
      </c>
      <c r="DB7" s="289">
        <f>DB6*DB15</f>
        <v>1598.7423856719856</v>
      </c>
      <c r="DC7" s="289">
        <f>DC6*DC15</f>
        <v>1716.0374999999999</v>
      </c>
      <c r="DD7" s="289">
        <f>DD6*DD15</f>
        <v>1700.8769948211038</v>
      </c>
      <c r="DE7" s="289">
        <f>DE6*DE15</f>
        <v>1766.9612933069343</v>
      </c>
      <c r="DF7" s="288">
        <f>SUM(DB7:DE7)</f>
        <v>6782.6181738000232</v>
      </c>
    </row>
    <row r="8" spans="2:110" s="290" customFormat="1" x14ac:dyDescent="0.25">
      <c r="B8" s="655" t="s">
        <v>101</v>
      </c>
      <c r="C8" s="605"/>
      <c r="D8" s="605"/>
      <c r="E8" s="606"/>
      <c r="F8" s="606"/>
      <c r="G8" s="606"/>
      <c r="H8" s="606"/>
      <c r="I8" s="606"/>
      <c r="J8" s="606"/>
      <c r="K8" s="606"/>
      <c r="L8" s="606"/>
      <c r="M8" s="606"/>
      <c r="N8" s="606"/>
      <c r="O8" s="610"/>
      <c r="P8" s="291"/>
      <c r="Q8" s="291"/>
      <c r="R8" s="291"/>
      <c r="S8" s="291"/>
      <c r="T8" s="286"/>
      <c r="U8" s="286"/>
      <c r="V8" s="286"/>
      <c r="W8" s="286"/>
      <c r="X8" s="286"/>
      <c r="Y8" s="286"/>
      <c r="Z8" s="286"/>
      <c r="AA8" s="286"/>
      <c r="AB8" s="286"/>
      <c r="AC8" s="286"/>
      <c r="AD8" s="286"/>
      <c r="AE8" s="286"/>
      <c r="AF8" s="286"/>
      <c r="AG8" s="286"/>
      <c r="AH8" s="286"/>
      <c r="AI8" s="656"/>
      <c r="AJ8" s="286"/>
      <c r="AK8" s="286"/>
      <c r="AL8" s="286"/>
      <c r="AM8" s="286"/>
      <c r="AN8" s="656"/>
      <c r="AO8" s="287"/>
      <c r="AP8" s="287"/>
      <c r="AQ8" s="287"/>
      <c r="AR8" s="287"/>
      <c r="AS8" s="288"/>
      <c r="AT8" s="287"/>
      <c r="AU8" s="287"/>
      <c r="AV8" s="287"/>
      <c r="AW8" s="287"/>
      <c r="AX8" s="288"/>
      <c r="AY8" s="286"/>
      <c r="AZ8" s="286"/>
      <c r="BA8" s="286"/>
      <c r="BB8" s="286"/>
      <c r="BC8" s="288"/>
      <c r="BD8" s="287"/>
      <c r="BE8" s="287"/>
      <c r="BF8" s="287"/>
      <c r="BG8" s="287"/>
      <c r="BH8" s="288"/>
      <c r="BI8" s="287"/>
      <c r="BJ8" s="287"/>
      <c r="BK8" s="289"/>
      <c r="BL8" s="289"/>
      <c r="BM8" s="288"/>
      <c r="BN8" s="289"/>
      <c r="BO8" s="289"/>
      <c r="BP8" s="289"/>
      <c r="BQ8" s="289"/>
      <c r="BR8" s="288"/>
      <c r="BS8" s="289"/>
      <c r="BT8" s="289"/>
      <c r="BU8" s="289"/>
      <c r="BV8" s="289"/>
      <c r="BW8" s="288"/>
      <c r="BX8" s="289"/>
      <c r="BY8" s="289"/>
      <c r="BZ8" s="289"/>
      <c r="CA8" s="277"/>
      <c r="CB8" s="1854"/>
      <c r="CC8" s="289"/>
      <c r="CD8" s="289"/>
      <c r="CE8" s="289"/>
      <c r="CF8" s="289"/>
      <c r="CG8" s="288"/>
      <c r="CH8" s="289"/>
      <c r="CI8" s="289"/>
      <c r="CJ8" s="289"/>
      <c r="CK8" s="289"/>
      <c r="CL8" s="288"/>
      <c r="CM8" s="289"/>
      <c r="CN8" s="289"/>
      <c r="CO8" s="289"/>
      <c r="CP8" s="289"/>
      <c r="CQ8" s="288"/>
      <c r="CR8" s="289"/>
      <c r="CS8" s="289"/>
      <c r="CT8" s="289"/>
      <c r="CU8" s="289"/>
      <c r="CV8" s="288"/>
      <c r="CW8" s="289"/>
      <c r="CX8" s="289"/>
      <c r="CY8" s="289"/>
      <c r="CZ8" s="289"/>
      <c r="DA8" s="288"/>
      <c r="DB8" s="289"/>
      <c r="DC8" s="289"/>
      <c r="DD8" s="289"/>
      <c r="DE8" s="289"/>
      <c r="DF8" s="288"/>
    </row>
    <row r="9" spans="2:110" s="290" customFormat="1" x14ac:dyDescent="0.25">
      <c r="B9" s="655" t="s">
        <v>225</v>
      </c>
      <c r="C9" s="605"/>
      <c r="D9" s="605"/>
      <c r="E9" s="606"/>
      <c r="F9" s="606"/>
      <c r="G9" s="606"/>
      <c r="H9" s="606"/>
      <c r="I9" s="606"/>
      <c r="J9" s="606"/>
      <c r="K9" s="606"/>
      <c r="L9" s="606"/>
      <c r="M9" s="606"/>
      <c r="N9" s="606"/>
      <c r="O9" s="610"/>
      <c r="P9" s="291"/>
      <c r="Q9" s="291"/>
      <c r="R9" s="291"/>
      <c r="S9" s="291"/>
      <c r="T9" s="291"/>
      <c r="U9" s="291"/>
      <c r="V9" s="291"/>
      <c r="W9" s="291"/>
      <c r="X9" s="291"/>
      <c r="Y9" s="291"/>
      <c r="Z9" s="291"/>
      <c r="AA9" s="291"/>
      <c r="AB9" s="291"/>
      <c r="AC9" s="291"/>
      <c r="AD9" s="291"/>
      <c r="AE9" s="291"/>
      <c r="AF9" s="291"/>
      <c r="AG9" s="291"/>
      <c r="AH9" s="291"/>
      <c r="AI9" s="656"/>
      <c r="AJ9" s="291"/>
      <c r="AK9" s="291"/>
      <c r="AL9" s="291"/>
      <c r="AM9" s="291"/>
      <c r="AN9" s="656"/>
      <c r="AO9" s="291">
        <f>AO6-AO7</f>
        <v>17.400000000000034</v>
      </c>
      <c r="AP9" s="291">
        <f>AP6-AP7</f>
        <v>17.300000000000011</v>
      </c>
      <c r="AQ9" s="291">
        <f>AQ6-AQ7</f>
        <v>12.300000000000011</v>
      </c>
      <c r="AR9" s="291">
        <f>AR6-AR7</f>
        <v>18.100000000000023</v>
      </c>
      <c r="AS9" s="288">
        <f>SUM(AO9:AR9)</f>
        <v>65.10000000000008</v>
      </c>
      <c r="AT9" s="291">
        <f>AT6-AT7</f>
        <v>14.699999999999989</v>
      </c>
      <c r="AU9" s="291">
        <f>AU6-AU7</f>
        <v>13.899999999999977</v>
      </c>
      <c r="AV9" s="291">
        <f>AV6-AV7</f>
        <v>14.399999999999977</v>
      </c>
      <c r="AW9" s="291">
        <f>AW6-AW7</f>
        <v>14.700000000000045</v>
      </c>
      <c r="AX9" s="288">
        <f>SUM(AT9:AW9)</f>
        <v>57.699999999999989</v>
      </c>
      <c r="AY9" s="291">
        <f>AY6-AY7</f>
        <v>14.5</v>
      </c>
      <c r="AZ9" s="291">
        <f>AZ6-AZ7</f>
        <v>13.5</v>
      </c>
      <c r="BA9" s="291">
        <f>BA6-BA7</f>
        <v>13</v>
      </c>
      <c r="BB9" s="291">
        <f ca="1">BB6-BB7</f>
        <v>12.199998999998911</v>
      </c>
      <c r="BC9" s="288">
        <f ca="1">SUM(AY9:BB9)</f>
        <v>53.199998999998911</v>
      </c>
      <c r="BD9" s="291">
        <f>BD6-BD7</f>
        <v>12.800000000000011</v>
      </c>
      <c r="BE9" s="291">
        <f>BE6-BE7</f>
        <v>13.800000000000011</v>
      </c>
      <c r="BF9" s="291">
        <f>BF6-BF7</f>
        <v>11.400000000000034</v>
      </c>
      <c r="BG9" s="291">
        <f>BG6-BG7</f>
        <v>13.099999999999909</v>
      </c>
      <c r="BH9" s="288">
        <f>SUM(BD9:BG9)</f>
        <v>51.099999999999966</v>
      </c>
      <c r="BI9" s="291">
        <f>BI6-BI7</f>
        <v>12.899999999999977</v>
      </c>
      <c r="BJ9" s="291">
        <f>BJ6-BJ7+BJ8</f>
        <v>77.799999999999955</v>
      </c>
      <c r="BK9" s="291">
        <f>BK6-BK7</f>
        <v>76.199999999999932</v>
      </c>
      <c r="BL9" s="291">
        <f>BL6-BL7</f>
        <v>65.299999999999955</v>
      </c>
      <c r="BM9" s="288">
        <f>SUM(BI9:BL9)</f>
        <v>232.19999999999982</v>
      </c>
      <c r="BN9" s="291">
        <f>BN6-BN7</f>
        <v>53.300000000000011</v>
      </c>
      <c r="BO9" s="291">
        <f ca="1">BO6-BO7</f>
        <v>58.859805285118227</v>
      </c>
      <c r="BP9" s="291">
        <f>BP6-BP7</f>
        <v>34.299999999999955</v>
      </c>
      <c r="BQ9" s="291">
        <f>BQ6-BQ7</f>
        <v>68.29200000000003</v>
      </c>
      <c r="BR9" s="288">
        <f ca="1">SUM(BN9:BQ9)</f>
        <v>214.75180528511822</v>
      </c>
      <c r="BS9" s="291">
        <v>42.8</v>
      </c>
      <c r="BT9" s="291">
        <f t="shared" ref="BT9:BZ9" si="0">BT6-BT7</f>
        <v>42.399999999999977</v>
      </c>
      <c r="BU9" s="291">
        <f t="shared" si="0"/>
        <v>43.600000000000023</v>
      </c>
      <c r="BV9" s="291">
        <f t="shared" ca="1" si="0"/>
        <v>56.475004274235175</v>
      </c>
      <c r="BW9" s="288">
        <f t="shared" ca="1" si="0"/>
        <v>176.30000000000018</v>
      </c>
      <c r="BX9" s="291">
        <f t="shared" si="0"/>
        <v>49.5</v>
      </c>
      <c r="BY9" s="291">
        <f>BY6-BY7</f>
        <v>49.600000000000023</v>
      </c>
      <c r="BZ9" s="291">
        <f t="shared" si="0"/>
        <v>48.299999999999955</v>
      </c>
      <c r="CA9" s="298">
        <f>CB9-SUM(BX9:BZ9)</f>
        <v>54.600000000000023</v>
      </c>
      <c r="CB9" s="1854">
        <v>202</v>
      </c>
      <c r="CC9" s="291">
        <f t="shared" ref="CC9" si="1">CC6-CC7</f>
        <v>50.299999999999955</v>
      </c>
      <c r="CD9" s="291">
        <f>CD6-CD7</f>
        <v>43.399999999999977</v>
      </c>
      <c r="CE9" s="291">
        <f>CE6-CE7</f>
        <v>42.600000000000023</v>
      </c>
      <c r="CF9" s="291">
        <f>CF6-CF7</f>
        <v>-24</v>
      </c>
      <c r="CG9" s="288">
        <f>SUM(CC9:CF9)</f>
        <v>112.29999999999995</v>
      </c>
      <c r="CH9" s="291">
        <f>CH6-CH7</f>
        <v>51.700000000000045</v>
      </c>
      <c r="CI9" s="291">
        <f>CI6-CI7</f>
        <v>48.799999999999955</v>
      </c>
      <c r="CJ9" s="291">
        <f>CJ6-CJ7</f>
        <v>47.299999999999955</v>
      </c>
      <c r="CK9" s="291">
        <f>CK6-CK7</f>
        <v>73.000000000000455</v>
      </c>
      <c r="CL9" s="288">
        <f>SUM(CH9:CK9)</f>
        <v>220.80000000000041</v>
      </c>
      <c r="CM9" s="291">
        <f>CM6-CM7</f>
        <v>181.39511432801442</v>
      </c>
      <c r="CN9" s="291">
        <f>CN6-CN7</f>
        <v>186.29999999999995</v>
      </c>
      <c r="CO9" s="291">
        <f>CO6-CO7</f>
        <v>194.3258187792751</v>
      </c>
      <c r="CP9" s="291">
        <f>CP6-CP7</f>
        <v>201.92173954680311</v>
      </c>
      <c r="CQ9" s="288">
        <f>SUM(CM9:CP9)</f>
        <v>763.94267265409258</v>
      </c>
      <c r="CR9" s="291">
        <f>CR6-CR7</f>
        <v>195.14511432801442</v>
      </c>
      <c r="CS9" s="291">
        <f>CS6-CS7</f>
        <v>200.04999999999995</v>
      </c>
      <c r="CT9" s="291">
        <f>CT6-CT7</f>
        <v>208.60663594806124</v>
      </c>
      <c r="CU9" s="291">
        <f>CU6-CU7</f>
        <v>216.5009517244896</v>
      </c>
      <c r="CV9" s="288">
        <f>SUM(CR9:CU9)</f>
        <v>820.3027020005652</v>
      </c>
      <c r="CW9" s="291">
        <f>CW6-CW7</f>
        <v>210.27011432801442</v>
      </c>
      <c r="CX9" s="291">
        <f>CX6-CX7</f>
        <v>215.17500000000018</v>
      </c>
      <c r="CY9" s="291">
        <f>CY6-CY7</f>
        <v>224.27718203900463</v>
      </c>
      <c r="CZ9" s="291">
        <f>CZ6-CZ7</f>
        <v>232.47845033514477</v>
      </c>
      <c r="DA9" s="288">
        <f>SUM(CW9:CZ9)</f>
        <v>882.200746702164</v>
      </c>
      <c r="DB9" s="291">
        <f>DB6-DB7</f>
        <v>226.90761432801446</v>
      </c>
      <c r="DC9" s="291">
        <f>DC6-DC7</f>
        <v>231.8125</v>
      </c>
      <c r="DD9" s="291">
        <f>DD6-DD7</f>
        <v>241.47300517889607</v>
      </c>
      <c r="DE9" s="291">
        <f>DE6-DE7</f>
        <v>249.98870669306643</v>
      </c>
      <c r="DF9" s="288">
        <f>SUM(DB9:DE9)</f>
        <v>950.18182619997697</v>
      </c>
    </row>
    <row r="10" spans="2:110" s="290" customFormat="1" x14ac:dyDescent="0.25">
      <c r="B10" s="655" t="s">
        <v>226</v>
      </c>
      <c r="C10" s="605"/>
      <c r="D10" s="605"/>
      <c r="E10" s="606"/>
      <c r="F10" s="606"/>
      <c r="G10" s="606"/>
      <c r="H10" s="606"/>
      <c r="I10" s="606"/>
      <c r="J10" s="606"/>
      <c r="K10" s="606"/>
      <c r="L10" s="606"/>
      <c r="M10" s="606"/>
      <c r="N10" s="606"/>
      <c r="O10" s="610"/>
      <c r="P10" s="291"/>
      <c r="Q10" s="291"/>
      <c r="R10" s="291"/>
      <c r="S10" s="291"/>
      <c r="T10" s="286"/>
      <c r="U10" s="286"/>
      <c r="V10" s="286"/>
      <c r="W10" s="286"/>
      <c r="X10" s="286"/>
      <c r="Y10" s="286"/>
      <c r="Z10" s="286"/>
      <c r="AA10" s="286"/>
      <c r="AB10" s="286"/>
      <c r="AC10" s="286"/>
      <c r="AD10" s="286"/>
      <c r="AE10" s="286"/>
      <c r="AF10" s="286"/>
      <c r="AG10" s="286"/>
      <c r="AH10" s="286"/>
      <c r="AI10" s="656"/>
      <c r="AJ10" s="286"/>
      <c r="AK10" s="286"/>
      <c r="AL10" s="286"/>
      <c r="AM10" s="286"/>
      <c r="AN10" s="656"/>
      <c r="AO10" s="287">
        <v>17.2</v>
      </c>
      <c r="AP10" s="287">
        <v>12.9</v>
      </c>
      <c r="AQ10" s="287">
        <v>10.9</v>
      </c>
      <c r="AR10" s="287">
        <v>10.7</v>
      </c>
      <c r="AS10" s="288">
        <f>SUM(AO10:AR10)</f>
        <v>51.7</v>
      </c>
      <c r="AT10" s="287">
        <v>10.9</v>
      </c>
      <c r="AU10" s="287">
        <v>10.9</v>
      </c>
      <c r="AV10" s="287">
        <v>10.7</v>
      </c>
      <c r="AW10" s="287">
        <f>43.2-SUM(AT10:AV10)</f>
        <v>10.700000000000003</v>
      </c>
      <c r="AX10" s="288">
        <f>SUM(AT10:AW10)</f>
        <v>43.2</v>
      </c>
      <c r="AY10" s="286">
        <v>11</v>
      </c>
      <c r="AZ10" s="286">
        <v>8.6</v>
      </c>
      <c r="BA10" s="286">
        <v>8.8000000000000007</v>
      </c>
      <c r="BB10" s="286">
        <f ca="1">Model!BB15-PBM!BB13-PBM!BB16</f>
        <v>25.400000000000006</v>
      </c>
      <c r="BC10" s="288">
        <f ca="1">SUM(AY10:BB10)</f>
        <v>53.800000000000011</v>
      </c>
      <c r="BD10" s="287">
        <v>9.9</v>
      </c>
      <c r="BE10" s="287">
        <v>9.6</v>
      </c>
      <c r="BF10" s="287">
        <v>9.1999999999999993</v>
      </c>
      <c r="BG10" s="287">
        <v>10.6</v>
      </c>
      <c r="BH10" s="288">
        <f>SUM(BD10:BG10)</f>
        <v>39.299999999999997</v>
      </c>
      <c r="BI10" s="287">
        <v>9.6</v>
      </c>
      <c r="BJ10" s="287">
        <v>83.6</v>
      </c>
      <c r="BK10" s="287">
        <v>97.1</v>
      </c>
      <c r="BL10" s="287">
        <v>63.1</v>
      </c>
      <c r="BM10" s="288">
        <f>SUM(BI10:BL10)</f>
        <v>253.39999999999998</v>
      </c>
      <c r="BN10" s="289">
        <f>BN9-BN11</f>
        <v>37.900000000000013</v>
      </c>
      <c r="BO10" s="289">
        <f ca="1">BO9-BO11</f>
        <v>49.859805285118227</v>
      </c>
      <c r="BP10" s="287">
        <v>22.1</v>
      </c>
      <c r="BQ10" s="289">
        <f>BQ6*BQ17</f>
        <v>39.83700000000001</v>
      </c>
      <c r="BR10" s="288">
        <f ca="1">SUM(BN10:BQ10)</f>
        <v>149.69680528511824</v>
      </c>
      <c r="BS10" s="289">
        <f ca="1">BS6*BS17</f>
        <v>21.793947683364678</v>
      </c>
      <c r="BT10" s="287">
        <v>29.3</v>
      </c>
      <c r="BU10" s="287">
        <v>31</v>
      </c>
      <c r="BV10" s="287">
        <f ca="1">120.3-BU10-BT10-BS10</f>
        <v>38.206052316635322</v>
      </c>
      <c r="BW10" s="288">
        <f ca="1">SUM(BS10:BV10)</f>
        <v>120.3</v>
      </c>
      <c r="BX10" s="1774">
        <v>30.2</v>
      </c>
      <c r="BY10" s="1774">
        <v>29.7</v>
      </c>
      <c r="BZ10" s="1774">
        <v>32.9</v>
      </c>
      <c r="CA10" s="277">
        <f>CB10-SUM(BX10:BZ10)</f>
        <v>32.100000000000009</v>
      </c>
      <c r="CB10" s="1854">
        <v>124.9</v>
      </c>
      <c r="CC10" s="1774">
        <v>32.200000000000003</v>
      </c>
      <c r="CD10" s="1774">
        <v>32.6</v>
      </c>
      <c r="CE10" s="1774">
        <v>31.5</v>
      </c>
      <c r="CF10" s="1849">
        <v>8.1999999999999993</v>
      </c>
      <c r="CG10" s="288">
        <f>SUM(CC10:CF10)</f>
        <v>104.50000000000001</v>
      </c>
      <c r="CH10" s="1849">
        <v>40.4</v>
      </c>
      <c r="CI10" s="1849">
        <v>26.4</v>
      </c>
      <c r="CJ10" s="1849">
        <v>25.2</v>
      </c>
      <c r="CK10" s="1849">
        <f>133.89-SUM(CH10:CJ10)</f>
        <v>41.889999999999986</v>
      </c>
      <c r="CL10" s="288">
        <f>SUM(CH10:CK10)</f>
        <v>133.88999999999999</v>
      </c>
      <c r="CM10" s="289">
        <f>CM6*CM17</f>
        <v>93.790616295419312</v>
      </c>
      <c r="CN10" s="289">
        <f>CN6*CN17</f>
        <v>96.895968628356599</v>
      </c>
      <c r="CO10" s="289">
        <f>CO6*CO17</f>
        <v>100.4730623165235</v>
      </c>
      <c r="CP10" s="289">
        <f>CP6*CP17</f>
        <v>104.44281870092914</v>
      </c>
      <c r="CQ10" s="288">
        <f>SUM(CM10:CP10)</f>
        <v>395.60246594122856</v>
      </c>
      <c r="CR10" s="289">
        <f>CR6*CR17</f>
        <v>100.39061629541929</v>
      </c>
      <c r="CS10" s="289">
        <f>CS6*CS17</f>
        <v>103.49596862835658</v>
      </c>
      <c r="CT10" s="289">
        <f>CT6*CT17</f>
        <v>107.31230978296681</v>
      </c>
      <c r="CU10" s="289">
        <f>CU6*CU17</f>
        <v>111.41655738973051</v>
      </c>
      <c r="CV10" s="288">
        <f>SUM(CR10:CU10)</f>
        <v>422.61545209647318</v>
      </c>
      <c r="CW10" s="289">
        <f>CW6*CW17</f>
        <v>107.6506162954193</v>
      </c>
      <c r="CX10" s="289">
        <f>CX6*CX17</f>
        <v>110.7559686283566</v>
      </c>
      <c r="CY10" s="289">
        <f>CY6*CY17</f>
        <v>114.81819580128212</v>
      </c>
      <c r="CZ10" s="289">
        <f>CZ6*CZ17</f>
        <v>119.06079163221391</v>
      </c>
      <c r="DA10" s="288">
        <f>SUM(CW10:CZ10)</f>
        <v>452.28557235727192</v>
      </c>
      <c r="DB10" s="289">
        <f>DB6*DB17</f>
        <v>115.6366162954193</v>
      </c>
      <c r="DC10" s="289">
        <f>DC6*DC17</f>
        <v>118.7419686283566</v>
      </c>
      <c r="DD10" s="289">
        <f>DD6*DD17</f>
        <v>123.05584063217781</v>
      </c>
      <c r="DE10" s="289">
        <f>DE6*DE17</f>
        <v>127.4401563531263</v>
      </c>
      <c r="DF10" s="288">
        <f>SUM(DB10:DE10)</f>
        <v>484.87458190908001</v>
      </c>
    </row>
    <row r="11" spans="2:110" s="290" customFormat="1" ht="13.5" thickBot="1" x14ac:dyDescent="0.3">
      <c r="B11" s="967" t="s">
        <v>227</v>
      </c>
      <c r="C11" s="611"/>
      <c r="D11" s="611"/>
      <c r="E11" s="612"/>
      <c r="F11" s="612"/>
      <c r="G11" s="612"/>
      <c r="H11" s="612"/>
      <c r="I11" s="612"/>
      <c r="J11" s="612"/>
      <c r="K11" s="612"/>
      <c r="L11" s="612"/>
      <c r="M11" s="612"/>
      <c r="N11" s="612"/>
      <c r="O11" s="613"/>
      <c r="P11" s="292"/>
      <c r="Q11" s="292"/>
      <c r="R11" s="292"/>
      <c r="S11" s="292"/>
      <c r="T11" s="292"/>
      <c r="U11" s="292"/>
      <c r="V11" s="292"/>
      <c r="W11" s="292"/>
      <c r="X11" s="292"/>
      <c r="Y11" s="292"/>
      <c r="Z11" s="292"/>
      <c r="AA11" s="292"/>
      <c r="AB11" s="292"/>
      <c r="AC11" s="292"/>
      <c r="AD11" s="292"/>
      <c r="AE11" s="292"/>
      <c r="AF11" s="292"/>
      <c r="AG11" s="292"/>
      <c r="AH11" s="292"/>
      <c r="AI11" s="675"/>
      <c r="AJ11" s="292"/>
      <c r="AK11" s="292"/>
      <c r="AL11" s="292"/>
      <c r="AM11" s="292"/>
      <c r="AN11" s="675"/>
      <c r="AO11" s="293">
        <f>AO9-AO10</f>
        <v>0.20000000000003482</v>
      </c>
      <c r="AP11" s="293">
        <f>AP9-AP10</f>
        <v>4.400000000000011</v>
      </c>
      <c r="AQ11" s="293">
        <f>AQ9-AQ10</f>
        <v>1.400000000000011</v>
      </c>
      <c r="AR11" s="293">
        <f>AR9-AR10</f>
        <v>7.4000000000000234</v>
      </c>
      <c r="AS11" s="294">
        <f>SUM(AO11:AR11)</f>
        <v>13.40000000000008</v>
      </c>
      <c r="AT11" s="293">
        <f>AT9-AT10</f>
        <v>3.7999999999999883</v>
      </c>
      <c r="AU11" s="293">
        <f>AU9-AU10</f>
        <v>2.9999999999999769</v>
      </c>
      <c r="AV11" s="293">
        <f>AV9-AV10</f>
        <v>3.699999999999978</v>
      </c>
      <c r="AW11" s="293">
        <f>AW9-AW10</f>
        <v>4.0000000000000426</v>
      </c>
      <c r="AX11" s="294">
        <f>SUM(AT11:AW11)</f>
        <v>14.499999999999986</v>
      </c>
      <c r="AY11" s="292">
        <f>AY9-AY10</f>
        <v>3.5</v>
      </c>
      <c r="AZ11" s="292">
        <f>AZ9-AZ10</f>
        <v>4.9000000000000004</v>
      </c>
      <c r="BA11" s="292">
        <f>BA9-BA10</f>
        <v>4.1999999999999993</v>
      </c>
      <c r="BB11" s="292">
        <f ca="1">BB9-BB10</f>
        <v>-13.200001000001095</v>
      </c>
      <c r="BC11" s="294">
        <f ca="1">SUM(AY11:BB11)</f>
        <v>-0.60000100000109491</v>
      </c>
      <c r="BD11" s="293">
        <f>BD9-BD10</f>
        <v>2.900000000000011</v>
      </c>
      <c r="BE11" s="293">
        <f>BE9-BE10</f>
        <v>4.2000000000000117</v>
      </c>
      <c r="BF11" s="293">
        <f>BF9-BF10</f>
        <v>2.2000000000000348</v>
      </c>
      <c r="BG11" s="293">
        <f>BG9-BG10</f>
        <v>2.4999999999999094</v>
      </c>
      <c r="BH11" s="294">
        <f>SUM(BD11:BG11)</f>
        <v>11.799999999999967</v>
      </c>
      <c r="BI11" s="293">
        <f>BI9-BI10</f>
        <v>3.2999999999999776</v>
      </c>
      <c r="BJ11" s="293">
        <f>BJ9-BJ10</f>
        <v>-5.8000000000000398</v>
      </c>
      <c r="BK11" s="293">
        <f>BK9-BK10</f>
        <v>-20.900000000000063</v>
      </c>
      <c r="BL11" s="293">
        <f>BL9-BL10</f>
        <v>2.1999999999999531</v>
      </c>
      <c r="BM11" s="294">
        <f>SUM(BI11:BL11)</f>
        <v>-21.200000000000173</v>
      </c>
      <c r="BN11" s="1577">
        <v>15.4</v>
      </c>
      <c r="BO11" s="1577">
        <v>9</v>
      </c>
      <c r="BP11" s="293">
        <f>BP9-BP10</f>
        <v>12.199999999999953</v>
      </c>
      <c r="BQ11" s="293">
        <f>BQ9-BQ10</f>
        <v>28.45500000000002</v>
      </c>
      <c r="BR11" s="294">
        <f>SUM(BN11:BQ11)</f>
        <v>65.054999999999978</v>
      </c>
      <c r="BS11" s="293">
        <f t="shared" ref="BS11:CA11" ca="1" si="2">BS9-BS10</f>
        <v>21.006052316635319</v>
      </c>
      <c r="BT11" s="293">
        <f t="shared" si="2"/>
        <v>13.099999999999977</v>
      </c>
      <c r="BU11" s="293">
        <f t="shared" si="2"/>
        <v>12.600000000000023</v>
      </c>
      <c r="BV11" s="293">
        <f t="shared" ca="1" si="2"/>
        <v>18.268951957599853</v>
      </c>
      <c r="BW11" s="294">
        <f t="shared" ca="1" si="2"/>
        <v>56.000000000000185</v>
      </c>
      <c r="BX11" s="293">
        <f t="shared" si="2"/>
        <v>19.3</v>
      </c>
      <c r="BY11" s="293">
        <f>BY9-BY10</f>
        <v>19.900000000000023</v>
      </c>
      <c r="BZ11" s="293">
        <f t="shared" si="2"/>
        <v>15.399999999999956</v>
      </c>
      <c r="CA11" s="1858">
        <f t="shared" si="2"/>
        <v>22.500000000000014</v>
      </c>
      <c r="CB11" s="1856">
        <v>77.099999999999994</v>
      </c>
      <c r="CC11" s="293">
        <f t="shared" ref="CC11" si="3">CC9-CC10</f>
        <v>18.099999999999952</v>
      </c>
      <c r="CD11" s="293">
        <f>CD9-CD10</f>
        <v>10.799999999999976</v>
      </c>
      <c r="CE11" s="293">
        <f>CE9-CE10</f>
        <v>11.100000000000023</v>
      </c>
      <c r="CF11" s="293">
        <f>CF9-CF10</f>
        <v>-32.200000000000003</v>
      </c>
      <c r="CG11" s="294">
        <f>SUM(CC11:CF11)</f>
        <v>7.7999999999999474</v>
      </c>
      <c r="CH11" s="293">
        <f>CH9-CH10</f>
        <v>11.300000000000047</v>
      </c>
      <c r="CI11" s="293">
        <f>CI9-CI10</f>
        <v>22.399999999999956</v>
      </c>
      <c r="CJ11" s="293">
        <f>CJ9-CJ10</f>
        <v>22.099999999999955</v>
      </c>
      <c r="CK11" s="293">
        <f>CK9-CK10</f>
        <v>31.110000000000468</v>
      </c>
      <c r="CL11" s="294">
        <f>SUM(CH11:CK11)</f>
        <v>86.910000000000423</v>
      </c>
      <c r="CM11" s="293">
        <f>CM9-CM10</f>
        <v>87.604498032595103</v>
      </c>
      <c r="CN11" s="293">
        <f>CN9-CN10</f>
        <v>89.404031371643356</v>
      </c>
      <c r="CO11" s="293">
        <f>CO9-CO10</f>
        <v>93.8527564627516</v>
      </c>
      <c r="CP11" s="293">
        <f>CP9-CP10</f>
        <v>97.478920845873972</v>
      </c>
      <c r="CQ11" s="294">
        <f>SUM(CM11:CP11)</f>
        <v>368.34020671286402</v>
      </c>
      <c r="CR11" s="293">
        <f>CR9-CR10</f>
        <v>94.754498032595123</v>
      </c>
      <c r="CS11" s="293">
        <f>CS9-CS10</f>
        <v>96.554031371643376</v>
      </c>
      <c r="CT11" s="293">
        <f>CT9-CT10</f>
        <v>101.29432616509443</v>
      </c>
      <c r="CU11" s="293">
        <f>CU9-CU10</f>
        <v>105.08439433475908</v>
      </c>
      <c r="CV11" s="294">
        <f>SUM(CR11:CU11)</f>
        <v>397.68724990409203</v>
      </c>
      <c r="CW11" s="293">
        <f>CW9-CW10</f>
        <v>102.61949803259512</v>
      </c>
      <c r="CX11" s="293">
        <f>CX9-CX10</f>
        <v>104.41903137164358</v>
      </c>
      <c r="CY11" s="293">
        <f>CY9-CY10</f>
        <v>109.45898623772251</v>
      </c>
      <c r="CZ11" s="293">
        <f>CZ9-CZ10</f>
        <v>113.41765870293086</v>
      </c>
      <c r="DA11" s="294">
        <f>SUM(CW11:CZ11)</f>
        <v>429.91517434489208</v>
      </c>
      <c r="DB11" s="293">
        <f>DB9-DB10</f>
        <v>111.27099803259516</v>
      </c>
      <c r="DC11" s="293">
        <f>DC9-DC10</f>
        <v>113.0705313716434</v>
      </c>
      <c r="DD11" s="293">
        <f>DD9-DD10</f>
        <v>118.41716454671827</v>
      </c>
      <c r="DE11" s="293">
        <f>DE9-DE10</f>
        <v>122.54855033994014</v>
      </c>
      <c r="DF11" s="294">
        <f>SUM(DB11:DE11)</f>
        <v>465.30724429089696</v>
      </c>
    </row>
    <row r="12" spans="2:110" s="290" customFormat="1" x14ac:dyDescent="0.25">
      <c r="B12" s="299"/>
      <c r="C12" s="299"/>
      <c r="D12" s="299"/>
      <c r="E12" s="296"/>
      <c r="F12" s="296"/>
      <c r="G12" s="296"/>
      <c r="H12" s="296"/>
      <c r="I12" s="296"/>
      <c r="J12" s="296"/>
      <c r="K12" s="296"/>
      <c r="L12" s="296"/>
      <c r="M12" s="296"/>
      <c r="N12" s="296"/>
      <c r="O12" s="297"/>
      <c r="P12" s="298"/>
      <c r="Q12" s="298"/>
      <c r="R12" s="298"/>
      <c r="S12" s="298"/>
      <c r="T12" s="298"/>
      <c r="U12" s="298"/>
      <c r="V12" s="298"/>
      <c r="W12" s="298"/>
      <c r="X12" s="298"/>
      <c r="Y12" s="298"/>
      <c r="Z12" s="298"/>
      <c r="AA12" s="298"/>
      <c r="AB12" s="298"/>
      <c r="AC12" s="298"/>
      <c r="AD12" s="298"/>
      <c r="AE12" s="298"/>
      <c r="AF12" s="298"/>
      <c r="AG12" s="298"/>
      <c r="AH12" s="298"/>
      <c r="AI12" s="298"/>
      <c r="AJ12" s="298"/>
      <c r="AK12" s="298"/>
      <c r="AL12" s="298"/>
      <c r="AM12" s="298"/>
      <c r="AN12" s="298"/>
      <c r="AO12" s="277"/>
      <c r="AP12" s="277"/>
      <c r="AQ12" s="277"/>
      <c r="AR12" s="277"/>
      <c r="AS12" s="277"/>
      <c r="AT12" s="277"/>
      <c r="AU12" s="277"/>
      <c r="AV12" s="277"/>
      <c r="AW12" s="277"/>
      <c r="AX12" s="277"/>
      <c r="AY12" s="277"/>
      <c r="AZ12" s="277"/>
      <c r="BA12" s="277"/>
      <c r="BB12" s="277"/>
      <c r="BC12" s="277"/>
      <c r="BD12" s="277"/>
      <c r="BE12" s="277"/>
      <c r="BF12" s="277"/>
      <c r="BG12" s="277"/>
      <c r="BH12" s="277"/>
      <c r="BI12" s="277"/>
      <c r="BJ12" s="277"/>
      <c r="BK12" s="277"/>
      <c r="BL12" s="277"/>
      <c r="BM12" s="277"/>
      <c r="BN12" s="277"/>
      <c r="BO12" s="277"/>
      <c r="BP12" s="277"/>
      <c r="BQ12" s="277"/>
      <c r="BR12" s="277"/>
      <c r="BS12" s="277"/>
      <c r="BT12" s="277"/>
      <c r="BU12" s="277"/>
      <c r="BV12" s="277"/>
      <c r="BW12" s="277"/>
      <c r="BX12" s="277"/>
      <c r="BY12" s="277"/>
      <c r="BZ12" s="1850"/>
      <c r="CA12" s="1850"/>
      <c r="CB12" s="1850"/>
      <c r="CC12" s="277"/>
      <c r="CD12" s="277"/>
      <c r="CE12" s="277"/>
      <c r="CF12" s="277"/>
      <c r="CG12" s="277"/>
      <c r="CH12" s="277"/>
      <c r="CI12" s="277"/>
      <c r="CJ12" s="277"/>
      <c r="CK12" s="277"/>
      <c r="CL12" s="277"/>
      <c r="CM12" s="277"/>
      <c r="CN12" s="277"/>
      <c r="CO12" s="277"/>
      <c r="CP12" s="277"/>
      <c r="CQ12" s="277"/>
      <c r="CR12" s="277"/>
      <c r="CS12" s="277"/>
      <c r="CT12" s="277"/>
      <c r="CU12" s="277"/>
      <c r="CV12" s="277"/>
      <c r="CW12" s="277"/>
      <c r="CX12" s="277"/>
      <c r="CY12" s="277"/>
      <c r="CZ12" s="277"/>
      <c r="DA12" s="277"/>
      <c r="DB12" s="277"/>
      <c r="DC12" s="277"/>
      <c r="DD12" s="277"/>
      <c r="DE12" s="277"/>
      <c r="DF12" s="277"/>
    </row>
    <row r="13" spans="2:110" s="296" customFormat="1" ht="13.5" thickBot="1" x14ac:dyDescent="0.3">
      <c r="BZ13" s="1851"/>
      <c r="CA13" s="1851"/>
      <c r="CB13" s="1851"/>
    </row>
    <row r="14" spans="2:110" s="296" customFormat="1" ht="13.5" thickBot="1" x14ac:dyDescent="0.3">
      <c r="B14" s="949" t="s">
        <v>228</v>
      </c>
      <c r="C14" s="950"/>
      <c r="D14" s="950"/>
      <c r="E14" s="951"/>
      <c r="F14" s="951"/>
      <c r="G14" s="951"/>
      <c r="H14" s="951"/>
      <c r="I14" s="951"/>
      <c r="J14" s="951"/>
      <c r="K14" s="951"/>
      <c r="L14" s="951"/>
      <c r="M14" s="951"/>
      <c r="N14" s="951"/>
      <c r="O14" s="951"/>
      <c r="P14" s="951"/>
      <c r="Q14" s="951"/>
      <c r="R14" s="951"/>
      <c r="S14" s="951"/>
      <c r="T14" s="951"/>
      <c r="U14" s="951"/>
      <c r="V14" s="951"/>
      <c r="W14" s="951"/>
      <c r="X14" s="951"/>
      <c r="Y14" s="951"/>
      <c r="Z14" s="951"/>
      <c r="AA14" s="951"/>
      <c r="AB14" s="952"/>
      <c r="AC14" s="951"/>
      <c r="AD14" s="951"/>
      <c r="AE14" s="951"/>
      <c r="AF14" s="952"/>
      <c r="AG14" s="952"/>
      <c r="AH14" s="951"/>
      <c r="AI14" s="951"/>
      <c r="AJ14" s="951"/>
      <c r="AK14" s="951"/>
      <c r="AL14" s="952"/>
      <c r="AM14" s="951"/>
      <c r="AN14" s="951"/>
      <c r="AO14" s="951"/>
      <c r="AP14" s="951"/>
      <c r="AQ14" s="951"/>
      <c r="AR14" s="951"/>
      <c r="AS14" s="951"/>
      <c r="AT14" s="951"/>
      <c r="AU14" s="951"/>
      <c r="AV14" s="951"/>
      <c r="AW14" s="951"/>
      <c r="AX14" s="951"/>
      <c r="AY14" s="951"/>
      <c r="AZ14" s="951"/>
      <c r="BA14" s="951"/>
      <c r="BB14" s="951"/>
      <c r="BC14" s="951"/>
      <c r="BD14" s="951"/>
      <c r="BE14" s="951"/>
      <c r="BF14" s="951"/>
      <c r="BG14" s="951"/>
      <c r="BH14" s="951"/>
      <c r="BI14" s="951"/>
      <c r="BJ14" s="951"/>
      <c r="BK14" s="951"/>
      <c r="BL14" s="951"/>
      <c r="BM14" s="951"/>
      <c r="BN14" s="951"/>
      <c r="BO14" s="951"/>
      <c r="BP14" s="951"/>
      <c r="BQ14" s="951"/>
      <c r="BR14" s="951"/>
      <c r="BS14" s="951"/>
      <c r="BT14" s="951"/>
      <c r="BU14" s="951"/>
      <c r="BV14" s="951"/>
      <c r="BW14" s="951"/>
      <c r="BX14" s="951"/>
      <c r="BY14" s="951"/>
      <c r="BZ14" s="1852"/>
      <c r="CA14" s="1852"/>
      <c r="CB14" s="1853"/>
      <c r="CC14" s="951"/>
      <c r="CD14" s="951"/>
      <c r="CE14" s="951"/>
      <c r="CF14" s="951"/>
      <c r="CG14" s="953"/>
      <c r="CH14" s="951"/>
      <c r="CI14" s="951"/>
      <c r="CJ14" s="951"/>
      <c r="CK14" s="951"/>
      <c r="CL14" s="953"/>
      <c r="CM14" s="951"/>
      <c r="CN14" s="951"/>
      <c r="CO14" s="951"/>
      <c r="CP14" s="951"/>
      <c r="CQ14" s="953"/>
      <c r="CR14" s="951"/>
      <c r="CS14" s="951"/>
      <c r="CT14" s="951"/>
      <c r="CU14" s="951"/>
      <c r="CV14" s="953"/>
      <c r="CW14" s="951"/>
      <c r="CX14" s="951"/>
      <c r="CY14" s="951"/>
      <c r="CZ14" s="951"/>
      <c r="DA14" s="953"/>
      <c r="DB14" s="951"/>
      <c r="DC14" s="951"/>
      <c r="DD14" s="951"/>
      <c r="DE14" s="951"/>
      <c r="DF14" s="953"/>
    </row>
    <row r="15" spans="2:110" s="296" customFormat="1" x14ac:dyDescent="0.25">
      <c r="B15" s="302" t="s">
        <v>169</v>
      </c>
      <c r="C15" s="303"/>
      <c r="D15" s="303"/>
      <c r="E15" s="304"/>
      <c r="F15" s="305"/>
      <c r="G15" s="305"/>
      <c r="H15" s="305"/>
      <c r="I15" s="305"/>
      <c r="J15" s="305"/>
      <c r="K15" s="305"/>
      <c r="L15" s="305"/>
      <c r="M15" s="305"/>
      <c r="N15" s="305"/>
      <c r="O15" s="305"/>
      <c r="P15" s="305"/>
      <c r="Q15" s="305"/>
      <c r="R15" s="305"/>
      <c r="S15" s="305"/>
      <c r="T15" s="305"/>
      <c r="U15" s="305"/>
      <c r="V15" s="305"/>
      <c r="W15" s="305"/>
      <c r="X15" s="305"/>
      <c r="Y15" s="305"/>
      <c r="Z15" s="305"/>
      <c r="AA15" s="305"/>
      <c r="AB15" s="305"/>
      <c r="AC15" s="305"/>
      <c r="AD15" s="305"/>
      <c r="AE15" s="305"/>
      <c r="AF15" s="305"/>
      <c r="AG15" s="305"/>
      <c r="AH15" s="305"/>
      <c r="AI15" s="306"/>
      <c r="AJ15" s="305"/>
      <c r="AK15" s="305"/>
      <c r="AL15" s="305"/>
      <c r="AM15" s="305"/>
      <c r="AN15" s="306"/>
      <c r="AO15" s="305">
        <f>AO7/AO6</f>
        <v>0.95194697597348787</v>
      </c>
      <c r="AP15" s="305">
        <f>AP7/AP6</f>
        <v>0.95236784140969155</v>
      </c>
      <c r="AQ15" s="305">
        <f>AQ7/AQ6</f>
        <v>0.96573816155988856</v>
      </c>
      <c r="AR15" s="305">
        <f>AR7/AR6</f>
        <v>0.94392812887236677</v>
      </c>
      <c r="AS15" s="306">
        <f>AS7/AS$6</f>
        <v>0.95373463151161975</v>
      </c>
      <c r="AT15" s="305">
        <f>AT7/AT6</f>
        <v>0.95262649049307124</v>
      </c>
      <c r="AU15" s="305">
        <f>AU7/AU6</f>
        <v>0.95571838165020717</v>
      </c>
      <c r="AV15" s="305">
        <f>AV7/AV6</f>
        <v>0.95866819747416765</v>
      </c>
      <c r="AW15" s="305">
        <f>AW7/AW6</f>
        <v>0.95248868778280527</v>
      </c>
      <c r="AX15" s="306">
        <f>AX7/AX$6</f>
        <v>0.95499219968798743</v>
      </c>
      <c r="AY15" s="305">
        <f>AY7/AY6</f>
        <v>0.95639097744360901</v>
      </c>
      <c r="AZ15" s="305">
        <f>AZ7/AZ6</f>
        <v>0.95996441281138789</v>
      </c>
      <c r="BA15" s="305">
        <f>BA7/BA6</f>
        <v>0.96598639455782309</v>
      </c>
      <c r="BB15" s="305">
        <f ca="1">BB7/BB6</f>
        <v>0.96174349639385726</v>
      </c>
      <c r="BC15" s="306">
        <f ca="1">BC7/BC$6</f>
        <v>0.96119054639626578</v>
      </c>
      <c r="BD15" s="305">
        <f>BD7/BD6</f>
        <v>0.95741849634065201</v>
      </c>
      <c r="BE15" s="305">
        <f>BE7/BE6</f>
        <v>0.95838359469240042</v>
      </c>
      <c r="BF15" s="305">
        <f>BF7/BF6</f>
        <v>0.96605122096485996</v>
      </c>
      <c r="BG15" s="305">
        <f>BG7/BG6</f>
        <v>0.9606133493686112</v>
      </c>
      <c r="BH15" s="306">
        <f>BH7/BH$6</f>
        <v>0.96071044133476868</v>
      </c>
      <c r="BI15" s="305">
        <f>BI7/BI6</f>
        <v>0.96587301587301588</v>
      </c>
      <c r="BJ15" s="305">
        <f>(BJ7-BJ8)/BJ6</f>
        <v>0.87813283208020054</v>
      </c>
      <c r="BK15" s="305">
        <f>(BK7-BK8)/BK6</f>
        <v>0.88352185875878941</v>
      </c>
      <c r="BL15" s="305">
        <f>(BL7-BL8)/BL6</f>
        <v>0.89321340964840568</v>
      </c>
      <c r="BM15" s="306">
        <f>BM7/BM$6</f>
        <v>0.89825161035888001</v>
      </c>
      <c r="BN15" s="305">
        <f>(BN7-BN8)/BN6</f>
        <v>0.89409894695012915</v>
      </c>
      <c r="BO15" s="305">
        <f ca="1">(BO7-BO8)/BO6</f>
        <v>0.89409894695012915</v>
      </c>
      <c r="BP15" s="305">
        <f>(BP7-BP8)/BP6</f>
        <v>0.94135749700803562</v>
      </c>
      <c r="BQ15" s="380">
        <v>0.88</v>
      </c>
      <c r="BR15" s="306">
        <f ca="1">BR7/BR$6</f>
        <v>0.90296335218240531</v>
      </c>
      <c r="BS15" s="305">
        <f ca="1">(BS7-BS8)/BS6</f>
        <v>0.94135749700803573</v>
      </c>
      <c r="BT15" s="305">
        <f>(BT7-BT8)/BT6</f>
        <v>0.93318625906082575</v>
      </c>
      <c r="BU15" s="305">
        <f>(BU7-BU8)/BU6</f>
        <v>0.93244499535171987</v>
      </c>
      <c r="BV15" s="305">
        <f ca="1">(BV7-BV8)/BV6</f>
        <v>0.91320884543686009</v>
      </c>
      <c r="BW15" s="306">
        <f ca="1">BW7/BW$6</f>
        <v>0.9296909272183449</v>
      </c>
      <c r="BX15" s="305">
        <f>(BX7-BX8)/BX6</f>
        <v>0.92375231053604434</v>
      </c>
      <c r="BY15" s="305">
        <f>(BY7-BY8)/BY6</f>
        <v>0.9285302593659942</v>
      </c>
      <c r="BZ15" s="305">
        <f t="shared" ref="BZ15:CA15" si="4">(BZ7-BZ8)/BZ6</f>
        <v>0.93208661417322836</v>
      </c>
      <c r="CA15" s="305">
        <f t="shared" si="4"/>
        <v>0.92592592592592615</v>
      </c>
      <c r="CB15" s="306">
        <f>CB7/CB$6</f>
        <v>0.92763747089378468</v>
      </c>
      <c r="CC15" s="305">
        <f t="shared" ref="CC15:CE15" si="5">(CC7-CC8)/CC6</f>
        <v>0.93996180472666513</v>
      </c>
      <c r="CD15" s="305">
        <f t="shared" si="5"/>
        <v>0.95609065155807371</v>
      </c>
      <c r="CE15" s="305">
        <f t="shared" si="5"/>
        <v>0.95742979914060156</v>
      </c>
      <c r="CF15" s="305">
        <f t="shared" ref="CF15:CH15" si="6">(CF7-CF8)/CF6</f>
        <v>1.0252339396488277</v>
      </c>
      <c r="CG15" s="306">
        <f>CG7/CG$6</f>
        <v>0.97027527792482804</v>
      </c>
      <c r="CH15" s="305">
        <f t="shared" si="6"/>
        <v>0.95272494513533279</v>
      </c>
      <c r="CI15" s="305">
        <f>(CI7-CI8)/CI6</f>
        <v>0.95986181937818726</v>
      </c>
      <c r="CJ15" s="305">
        <f>(CJ7-CJ8)/CJ6</f>
        <v>0.96091878046765267</v>
      </c>
      <c r="CK15" s="305">
        <f>(CK7-CK8)/CK6</f>
        <v>0.94318624017433228</v>
      </c>
      <c r="CL15" s="306">
        <f>CL7/CL$6</f>
        <v>0.95404404112725305</v>
      </c>
      <c r="CM15" s="380">
        <v>0.88963548653686153</v>
      </c>
      <c r="CN15" s="380">
        <v>0.89449541284403677</v>
      </c>
      <c r="CO15" s="380">
        <v>0.88960642005381174</v>
      </c>
      <c r="CP15" s="380">
        <v>0.88995490787138098</v>
      </c>
      <c r="CQ15" s="306">
        <f>CQ7/CQ$6</f>
        <v>0.89093700244780683</v>
      </c>
      <c r="CR15" s="380">
        <v>0.88511414439655334</v>
      </c>
      <c r="CS15" s="380">
        <v>0.89013071177504399</v>
      </c>
      <c r="CT15" s="380">
        <v>0.88508420869935478</v>
      </c>
      <c r="CU15" s="380">
        <v>0.88544317068390421</v>
      </c>
      <c r="CV15" s="306">
        <f>CV7/CV$6</f>
        <v>0.88645700772353286</v>
      </c>
      <c r="CW15" s="380">
        <v>0.88046721941446515</v>
      </c>
      <c r="CX15" s="380">
        <v>0.8856243023441237</v>
      </c>
      <c r="CY15" s="380">
        <v>0.88043651666542033</v>
      </c>
      <c r="CZ15" s="380">
        <v>0.8808047321907585</v>
      </c>
      <c r="DA15" s="306">
        <f>DA7/DA$6</f>
        <v>0.88184705934399021</v>
      </c>
      <c r="DB15" s="380">
        <v>0.87571132784048722</v>
      </c>
      <c r="DC15" s="380">
        <v>0.88099057935672664</v>
      </c>
      <c r="DD15" s="380">
        <v>0.87567997262136277</v>
      </c>
      <c r="DE15" s="380">
        <v>0.87605607144794551</v>
      </c>
      <c r="DF15" s="306">
        <f>DF7/DF$6</f>
        <v>0.87712318614215057</v>
      </c>
    </row>
    <row r="16" spans="2:110" s="296" customFormat="1" x14ac:dyDescent="0.25">
      <c r="B16" s="307" t="s">
        <v>191</v>
      </c>
      <c r="C16" s="299"/>
      <c r="D16" s="299"/>
      <c r="F16" s="301"/>
      <c r="G16" s="301"/>
      <c r="H16" s="301"/>
      <c r="I16" s="301"/>
      <c r="J16" s="301"/>
      <c r="K16" s="301"/>
      <c r="L16" s="301"/>
      <c r="M16" s="301"/>
      <c r="N16" s="301"/>
      <c r="O16" s="301"/>
      <c r="P16" s="301"/>
      <c r="Q16" s="301"/>
      <c r="R16" s="301"/>
      <c r="S16" s="301"/>
      <c r="T16" s="301"/>
      <c r="U16" s="301"/>
      <c r="V16" s="301"/>
      <c r="W16" s="301"/>
      <c r="X16" s="301"/>
      <c r="Y16" s="301"/>
      <c r="Z16" s="301"/>
      <c r="AA16" s="301"/>
      <c r="AB16" s="301"/>
      <c r="AC16" s="301"/>
      <c r="AD16" s="301"/>
      <c r="AE16" s="301"/>
      <c r="AF16" s="301"/>
      <c r="AG16" s="301"/>
      <c r="AH16" s="301"/>
      <c r="AI16" s="308"/>
      <c r="AJ16" s="301"/>
      <c r="AK16" s="301"/>
      <c r="AL16" s="301"/>
      <c r="AM16" s="301"/>
      <c r="AN16" s="308"/>
      <c r="AO16" s="301">
        <f>AO9/AO6</f>
        <v>4.8053024026512105E-2</v>
      </c>
      <c r="AP16" s="301">
        <f>AP9/AP6</f>
        <v>4.76321585903084E-2</v>
      </c>
      <c r="AQ16" s="301">
        <f>AQ9/AQ6</f>
        <v>3.426183844011145E-2</v>
      </c>
      <c r="AR16" s="301">
        <f>AR9/AR6</f>
        <v>5.6071871127633281E-2</v>
      </c>
      <c r="AS16" s="308">
        <f>AS9/AS$6</f>
        <v>4.6265368488380414E-2</v>
      </c>
      <c r="AT16" s="301">
        <f>AT9/AT6</f>
        <v>4.7373509506928743E-2</v>
      </c>
      <c r="AU16" s="301">
        <f>AU9/AU6</f>
        <v>4.4281618349792856E-2</v>
      </c>
      <c r="AV16" s="301">
        <f>AV9/AV6</f>
        <v>4.1331802525832316E-2</v>
      </c>
      <c r="AW16" s="301">
        <f>AW9/AW6</f>
        <v>4.7511312217194721E-2</v>
      </c>
      <c r="AX16" s="308">
        <f>AX9/AX$6</f>
        <v>4.5007800312012472E-2</v>
      </c>
      <c r="AY16" s="301">
        <f>AY9/AY6</f>
        <v>4.3609022556390979E-2</v>
      </c>
      <c r="AZ16" s="301">
        <f>AZ9/AZ6</f>
        <v>4.0035587188612103E-2</v>
      </c>
      <c r="BA16" s="301">
        <f>BA9/BA6</f>
        <v>3.4013605442176874E-2</v>
      </c>
      <c r="BB16" s="301">
        <f ca="1">BB9/BB6</f>
        <v>3.8256503606142717E-2</v>
      </c>
      <c r="BC16" s="308">
        <f ca="1">BC9/BC$6</f>
        <v>3.8809453603734251E-2</v>
      </c>
      <c r="BD16" s="301">
        <f>BD9/BD6</f>
        <v>4.2581503659348006E-2</v>
      </c>
      <c r="BE16" s="301">
        <f>BE9/BE6</f>
        <v>4.1616405307599552E-2</v>
      </c>
      <c r="BF16" s="301">
        <f>BF9/BF6</f>
        <v>3.3948779035140063E-2</v>
      </c>
      <c r="BG16" s="301">
        <f>BG9/BG6</f>
        <v>3.9386650631388791E-2</v>
      </c>
      <c r="BH16" s="308">
        <f>BH9/BH$6</f>
        <v>3.9289558665231407E-2</v>
      </c>
      <c r="BI16" s="301">
        <f>BI9/BI6</f>
        <v>3.4126984126984068E-2</v>
      </c>
      <c r="BJ16" s="301">
        <f>BJ9/BJ6</f>
        <v>0.12186716791979943</v>
      </c>
      <c r="BK16" s="301">
        <f>BK9/BK6</f>
        <v>0.11647814124121054</v>
      </c>
      <c r="BL16" s="301">
        <f>BL9/BL6</f>
        <v>0.10678659035159437</v>
      </c>
      <c r="BM16" s="308">
        <f>BM9/BM$6</f>
        <v>0.10174838964111994</v>
      </c>
      <c r="BN16" s="301">
        <f>BN9/BN6</f>
        <v>0.10590105304987087</v>
      </c>
      <c r="BO16" s="301">
        <f ca="1">BO9/BO6</f>
        <v>0.10590105304987088</v>
      </c>
      <c r="BP16" s="301">
        <f>BP9/BP6</f>
        <v>5.8642502991964364E-2</v>
      </c>
      <c r="BQ16" s="301">
        <f>BQ9/BQ6</f>
        <v>0.12000000000000002</v>
      </c>
      <c r="BR16" s="308">
        <f ca="1">BR9/BR$6</f>
        <v>9.7036647817594412E-2</v>
      </c>
      <c r="BS16" s="301">
        <f>BS9/BS6</f>
        <v>7.4202496532593615E-2</v>
      </c>
      <c r="BT16" s="301">
        <f>BT9/BT6</f>
        <v>6.6813740939174249E-2</v>
      </c>
      <c r="BU16" s="301">
        <f>BU9/BU6</f>
        <v>6.7555004648280167E-2</v>
      </c>
      <c r="BV16" s="301">
        <f ca="1">BV9/BV6</f>
        <v>8.6791154563139961E-2</v>
      </c>
      <c r="BW16" s="308">
        <f ca="1">BW9/BW$6</f>
        <v>7.0309072781655102E-2</v>
      </c>
      <c r="BX16" s="301">
        <f>BX9/BX6</f>
        <v>7.6247689463955631E-2</v>
      </c>
      <c r="BY16" s="301">
        <f>BY9/BY6</f>
        <v>7.1469740634005796E-2</v>
      </c>
      <c r="BZ16" s="301">
        <f t="shared" ref="BZ16:CA16" si="7">BZ9/BZ6</f>
        <v>6.7913385826771602E-2</v>
      </c>
      <c r="CA16" s="301">
        <f t="shared" si="7"/>
        <v>7.4074074074074125E-2</v>
      </c>
      <c r="CB16" s="308">
        <f>CB9/CB$6</f>
        <v>7.2362529106215295E-2</v>
      </c>
      <c r="CC16" s="301">
        <f>CC9/CC6</f>
        <v>6.0038195273334871E-2</v>
      </c>
      <c r="CD16" s="301">
        <f>CD9/CD6</f>
        <v>4.3909348441926323E-2</v>
      </c>
      <c r="CE16" s="301">
        <f>CE9/CE6</f>
        <v>4.2570200859398444E-2</v>
      </c>
      <c r="CF16" s="301">
        <f>CF9/CF6</f>
        <v>-2.5233939648827676E-2</v>
      </c>
      <c r="CG16" s="308">
        <f>CG9/CG$6</f>
        <v>2.9724722075172041E-2</v>
      </c>
      <c r="CH16" s="301">
        <f>CH9/CH6</f>
        <v>4.7275054864667189E-2</v>
      </c>
      <c r="CI16" s="301">
        <f>CI9/CI6</f>
        <v>4.0138180621812763E-2</v>
      </c>
      <c r="CJ16" s="301">
        <f>CJ9/CJ6</f>
        <v>3.9081219532347312E-2</v>
      </c>
      <c r="CK16" s="301">
        <f>CK9/CK6</f>
        <v>5.6813759825667699E-2</v>
      </c>
      <c r="CL16" s="308">
        <f>CL9/CL$6</f>
        <v>4.5955958872747033E-2</v>
      </c>
      <c r="CM16" s="301">
        <f>CM9/CM6</f>
        <v>0.11036451346313848</v>
      </c>
      <c r="CN16" s="301">
        <f>CN9/CN6</f>
        <v>0.10550458715596328</v>
      </c>
      <c r="CO16" s="301">
        <f>CO9/CO6</f>
        <v>0.1103935799461882</v>
      </c>
      <c r="CP16" s="301">
        <f>CP9/CP6</f>
        <v>0.11004509212861903</v>
      </c>
      <c r="CQ16" s="308">
        <f>CQ9/CQ$6</f>
        <v>0.1090629975521932</v>
      </c>
      <c r="CR16" s="301">
        <f>CR9/CR6</f>
        <v>0.11488585560344661</v>
      </c>
      <c r="CS16" s="301">
        <f>CS9/CS6</f>
        <v>0.10986928822495604</v>
      </c>
      <c r="CT16" s="301">
        <f>CT9/CT6</f>
        <v>0.11491579130064521</v>
      </c>
      <c r="CU16" s="301">
        <f>CU9/CU6</f>
        <v>0.11455682931609584</v>
      </c>
      <c r="CV16" s="308">
        <f>CV9/CV$6</f>
        <v>0.11354299227646723</v>
      </c>
      <c r="CW16" s="301">
        <f>CW9/CW6</f>
        <v>0.11953278058553488</v>
      </c>
      <c r="CX16" s="301">
        <f>CX9/CX6</f>
        <v>0.11437569765587635</v>
      </c>
      <c r="CY16" s="301">
        <f>CY9/CY6</f>
        <v>0.11956348333457972</v>
      </c>
      <c r="CZ16" s="301">
        <f>CZ9/CZ6</f>
        <v>0.11919526780924154</v>
      </c>
      <c r="DA16" s="308">
        <f>DA9/DA$6</f>
        <v>0.11815294065600995</v>
      </c>
      <c r="DB16" s="301">
        <f>DB9/DB6</f>
        <v>0.12428867215951275</v>
      </c>
      <c r="DC16" s="301">
        <f>DC9/DC6</f>
        <v>0.11900942064327336</v>
      </c>
      <c r="DD16" s="301">
        <f>DD9/DD6</f>
        <v>0.12432002737863726</v>
      </c>
      <c r="DE16" s="301">
        <f>DE9/DE6</f>
        <v>0.12394392855205451</v>
      </c>
      <c r="DF16" s="308">
        <f>DF9/DF$6</f>
        <v>0.12287681385784927</v>
      </c>
    </row>
    <row r="17" spans="2:110" s="296" customFormat="1" x14ac:dyDescent="0.25">
      <c r="B17" s="307" t="s">
        <v>151</v>
      </c>
      <c r="C17" s="299"/>
      <c r="D17" s="299"/>
      <c r="F17" s="301"/>
      <c r="G17" s="301"/>
      <c r="H17" s="301"/>
      <c r="I17" s="301"/>
      <c r="J17" s="301"/>
      <c r="K17" s="301"/>
      <c r="L17" s="301"/>
      <c r="M17" s="301"/>
      <c r="N17" s="301"/>
      <c r="O17" s="301"/>
      <c r="P17" s="301"/>
      <c r="Q17" s="301"/>
      <c r="R17" s="301"/>
      <c r="S17" s="301"/>
      <c r="T17" s="301"/>
      <c r="U17" s="301"/>
      <c r="V17" s="301"/>
      <c r="W17" s="301"/>
      <c r="X17" s="301"/>
      <c r="Y17" s="301"/>
      <c r="Z17" s="301"/>
      <c r="AA17" s="301"/>
      <c r="AB17" s="301"/>
      <c r="AC17" s="301"/>
      <c r="AD17" s="301"/>
      <c r="AE17" s="301"/>
      <c r="AF17" s="301"/>
      <c r="AG17" s="301"/>
      <c r="AH17" s="301"/>
      <c r="AI17" s="308"/>
      <c r="AJ17" s="301"/>
      <c r="AK17" s="301"/>
      <c r="AL17" s="301"/>
      <c r="AM17" s="301"/>
      <c r="AN17" s="308"/>
      <c r="AO17" s="301">
        <f t="shared" ref="AO17:AR18" si="8">AO10/AO$6</f>
        <v>4.7500690417011868E-2</v>
      </c>
      <c r="AP17" s="301">
        <f t="shared" si="8"/>
        <v>3.5517621145374455E-2</v>
      </c>
      <c r="AQ17" s="301">
        <f t="shared" si="8"/>
        <v>3.0362116991643456E-2</v>
      </c>
      <c r="AR17" s="301">
        <f t="shared" si="8"/>
        <v>3.3147459727385371E-2</v>
      </c>
      <c r="AS17" s="308">
        <f>AS10/AS$6</f>
        <v>3.6742235804136172E-2</v>
      </c>
      <c r="AT17" s="301">
        <f t="shared" ref="AT17:AW18" si="9">AT10/AT$6</f>
        <v>3.5127296165001612E-2</v>
      </c>
      <c r="AU17" s="301">
        <f t="shared" si="9"/>
        <v>3.4724434533290861E-2</v>
      </c>
      <c r="AV17" s="301">
        <f t="shared" si="9"/>
        <v>3.0711825487944891E-2</v>
      </c>
      <c r="AW17" s="301">
        <f t="shared" si="9"/>
        <v>3.458306399482871E-2</v>
      </c>
      <c r="AX17" s="308">
        <f>AX10/AX$6</f>
        <v>3.3697347893915756E-2</v>
      </c>
      <c r="AY17" s="301">
        <f t="shared" ref="AY17:BB18" si="10">AY10/AY$6</f>
        <v>3.308270676691729E-2</v>
      </c>
      <c r="AZ17" s="301">
        <f t="shared" si="10"/>
        <v>2.5504151838671413E-2</v>
      </c>
      <c r="BA17" s="301">
        <f t="shared" si="10"/>
        <v>2.3024594453165886E-2</v>
      </c>
      <c r="BB17" s="301">
        <f t="shared" ca="1" si="10"/>
        <v>7.9648792724992187E-2</v>
      </c>
      <c r="BC17" s="308">
        <f ca="1">BC10/BC$6</f>
        <v>3.9247154946016931E-2</v>
      </c>
      <c r="BD17" s="301">
        <f t="shared" ref="BD17:BG18" si="11">BD10/BD$6</f>
        <v>3.2934131736526942E-2</v>
      </c>
      <c r="BE17" s="301">
        <f t="shared" si="11"/>
        <v>2.8950542822677922E-2</v>
      </c>
      <c r="BF17" s="301">
        <f t="shared" si="11"/>
        <v>2.7397260273972601E-2</v>
      </c>
      <c r="BG17" s="301">
        <f t="shared" si="11"/>
        <v>3.1870114251352985E-2</v>
      </c>
      <c r="BH17" s="308">
        <f>BH10/BH$6</f>
        <v>3.0216823004767031E-2</v>
      </c>
      <c r="BI17" s="301">
        <f>BI10/BI$6</f>
        <v>2.5396825396825397E-2</v>
      </c>
      <c r="BJ17" s="301">
        <f>(BJ10)/BJ$6</f>
        <v>0.13095238095238096</v>
      </c>
      <c r="BK17" s="301">
        <f>(BK10)/BK$6</f>
        <v>0.14842555793335371</v>
      </c>
      <c r="BL17" s="301">
        <f>(BL10)/BL$6</f>
        <v>0.10318887980376125</v>
      </c>
      <c r="BM17" s="308">
        <f>BM10/BM$6</f>
        <v>0.11103807896235922</v>
      </c>
      <c r="BN17" s="301">
        <f>(BN10)/BN$6</f>
        <v>7.5303000198688685E-2</v>
      </c>
      <c r="BO17" s="301">
        <f ca="1">(BO10)/BO$6</f>
        <v>8.9708177914930243E-2</v>
      </c>
      <c r="BP17" s="301">
        <f>(BP10)/BP$6</f>
        <v>3.7784236621644728E-2</v>
      </c>
      <c r="BQ17" s="309">
        <v>7.0000000000000007E-2</v>
      </c>
      <c r="BR17" s="308">
        <f ca="1">BR10/BR$6</f>
        <v>6.7641229625917593E-2</v>
      </c>
      <c r="BS17" s="301">
        <f ca="1">(BS10)/BS$6</f>
        <v>3.7784236621644728E-2</v>
      </c>
      <c r="BT17" s="301">
        <f>(BT10)/BT$6</f>
        <v>4.6170816262212415E-2</v>
      </c>
      <c r="BU17" s="301">
        <f>(BU10)/BU$6</f>
        <v>4.8032228075612027E-2</v>
      </c>
      <c r="BV17" s="301">
        <f ca="1">(BV10)/BV$6</f>
        <v>5.8715310153120211E-2</v>
      </c>
      <c r="BW17" s="308">
        <f ca="1">BW10/BW$6</f>
        <v>4.7976071784646059E-2</v>
      </c>
      <c r="BX17" s="301">
        <f>(BX10)/BX$6</f>
        <v>4.6518792359827477E-2</v>
      </c>
      <c r="BY17" s="301">
        <f>(BY10)/BY$6</f>
        <v>4.2795389048991356E-2</v>
      </c>
      <c r="BZ17" s="301">
        <f t="shared" ref="BZ17:CA17" si="12">(BZ10)/BZ$6</f>
        <v>4.625984251968504E-2</v>
      </c>
      <c r="CA17" s="301">
        <f t="shared" si="12"/>
        <v>4.354904354904357E-2</v>
      </c>
      <c r="CB17" s="308">
        <f>CB10/CB$6</f>
        <v>4.4742969729536092E-2</v>
      </c>
      <c r="CC17" s="301">
        <f>(CC10)/CC$6</f>
        <v>3.843399379326809E-2</v>
      </c>
      <c r="CD17" s="301">
        <f>(CD10)/CD$6</f>
        <v>3.2982598138405504E-2</v>
      </c>
      <c r="CE17" s="301">
        <f t="shared" ref="CE17:CF17" si="13">(CE10)/CE$6</f>
        <v>3.1477965424203058E-2</v>
      </c>
      <c r="CF17" s="301">
        <f t="shared" si="13"/>
        <v>8.6215960466827883E-3</v>
      </c>
      <c r="CG17" s="308">
        <f>CG10/CG$6</f>
        <v>2.7660137638962422E-2</v>
      </c>
      <c r="CH17" s="301">
        <f t="shared" ref="CH17:CI17" si="14">(CH10)/CH$6</f>
        <v>3.6942209217264078E-2</v>
      </c>
      <c r="CI17" s="301">
        <f t="shared" si="14"/>
        <v>2.1714097713439712E-2</v>
      </c>
      <c r="CJ17" s="301">
        <f t="shared" ref="CJ17:CK17" si="15">(CJ10)/CJ$6</f>
        <v>2.0821283979178717E-2</v>
      </c>
      <c r="CK17" s="301">
        <f t="shared" si="15"/>
        <v>3.2601758891742522E-2</v>
      </c>
      <c r="CL17" s="308">
        <f>CL10/CL$6</f>
        <v>2.7867044082754023E-2</v>
      </c>
      <c r="CM17" s="309">
        <v>5.7064137439413055E-2</v>
      </c>
      <c r="CN17" s="309">
        <v>5.4873693865871903E-2</v>
      </c>
      <c r="CO17" s="309">
        <v>5.7077238150612677E-2</v>
      </c>
      <c r="CP17" s="309">
        <v>5.6920169328535129E-2</v>
      </c>
      <c r="CQ17" s="308">
        <f>CQ10/CQ$6</f>
        <v>5.6477524189993508E-2</v>
      </c>
      <c r="CR17" s="309">
        <v>5.9101975918650233E-2</v>
      </c>
      <c r="CS17" s="309">
        <v>5.684093180379865E-2</v>
      </c>
      <c r="CT17" s="309">
        <v>5.9115468398042645E-2</v>
      </c>
      <c r="CU17" s="309">
        <v>5.8953678707725533E-2</v>
      </c>
      <c r="CV17" s="308">
        <f>CV10/CV$6</f>
        <v>5.8496726752550056E-2</v>
      </c>
      <c r="CW17" s="309">
        <v>6.119641651720726E-2</v>
      </c>
      <c r="CX17" s="309">
        <v>5.8872039881122946E-2</v>
      </c>
      <c r="CY17" s="309">
        <v>6.1210254718670497E-2</v>
      </c>
      <c r="CZ17" s="309">
        <v>6.1044294315121962E-2</v>
      </c>
      <c r="DA17" s="308">
        <f>DA10/DA$6</f>
        <v>6.0574501427325941E-2</v>
      </c>
      <c r="DB17" s="309">
        <v>6.3339970035559551E-2</v>
      </c>
      <c r="DC17" s="309">
        <v>6.0960530137513978E-2</v>
      </c>
      <c r="DD17" s="309">
        <v>6.3354102315328245E-2</v>
      </c>
      <c r="DE17" s="309">
        <v>6.3184588786596718E-2</v>
      </c>
      <c r="DF17" s="308">
        <f>DF10/DF$6</f>
        <v>6.2703623772641215E-2</v>
      </c>
    </row>
    <row r="18" spans="2:110" s="296" customFormat="1" ht="13.5" thickBot="1" x14ac:dyDescent="0.3">
      <c r="B18" s="317" t="s">
        <v>192</v>
      </c>
      <c r="C18" s="310"/>
      <c r="D18" s="310"/>
      <c r="E18" s="311"/>
      <c r="F18" s="312"/>
      <c r="G18" s="312"/>
      <c r="H18" s="312"/>
      <c r="I18" s="312"/>
      <c r="J18" s="312"/>
      <c r="K18" s="312"/>
      <c r="L18" s="312"/>
      <c r="M18" s="312"/>
      <c r="N18" s="312"/>
      <c r="O18" s="312"/>
      <c r="P18" s="312"/>
      <c r="Q18" s="312"/>
      <c r="R18" s="312"/>
      <c r="S18" s="312"/>
      <c r="T18" s="312"/>
      <c r="U18" s="312"/>
      <c r="V18" s="312"/>
      <c r="W18" s="312"/>
      <c r="X18" s="312"/>
      <c r="Y18" s="312"/>
      <c r="Z18" s="312"/>
      <c r="AA18" s="312"/>
      <c r="AB18" s="312"/>
      <c r="AC18" s="312"/>
      <c r="AD18" s="312"/>
      <c r="AE18" s="312"/>
      <c r="AF18" s="312"/>
      <c r="AG18" s="312"/>
      <c r="AH18" s="312"/>
      <c r="AI18" s="313"/>
      <c r="AJ18" s="312"/>
      <c r="AK18" s="312"/>
      <c r="AL18" s="312"/>
      <c r="AM18" s="312"/>
      <c r="AN18" s="313"/>
      <c r="AO18" s="312">
        <f t="shared" si="8"/>
        <v>5.5233360950023415E-4</v>
      </c>
      <c r="AP18" s="312">
        <f t="shared" si="8"/>
        <v>1.2114537444933951E-2</v>
      </c>
      <c r="AQ18" s="312">
        <f t="shared" si="8"/>
        <v>3.8997214484679972E-3</v>
      </c>
      <c r="AR18" s="312">
        <f t="shared" si="8"/>
        <v>2.2924411400247903E-2</v>
      </c>
      <c r="AS18" s="313">
        <f>AS11/AS$6</f>
        <v>9.5231326842442482E-3</v>
      </c>
      <c r="AT18" s="312">
        <f t="shared" si="9"/>
        <v>1.224621334192713E-2</v>
      </c>
      <c r="AU18" s="312">
        <f t="shared" si="9"/>
        <v>9.5571838165019983E-3</v>
      </c>
      <c r="AV18" s="312">
        <f t="shared" si="9"/>
        <v>1.0619977037887423E-2</v>
      </c>
      <c r="AW18" s="312">
        <f t="shared" si="9"/>
        <v>1.2928248222366007E-2</v>
      </c>
      <c r="AX18" s="313">
        <f>AX11/AX$6</f>
        <v>1.1310452418096712E-2</v>
      </c>
      <c r="AY18" s="312">
        <f t="shared" si="10"/>
        <v>1.0526315789473684E-2</v>
      </c>
      <c r="AZ18" s="312">
        <f t="shared" si="10"/>
        <v>1.453143534994069E-2</v>
      </c>
      <c r="BA18" s="312">
        <f t="shared" si="10"/>
        <v>1.0989010989010988E-2</v>
      </c>
      <c r="BB18" s="312">
        <f t="shared" ca="1" si="10"/>
        <v>-4.1392289118849471E-2</v>
      </c>
      <c r="BC18" s="313">
        <f ca="1">BC11/BC$6</f>
        <v>-4.3770134228267793E-4</v>
      </c>
      <c r="BD18" s="312">
        <f t="shared" si="11"/>
        <v>9.647371922821061E-3</v>
      </c>
      <c r="BE18" s="312">
        <f t="shared" si="11"/>
        <v>1.2665862484921627E-2</v>
      </c>
      <c r="BF18" s="312">
        <f t="shared" si="11"/>
        <v>6.5515187611674651E-3</v>
      </c>
      <c r="BG18" s="312">
        <f t="shared" si="11"/>
        <v>7.5165363800358091E-3</v>
      </c>
      <c r="BH18" s="313">
        <f>BH11/BH$6</f>
        <v>9.0727356604643761E-3</v>
      </c>
      <c r="BI18" s="312">
        <f>BI11/BI$6</f>
        <v>8.7301587301586714E-3</v>
      </c>
      <c r="BJ18" s="312">
        <f>BJ11/BJ$6</f>
        <v>-9.0852130325815156E-3</v>
      </c>
      <c r="BK18" s="312">
        <f>BK11/BK$6</f>
        <v>-3.1947416692143175E-2</v>
      </c>
      <c r="BL18" s="312">
        <f>BL11/BL$6</f>
        <v>3.5977105478331205E-3</v>
      </c>
      <c r="BM18" s="313">
        <f>BM11/BM$6</f>
        <v>-9.2896893212392855E-3</v>
      </c>
      <c r="BN18" s="312">
        <f>BN11/BN$6</f>
        <v>3.0598052851182198E-2</v>
      </c>
      <c r="BO18" s="312">
        <f>BO11/BO$6</f>
        <v>1.6192875134940627E-2</v>
      </c>
      <c r="BP18" s="312">
        <f>BP11/BP$6</f>
        <v>2.0858266370319633E-2</v>
      </c>
      <c r="BQ18" s="312">
        <f>BQ11/BQ$6</f>
        <v>5.0000000000000024E-2</v>
      </c>
      <c r="BR18" s="313">
        <f>BR11/BR$6</f>
        <v>2.939541819167682E-2</v>
      </c>
      <c r="BS18" s="312">
        <f ca="1">BS11/BS$6</f>
        <v>3.6418259910948894E-2</v>
      </c>
      <c r="BT18" s="312">
        <f>BT11/BT$6</f>
        <v>2.0642924676961827E-2</v>
      </c>
      <c r="BU18" s="312">
        <f>BU11/BU$6</f>
        <v>1.9522776572668148E-2</v>
      </c>
      <c r="BV18" s="312">
        <f ca="1">BV11/BV$6</f>
        <v>2.807584441001975E-2</v>
      </c>
      <c r="BW18" s="313">
        <f ca="1">BW11/BW$6</f>
        <v>2.2333000997009047E-2</v>
      </c>
      <c r="BX18" s="312">
        <f>BX11/BX$6</f>
        <v>2.9728897104128158E-2</v>
      </c>
      <c r="BY18" s="312">
        <f>BY11/BY$6</f>
        <v>2.8674351585014444E-2</v>
      </c>
      <c r="BZ18" s="312">
        <f t="shared" ref="BZ18:CA18" si="16">BZ11/BZ$6</f>
        <v>2.1653543307086555E-2</v>
      </c>
      <c r="CA18" s="312">
        <f t="shared" si="16"/>
        <v>3.0525030525030552E-2</v>
      </c>
      <c r="CB18" s="313">
        <f>CB11/CB$6</f>
        <v>2.7619559376679204E-2</v>
      </c>
      <c r="CC18" s="312">
        <f>CC11/CC$6</f>
        <v>2.1604201480066785E-2</v>
      </c>
      <c r="CD18" s="312">
        <f>CD11/CD$6</f>
        <v>1.0926750303520817E-2</v>
      </c>
      <c r="CE18" s="312">
        <f>CE11/CE$6</f>
        <v>1.1092235435195386E-2</v>
      </c>
      <c r="CF18" s="312">
        <f>CF11/CF$6</f>
        <v>-3.3855535695510468E-2</v>
      </c>
      <c r="CG18" s="313">
        <f>CG11/CG$6</f>
        <v>2.0645844362096209E-3</v>
      </c>
      <c r="CH18" s="312">
        <f>CH11/CH$6</f>
        <v>1.0332845647403114E-2</v>
      </c>
      <c r="CI18" s="312">
        <f>CI11/CI$6</f>
        <v>1.8424082908373052E-2</v>
      </c>
      <c r="CJ18" s="312">
        <f>CJ11/CJ$6</f>
        <v>1.8259935553168599E-2</v>
      </c>
      <c r="CK18" s="312">
        <f>CK11/CK$6</f>
        <v>2.4212000933925174E-2</v>
      </c>
      <c r="CL18" s="313">
        <f>CL11/CL$6</f>
        <v>1.808891478999301E-2</v>
      </c>
      <c r="CM18" s="312">
        <f>CM11/CM$6</f>
        <v>5.3300376023725414E-2</v>
      </c>
      <c r="CN18" s="312">
        <f>CN11/CN$6</f>
        <v>5.0630893290091378E-2</v>
      </c>
      <c r="CO18" s="312">
        <f>CO11/CO$6</f>
        <v>5.3316341795575525E-2</v>
      </c>
      <c r="CP18" s="312">
        <f>CP11/CP$6</f>
        <v>5.31249228000839E-2</v>
      </c>
      <c r="CQ18" s="313">
        <f>CQ11/CQ$6</f>
        <v>5.2585473362199694E-2</v>
      </c>
      <c r="CR18" s="312">
        <f>CR11/CR$6</f>
        <v>5.5783879684796374E-2</v>
      </c>
      <c r="CS18" s="312">
        <f>CS11/CS$6</f>
        <v>5.3028356421157392E-2</v>
      </c>
      <c r="CT18" s="312">
        <f>CT11/CT$6</f>
        <v>5.5800322902602562E-2</v>
      </c>
      <c r="CU18" s="312">
        <f>CU11/CU$6</f>
        <v>5.5603150608370309E-2</v>
      </c>
      <c r="CV18" s="313">
        <f>CV11/CV$6</f>
        <v>5.5046265523917171E-2</v>
      </c>
      <c r="CW18" s="312">
        <f>CW11/CW$6</f>
        <v>5.8336364068327616E-2</v>
      </c>
      <c r="CX18" s="312">
        <f>CX11/CX$6</f>
        <v>5.5503657774753405E-2</v>
      </c>
      <c r="CY18" s="312">
        <f>CY11/CY$6</f>
        <v>5.835322861590922E-2</v>
      </c>
      <c r="CZ18" s="312">
        <f>CZ11/CZ$6</f>
        <v>5.815097349411958E-2</v>
      </c>
      <c r="DA18" s="313">
        <f>DA11/DA$6</f>
        <v>5.7578439228684011E-2</v>
      </c>
      <c r="DB18" s="312">
        <f>DB11/DB$6</f>
        <v>6.0948702123953195E-2</v>
      </c>
      <c r="DC18" s="312">
        <f>DC11/DC$6</f>
        <v>5.8048890505759378E-2</v>
      </c>
      <c r="DD18" s="312">
        <f>DD11/DD$6</f>
        <v>6.0965925063309022E-2</v>
      </c>
      <c r="DE18" s="312">
        <f>DE11/DE$6</f>
        <v>6.075933976545779E-2</v>
      </c>
      <c r="DF18" s="313">
        <f>DF11/DF$6</f>
        <v>6.0173190085208064E-2</v>
      </c>
    </row>
    <row r="19" spans="2:110" s="296" customFormat="1" ht="13.5" thickBot="1" x14ac:dyDescent="0.3">
      <c r="B19" s="299"/>
      <c r="C19" s="299"/>
      <c r="D19" s="299"/>
    </row>
    <row r="20" spans="2:110" s="296" customFormat="1" ht="13.5" thickBot="1" x14ac:dyDescent="0.3">
      <c r="B20" s="949" t="s">
        <v>193</v>
      </c>
      <c r="C20" s="950"/>
      <c r="D20" s="950"/>
      <c r="E20" s="951"/>
      <c r="F20" s="951"/>
      <c r="G20" s="951"/>
      <c r="H20" s="951"/>
      <c r="I20" s="951"/>
      <c r="J20" s="951"/>
      <c r="K20" s="951"/>
      <c r="L20" s="951"/>
      <c r="M20" s="951"/>
      <c r="N20" s="951"/>
      <c r="O20" s="951"/>
      <c r="P20" s="951"/>
      <c r="Q20" s="951"/>
      <c r="R20" s="951"/>
      <c r="S20" s="951"/>
      <c r="T20" s="951"/>
      <c r="U20" s="951"/>
      <c r="V20" s="951"/>
      <c r="W20" s="951"/>
      <c r="X20" s="951"/>
      <c r="Y20" s="951"/>
      <c r="Z20" s="951"/>
      <c r="AA20" s="951"/>
      <c r="AB20" s="951"/>
      <c r="AC20" s="951"/>
      <c r="AD20" s="951"/>
      <c r="AE20" s="951"/>
      <c r="AF20" s="951"/>
      <c r="AG20" s="951"/>
      <c r="AH20" s="951"/>
      <c r="AI20" s="951"/>
      <c r="AJ20" s="951"/>
      <c r="AK20" s="951"/>
      <c r="AL20" s="951"/>
      <c r="AM20" s="951"/>
      <c r="AN20" s="951"/>
      <c r="AO20" s="951"/>
      <c r="AP20" s="951"/>
      <c r="AQ20" s="951"/>
      <c r="AR20" s="951"/>
      <c r="AS20" s="951"/>
      <c r="AT20" s="951"/>
      <c r="AU20" s="951"/>
      <c r="AV20" s="951"/>
      <c r="AW20" s="951"/>
      <c r="AX20" s="951"/>
      <c r="AY20" s="951"/>
      <c r="AZ20" s="951"/>
      <c r="BA20" s="951"/>
      <c r="BB20" s="951"/>
      <c r="BC20" s="951"/>
      <c r="BD20" s="951"/>
      <c r="BE20" s="951"/>
      <c r="BF20" s="951"/>
      <c r="BG20" s="951"/>
      <c r="BH20" s="951"/>
      <c r="BI20" s="951"/>
      <c r="BJ20" s="951"/>
      <c r="BK20" s="951"/>
      <c r="BL20" s="951"/>
      <c r="BM20" s="951"/>
      <c r="BN20" s="951"/>
      <c r="BO20" s="951"/>
      <c r="BP20" s="951"/>
      <c r="BQ20" s="951"/>
      <c r="BR20" s="951"/>
      <c r="BS20" s="951"/>
      <c r="BT20" s="951"/>
      <c r="BU20" s="951"/>
      <c r="BV20" s="951"/>
      <c r="BW20" s="951"/>
      <c r="BX20" s="951"/>
      <c r="BY20" s="951"/>
      <c r="BZ20" s="951"/>
      <c r="CA20" s="951"/>
      <c r="CB20" s="953"/>
      <c r="CC20" s="951"/>
      <c r="CD20" s="951"/>
      <c r="CE20" s="951"/>
      <c r="CF20" s="951"/>
      <c r="CG20" s="953"/>
      <c r="CH20" s="951"/>
      <c r="CI20" s="951"/>
      <c r="CJ20" s="951"/>
      <c r="CK20" s="951"/>
      <c r="CL20" s="953"/>
      <c r="CM20" s="951"/>
      <c r="CN20" s="951"/>
      <c r="CO20" s="951"/>
      <c r="CP20" s="951"/>
      <c r="CQ20" s="953"/>
      <c r="CR20" s="951"/>
      <c r="CS20" s="951"/>
      <c r="CT20" s="951"/>
      <c r="CU20" s="951"/>
      <c r="CV20" s="953"/>
      <c r="CW20" s="951"/>
      <c r="CX20" s="951"/>
      <c r="CY20" s="951"/>
      <c r="CZ20" s="951"/>
      <c r="DA20" s="953"/>
      <c r="DB20" s="951"/>
      <c r="DC20" s="951"/>
      <c r="DD20" s="951"/>
      <c r="DE20" s="951"/>
      <c r="DF20" s="953"/>
    </row>
    <row r="21" spans="2:110" s="296" customFormat="1" x14ac:dyDescent="0.25">
      <c r="B21" s="302" t="s">
        <v>194</v>
      </c>
      <c r="C21" s="303"/>
      <c r="D21" s="303"/>
      <c r="E21" s="304"/>
      <c r="F21" s="304"/>
      <c r="G21" s="304"/>
      <c r="H21" s="304"/>
      <c r="I21" s="304"/>
      <c r="J21" s="304"/>
      <c r="K21" s="314"/>
      <c r="L21" s="314"/>
      <c r="M21" s="314"/>
      <c r="N21" s="314"/>
      <c r="O21" s="314"/>
      <c r="P21" s="314"/>
      <c r="Q21" s="314"/>
      <c r="R21" s="314"/>
      <c r="S21" s="314"/>
      <c r="T21" s="314"/>
      <c r="U21" s="314"/>
      <c r="V21" s="314"/>
      <c r="W21" s="314"/>
      <c r="X21" s="314"/>
      <c r="Y21" s="314"/>
      <c r="Z21" s="314"/>
      <c r="AA21" s="314"/>
      <c r="AB21" s="314"/>
      <c r="AC21" s="314"/>
      <c r="AD21" s="314"/>
      <c r="AE21" s="314"/>
      <c r="AF21" s="314"/>
      <c r="AG21" s="314"/>
      <c r="AH21" s="314"/>
      <c r="AI21" s="315"/>
      <c r="AJ21" s="314"/>
      <c r="AK21" s="314"/>
      <c r="AL21" s="314"/>
      <c r="AM21" s="314"/>
      <c r="AN21" s="315"/>
      <c r="AO21" s="314"/>
      <c r="AP21" s="314"/>
      <c r="AQ21" s="314"/>
      <c r="AR21" s="314"/>
      <c r="AS21" s="315"/>
      <c r="AT21" s="314">
        <f t="shared" ref="AT21:BM21" si="17">AT6/AO6-1</f>
        <v>-0.14305440486053578</v>
      </c>
      <c r="AU21" s="314">
        <f t="shared" si="17"/>
        <v>-0.13573788546255505</v>
      </c>
      <c r="AV21" s="314">
        <f t="shared" si="17"/>
        <v>-2.952646239554324E-2</v>
      </c>
      <c r="AW21" s="314">
        <f t="shared" si="17"/>
        <v>-4.1511771995043523E-2</v>
      </c>
      <c r="AX21" s="315">
        <f t="shared" si="17"/>
        <v>-8.8906261104399031E-2</v>
      </c>
      <c r="AY21" s="314">
        <f t="shared" si="17"/>
        <v>7.1543667418627166E-2</v>
      </c>
      <c r="AZ21" s="314">
        <f t="shared" si="17"/>
        <v>7.4227460974832793E-2</v>
      </c>
      <c r="BA21" s="314">
        <f t="shared" si="17"/>
        <v>9.7014925373134275E-2</v>
      </c>
      <c r="BB21" s="314">
        <f t="shared" si="17"/>
        <v>3.0704589528119053E-2</v>
      </c>
      <c r="BC21" s="315">
        <f t="shared" si="17"/>
        <v>6.9266770670826761E-2</v>
      </c>
      <c r="BD21" s="314">
        <f t="shared" si="17"/>
        <v>-9.5939849624060103E-2</v>
      </c>
      <c r="BE21" s="314">
        <f t="shared" si="17"/>
        <v>-1.6607354685646447E-2</v>
      </c>
      <c r="BF21" s="314">
        <f t="shared" si="17"/>
        <v>-0.12140240711669281</v>
      </c>
      <c r="BG21" s="314">
        <f t="shared" si="17"/>
        <v>4.2960175603637296E-2</v>
      </c>
      <c r="BH21" s="315">
        <f t="shared" si="17"/>
        <v>-5.1210971695360374E-2</v>
      </c>
      <c r="BI21" s="314">
        <f t="shared" si="17"/>
        <v>0.25748502994011968</v>
      </c>
      <c r="BJ21" s="314">
        <f t="shared" si="17"/>
        <v>0.92521109770808185</v>
      </c>
      <c r="BK21" s="314">
        <f t="shared" si="17"/>
        <v>0.94818344252531239</v>
      </c>
      <c r="BL21" s="314">
        <f t="shared" si="17"/>
        <v>0.83854479855682551</v>
      </c>
      <c r="BM21" s="315">
        <f t="shared" si="17"/>
        <v>0.7546516992157466</v>
      </c>
      <c r="BN21" s="314">
        <f t="shared" ref="BN21:CC22" si="18">BN6/BI6-1</f>
        <v>0.33148148148148149</v>
      </c>
      <c r="BO21" s="314">
        <f t="shared" si="18"/>
        <v>-0.12938596491228072</v>
      </c>
      <c r="BP21" s="314">
        <f t="shared" si="18"/>
        <v>-0.10593090797921123</v>
      </c>
      <c r="BQ21" s="314">
        <f t="shared" si="18"/>
        <v>-6.9337694194603228E-2</v>
      </c>
      <c r="BR21" s="315">
        <f t="shared" si="18"/>
        <v>-3.0235309583278358E-2</v>
      </c>
      <c r="BS21" s="314">
        <f t="shared" si="18"/>
        <v>0.14603616133518771</v>
      </c>
      <c r="BT21" s="314">
        <f t="shared" si="18"/>
        <v>0.14177761784814691</v>
      </c>
      <c r="BU21" s="314">
        <f t="shared" si="18"/>
        <v>0.10343648486920842</v>
      </c>
      <c r="BV21" s="314">
        <f t="shared" si="18"/>
        <v>0.14338429098576677</v>
      </c>
      <c r="BW21" s="315">
        <f t="shared" si="18"/>
        <v>0.13302607202566508</v>
      </c>
      <c r="BX21" s="314">
        <f t="shared" si="18"/>
        <v>0.12552011095700433</v>
      </c>
      <c r="BY21" s="314">
        <f t="shared" si="18"/>
        <v>9.3602269145918626E-2</v>
      </c>
      <c r="BZ21" s="314">
        <f t="shared" ref="BZ21:BZ22" si="19">BZ6/BU6-1</f>
        <v>0.10195227765726678</v>
      </c>
      <c r="CA21" s="314">
        <f t="shared" ref="CA21:CA22" si="20">CA6/BV6-1</f>
        <v>0.1327800829875514</v>
      </c>
      <c r="CB21" s="315">
        <f t="shared" si="18"/>
        <v>0.11326021934197406</v>
      </c>
      <c r="CC21" s="314">
        <f t="shared" si="18"/>
        <v>0.29051139864448539</v>
      </c>
      <c r="CD21" s="314">
        <f t="shared" ref="CD21:CK22" si="21">CD6/BY6-1</f>
        <v>0.42420749279538894</v>
      </c>
      <c r="CE21" s="314">
        <f t="shared" si="21"/>
        <v>0.40705849268841421</v>
      </c>
      <c r="CF21" s="314">
        <f t="shared" si="21"/>
        <v>0.29032695699362399</v>
      </c>
      <c r="CG21" s="315">
        <f t="shared" si="21"/>
        <v>0.35339423249149182</v>
      </c>
      <c r="CH21" s="314">
        <f t="shared" si="21"/>
        <v>0.30532346622105533</v>
      </c>
      <c r="CI21" s="314">
        <f t="shared" si="21"/>
        <v>0.23006879805746649</v>
      </c>
      <c r="CJ21" s="314">
        <f t="shared" si="21"/>
        <v>0.2094533826321574</v>
      </c>
      <c r="CK21" s="314">
        <f t="shared" si="21"/>
        <v>0.35096204394911235</v>
      </c>
      <c r="CL21" s="315">
        <f t="shared" ref="CL21:CL22" si="22">CL6/CG6-1</f>
        <v>0.27173107464266844</v>
      </c>
      <c r="CM21" s="314">
        <f t="shared" ref="CM21:CQ22" si="23">CM6/CH6-1</f>
        <v>0.50292611558156541</v>
      </c>
      <c r="CN21" s="314">
        <f t="shared" si="23"/>
        <v>0.45237703569666055</v>
      </c>
      <c r="CO21" s="314">
        <f t="shared" si="23"/>
        <v>0.45443278525985287</v>
      </c>
      <c r="CP21" s="314">
        <f t="shared" si="23"/>
        <v>0.4280488753988636</v>
      </c>
      <c r="CQ21" s="315">
        <f t="shared" si="23"/>
        <v>0.45789451775381917</v>
      </c>
      <c r="CR21" s="314">
        <f t="shared" ref="CR21:CR22" si="24">CR6/CM6-1</f>
        <v>3.3463129715259221E-2</v>
      </c>
      <c r="CS21" s="314">
        <f t="shared" ref="CS21:CS22" si="25">CS6/CN6-1</f>
        <v>3.11473553063768E-2</v>
      </c>
      <c r="CT21" s="314">
        <f t="shared" ref="CT21:CT22" si="26">CT6/CO6-1</f>
        <v>3.1244674203260825E-2</v>
      </c>
      <c r="CU21" s="314">
        <f t="shared" ref="CU21:CU22" si="27">CU6/CP6-1</f>
        <v>2.9974385525096681E-2</v>
      </c>
      <c r="CV21" s="315">
        <f t="shared" ref="CV21:CV22" si="28">CV6/CQ6-1</f>
        <v>3.1407931930445665E-2</v>
      </c>
      <c r="CW21" s="314">
        <f t="shared" ref="CW21:CW22" si="29">CW6/CR6-1</f>
        <v>3.5617567408454009E-2</v>
      </c>
      <c r="CX21" s="314">
        <f t="shared" ref="CX21:CX22" si="30">CX6/CS6-1</f>
        <v>3.3227152899824253E-2</v>
      </c>
      <c r="CY21" s="314">
        <f t="shared" ref="CY21:CY22" si="31">CY6/CT6-1</f>
        <v>3.3327824601994127E-2</v>
      </c>
      <c r="CZ21" s="314">
        <f t="shared" ref="CZ21:CZ22" si="32">CZ6/CU6-1</f>
        <v>3.2012275781787336E-2</v>
      </c>
      <c r="DA21" s="315">
        <f t="shared" ref="DA21:DA22" si="33">DA6/CV6-1</f>
        <v>3.3496664175179269E-2</v>
      </c>
      <c r="DB21" s="314">
        <f t="shared" ref="DB21:DB22" si="34">DB6/CW6-1</f>
        <v>3.7831845830254007E-2</v>
      </c>
      <c r="DC21" s="314">
        <f t="shared" ref="DC21:DC22" si="35">DC6/CX6-1</f>
        <v>3.5374475097007307E-2</v>
      </c>
      <c r="DD21" s="314">
        <f t="shared" ref="DD21:DD22" si="36">DD6/CY6-1</f>
        <v>3.5478195969719462E-2</v>
      </c>
      <c r="DE21" s="314">
        <f t="shared" ref="DE21:DE22" si="37">DE6/CZ6-1</f>
        <v>3.4121205906480823E-2</v>
      </c>
      <c r="DF21" s="315">
        <f t="shared" ref="DF21:DF22" si="38">DF6/DA6-1</f>
        <v>3.5652104036643317E-2</v>
      </c>
    </row>
    <row r="22" spans="2:110" s="296" customFormat="1" x14ac:dyDescent="0.25">
      <c r="B22" s="307" t="s">
        <v>195</v>
      </c>
      <c r="C22" s="299"/>
      <c r="D22" s="299"/>
      <c r="K22" s="300"/>
      <c r="L22" s="300"/>
      <c r="M22" s="300"/>
      <c r="N22" s="300"/>
      <c r="O22" s="300"/>
      <c r="P22" s="300"/>
      <c r="Q22" s="300"/>
      <c r="R22" s="300"/>
      <c r="S22" s="300"/>
      <c r="T22" s="300"/>
      <c r="U22" s="300"/>
      <c r="V22" s="300"/>
      <c r="W22" s="300"/>
      <c r="X22" s="300"/>
      <c r="Y22" s="300"/>
      <c r="Z22" s="300"/>
      <c r="AA22" s="300"/>
      <c r="AB22" s="300"/>
      <c r="AC22" s="300"/>
      <c r="AD22" s="300"/>
      <c r="AE22" s="300"/>
      <c r="AF22" s="300"/>
      <c r="AG22" s="300"/>
      <c r="AH22" s="300"/>
      <c r="AI22" s="316"/>
      <c r="AJ22" s="300"/>
      <c r="AK22" s="300"/>
      <c r="AL22" s="300"/>
      <c r="AM22" s="300"/>
      <c r="AN22" s="316"/>
      <c r="AO22" s="300"/>
      <c r="AP22" s="300"/>
      <c r="AQ22" s="300"/>
      <c r="AR22" s="300"/>
      <c r="AS22" s="316"/>
      <c r="AT22" s="300">
        <f t="shared" ref="AT22:BM22" si="39">AT7/AO7-1</f>
        <v>-0.14244270380040602</v>
      </c>
      <c r="AU22" s="300">
        <f t="shared" si="39"/>
        <v>-0.13269731136166518</v>
      </c>
      <c r="AV22" s="300">
        <f t="shared" si="39"/>
        <v>-3.6631093164118833E-2</v>
      </c>
      <c r="AW22" s="300">
        <f t="shared" si="39"/>
        <v>-3.2819166393173838E-2</v>
      </c>
      <c r="AX22" s="316">
        <f t="shared" si="39"/>
        <v>-8.7704918032786905E-2</v>
      </c>
      <c r="AY22" s="300">
        <f t="shared" si="39"/>
        <v>7.5778078484438405E-2</v>
      </c>
      <c r="AZ22" s="300">
        <f t="shared" si="39"/>
        <v>7.8999999999999959E-2</v>
      </c>
      <c r="BA22" s="300">
        <f t="shared" si="39"/>
        <v>0.10538922155688613</v>
      </c>
      <c r="BB22" s="300">
        <f t="shared" ca="1" si="39"/>
        <v>4.0719379029525493E-2</v>
      </c>
      <c r="BC22" s="316">
        <f t="shared" ca="1" si="39"/>
        <v>7.6206812872662955E-2</v>
      </c>
      <c r="BD22" s="300">
        <f t="shared" si="39"/>
        <v>-9.4968553459119476E-2</v>
      </c>
      <c r="BE22" s="300">
        <f t="shared" si="39"/>
        <v>-1.8226753166512122E-2</v>
      </c>
      <c r="BF22" s="300">
        <f t="shared" si="39"/>
        <v>-0.12134344528710728</v>
      </c>
      <c r="BG22" s="300">
        <f t="shared" ca="1" si="39"/>
        <v>4.1734590669267435E-2</v>
      </c>
      <c r="BH22" s="316">
        <f t="shared" ca="1" si="39"/>
        <v>-5.1684882322644343E-2</v>
      </c>
      <c r="BI22" s="300">
        <f t="shared" si="39"/>
        <v>0.26858929812369703</v>
      </c>
      <c r="BJ22" s="300">
        <f t="shared" si="39"/>
        <v>0.76400251730648217</v>
      </c>
      <c r="BK22" s="300">
        <f t="shared" si="39"/>
        <v>0.78175092478421715</v>
      </c>
      <c r="BL22" s="300">
        <f t="shared" si="39"/>
        <v>0.70954616588419417</v>
      </c>
      <c r="BM22" s="316">
        <f t="shared" si="39"/>
        <v>0.64057623049219692</v>
      </c>
      <c r="BN22" s="300">
        <f t="shared" si="18"/>
        <v>0.23253903040262935</v>
      </c>
      <c r="BO22" s="300">
        <f t="shared" ca="1" si="18"/>
        <v>-0.11355655598487036</v>
      </c>
      <c r="BP22" s="300">
        <f t="shared" si="18"/>
        <v>-4.7404844290657389E-2</v>
      </c>
      <c r="BQ22" s="300">
        <f t="shared" si="18"/>
        <v>-8.3105089710728497E-2</v>
      </c>
      <c r="BR22" s="316">
        <f t="shared" ca="1" si="18"/>
        <v>-2.5148448843903881E-2</v>
      </c>
      <c r="BS22" s="300">
        <f t="shared" ca="1" si="18"/>
        <v>0.206611120609411</v>
      </c>
      <c r="BT22" s="300">
        <f t="shared" ca="1" si="18"/>
        <v>0.19169269521410603</v>
      </c>
      <c r="BU22" s="300">
        <f t="shared" si="18"/>
        <v>9.2989466037050272E-2</v>
      </c>
      <c r="BV22" s="300">
        <f t="shared" ca="1" si="18"/>
        <v>0.18653255484290332</v>
      </c>
      <c r="BW22" s="316">
        <f t="shared" ca="1" si="18"/>
        <v>0.166563467850811</v>
      </c>
      <c r="BX22" s="300">
        <f t="shared" ca="1" si="18"/>
        <v>0.10447073121088946</v>
      </c>
      <c r="BY22" s="300">
        <f t="shared" si="18"/>
        <v>8.8145896656534939E-2</v>
      </c>
      <c r="BZ22" s="300">
        <f t="shared" si="19"/>
        <v>0.10152874709205717</v>
      </c>
      <c r="CA22" s="300">
        <f t="shared" ca="1" si="20"/>
        <v>0.14855484859976187</v>
      </c>
      <c r="CB22" s="316">
        <f t="shared" ca="1" si="18"/>
        <v>0.11080130404941668</v>
      </c>
      <c r="CC22" s="300">
        <f t="shared" si="18"/>
        <v>0.31315657828914456</v>
      </c>
      <c r="CD22" s="300">
        <f t="shared" si="21"/>
        <v>0.46648044692737445</v>
      </c>
      <c r="CE22" s="300">
        <f t="shared" si="21"/>
        <v>0.44531603560114652</v>
      </c>
      <c r="CF22" s="300">
        <f t="shared" si="21"/>
        <v>0.42871794871794866</v>
      </c>
      <c r="CG22" s="316">
        <f t="shared" si="21"/>
        <v>0.41560146746476145</v>
      </c>
      <c r="CH22" s="300">
        <f t="shared" si="21"/>
        <v>0.32304761904761925</v>
      </c>
      <c r="CI22" s="300">
        <f t="shared" si="21"/>
        <v>0.23492063492063497</v>
      </c>
      <c r="CJ22" s="300">
        <f t="shared" si="21"/>
        <v>0.21386076609957194</v>
      </c>
      <c r="CK22" s="300">
        <f t="shared" si="21"/>
        <v>0.24284688749871819</v>
      </c>
      <c r="CL22" s="316">
        <f t="shared" si="22"/>
        <v>0.25045693864746177</v>
      </c>
      <c r="CM22" s="300">
        <f t="shared" si="23"/>
        <v>0.40340232812360655</v>
      </c>
      <c r="CN22" s="300">
        <f t="shared" si="23"/>
        <v>0.35347043701799485</v>
      </c>
      <c r="CO22" s="300">
        <f t="shared" si="23"/>
        <v>0.34649542667302224</v>
      </c>
      <c r="CP22" s="300">
        <f t="shared" si="23"/>
        <v>0.34745297504183292</v>
      </c>
      <c r="CQ22" s="316">
        <f t="shared" si="23"/>
        <v>0.36145934101529464</v>
      </c>
      <c r="CR22" s="300">
        <f t="shared" si="24"/>
        <v>2.8210820798237668E-2</v>
      </c>
      <c r="CS22" s="300">
        <f t="shared" si="25"/>
        <v>2.6115859449192813E-2</v>
      </c>
      <c r="CT22" s="300">
        <f t="shared" si="26"/>
        <v>2.6002461164124746E-2</v>
      </c>
      <c r="CU22" s="300">
        <f t="shared" si="27"/>
        <v>2.4752802165961318E-2</v>
      </c>
      <c r="CV22" s="316">
        <f t="shared" si="28"/>
        <v>2.622159206474528E-2</v>
      </c>
      <c r="CW22" s="300">
        <f t="shared" si="29"/>
        <v>3.0180486579561849E-2</v>
      </c>
      <c r="CX22" s="300">
        <f t="shared" si="30"/>
        <v>2.7996298010180443E-2</v>
      </c>
      <c r="CY22" s="300">
        <f t="shared" si="31"/>
        <v>2.7901686103937617E-2</v>
      </c>
      <c r="CZ22" s="300">
        <f t="shared" si="32"/>
        <v>2.660602767476572E-2</v>
      </c>
      <c r="DA22" s="316">
        <f t="shared" si="33"/>
        <v>2.8122047887230606E-2</v>
      </c>
      <c r="DB22" s="300">
        <f t="shared" si="34"/>
        <v>3.222594066768325E-2</v>
      </c>
      <c r="DC22" s="300">
        <f t="shared" si="35"/>
        <v>2.9957236101733065E-2</v>
      </c>
      <c r="DD22" s="300">
        <f t="shared" si="36"/>
        <v>2.9884041760344759E-2</v>
      </c>
      <c r="DE22" s="300">
        <f t="shared" si="37"/>
        <v>2.8545973855235385E-2</v>
      </c>
      <c r="DF22" s="316">
        <f t="shared" si="38"/>
        <v>3.0104328865371732E-2</v>
      </c>
    </row>
    <row r="23" spans="2:110" s="296" customFormat="1" x14ac:dyDescent="0.25">
      <c r="B23" s="307" t="s">
        <v>89</v>
      </c>
      <c r="C23" s="299"/>
      <c r="D23" s="299"/>
      <c r="K23" s="300"/>
      <c r="L23" s="300"/>
      <c r="M23" s="300"/>
      <c r="N23" s="300"/>
      <c r="O23" s="300"/>
      <c r="P23" s="300"/>
      <c r="Q23" s="300"/>
      <c r="R23" s="300"/>
      <c r="S23" s="300"/>
      <c r="T23" s="300"/>
      <c r="U23" s="300"/>
      <c r="V23" s="300"/>
      <c r="W23" s="300"/>
      <c r="X23" s="300"/>
      <c r="Y23" s="300"/>
      <c r="Z23" s="300"/>
      <c r="AA23" s="300"/>
      <c r="AB23" s="300"/>
      <c r="AC23" s="300"/>
      <c r="AD23" s="300"/>
      <c r="AE23" s="300"/>
      <c r="AF23" s="300"/>
      <c r="AG23" s="300"/>
      <c r="AH23" s="300"/>
      <c r="AI23" s="316"/>
      <c r="AJ23" s="300"/>
      <c r="AK23" s="300"/>
      <c r="AL23" s="300"/>
      <c r="AM23" s="300"/>
      <c r="AN23" s="316"/>
      <c r="AO23" s="300"/>
      <c r="AP23" s="300"/>
      <c r="AQ23" s="300"/>
      <c r="AR23" s="300"/>
      <c r="AS23" s="316"/>
      <c r="AT23" s="300">
        <f t="shared" ref="AT23:BC24" si="40">AT9/AO9-1</f>
        <v>-0.15517241379310576</v>
      </c>
      <c r="AU23" s="300">
        <f t="shared" si="40"/>
        <v>-0.19653179190751624</v>
      </c>
      <c r="AV23" s="300">
        <f t="shared" si="40"/>
        <v>0.17073170731707021</v>
      </c>
      <c r="AW23" s="300">
        <f t="shared" si="40"/>
        <v>-0.18784530386740184</v>
      </c>
      <c r="AX23" s="316">
        <f t="shared" si="40"/>
        <v>-0.11367127496159879</v>
      </c>
      <c r="AY23" s="300">
        <f t="shared" si="40"/>
        <v>-1.3605442176869986E-2</v>
      </c>
      <c r="AZ23" s="300">
        <f t="shared" si="40"/>
        <v>-2.8776978417264565E-2</v>
      </c>
      <c r="BA23" s="300">
        <f t="shared" si="40"/>
        <v>-9.7222222222220767E-2</v>
      </c>
      <c r="BB23" s="300">
        <f t="shared" ca="1" si="40"/>
        <v>-0.1700680952381719</v>
      </c>
      <c r="BC23" s="316">
        <f t="shared" ca="1" si="40"/>
        <v>-7.7989618717522968E-2</v>
      </c>
      <c r="BD23" s="300">
        <f t="shared" ref="BD23:BM24" si="41">BD9/AY9-1</f>
        <v>-0.11724137931034406</v>
      </c>
      <c r="BE23" s="300">
        <f t="shared" si="41"/>
        <v>2.2222222222223031E-2</v>
      </c>
      <c r="BF23" s="300">
        <f t="shared" si="41"/>
        <v>-0.12307692307692042</v>
      </c>
      <c r="BG23" s="300">
        <f t="shared" ca="1" si="41"/>
        <v>7.3770579817348914E-2</v>
      </c>
      <c r="BH23" s="316">
        <f t="shared" ca="1" si="41"/>
        <v>-3.9473666155501075E-2</v>
      </c>
      <c r="BI23" s="300">
        <f t="shared" si="41"/>
        <v>7.8124999999973355E-3</v>
      </c>
      <c r="BJ23" s="300">
        <f t="shared" si="41"/>
        <v>4.637681159420282</v>
      </c>
      <c r="BK23" s="300">
        <f t="shared" si="41"/>
        <v>5.6842105263157636</v>
      </c>
      <c r="BL23" s="300">
        <f t="shared" si="41"/>
        <v>3.9847328244275122</v>
      </c>
      <c r="BM23" s="316">
        <f t="shared" si="41"/>
        <v>3.5440313111545985</v>
      </c>
      <c r="BN23" s="300">
        <f t="shared" ref="BN23:BW24" si="42">BN9/BI9-1</f>
        <v>3.1317829457364423</v>
      </c>
      <c r="BO23" s="300">
        <f t="shared" ca="1" si="42"/>
        <v>-0.24344723283909686</v>
      </c>
      <c r="BP23" s="300">
        <f t="shared" si="42"/>
        <v>-0.54986876640419968</v>
      </c>
      <c r="BQ23" s="300">
        <f t="shared" si="42"/>
        <v>4.5819295558959805E-2</v>
      </c>
      <c r="BR23" s="316">
        <f t="shared" ca="1" si="42"/>
        <v>-7.514295742843069E-2</v>
      </c>
      <c r="BS23" s="300">
        <f t="shared" si="42"/>
        <v>-0.19699812382739235</v>
      </c>
      <c r="BT23" s="300">
        <f t="shared" ca="1" si="42"/>
        <v>-0.27964423608584132</v>
      </c>
      <c r="BU23" s="300">
        <f t="shared" si="42"/>
        <v>0.27113702623906932</v>
      </c>
      <c r="BV23" s="300">
        <f t="shared" ca="1" si="42"/>
        <v>-0.17303631063323444</v>
      </c>
      <c r="BW23" s="316">
        <f t="shared" ca="1" si="42"/>
        <v>-0.17905230288549601</v>
      </c>
      <c r="BX23" s="300">
        <f t="shared" ref="BX23:CC24" si="43">BX9/BS9-1</f>
        <v>0.15654205607476634</v>
      </c>
      <c r="BY23" s="300">
        <f t="shared" si="43"/>
        <v>0.16981132075471805</v>
      </c>
      <c r="BZ23" s="300">
        <f t="shared" ref="BZ23:BZ25" si="44">BZ9/BU9-1</f>
        <v>0.10779816513761298</v>
      </c>
      <c r="CA23" s="300">
        <f t="shared" ref="CA23:CA25" ca="1" si="45">CA9/BV9-1</f>
        <v>-3.3200604379423848E-2</v>
      </c>
      <c r="CB23" s="316">
        <f t="shared" ca="1" si="43"/>
        <v>0.14577424844015763</v>
      </c>
      <c r="CC23" s="300">
        <f t="shared" si="43"/>
        <v>1.6161616161615155E-2</v>
      </c>
      <c r="CD23" s="300">
        <f t="shared" ref="CD23:CK25" si="46">CD9/BY9-1</f>
        <v>-0.12500000000000089</v>
      </c>
      <c r="CE23" s="300">
        <f t="shared" si="46"/>
        <v>-0.11801242236024712</v>
      </c>
      <c r="CF23" s="300">
        <f t="shared" si="46"/>
        <v>-1.4395604395604393</v>
      </c>
      <c r="CG23" s="316">
        <f t="shared" si="46"/>
        <v>-0.44405940594059423</v>
      </c>
      <c r="CH23" s="300">
        <f t="shared" si="46"/>
        <v>2.783300198807348E-2</v>
      </c>
      <c r="CI23" s="300">
        <f t="shared" si="46"/>
        <v>0.12442396313364013</v>
      </c>
      <c r="CJ23" s="300">
        <f t="shared" si="46"/>
        <v>0.11032863849765095</v>
      </c>
      <c r="CK23" s="300">
        <f t="shared" si="46"/>
        <v>-4.0416666666666856</v>
      </c>
      <c r="CL23" s="316">
        <f t="shared" ref="CL23:CL25" si="47">CL9/CG9-1</f>
        <v>0.96616206589492881</v>
      </c>
      <c r="CM23" s="300">
        <f t="shared" ref="CM23:CQ25" si="48">CM9/CH9-1</f>
        <v>2.508609561470295</v>
      </c>
      <c r="CN23" s="300">
        <f t="shared" si="48"/>
        <v>2.8176229508196746</v>
      </c>
      <c r="CO23" s="300">
        <f t="shared" si="48"/>
        <v>3.1083682617182937</v>
      </c>
      <c r="CP23" s="300">
        <f t="shared" si="48"/>
        <v>1.7660512266685187</v>
      </c>
      <c r="CQ23" s="316">
        <f t="shared" si="48"/>
        <v>2.4598852928174417</v>
      </c>
      <c r="CR23" s="300">
        <f t="shared" ref="CR23:CR25" si="49">CR9/CM9-1</f>
        <v>7.5801380047844313E-2</v>
      </c>
      <c r="CS23" s="300">
        <f t="shared" ref="CS23:CS25" si="50">CS9/CN9-1</f>
        <v>7.3805689747718839E-2</v>
      </c>
      <c r="CT23" s="300">
        <f t="shared" ref="CT23:CT25" si="51">CT9/CO9-1</f>
        <v>7.3489036395143259E-2</v>
      </c>
      <c r="CU23" s="300">
        <f t="shared" ref="CU23:CU25" si="52">CU9/CP9-1</f>
        <v>7.220229089947594E-2</v>
      </c>
      <c r="CV23" s="316">
        <f t="shared" ref="CV23:CV25" si="53">CV9/CQ9-1</f>
        <v>7.3775207700685685E-2</v>
      </c>
      <c r="CW23" s="300">
        <f t="shared" ref="CW23:CW25" si="54">CW9/CR9-1</f>
        <v>7.7506424140226127E-2</v>
      </c>
      <c r="CX23" s="300">
        <f t="shared" ref="CX23:CX25" si="55">CX9/CS9-1</f>
        <v>7.5606098475382355E-2</v>
      </c>
      <c r="CY23" s="300">
        <f t="shared" ref="CY23:CY25" si="56">CY9/CT9-1</f>
        <v>7.5120074774826628E-2</v>
      </c>
      <c r="CZ23" s="300">
        <f t="shared" ref="CZ23:CZ25" si="57">CZ9/CU9-1</f>
        <v>7.3798745379131114E-2</v>
      </c>
      <c r="DA23" s="316">
        <f t="shared" ref="DA23:DA25" si="58">DA9/CV9-1</f>
        <v>7.5457565299542395E-2</v>
      </c>
      <c r="DB23" s="300">
        <f t="shared" ref="DB23:DB25" si="59">DB9/CW9-1</f>
        <v>7.9124416007336551E-2</v>
      </c>
      <c r="DC23" s="300">
        <f t="shared" ref="DC23:DC25" si="60">DC9/CX9-1</f>
        <v>7.7320785407225756E-2</v>
      </c>
      <c r="DD23" s="300">
        <f t="shared" ref="DD23:DD25" si="61">DD9/CY9-1</f>
        <v>7.6672191899133324E-2</v>
      </c>
      <c r="DE23" s="300">
        <f t="shared" ref="DE23:DE25" si="62">DE9/CZ9-1</f>
        <v>7.5319911728070288E-2</v>
      </c>
      <c r="DF23" s="316">
        <f t="shared" ref="DF23:DF25" si="63">DF9/DA9-1</f>
        <v>7.7058515028398444E-2</v>
      </c>
    </row>
    <row r="24" spans="2:110" s="296" customFormat="1" x14ac:dyDescent="0.25">
      <c r="B24" s="307" t="s">
        <v>151</v>
      </c>
      <c r="C24" s="299"/>
      <c r="D24" s="299"/>
      <c r="K24" s="300"/>
      <c r="L24" s="300"/>
      <c r="M24" s="300"/>
      <c r="N24" s="300"/>
      <c r="O24" s="300"/>
      <c r="P24" s="300"/>
      <c r="Q24" s="300"/>
      <c r="R24" s="300"/>
      <c r="S24" s="300"/>
      <c r="T24" s="300"/>
      <c r="U24" s="300"/>
      <c r="V24" s="300"/>
      <c r="W24" s="300"/>
      <c r="X24" s="300"/>
      <c r="Y24" s="300"/>
      <c r="Z24" s="300"/>
      <c r="AA24" s="300"/>
      <c r="AB24" s="300"/>
      <c r="AC24" s="300"/>
      <c r="AD24" s="300"/>
      <c r="AE24" s="300"/>
      <c r="AF24" s="300"/>
      <c r="AG24" s="300"/>
      <c r="AH24" s="300"/>
      <c r="AI24" s="316"/>
      <c r="AJ24" s="300"/>
      <c r="AK24" s="300"/>
      <c r="AL24" s="300"/>
      <c r="AM24" s="300"/>
      <c r="AN24" s="316"/>
      <c r="AO24" s="300"/>
      <c r="AP24" s="300"/>
      <c r="AQ24" s="300"/>
      <c r="AR24" s="300"/>
      <c r="AS24" s="316"/>
      <c r="AT24" s="300">
        <f t="shared" si="40"/>
        <v>-0.36627906976744184</v>
      </c>
      <c r="AU24" s="300">
        <f t="shared" si="40"/>
        <v>-0.15503875968992242</v>
      </c>
      <c r="AV24" s="300">
        <f t="shared" si="40"/>
        <v>-1.8348623853211121E-2</v>
      </c>
      <c r="AW24" s="300">
        <f t="shared" si="40"/>
        <v>0</v>
      </c>
      <c r="AX24" s="316">
        <f t="shared" si="40"/>
        <v>-0.16441005802707931</v>
      </c>
      <c r="AY24" s="300">
        <f t="shared" si="40"/>
        <v>9.1743119266054496E-3</v>
      </c>
      <c r="AZ24" s="300">
        <f t="shared" si="40"/>
        <v>-0.21100917431192667</v>
      </c>
      <c r="BA24" s="300">
        <f t="shared" si="40"/>
        <v>-0.17757009345794383</v>
      </c>
      <c r="BB24" s="300">
        <f t="shared" ca="1" si="40"/>
        <v>1.3738317757009346</v>
      </c>
      <c r="BC24" s="316">
        <f t="shared" ca="1" si="40"/>
        <v>0.24537037037037046</v>
      </c>
      <c r="BD24" s="300">
        <f t="shared" si="41"/>
        <v>-9.9999999999999978E-2</v>
      </c>
      <c r="BE24" s="300">
        <f t="shared" si="41"/>
        <v>0.11627906976744184</v>
      </c>
      <c r="BF24" s="300">
        <f t="shared" si="41"/>
        <v>4.5454545454545192E-2</v>
      </c>
      <c r="BG24" s="300">
        <f t="shared" ca="1" si="41"/>
        <v>-0.58267716535433078</v>
      </c>
      <c r="BH24" s="316">
        <f t="shared" ca="1" si="41"/>
        <v>-0.26951672862453557</v>
      </c>
      <c r="BI24" s="300">
        <f t="shared" si="41"/>
        <v>-3.0303030303030387E-2</v>
      </c>
      <c r="BJ24" s="300">
        <f t="shared" si="41"/>
        <v>7.7083333333333339</v>
      </c>
      <c r="BK24" s="300">
        <f t="shared" si="41"/>
        <v>9.554347826086957</v>
      </c>
      <c r="BL24" s="300">
        <f t="shared" si="41"/>
        <v>4.9528301886792452</v>
      </c>
      <c r="BM24" s="316">
        <f t="shared" si="41"/>
        <v>5.447837150127226</v>
      </c>
      <c r="BN24" s="300">
        <f t="shared" si="42"/>
        <v>2.9479166666666683</v>
      </c>
      <c r="BO24" s="300">
        <f t="shared" ca="1" si="42"/>
        <v>-0.4035908458717915</v>
      </c>
      <c r="BP24" s="300">
        <f t="shared" si="42"/>
        <v>-0.77239958805355302</v>
      </c>
      <c r="BQ24" s="300">
        <f t="shared" si="42"/>
        <v>-0.36866877971473833</v>
      </c>
      <c r="BR24" s="316">
        <f t="shared" ca="1" si="42"/>
        <v>-0.40924701939574482</v>
      </c>
      <c r="BS24" s="300">
        <f t="shared" ca="1" si="42"/>
        <v>-0.4249618025497448</v>
      </c>
      <c r="BT24" s="300">
        <f t="shared" ca="1" si="42"/>
        <v>-0.41235229795922934</v>
      </c>
      <c r="BU24" s="300">
        <f t="shared" si="42"/>
        <v>0.40271493212669673</v>
      </c>
      <c r="BV24" s="300">
        <f t="shared" ca="1" si="42"/>
        <v>-4.0940524722360871E-2</v>
      </c>
      <c r="BW24" s="316">
        <f t="shared" ca="1" si="42"/>
        <v>-0.19637563559975757</v>
      </c>
      <c r="BX24" s="300">
        <f t="shared" ca="1" si="43"/>
        <v>0.38570581331860598</v>
      </c>
      <c r="BY24" s="300">
        <f t="shared" si="43"/>
        <v>1.3651877133105783E-2</v>
      </c>
      <c r="BZ24" s="300">
        <f t="shared" si="44"/>
        <v>6.1290322580645151E-2</v>
      </c>
      <c r="CA24" s="300">
        <f t="shared" ca="1" si="45"/>
        <v>-0.15981898014563189</v>
      </c>
      <c r="CB24" s="316">
        <f t="shared" ca="1" si="43"/>
        <v>3.8237738985868797E-2</v>
      </c>
      <c r="CC24" s="300">
        <f t="shared" si="43"/>
        <v>6.6225165562914023E-2</v>
      </c>
      <c r="CD24" s="300">
        <f t="shared" si="46"/>
        <v>9.7643097643097754E-2</v>
      </c>
      <c r="CE24" s="300">
        <f t="shared" si="46"/>
        <v>-4.2553191489361653E-2</v>
      </c>
      <c r="CF24" s="300">
        <f t="shared" si="46"/>
        <v>-0.74454828660436145</v>
      </c>
      <c r="CG24" s="316">
        <f t="shared" si="46"/>
        <v>-0.16333066453162526</v>
      </c>
      <c r="CH24" s="300">
        <f t="shared" si="46"/>
        <v>0.25465838509316763</v>
      </c>
      <c r="CI24" s="300">
        <f t="shared" si="46"/>
        <v>-0.19018404907975472</v>
      </c>
      <c r="CJ24" s="300">
        <f t="shared" si="46"/>
        <v>-0.20000000000000007</v>
      </c>
      <c r="CK24" s="300">
        <f t="shared" si="46"/>
        <v>4.1085365853658526</v>
      </c>
      <c r="CL24" s="316">
        <f t="shared" si="47"/>
        <v>0.28124401913875574</v>
      </c>
      <c r="CM24" s="300">
        <f t="shared" si="48"/>
        <v>1.3215499083024582</v>
      </c>
      <c r="CN24" s="300">
        <f t="shared" si="48"/>
        <v>2.6703018419832047</v>
      </c>
      <c r="CO24" s="300">
        <f t="shared" si="48"/>
        <v>2.9870262824017262</v>
      </c>
      <c r="CP24" s="300">
        <f t="shared" si="48"/>
        <v>1.4932637550949908</v>
      </c>
      <c r="CQ24" s="316">
        <f t="shared" si="48"/>
        <v>1.9546826943104683</v>
      </c>
      <c r="CR24" s="300">
        <f t="shared" si="49"/>
        <v>7.0369513078061718E-2</v>
      </c>
      <c r="CS24" s="300">
        <f t="shared" si="50"/>
        <v>6.8114288895900321E-2</v>
      </c>
      <c r="CT24" s="300">
        <f t="shared" si="51"/>
        <v>6.8070458974340831E-2</v>
      </c>
      <c r="CU24" s="300">
        <f t="shared" si="52"/>
        <v>6.6770877840539811E-2</v>
      </c>
      <c r="CV24" s="316">
        <f t="shared" si="53"/>
        <v>6.8283159183486264E-2</v>
      </c>
      <c r="CW24" s="300">
        <f t="shared" si="54"/>
        <v>7.2317515998069126E-2</v>
      </c>
      <c r="CX24" s="300">
        <f t="shared" si="55"/>
        <v>7.0147659819194796E-2</v>
      </c>
      <c r="CY24" s="300">
        <f t="shared" si="56"/>
        <v>6.9944315181506678E-2</v>
      </c>
      <c r="CZ24" s="300">
        <f t="shared" si="57"/>
        <v>6.8609499535550844E-2</v>
      </c>
      <c r="DA24" s="316">
        <f t="shared" si="58"/>
        <v>7.0205952275558925E-2</v>
      </c>
      <c r="DB24" s="300">
        <f t="shared" si="59"/>
        <v>7.4184433631893754E-2</v>
      </c>
      <c r="DC24" s="300">
        <f t="shared" si="60"/>
        <v>7.21044662323993E-2</v>
      </c>
      <c r="DD24" s="300">
        <f t="shared" si="61"/>
        <v>7.1745116472242243E-2</v>
      </c>
      <c r="DE24" s="300">
        <f t="shared" si="62"/>
        <v>7.0378876253374578E-2</v>
      </c>
      <c r="DF24" s="316">
        <f t="shared" si="63"/>
        <v>7.205405510053553E-2</v>
      </c>
    </row>
    <row r="25" spans="2:110" s="296" customFormat="1" ht="13.5" thickBot="1" x14ac:dyDescent="0.3">
      <c r="B25" s="317" t="s">
        <v>192</v>
      </c>
      <c r="C25" s="310"/>
      <c r="D25" s="310"/>
      <c r="E25" s="311"/>
      <c r="F25" s="311"/>
      <c r="G25" s="311"/>
      <c r="H25" s="311"/>
      <c r="I25" s="311"/>
      <c r="J25" s="311"/>
      <c r="K25" s="318"/>
      <c r="L25" s="318"/>
      <c r="M25" s="318"/>
      <c r="N25" s="318"/>
      <c r="O25" s="318"/>
      <c r="P25" s="318"/>
      <c r="Q25" s="318"/>
      <c r="R25" s="318"/>
      <c r="S25" s="318"/>
      <c r="T25" s="318"/>
      <c r="U25" s="318"/>
      <c r="V25" s="318"/>
      <c r="W25" s="318"/>
      <c r="X25" s="318"/>
      <c r="Y25" s="318"/>
      <c r="Z25" s="318"/>
      <c r="AA25" s="318"/>
      <c r="AB25" s="318"/>
      <c r="AC25" s="318"/>
      <c r="AD25" s="318"/>
      <c r="AE25" s="318"/>
      <c r="AF25" s="318"/>
      <c r="AG25" s="318"/>
      <c r="AH25" s="318"/>
      <c r="AI25" s="319"/>
      <c r="AJ25" s="318"/>
      <c r="AK25" s="318"/>
      <c r="AL25" s="318"/>
      <c r="AM25" s="318"/>
      <c r="AN25" s="319"/>
      <c r="AO25" s="318"/>
      <c r="AP25" s="318"/>
      <c r="AQ25" s="318"/>
      <c r="AR25" s="318"/>
      <c r="AS25" s="319"/>
      <c r="AT25" s="375">
        <f>AT11/AO11-1</f>
        <v>17.999999999996632</v>
      </c>
      <c r="AU25" s="318">
        <f>AU11/AP11-1</f>
        <v>-0.31818181818182512</v>
      </c>
      <c r="AV25" s="318">
        <f>AV11/AQ11-1</f>
        <v>1.6428571428571064</v>
      </c>
      <c r="AW25" s="318">
        <f>AW11/AR11-1</f>
        <v>-0.45945945945945543</v>
      </c>
      <c r="AX25" s="319">
        <f>AX11/AS11-1</f>
        <v>8.2089552238798325E-2</v>
      </c>
      <c r="AY25" s="375">
        <f t="shared" ref="AY25:BM25" si="64">AY11/AT11-1</f>
        <v>-7.8947368421049768E-2</v>
      </c>
      <c r="AZ25" s="318">
        <f t="shared" si="64"/>
        <v>0.63333333333334596</v>
      </c>
      <c r="BA25" s="318">
        <f t="shared" si="64"/>
        <v>0.13513513513514175</v>
      </c>
      <c r="BB25" s="318">
        <f t="shared" ca="1" si="64"/>
        <v>-4.3000002500002381</v>
      </c>
      <c r="BC25" s="319">
        <f t="shared" ca="1" si="64"/>
        <v>-1.0413793793104205</v>
      </c>
      <c r="BD25" s="375">
        <f t="shared" si="64"/>
        <v>-0.17142857142856827</v>
      </c>
      <c r="BE25" s="318">
        <f t="shared" si="64"/>
        <v>-0.14285714285714057</v>
      </c>
      <c r="BF25" s="318">
        <f t="shared" si="64"/>
        <v>-0.47619047619046784</v>
      </c>
      <c r="BG25" s="318">
        <f t="shared" ca="1" si="64"/>
        <v>-1.1893939250458923</v>
      </c>
      <c r="BH25" s="319">
        <f t="shared" ca="1" si="64"/>
        <v>-20.666633888907576</v>
      </c>
      <c r="BI25" s="375">
        <f t="shared" si="64"/>
        <v>0.13793103448274668</v>
      </c>
      <c r="BJ25" s="318">
        <f t="shared" si="64"/>
        <v>-2.3809523809523867</v>
      </c>
      <c r="BK25" s="318">
        <f t="shared" si="64"/>
        <v>-10.499999999999877</v>
      </c>
      <c r="BL25" s="318">
        <f t="shared" si="64"/>
        <v>-0.11999999999998689</v>
      </c>
      <c r="BM25" s="319">
        <f t="shared" si="64"/>
        <v>-2.7966101694915451</v>
      </c>
      <c r="BN25" s="375">
        <f t="shared" ref="BN25:CC25" si="65">BN11/BI11-1</f>
        <v>3.666666666666698</v>
      </c>
      <c r="BO25" s="318">
        <f t="shared" si="65"/>
        <v>-2.551724137931024</v>
      </c>
      <c r="BP25" s="318">
        <f t="shared" si="65"/>
        <v>-1.5837320574162641</v>
      </c>
      <c r="BQ25" s="318">
        <f t="shared" si="65"/>
        <v>11.934090909091193</v>
      </c>
      <c r="BR25" s="319">
        <f t="shared" si="65"/>
        <v>-4.0686320754716725</v>
      </c>
      <c r="BS25" s="375">
        <f t="shared" ca="1" si="65"/>
        <v>0.36402937121008572</v>
      </c>
      <c r="BT25" s="318">
        <f t="shared" si="65"/>
        <v>0.45555555555555305</v>
      </c>
      <c r="BU25" s="318">
        <f t="shared" si="65"/>
        <v>3.2786885245907449E-2</v>
      </c>
      <c r="BV25" s="318">
        <f t="shared" ca="1" si="65"/>
        <v>-0.35797041090845749</v>
      </c>
      <c r="BW25" s="319">
        <f t="shared" ca="1" si="65"/>
        <v>-0.13918991622472976</v>
      </c>
      <c r="BX25" s="375">
        <f t="shared" ca="1" si="65"/>
        <v>-8.1217179264294503E-2</v>
      </c>
      <c r="BY25" s="318">
        <f t="shared" si="65"/>
        <v>0.51908396946565327</v>
      </c>
      <c r="BZ25" s="318">
        <f t="shared" si="44"/>
        <v>0.22222222222221655</v>
      </c>
      <c r="CA25" s="318">
        <f t="shared" ca="1" si="45"/>
        <v>0.23159774311191694</v>
      </c>
      <c r="CB25" s="319">
        <f t="shared" ca="1" si="65"/>
        <v>0.37678571428570962</v>
      </c>
      <c r="CC25" s="375">
        <f t="shared" si="65"/>
        <v>-6.2176165803111361E-2</v>
      </c>
      <c r="CD25" s="318">
        <f t="shared" si="46"/>
        <v>-0.45728643216080589</v>
      </c>
      <c r="CE25" s="318">
        <f t="shared" si="46"/>
        <v>-0.27922077922077571</v>
      </c>
      <c r="CF25" s="318">
        <f t="shared" si="46"/>
        <v>-2.4311111111111101</v>
      </c>
      <c r="CG25" s="319">
        <f t="shared" si="46"/>
        <v>-0.89883268482490342</v>
      </c>
      <c r="CH25" s="318">
        <f t="shared" si="46"/>
        <v>-0.37569060773480234</v>
      </c>
      <c r="CI25" s="318">
        <f t="shared" si="46"/>
        <v>1.0740740740740748</v>
      </c>
      <c r="CJ25" s="318">
        <f t="shared" si="46"/>
        <v>0.99099099099098287</v>
      </c>
      <c r="CK25" s="318">
        <f t="shared" si="46"/>
        <v>-1.9661490683229959</v>
      </c>
      <c r="CL25" s="319">
        <f t="shared" si="47"/>
        <v>10.142307692307822</v>
      </c>
      <c r="CM25" s="375">
        <f t="shared" si="48"/>
        <v>6.7526104453623663</v>
      </c>
      <c r="CN25" s="318">
        <f t="shared" si="48"/>
        <v>2.9912514005198005</v>
      </c>
      <c r="CO25" s="318">
        <f t="shared" si="48"/>
        <v>3.2467310616629765</v>
      </c>
      <c r="CP25" s="318">
        <f t="shared" si="48"/>
        <v>2.133362933007795</v>
      </c>
      <c r="CQ25" s="319">
        <f t="shared" si="48"/>
        <v>3.2381798033927307</v>
      </c>
      <c r="CR25" s="375">
        <f t="shared" si="49"/>
        <v>8.1616813754696871E-2</v>
      </c>
      <c r="CS25" s="318">
        <f t="shared" si="50"/>
        <v>7.9974022315371984E-2</v>
      </c>
      <c r="CT25" s="318">
        <f t="shared" si="51"/>
        <v>7.9289836365075139E-2</v>
      </c>
      <c r="CU25" s="318">
        <f t="shared" si="52"/>
        <v>7.8021724316278407E-2</v>
      </c>
      <c r="CV25" s="319">
        <f t="shared" si="53"/>
        <v>7.9673743610903625E-2</v>
      </c>
      <c r="CW25" s="375">
        <f t="shared" si="54"/>
        <v>8.300397514949065E-2</v>
      </c>
      <c r="CX25" s="318">
        <f t="shared" si="55"/>
        <v>8.1456982046945958E-2</v>
      </c>
      <c r="CY25" s="318">
        <f t="shared" si="56"/>
        <v>8.0603330726746858E-2</v>
      </c>
      <c r="CZ25" s="318">
        <f t="shared" si="57"/>
        <v>7.9300684187465054E-2</v>
      </c>
      <c r="DA25" s="319">
        <f t="shared" si="58"/>
        <v>8.1038364817006991E-2</v>
      </c>
      <c r="DB25" s="375">
        <f t="shared" si="59"/>
        <v>8.4306590519981572E-2</v>
      </c>
      <c r="DC25" s="318">
        <f t="shared" si="60"/>
        <v>8.2853670316168415E-2</v>
      </c>
      <c r="DD25" s="318">
        <f t="shared" si="61"/>
        <v>8.1840501332073545E-2</v>
      </c>
      <c r="DE25" s="318">
        <f t="shared" si="62"/>
        <v>8.0506790048676224E-2</v>
      </c>
      <c r="DF25" s="319">
        <f t="shared" si="63"/>
        <v>8.2323379257165374E-2</v>
      </c>
    </row>
    <row r="26" spans="2:110" s="296" customFormat="1" ht="13.5" thickBot="1" x14ac:dyDescent="0.3">
      <c r="B26" s="299"/>
      <c r="C26" s="299"/>
      <c r="D26" s="299"/>
      <c r="P26" s="320"/>
      <c r="Q26" s="320"/>
      <c r="U26" s="320"/>
      <c r="V26" s="320"/>
    </row>
    <row r="27" spans="2:110" ht="13.5" thickBot="1" x14ac:dyDescent="0.3">
      <c r="B27" s="949" t="s">
        <v>759</v>
      </c>
      <c r="C27" s="950"/>
      <c r="D27" s="950"/>
      <c r="E27" s="951"/>
      <c r="F27" s="951"/>
      <c r="G27" s="951"/>
      <c r="H27" s="951"/>
      <c r="I27" s="951"/>
      <c r="J27" s="951"/>
      <c r="K27" s="951"/>
      <c r="L27" s="951"/>
      <c r="M27" s="951"/>
      <c r="N27" s="951"/>
      <c r="O27" s="951"/>
      <c r="P27" s="951"/>
      <c r="Q27" s="951"/>
      <c r="R27" s="951"/>
      <c r="S27" s="951"/>
      <c r="T27" s="951"/>
      <c r="U27" s="951"/>
      <c r="V27" s="951"/>
      <c r="W27" s="951"/>
      <c r="X27" s="951"/>
      <c r="Y27" s="951"/>
      <c r="Z27" s="951"/>
      <c r="AA27" s="951"/>
      <c r="AB27" s="951"/>
      <c r="AC27" s="951"/>
      <c r="AD27" s="951"/>
      <c r="AE27" s="951"/>
      <c r="AF27" s="951"/>
      <c r="AG27" s="951"/>
      <c r="AH27" s="951"/>
      <c r="AI27" s="951"/>
      <c r="AJ27" s="951"/>
      <c r="AK27" s="951"/>
      <c r="AL27" s="951"/>
      <c r="AM27" s="951"/>
      <c r="AN27" s="951"/>
      <c r="AO27" s="951"/>
      <c r="AP27" s="951"/>
      <c r="AQ27" s="951"/>
      <c r="AR27" s="951"/>
      <c r="AS27" s="951"/>
      <c r="AT27" s="951"/>
      <c r="AU27" s="951"/>
      <c r="AV27" s="951"/>
      <c r="AW27" s="951"/>
      <c r="AX27" s="951"/>
      <c r="AY27" s="951"/>
      <c r="AZ27" s="951"/>
      <c r="BA27" s="951"/>
      <c r="BB27" s="951"/>
      <c r="BC27" s="951"/>
      <c r="BD27" s="951"/>
      <c r="BE27" s="951"/>
      <c r="BF27" s="951"/>
      <c r="BG27" s="951"/>
      <c r="BH27" s="951"/>
      <c r="BI27" s="951"/>
      <c r="BJ27" s="951"/>
      <c r="BK27" s="951"/>
      <c r="BL27" s="951"/>
      <c r="BM27" s="951"/>
      <c r="BN27" s="951"/>
      <c r="BO27" s="951"/>
      <c r="BP27" s="951"/>
      <c r="BQ27" s="951"/>
      <c r="BR27" s="951"/>
      <c r="BS27" s="951"/>
      <c r="BT27" s="951"/>
      <c r="BU27" s="951"/>
      <c r="BV27" s="951"/>
      <c r="BW27" s="951"/>
      <c r="BX27" s="951"/>
      <c r="BY27" s="951"/>
      <c r="BZ27" s="951"/>
      <c r="CA27" s="951"/>
      <c r="CB27" s="953"/>
      <c r="CC27" s="951"/>
      <c r="CD27" s="951"/>
      <c r="CE27" s="951"/>
      <c r="CF27" s="951"/>
      <c r="CG27" s="953"/>
      <c r="CH27" s="951"/>
      <c r="CI27" s="951"/>
      <c r="CJ27" s="951"/>
      <c r="CK27" s="951"/>
      <c r="CL27" s="953"/>
      <c r="CM27" s="951"/>
      <c r="CN27" s="951"/>
      <c r="CO27" s="951"/>
      <c r="CP27" s="951"/>
      <c r="CQ27" s="953"/>
      <c r="CR27" s="951"/>
      <c r="CS27" s="951"/>
      <c r="CT27" s="951"/>
      <c r="CU27" s="951"/>
      <c r="CV27" s="953"/>
      <c r="CW27" s="951"/>
      <c r="CX27" s="951"/>
      <c r="CY27" s="951"/>
      <c r="CZ27" s="951"/>
      <c r="DA27" s="953"/>
      <c r="DB27" s="951"/>
      <c r="DC27" s="951"/>
      <c r="DD27" s="951"/>
      <c r="DE27" s="951"/>
      <c r="DF27" s="953"/>
    </row>
    <row r="28" spans="2:110" x14ac:dyDescent="0.25">
      <c r="B28" s="302" t="s">
        <v>194</v>
      </c>
      <c r="C28" s="303"/>
      <c r="D28" s="303"/>
      <c r="E28" s="304"/>
      <c r="F28" s="304"/>
      <c r="G28" s="304"/>
      <c r="H28" s="304"/>
      <c r="I28" s="304"/>
      <c r="J28" s="304"/>
      <c r="K28" s="314"/>
      <c r="L28" s="314"/>
      <c r="M28" s="314"/>
      <c r="N28" s="314"/>
      <c r="O28" s="314"/>
      <c r="P28" s="314"/>
      <c r="Q28" s="314"/>
      <c r="R28" s="314"/>
      <c r="S28" s="314"/>
      <c r="T28" s="314"/>
      <c r="U28" s="314"/>
      <c r="V28" s="314"/>
      <c r="W28" s="314"/>
      <c r="X28" s="314"/>
      <c r="Y28" s="314"/>
      <c r="Z28" s="314"/>
      <c r="AA28" s="314"/>
      <c r="AB28" s="314"/>
      <c r="AC28" s="314"/>
      <c r="AD28" s="314"/>
      <c r="AE28" s="314"/>
      <c r="AF28" s="314"/>
      <c r="AG28" s="314"/>
      <c r="AH28" s="314"/>
      <c r="AI28" s="315"/>
      <c r="AJ28" s="314"/>
      <c r="AK28" s="314"/>
      <c r="AL28" s="314"/>
      <c r="AM28" s="314"/>
      <c r="AN28" s="315"/>
      <c r="AO28" s="314"/>
      <c r="AP28" s="314"/>
      <c r="AQ28" s="314"/>
      <c r="AR28" s="314"/>
      <c r="AS28" s="315"/>
      <c r="AT28" s="314"/>
      <c r="AU28" s="314"/>
      <c r="AV28" s="314"/>
      <c r="AW28" s="314"/>
      <c r="AX28" s="315"/>
      <c r="AY28" s="314"/>
      <c r="AZ28" s="314"/>
      <c r="BA28" s="314"/>
      <c r="BB28" s="314"/>
      <c r="BC28" s="315"/>
      <c r="BD28" s="314"/>
      <c r="BE28" s="314"/>
      <c r="BF28" s="314"/>
      <c r="BG28" s="314"/>
      <c r="BH28" s="315"/>
      <c r="BI28" s="314"/>
      <c r="BJ28" s="314"/>
      <c r="BK28" s="314"/>
      <c r="BL28" s="314"/>
      <c r="BM28" s="315"/>
      <c r="BN28" s="314"/>
      <c r="BO28" s="314"/>
      <c r="BP28" s="314"/>
      <c r="BQ28" s="314"/>
      <c r="BR28" s="315"/>
      <c r="BS28" s="314"/>
      <c r="BT28" s="314"/>
      <c r="BU28" s="314"/>
      <c r="BV28" s="314"/>
      <c r="BW28" s="315"/>
      <c r="BX28" s="314"/>
      <c r="BY28" s="314"/>
      <c r="BZ28" s="314"/>
      <c r="CA28" s="314"/>
      <c r="CB28" s="315"/>
      <c r="CC28" s="314"/>
      <c r="CD28" s="314"/>
      <c r="CE28" s="314"/>
      <c r="CF28" s="314"/>
      <c r="CG28" s="315"/>
      <c r="CH28" s="314"/>
      <c r="CI28" s="314"/>
      <c r="CJ28" s="314"/>
      <c r="CK28" s="1943">
        <f>2000/4/3</f>
        <v>166.66666666666666</v>
      </c>
      <c r="CL28" s="1944">
        <f>SUM(CH28:CK28)</f>
        <v>166.66666666666666</v>
      </c>
      <c r="CM28" s="1943">
        <f>2000*1.1/4</f>
        <v>550</v>
      </c>
      <c r="CN28" s="1943">
        <f t="shared" ref="CN28:CP28" si="66">2000*1.1/4</f>
        <v>550</v>
      </c>
      <c r="CO28" s="1943">
        <f t="shared" si="66"/>
        <v>550</v>
      </c>
      <c r="CP28" s="1943">
        <f t="shared" si="66"/>
        <v>550</v>
      </c>
      <c r="CQ28" s="1944">
        <f>SUM(CM28:CP28)</f>
        <v>2200</v>
      </c>
      <c r="CR28" s="1943">
        <f>CM28*(1+CR32)</f>
        <v>605</v>
      </c>
      <c r="CS28" s="1943">
        <f t="shared" ref="CS28:CU28" si="67">CN28*(1+CS32)</f>
        <v>605</v>
      </c>
      <c r="CT28" s="1943">
        <f t="shared" si="67"/>
        <v>605</v>
      </c>
      <c r="CU28" s="1943">
        <f t="shared" si="67"/>
        <v>605</v>
      </c>
      <c r="CV28" s="1944">
        <f>SUM(CR28:CU28)</f>
        <v>2420</v>
      </c>
      <c r="CW28" s="1943">
        <f>CR28*(1+CW32)</f>
        <v>665.5</v>
      </c>
      <c r="CX28" s="1943">
        <f t="shared" ref="CX28" si="68">CS28*(1+CX32)</f>
        <v>665.5</v>
      </c>
      <c r="CY28" s="1943">
        <f t="shared" ref="CY28" si="69">CT28*(1+CY32)</f>
        <v>665.5</v>
      </c>
      <c r="CZ28" s="1943">
        <f t="shared" ref="CZ28" si="70">CU28*(1+CZ32)</f>
        <v>665.5</v>
      </c>
      <c r="DA28" s="1944">
        <f>SUM(CW28:CZ28)</f>
        <v>2662</v>
      </c>
      <c r="DB28" s="1943">
        <f>CW28*(1+DB32)</f>
        <v>732.05000000000007</v>
      </c>
      <c r="DC28" s="1943">
        <f t="shared" ref="DC28" si="71">CX28*(1+DC32)</f>
        <v>732.05000000000007</v>
      </c>
      <c r="DD28" s="1943">
        <f t="shared" ref="DD28" si="72">CY28*(1+DD32)</f>
        <v>732.05000000000007</v>
      </c>
      <c r="DE28" s="1943">
        <f t="shared" ref="DE28" si="73">CZ28*(1+DE32)</f>
        <v>732.05000000000007</v>
      </c>
      <c r="DF28" s="1944">
        <f>SUM(DB28:DE28)</f>
        <v>2928.2000000000003</v>
      </c>
    </row>
    <row r="29" spans="2:110" x14ac:dyDescent="0.25">
      <c r="B29" s="307" t="s">
        <v>89</v>
      </c>
      <c r="C29" s="299"/>
      <c r="D29" s="299"/>
      <c r="E29" s="296"/>
      <c r="F29" s="296"/>
      <c r="G29" s="296"/>
      <c r="H29" s="296"/>
      <c r="I29" s="296"/>
      <c r="J29" s="296"/>
      <c r="K29" s="300"/>
      <c r="L29" s="300"/>
      <c r="M29" s="300"/>
      <c r="N29" s="300"/>
      <c r="O29" s="300"/>
      <c r="P29" s="300"/>
      <c r="Q29" s="300"/>
      <c r="R29" s="300"/>
      <c r="S29" s="300"/>
      <c r="T29" s="300"/>
      <c r="U29" s="300"/>
      <c r="V29" s="300"/>
      <c r="W29" s="300"/>
      <c r="X29" s="300"/>
      <c r="Y29" s="300"/>
      <c r="Z29" s="300"/>
      <c r="AA29" s="300"/>
      <c r="AB29" s="300"/>
      <c r="AC29" s="300"/>
      <c r="AD29" s="300"/>
      <c r="AE29" s="300"/>
      <c r="AF29" s="300"/>
      <c r="AG29" s="300"/>
      <c r="AH29" s="300"/>
      <c r="AI29" s="316"/>
      <c r="AJ29" s="300"/>
      <c r="AK29" s="300"/>
      <c r="AL29" s="300"/>
      <c r="AM29" s="300"/>
      <c r="AN29" s="316"/>
      <c r="AO29" s="300"/>
      <c r="AP29" s="300"/>
      <c r="AQ29" s="300"/>
      <c r="AR29" s="300"/>
      <c r="AS29" s="316"/>
      <c r="AT29" s="300"/>
      <c r="AU29" s="300"/>
      <c r="AV29" s="300"/>
      <c r="AW29" s="300"/>
      <c r="AX29" s="316"/>
      <c r="AY29" s="300"/>
      <c r="AZ29" s="300"/>
      <c r="BA29" s="300"/>
      <c r="BB29" s="300"/>
      <c r="BC29" s="316"/>
      <c r="BD29" s="300"/>
      <c r="BE29" s="300"/>
      <c r="BF29" s="300"/>
      <c r="BG29" s="300"/>
      <c r="BH29" s="316"/>
      <c r="BI29" s="300"/>
      <c r="BJ29" s="300"/>
      <c r="BK29" s="300"/>
      <c r="BL29" s="300"/>
      <c r="BM29" s="316"/>
      <c r="BN29" s="300"/>
      <c r="BO29" s="300"/>
      <c r="BP29" s="300"/>
      <c r="BQ29" s="300"/>
      <c r="BR29" s="316"/>
      <c r="BS29" s="300"/>
      <c r="BT29" s="300"/>
      <c r="BU29" s="300"/>
      <c r="BV29" s="300"/>
      <c r="BW29" s="316"/>
      <c r="BX29" s="300"/>
      <c r="BY29" s="300"/>
      <c r="BZ29" s="300"/>
      <c r="CA29" s="300"/>
      <c r="CB29" s="316"/>
      <c r="CC29" s="300"/>
      <c r="CD29" s="300"/>
      <c r="CE29" s="300"/>
      <c r="CF29" s="300"/>
      <c r="CG29" s="316"/>
      <c r="CH29" s="300"/>
      <c r="CI29" s="300"/>
      <c r="CJ29" s="300"/>
      <c r="CK29" s="1946">
        <f>CK28*CK33</f>
        <v>41.666666666666664</v>
      </c>
      <c r="CL29" s="1947">
        <f>SUM(CH29:CK29)</f>
        <v>41.666666666666664</v>
      </c>
      <c r="CM29" s="1946">
        <f>CM28*CM33</f>
        <v>137.5</v>
      </c>
      <c r="CN29" s="1946">
        <f t="shared" ref="CN29:CP29" si="74">CN28*CN33</f>
        <v>137.5</v>
      </c>
      <c r="CO29" s="1946">
        <f t="shared" si="74"/>
        <v>137.5</v>
      </c>
      <c r="CP29" s="1946">
        <f t="shared" si="74"/>
        <v>137.5</v>
      </c>
      <c r="CQ29" s="1947">
        <f>SUM(CM29:CP29)</f>
        <v>550</v>
      </c>
      <c r="CR29" s="1946">
        <f>CR28*CR33</f>
        <v>151.25</v>
      </c>
      <c r="CS29" s="1946">
        <f t="shared" ref="CS29" si="75">CS28*CS33</f>
        <v>151.25</v>
      </c>
      <c r="CT29" s="1946">
        <f t="shared" ref="CT29" si="76">CT28*CT33</f>
        <v>151.25</v>
      </c>
      <c r="CU29" s="1946">
        <f t="shared" ref="CU29" si="77">CU28*CU33</f>
        <v>151.25</v>
      </c>
      <c r="CV29" s="1947">
        <f>SUM(CR29:CU29)</f>
        <v>605</v>
      </c>
      <c r="CW29" s="1946">
        <f>CW28*CW33</f>
        <v>166.375</v>
      </c>
      <c r="CX29" s="1946">
        <f t="shared" ref="CX29" si="78">CX28*CX33</f>
        <v>166.375</v>
      </c>
      <c r="CY29" s="1946">
        <f t="shared" ref="CY29" si="79">CY28*CY33</f>
        <v>166.375</v>
      </c>
      <c r="CZ29" s="1946">
        <f t="shared" ref="CZ29" si="80">CZ28*CZ33</f>
        <v>166.375</v>
      </c>
      <c r="DA29" s="1947">
        <f>SUM(CW29:CZ29)</f>
        <v>665.5</v>
      </c>
      <c r="DB29" s="1946">
        <f>DB28*DB33</f>
        <v>183.01250000000002</v>
      </c>
      <c r="DC29" s="1946">
        <f t="shared" ref="DC29" si="81">DC28*DC33</f>
        <v>183.01250000000002</v>
      </c>
      <c r="DD29" s="1946">
        <f t="shared" ref="DD29" si="82">DD28*DD33</f>
        <v>183.01250000000002</v>
      </c>
      <c r="DE29" s="1946">
        <f t="shared" ref="DE29" si="83">DE28*DE33</f>
        <v>183.01250000000002</v>
      </c>
      <c r="DF29" s="1947">
        <f>SUM(DB29:DE29)</f>
        <v>732.05000000000007</v>
      </c>
    </row>
    <row r="30" spans="2:110" x14ac:dyDescent="0.25">
      <c r="B30" s="307" t="s">
        <v>760</v>
      </c>
      <c r="C30" s="299"/>
      <c r="D30" s="299"/>
      <c r="E30" s="296"/>
      <c r="F30" s="296"/>
      <c r="G30" s="296"/>
      <c r="H30" s="296"/>
      <c r="I30" s="296"/>
      <c r="J30" s="296"/>
      <c r="K30" s="300"/>
      <c r="L30" s="300"/>
      <c r="M30" s="300"/>
      <c r="N30" s="300"/>
      <c r="O30" s="300"/>
      <c r="P30" s="300"/>
      <c r="Q30" s="300"/>
      <c r="R30" s="300"/>
      <c r="S30" s="300"/>
      <c r="T30" s="300"/>
      <c r="U30" s="300"/>
      <c r="V30" s="300"/>
      <c r="W30" s="300"/>
      <c r="X30" s="300"/>
      <c r="Y30" s="300"/>
      <c r="Z30" s="300"/>
      <c r="AA30" s="300"/>
      <c r="AB30" s="300"/>
      <c r="AC30" s="300"/>
      <c r="AD30" s="300"/>
      <c r="AE30" s="300"/>
      <c r="AF30" s="300"/>
      <c r="AG30" s="300"/>
      <c r="AH30" s="300"/>
      <c r="AI30" s="316"/>
      <c r="AJ30" s="300"/>
      <c r="AK30" s="300"/>
      <c r="AL30" s="300"/>
      <c r="AM30" s="300"/>
      <c r="AN30" s="316"/>
      <c r="AO30" s="300"/>
      <c r="AP30" s="300"/>
      <c r="AQ30" s="300"/>
      <c r="AR30" s="300"/>
      <c r="AS30" s="316"/>
      <c r="AT30" s="300"/>
      <c r="AU30" s="300"/>
      <c r="AV30" s="300"/>
      <c r="AW30" s="300"/>
      <c r="AX30" s="316"/>
      <c r="AY30" s="300"/>
      <c r="AZ30" s="300"/>
      <c r="BA30" s="300"/>
      <c r="BB30" s="300"/>
      <c r="BC30" s="316"/>
      <c r="BD30" s="300"/>
      <c r="BE30" s="300"/>
      <c r="BF30" s="300"/>
      <c r="BG30" s="300"/>
      <c r="BH30" s="316"/>
      <c r="BI30" s="300"/>
      <c r="BJ30" s="300"/>
      <c r="BK30" s="300"/>
      <c r="BL30" s="300"/>
      <c r="BM30" s="316"/>
      <c r="BN30" s="300"/>
      <c r="BO30" s="300"/>
      <c r="BP30" s="300"/>
      <c r="BQ30" s="300"/>
      <c r="BR30" s="316"/>
      <c r="BS30" s="300"/>
      <c r="BT30" s="300"/>
      <c r="BU30" s="300"/>
      <c r="BV30" s="300"/>
      <c r="BW30" s="316"/>
      <c r="BX30" s="300"/>
      <c r="BY30" s="300"/>
      <c r="BZ30" s="300"/>
      <c r="CA30" s="300"/>
      <c r="CB30" s="316"/>
      <c r="CC30" s="300"/>
      <c r="CD30" s="300"/>
      <c r="CE30" s="300"/>
      <c r="CF30" s="300"/>
      <c r="CG30" s="316"/>
      <c r="CH30" s="300"/>
      <c r="CI30" s="300"/>
      <c r="CJ30" s="300"/>
      <c r="CK30" s="1946">
        <f>CK28*CK34</f>
        <v>21.666666666666668</v>
      </c>
      <c r="CL30" s="1947">
        <f>SUM(CH30:CK30)</f>
        <v>21.666666666666668</v>
      </c>
      <c r="CM30" s="1946">
        <f>CM28*CM34</f>
        <v>71.5</v>
      </c>
      <c r="CN30" s="1946">
        <f t="shared" ref="CN30:CP30" si="84">CN28*CN34</f>
        <v>71.5</v>
      </c>
      <c r="CO30" s="1946">
        <f t="shared" si="84"/>
        <v>71.5</v>
      </c>
      <c r="CP30" s="1946">
        <f t="shared" si="84"/>
        <v>71.5</v>
      </c>
      <c r="CQ30" s="1947">
        <f>SUM(CM30:CP30)</f>
        <v>286</v>
      </c>
      <c r="CR30" s="1946">
        <f>CR28*CR34</f>
        <v>78.650000000000006</v>
      </c>
      <c r="CS30" s="1946">
        <f t="shared" ref="CS30:CU30" si="85">CS28*CS34</f>
        <v>78.650000000000006</v>
      </c>
      <c r="CT30" s="1946">
        <f t="shared" si="85"/>
        <v>78.650000000000006</v>
      </c>
      <c r="CU30" s="1946">
        <f t="shared" si="85"/>
        <v>78.650000000000006</v>
      </c>
      <c r="CV30" s="1947">
        <f>SUM(CR30:CU30)</f>
        <v>314.60000000000002</v>
      </c>
      <c r="CW30" s="1946">
        <f>CW28*CW34</f>
        <v>86.515000000000001</v>
      </c>
      <c r="CX30" s="1946">
        <f t="shared" ref="CX30:CZ30" si="86">CX28*CX34</f>
        <v>86.515000000000001</v>
      </c>
      <c r="CY30" s="1946">
        <f t="shared" si="86"/>
        <v>86.515000000000001</v>
      </c>
      <c r="CZ30" s="1946">
        <f t="shared" si="86"/>
        <v>86.515000000000001</v>
      </c>
      <c r="DA30" s="1947">
        <f>SUM(CW30:CZ30)</f>
        <v>346.06</v>
      </c>
      <c r="DB30" s="1946">
        <f>DB28*DB34</f>
        <v>95.166500000000013</v>
      </c>
      <c r="DC30" s="1946">
        <f t="shared" ref="DC30:DE30" si="87">DC28*DC34</f>
        <v>95.166500000000013</v>
      </c>
      <c r="DD30" s="1946">
        <f t="shared" si="87"/>
        <v>95.166500000000013</v>
      </c>
      <c r="DE30" s="1946">
        <f t="shared" si="87"/>
        <v>95.166500000000013</v>
      </c>
      <c r="DF30" s="1947">
        <f>SUM(DB30:DE30)</f>
        <v>380.66600000000005</v>
      </c>
    </row>
    <row r="31" spans="2:110" x14ac:dyDescent="0.25">
      <c r="B31" s="307"/>
      <c r="C31" s="299"/>
      <c r="D31" s="299"/>
      <c r="E31" s="296"/>
      <c r="F31" s="296"/>
      <c r="G31" s="296"/>
      <c r="H31" s="296"/>
      <c r="I31" s="296"/>
      <c r="J31" s="296"/>
      <c r="K31" s="300"/>
      <c r="L31" s="300"/>
      <c r="M31" s="300"/>
      <c r="N31" s="300"/>
      <c r="O31" s="300"/>
      <c r="P31" s="300"/>
      <c r="Q31" s="300"/>
      <c r="R31" s="300"/>
      <c r="S31" s="300"/>
      <c r="T31" s="300"/>
      <c r="U31" s="300"/>
      <c r="V31" s="300"/>
      <c r="W31" s="300"/>
      <c r="X31" s="300"/>
      <c r="Y31" s="300"/>
      <c r="Z31" s="300"/>
      <c r="AA31" s="300"/>
      <c r="AB31" s="300"/>
      <c r="AC31" s="300"/>
      <c r="AD31" s="300"/>
      <c r="AE31" s="300"/>
      <c r="AF31" s="300"/>
      <c r="AG31" s="300"/>
      <c r="AH31" s="300"/>
      <c r="AI31" s="316"/>
      <c r="AJ31" s="300"/>
      <c r="AK31" s="300"/>
      <c r="AL31" s="300"/>
      <c r="AM31" s="300"/>
      <c r="AN31" s="316"/>
      <c r="AO31" s="300"/>
      <c r="AP31" s="300"/>
      <c r="AQ31" s="300"/>
      <c r="AR31" s="300"/>
      <c r="AS31" s="316"/>
      <c r="AT31" s="300"/>
      <c r="AU31" s="300"/>
      <c r="AV31" s="300"/>
      <c r="AW31" s="300"/>
      <c r="AX31" s="316"/>
      <c r="AY31" s="300"/>
      <c r="AZ31" s="300"/>
      <c r="BA31" s="300"/>
      <c r="BB31" s="300"/>
      <c r="BC31" s="316"/>
      <c r="BD31" s="300"/>
      <c r="BE31" s="300"/>
      <c r="BF31" s="300"/>
      <c r="BG31" s="300"/>
      <c r="BH31" s="316"/>
      <c r="BI31" s="300"/>
      <c r="BJ31" s="300"/>
      <c r="BK31" s="300"/>
      <c r="BL31" s="300"/>
      <c r="BM31" s="316"/>
      <c r="BN31" s="300"/>
      <c r="BO31" s="300"/>
      <c r="BP31" s="300"/>
      <c r="BQ31" s="300"/>
      <c r="BR31" s="316"/>
      <c r="BS31" s="300"/>
      <c r="BT31" s="300"/>
      <c r="BU31" s="300"/>
      <c r="BV31" s="300"/>
      <c r="BW31" s="316"/>
      <c r="BX31" s="300"/>
      <c r="BY31" s="300"/>
      <c r="BZ31" s="300"/>
      <c r="CA31" s="300"/>
      <c r="CB31" s="316"/>
      <c r="CC31" s="300"/>
      <c r="CD31" s="300"/>
      <c r="CE31" s="300"/>
      <c r="CF31" s="300"/>
      <c r="CG31" s="316"/>
      <c r="CH31" s="300"/>
      <c r="CI31" s="300"/>
      <c r="CJ31" s="300"/>
      <c r="CK31" s="300"/>
      <c r="CL31" s="316"/>
      <c r="CM31" s="300"/>
      <c r="CN31" s="300"/>
      <c r="CO31" s="300"/>
      <c r="CP31" s="300"/>
      <c r="CQ31" s="316"/>
      <c r="CR31" s="300"/>
      <c r="CS31" s="300"/>
      <c r="CT31" s="300"/>
      <c r="CU31" s="300"/>
      <c r="CV31" s="316"/>
      <c r="CW31" s="300"/>
      <c r="CX31" s="300"/>
      <c r="CY31" s="300"/>
      <c r="CZ31" s="300"/>
      <c r="DA31" s="316"/>
      <c r="DB31" s="300"/>
      <c r="DC31" s="300"/>
      <c r="DD31" s="300"/>
      <c r="DE31" s="300"/>
      <c r="DF31" s="316"/>
    </row>
    <row r="32" spans="2:110" x14ac:dyDescent="0.25">
      <c r="B32" s="307" t="s">
        <v>761</v>
      </c>
      <c r="C32" s="299"/>
      <c r="D32" s="299"/>
      <c r="E32" s="296"/>
      <c r="F32" s="296"/>
      <c r="G32" s="296"/>
      <c r="H32" s="296"/>
      <c r="I32" s="296"/>
      <c r="J32" s="296"/>
      <c r="K32" s="300"/>
      <c r="L32" s="300"/>
      <c r="M32" s="300"/>
      <c r="N32" s="300"/>
      <c r="O32" s="300"/>
      <c r="P32" s="300"/>
      <c r="Q32" s="300"/>
      <c r="R32" s="300"/>
      <c r="S32" s="300"/>
      <c r="T32" s="300"/>
      <c r="U32" s="300"/>
      <c r="V32" s="300"/>
      <c r="W32" s="300"/>
      <c r="X32" s="300"/>
      <c r="Y32" s="300"/>
      <c r="Z32" s="300"/>
      <c r="AA32" s="300"/>
      <c r="AB32" s="300"/>
      <c r="AC32" s="300"/>
      <c r="AD32" s="300"/>
      <c r="AE32" s="300"/>
      <c r="AF32" s="300"/>
      <c r="AG32" s="300"/>
      <c r="AH32" s="300"/>
      <c r="AI32" s="316"/>
      <c r="AJ32" s="300"/>
      <c r="AK32" s="300"/>
      <c r="AL32" s="300"/>
      <c r="AM32" s="300"/>
      <c r="AN32" s="316"/>
      <c r="AO32" s="300"/>
      <c r="AP32" s="300"/>
      <c r="AQ32" s="300"/>
      <c r="AR32" s="300"/>
      <c r="AS32" s="316"/>
      <c r="AT32" s="300"/>
      <c r="AU32" s="300"/>
      <c r="AV32" s="300"/>
      <c r="AW32" s="300"/>
      <c r="AX32" s="316"/>
      <c r="AY32" s="300"/>
      <c r="AZ32" s="300"/>
      <c r="BA32" s="300"/>
      <c r="BB32" s="300"/>
      <c r="BC32" s="316"/>
      <c r="BD32" s="300"/>
      <c r="BE32" s="300"/>
      <c r="BF32" s="300"/>
      <c r="BG32" s="300"/>
      <c r="BH32" s="316"/>
      <c r="BI32" s="300"/>
      <c r="BJ32" s="300"/>
      <c r="BK32" s="300"/>
      <c r="BL32" s="300"/>
      <c r="BM32" s="316"/>
      <c r="BN32" s="300"/>
      <c r="BO32" s="300"/>
      <c r="BP32" s="300"/>
      <c r="BQ32" s="300"/>
      <c r="BR32" s="316"/>
      <c r="BS32" s="300"/>
      <c r="BT32" s="300"/>
      <c r="BU32" s="300"/>
      <c r="BV32" s="300"/>
      <c r="BW32" s="316"/>
      <c r="BX32" s="300"/>
      <c r="BY32" s="300"/>
      <c r="BZ32" s="300"/>
      <c r="CA32" s="300"/>
      <c r="CB32" s="316"/>
      <c r="CC32" s="300"/>
      <c r="CD32" s="300"/>
      <c r="CE32" s="300"/>
      <c r="CF32" s="300"/>
      <c r="CG32" s="316"/>
      <c r="CH32" s="300"/>
      <c r="CI32" s="300"/>
      <c r="CJ32" s="300"/>
      <c r="CK32" s="300"/>
      <c r="CL32" s="316"/>
      <c r="CM32" s="300"/>
      <c r="CN32" s="300"/>
      <c r="CO32" s="300"/>
      <c r="CP32" s="300"/>
      <c r="CQ32" s="316"/>
      <c r="CR32" s="300">
        <v>0.1</v>
      </c>
      <c r="CS32" s="300">
        <v>0.1</v>
      </c>
      <c r="CT32" s="300">
        <v>0.1</v>
      </c>
      <c r="CU32" s="300">
        <v>0.1</v>
      </c>
      <c r="CV32" s="316">
        <f>CV28/CQ28-1</f>
        <v>0.10000000000000009</v>
      </c>
      <c r="CW32" s="300">
        <v>0.1</v>
      </c>
      <c r="CX32" s="300">
        <v>0.1</v>
      </c>
      <c r="CY32" s="300">
        <v>0.1</v>
      </c>
      <c r="CZ32" s="300">
        <v>0.1</v>
      </c>
      <c r="DA32" s="316">
        <f>DA28/CV28-1</f>
        <v>0.10000000000000009</v>
      </c>
      <c r="DB32" s="300">
        <v>0.1</v>
      </c>
      <c r="DC32" s="300">
        <v>0.1</v>
      </c>
      <c r="DD32" s="300">
        <v>0.1</v>
      </c>
      <c r="DE32" s="300">
        <v>0.1</v>
      </c>
      <c r="DF32" s="316">
        <f>DF28/DA28-1</f>
        <v>0.10000000000000009</v>
      </c>
    </row>
    <row r="33" spans="2:110" x14ac:dyDescent="0.25">
      <c r="B33" s="307" t="s">
        <v>361</v>
      </c>
      <c r="C33" s="299"/>
      <c r="D33" s="299"/>
      <c r="E33" s="296"/>
      <c r="F33" s="296"/>
      <c r="G33" s="296"/>
      <c r="H33" s="296"/>
      <c r="I33" s="296"/>
      <c r="J33" s="296"/>
      <c r="K33" s="300"/>
      <c r="L33" s="300"/>
      <c r="M33" s="300"/>
      <c r="N33" s="300"/>
      <c r="O33" s="300"/>
      <c r="P33" s="300"/>
      <c r="Q33" s="300"/>
      <c r="R33" s="300"/>
      <c r="S33" s="300"/>
      <c r="T33" s="300"/>
      <c r="U33" s="300"/>
      <c r="V33" s="300"/>
      <c r="W33" s="300"/>
      <c r="X33" s="300"/>
      <c r="Y33" s="300"/>
      <c r="Z33" s="300"/>
      <c r="AA33" s="300"/>
      <c r="AB33" s="300"/>
      <c r="AC33" s="300"/>
      <c r="AD33" s="300"/>
      <c r="AE33" s="300"/>
      <c r="AF33" s="300"/>
      <c r="AG33" s="300"/>
      <c r="AH33" s="300"/>
      <c r="AI33" s="316"/>
      <c r="AJ33" s="300"/>
      <c r="AK33" s="300"/>
      <c r="AL33" s="300"/>
      <c r="AM33" s="300"/>
      <c r="AN33" s="316"/>
      <c r="AO33" s="300"/>
      <c r="AP33" s="300"/>
      <c r="AQ33" s="300"/>
      <c r="AR33" s="300"/>
      <c r="AS33" s="316"/>
      <c r="AT33" s="300"/>
      <c r="AU33" s="300"/>
      <c r="AV33" s="300"/>
      <c r="AW33" s="300"/>
      <c r="AX33" s="316"/>
      <c r="AY33" s="300"/>
      <c r="AZ33" s="300"/>
      <c r="BA33" s="300"/>
      <c r="BB33" s="300"/>
      <c r="BC33" s="316"/>
      <c r="BD33" s="300"/>
      <c r="BE33" s="300"/>
      <c r="BF33" s="300"/>
      <c r="BG33" s="300"/>
      <c r="BH33" s="316"/>
      <c r="BI33" s="300"/>
      <c r="BJ33" s="300"/>
      <c r="BK33" s="300"/>
      <c r="BL33" s="300"/>
      <c r="BM33" s="316"/>
      <c r="BN33" s="300"/>
      <c r="BO33" s="300"/>
      <c r="BP33" s="300"/>
      <c r="BQ33" s="300"/>
      <c r="BR33" s="316"/>
      <c r="BS33" s="300"/>
      <c r="BT33" s="300"/>
      <c r="BU33" s="300"/>
      <c r="BV33" s="300"/>
      <c r="BW33" s="316"/>
      <c r="BX33" s="300"/>
      <c r="BY33" s="300"/>
      <c r="BZ33" s="300"/>
      <c r="CA33" s="300"/>
      <c r="CB33" s="316"/>
      <c r="CC33" s="300"/>
      <c r="CD33" s="300"/>
      <c r="CE33" s="300"/>
      <c r="CF33" s="300"/>
      <c r="CG33" s="316"/>
      <c r="CH33" s="300"/>
      <c r="CI33" s="300"/>
      <c r="CJ33" s="300"/>
      <c r="CK33" s="1948">
        <v>0.25</v>
      </c>
      <c r="CL33" s="316">
        <f>CL29/CL28</f>
        <v>0.25</v>
      </c>
      <c r="CM33" s="300">
        <v>0.25</v>
      </c>
      <c r="CN33" s="300">
        <v>0.25</v>
      </c>
      <c r="CO33" s="300">
        <v>0.25</v>
      </c>
      <c r="CP33" s="300">
        <v>0.25</v>
      </c>
      <c r="CQ33" s="316">
        <f>CQ29/CQ28</f>
        <v>0.25</v>
      </c>
      <c r="CR33" s="300">
        <v>0.25</v>
      </c>
      <c r="CS33" s="300">
        <v>0.25</v>
      </c>
      <c r="CT33" s="300">
        <v>0.25</v>
      </c>
      <c r="CU33" s="300">
        <v>0.25</v>
      </c>
      <c r="CV33" s="316">
        <f>CV29/CV28</f>
        <v>0.25</v>
      </c>
      <c r="CW33" s="300">
        <v>0.25</v>
      </c>
      <c r="CX33" s="300">
        <v>0.25</v>
      </c>
      <c r="CY33" s="300">
        <v>0.25</v>
      </c>
      <c r="CZ33" s="300">
        <v>0.25</v>
      </c>
      <c r="DA33" s="316">
        <f>DA29/DA28</f>
        <v>0.25</v>
      </c>
      <c r="DB33" s="300">
        <v>0.25</v>
      </c>
      <c r="DC33" s="300">
        <v>0.25</v>
      </c>
      <c r="DD33" s="300">
        <v>0.25</v>
      </c>
      <c r="DE33" s="300">
        <v>0.25</v>
      </c>
      <c r="DF33" s="316">
        <f>DF29/DF28</f>
        <v>0.25</v>
      </c>
    </row>
    <row r="34" spans="2:110" ht="13.5" thickBot="1" x14ac:dyDescent="0.3">
      <c r="B34" s="317" t="s">
        <v>762</v>
      </c>
      <c r="C34" s="310"/>
      <c r="D34" s="310"/>
      <c r="E34" s="311"/>
      <c r="F34" s="311"/>
      <c r="G34" s="311"/>
      <c r="H34" s="311"/>
      <c r="I34" s="311"/>
      <c r="J34" s="311"/>
      <c r="K34" s="318"/>
      <c r="L34" s="318"/>
      <c r="M34" s="318"/>
      <c r="N34" s="318"/>
      <c r="O34" s="318"/>
      <c r="P34" s="318"/>
      <c r="Q34" s="318"/>
      <c r="R34" s="318"/>
      <c r="S34" s="318"/>
      <c r="T34" s="318"/>
      <c r="U34" s="318"/>
      <c r="V34" s="318"/>
      <c r="W34" s="318"/>
      <c r="X34" s="318"/>
      <c r="Y34" s="318"/>
      <c r="Z34" s="318"/>
      <c r="AA34" s="318"/>
      <c r="AB34" s="318"/>
      <c r="AC34" s="318"/>
      <c r="AD34" s="318"/>
      <c r="AE34" s="318"/>
      <c r="AF34" s="318"/>
      <c r="AG34" s="318"/>
      <c r="AH34" s="318"/>
      <c r="AI34" s="319"/>
      <c r="AJ34" s="318"/>
      <c r="AK34" s="318"/>
      <c r="AL34" s="318"/>
      <c r="AM34" s="318"/>
      <c r="AN34" s="319"/>
      <c r="AO34" s="318"/>
      <c r="AP34" s="318"/>
      <c r="AQ34" s="318"/>
      <c r="AR34" s="318"/>
      <c r="AS34" s="319"/>
      <c r="AT34" s="375"/>
      <c r="AU34" s="318"/>
      <c r="AV34" s="318"/>
      <c r="AW34" s="318"/>
      <c r="AX34" s="319"/>
      <c r="AY34" s="375"/>
      <c r="AZ34" s="318"/>
      <c r="BA34" s="318"/>
      <c r="BB34" s="318"/>
      <c r="BC34" s="319"/>
      <c r="BD34" s="375"/>
      <c r="BE34" s="318"/>
      <c r="BF34" s="318"/>
      <c r="BG34" s="318"/>
      <c r="BH34" s="319"/>
      <c r="BI34" s="375"/>
      <c r="BJ34" s="318"/>
      <c r="BK34" s="318"/>
      <c r="BL34" s="318"/>
      <c r="BM34" s="319"/>
      <c r="BN34" s="375"/>
      <c r="BO34" s="318"/>
      <c r="BP34" s="318"/>
      <c r="BQ34" s="318"/>
      <c r="BR34" s="319"/>
      <c r="BS34" s="375"/>
      <c r="BT34" s="318"/>
      <c r="BU34" s="318"/>
      <c r="BV34" s="318"/>
      <c r="BW34" s="319"/>
      <c r="BX34" s="375"/>
      <c r="BY34" s="318"/>
      <c r="BZ34" s="318"/>
      <c r="CA34" s="318"/>
      <c r="CB34" s="319"/>
      <c r="CC34" s="375"/>
      <c r="CD34" s="318"/>
      <c r="CE34" s="318"/>
      <c r="CF34" s="318"/>
      <c r="CG34" s="319"/>
      <c r="CH34" s="318"/>
      <c r="CI34" s="318"/>
      <c r="CJ34" s="318"/>
      <c r="CK34" s="1945">
        <v>0.13</v>
      </c>
      <c r="CL34" s="319">
        <f>CL30/CL28</f>
        <v>0.13</v>
      </c>
      <c r="CM34" s="375">
        <v>0.13</v>
      </c>
      <c r="CN34" s="318">
        <v>0.13</v>
      </c>
      <c r="CO34" s="318">
        <v>0.13</v>
      </c>
      <c r="CP34" s="1945">
        <v>0.13</v>
      </c>
      <c r="CQ34" s="319">
        <f>CQ30/CQ28</f>
        <v>0.13</v>
      </c>
      <c r="CR34" s="375">
        <v>0.13</v>
      </c>
      <c r="CS34" s="318">
        <v>0.13</v>
      </c>
      <c r="CT34" s="318">
        <v>0.13</v>
      </c>
      <c r="CU34" s="1945">
        <v>0.13</v>
      </c>
      <c r="CV34" s="319">
        <f>CV30/CV28</f>
        <v>0.13</v>
      </c>
      <c r="CW34" s="375">
        <v>0.13</v>
      </c>
      <c r="CX34" s="318">
        <v>0.13</v>
      </c>
      <c r="CY34" s="318">
        <v>0.13</v>
      </c>
      <c r="CZ34" s="1945">
        <v>0.13</v>
      </c>
      <c r="DA34" s="319">
        <f>DA30/DA28</f>
        <v>0.13</v>
      </c>
      <c r="DB34" s="375">
        <v>0.13</v>
      </c>
      <c r="DC34" s="318">
        <v>0.13</v>
      </c>
      <c r="DD34" s="318">
        <v>0.13</v>
      </c>
      <c r="DE34" s="1945">
        <v>0.13</v>
      </c>
      <c r="DF34" s="319">
        <f>DF30/DF28</f>
        <v>0.13</v>
      </c>
    </row>
    <row r="35" spans="2:110" ht="13.5" x14ac:dyDescent="0.25">
      <c r="CG35"/>
    </row>
    <row r="37" spans="2:110" x14ac:dyDescent="0.25">
      <c r="AU37" s="51"/>
    </row>
    <row r="38" spans="2:110" x14ac:dyDescent="0.25">
      <c r="CK38" s="1950">
        <f>CK29-CK30</f>
        <v>19.999999999999996</v>
      </c>
      <c r="CM38" s="1950">
        <f>CM29-CM30</f>
        <v>66</v>
      </c>
      <c r="CQ38" s="277"/>
    </row>
    <row r="39" spans="2:110" x14ac:dyDescent="0.25">
      <c r="CQ39" s="1950"/>
      <c r="CR39" s="277"/>
      <c r="CT39" s="277"/>
    </row>
    <row r="40" spans="2:110" x14ac:dyDescent="0.25">
      <c r="CM40" s="1950"/>
      <c r="CQ40" s="277"/>
      <c r="CT40" s="277"/>
    </row>
    <row r="41" spans="2:110" x14ac:dyDescent="0.25">
      <c r="CT41" s="277"/>
    </row>
    <row r="42" spans="2:110" x14ac:dyDescent="0.25">
      <c r="CM42" s="1951"/>
    </row>
    <row r="51" spans="3:3" x14ac:dyDescent="0.25">
      <c r="C51" s="321"/>
    </row>
    <row r="53" spans="3:3" x14ac:dyDescent="0.25">
      <c r="C53" s="321"/>
    </row>
  </sheetData>
  <phoneticPr fontId="15" type="noConversion"/>
  <pageMargins left="0.75" right="0.75" top="1" bottom="1" header="0.5" footer="0.5"/>
  <pageSetup orientation="portrait" r:id="rId1"/>
  <headerFooter alignWithMargins="0"/>
  <ignoredErrors>
    <ignoredError sqref="AS11 AS9 AS15:AS16" formula="1"/>
  </ignoredErrors>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pageSetUpPr fitToPage="1"/>
  </sheetPr>
  <dimension ref="A1:CT42"/>
  <sheetViews>
    <sheetView showGridLines="0" zoomScaleNormal="115" zoomScaleSheetLayoutView="100" workbookViewId="0">
      <pane xSplit="2" ySplit="4" topLeftCell="C5" activePane="bottomRight" state="frozen"/>
      <selection activeCell="C6" sqref="C6"/>
      <selection pane="topRight" activeCell="C6" sqref="C6"/>
      <selection pane="bottomLeft" activeCell="C6" sqref="C6"/>
      <selection pane="bottomRight" activeCell="BY22" sqref="BY22"/>
    </sheetView>
  </sheetViews>
  <sheetFormatPr defaultRowHeight="11.25" outlineLevelCol="2" x14ac:dyDescent="0.2"/>
  <cols>
    <col min="1" max="1" width="3.140625" style="1145" hidden="1" customWidth="1" outlineLevel="1"/>
    <col min="2" max="2" width="35.42578125" style="670" customWidth="1" collapsed="1"/>
    <col min="3" max="3" width="8.28515625" style="670" hidden="1" customWidth="1" outlineLevel="2"/>
    <col min="4" max="12" width="8.85546875" style="670" hidden="1" customWidth="1" outlineLevel="2"/>
    <col min="13" max="13" width="8.85546875" style="670" hidden="1" customWidth="1" outlineLevel="1"/>
    <col min="14" max="14" width="8.85546875" style="670" hidden="1" customWidth="1" outlineLevel="1" collapsed="1"/>
    <col min="15" max="18" width="8.85546875" style="670" hidden="1" customWidth="1" outlineLevel="1"/>
    <col min="19" max="22" width="8.85546875" style="670" hidden="1" customWidth="1" outlineLevel="2"/>
    <col min="23" max="27" width="8.85546875" style="670" hidden="1" customWidth="1" outlineLevel="1"/>
    <col min="28" max="28" width="8.85546875" style="670" hidden="1" customWidth="1" outlineLevel="1" collapsed="1"/>
    <col min="29" max="32" width="8.85546875" style="670" hidden="1" customWidth="1" outlineLevel="2"/>
    <col min="33" max="33" width="8.85546875" style="670" hidden="1" customWidth="1" outlineLevel="1"/>
    <col min="34" max="37" width="9.140625" style="670" hidden="1" customWidth="1" outlineLevel="2"/>
    <col min="38" max="38" width="9.140625" style="670" hidden="1" customWidth="1" outlineLevel="1"/>
    <col min="39" max="42" width="9.140625" style="670" hidden="1" customWidth="1" outlineLevel="2"/>
    <col min="43" max="43" width="9.7109375" style="670" hidden="1" customWidth="1" outlineLevel="1"/>
    <col min="44" max="47" width="9.140625" style="670" hidden="1" customWidth="1" outlineLevel="1"/>
    <col min="48" max="48" width="9.140625" style="670" hidden="1" customWidth="1" collapsed="1"/>
    <col min="49" max="52" width="9.140625" style="670" hidden="1" customWidth="1" outlineLevel="1"/>
    <col min="53" max="53" width="9.140625" style="670" hidden="1" customWidth="1" collapsed="1"/>
    <col min="54" max="57" width="9.140625" style="670" hidden="1" customWidth="1" outlineLevel="1"/>
    <col min="58" max="58" width="9.140625" style="670" hidden="1" customWidth="1" collapsed="1"/>
    <col min="59" max="62" width="9.140625" style="670" hidden="1" customWidth="1" outlineLevel="1"/>
    <col min="63" max="63" width="0" style="670" hidden="1" customWidth="1" collapsed="1"/>
    <col min="64" max="67" width="9.140625" style="670" hidden="1" customWidth="1" outlineLevel="1"/>
    <col min="68" max="68" width="0" style="670" hidden="1" customWidth="1" collapsed="1"/>
    <col min="69" max="72" width="9.140625" style="670" hidden="1" customWidth="1" outlineLevel="1"/>
    <col min="73" max="73" width="0" style="670" hidden="1" customWidth="1" collapsed="1"/>
    <col min="74" max="77" width="9.140625" style="670" customWidth="1" outlineLevel="1"/>
    <col min="78" max="78" width="9.140625" style="670"/>
    <col min="79" max="82" width="9.140625" style="670" customWidth="1" outlineLevel="1"/>
    <col min="83" max="83" width="9.140625" style="670"/>
    <col min="84" max="87" width="0" style="670" hidden="1" customWidth="1" outlineLevel="1"/>
    <col min="88" max="88" width="9.140625" style="670" collapsed="1"/>
    <col min="89" max="92" width="0" style="670" hidden="1" customWidth="1" outlineLevel="1"/>
    <col min="93" max="93" width="9.140625" style="670" collapsed="1"/>
    <col min="94" max="97" width="0" style="670" hidden="1" customWidth="1" outlineLevel="1"/>
    <col min="98" max="98" width="9.140625" style="670" collapsed="1"/>
    <col min="99" max="16384" width="9.140625" style="670"/>
  </cols>
  <sheetData>
    <row r="1" spans="2:98" ht="12.75" x14ac:dyDescent="0.2">
      <c r="B1" s="1144" t="s">
        <v>378</v>
      </c>
      <c r="C1" s="1171"/>
      <c r="D1" s="1171"/>
      <c r="E1" s="1171"/>
      <c r="F1" s="1171"/>
      <c r="G1" s="1171"/>
      <c r="H1" s="1171"/>
      <c r="I1" s="1171"/>
      <c r="J1" s="1171"/>
      <c r="K1" s="1171"/>
      <c r="L1" s="1171"/>
      <c r="M1" s="1171"/>
      <c r="N1" s="1171"/>
      <c r="O1" s="1171"/>
      <c r="P1" s="1171"/>
      <c r="Q1" s="1171"/>
      <c r="R1" s="1171"/>
      <c r="S1" s="1171"/>
      <c r="T1" s="1171"/>
      <c r="U1" s="1171"/>
      <c r="V1" s="1171"/>
      <c r="W1" s="1171"/>
      <c r="X1" s="1171"/>
      <c r="Y1" s="1171"/>
      <c r="Z1" s="1171"/>
      <c r="AA1" s="1171"/>
      <c r="AB1" s="1171"/>
      <c r="AC1" s="1171"/>
      <c r="AD1" s="1171"/>
      <c r="AE1" s="1171"/>
      <c r="AF1" s="1171"/>
      <c r="AG1" s="1171"/>
      <c r="AQ1" s="1172"/>
      <c r="AR1" s="1173"/>
      <c r="AS1" s="1173"/>
      <c r="AT1" s="1173"/>
      <c r="AU1" s="1173"/>
      <c r="AV1" s="1173"/>
      <c r="AW1" s="1173"/>
      <c r="AX1" s="1173"/>
      <c r="AY1" s="1173"/>
      <c r="AZ1" s="1173"/>
      <c r="BA1" s="1173"/>
      <c r="BB1" s="1173"/>
      <c r="BC1" s="1173"/>
      <c r="BD1" s="1173"/>
      <c r="BE1" s="1173"/>
      <c r="BF1" s="1173"/>
      <c r="BG1" s="1173"/>
      <c r="BH1" s="1173"/>
      <c r="BI1" s="1173"/>
      <c r="BJ1" s="1173"/>
      <c r="BK1" s="1173"/>
      <c r="BL1" s="1173"/>
      <c r="BM1" s="1173"/>
      <c r="BN1" s="1173"/>
      <c r="BO1" s="1173"/>
      <c r="BP1" s="1173"/>
      <c r="BQ1" s="1173"/>
      <c r="BR1" s="1173"/>
      <c r="BS1" s="1173"/>
      <c r="BT1" s="1173"/>
      <c r="BU1" s="1173"/>
      <c r="BV1" s="1173"/>
      <c r="BW1" s="1173"/>
      <c r="BX1" s="1173"/>
      <c r="BY1" s="1173"/>
      <c r="BZ1" s="1173"/>
      <c r="CA1" s="1173"/>
      <c r="CB1" s="1173"/>
      <c r="CC1" s="1173"/>
      <c r="CD1" s="1173"/>
      <c r="CE1" s="1173"/>
    </row>
    <row r="2" spans="2:98" ht="19.5" thickBot="1" x14ac:dyDescent="0.35">
      <c r="B2" s="1174" t="s">
        <v>21</v>
      </c>
      <c r="C2" s="1175"/>
      <c r="D2" s="1175"/>
      <c r="E2" s="1175"/>
      <c r="F2" s="1175"/>
      <c r="G2" s="1175"/>
      <c r="H2" s="1175"/>
      <c r="I2" s="1175"/>
      <c r="J2" s="1175"/>
      <c r="K2" s="1175"/>
      <c r="L2" s="1175"/>
      <c r="M2" s="1175"/>
      <c r="N2" s="1175"/>
      <c r="O2" s="1175"/>
      <c r="P2" s="1175"/>
      <c r="Q2" s="1175"/>
      <c r="R2" s="1175"/>
      <c r="S2" s="1175"/>
      <c r="T2" s="1175"/>
      <c r="U2" s="1175"/>
      <c r="V2" s="1175"/>
      <c r="W2" s="1175"/>
      <c r="X2" s="1175"/>
      <c r="Y2" s="1175"/>
      <c r="Z2" s="1175"/>
      <c r="AA2" s="1175"/>
      <c r="AB2" s="1175"/>
      <c r="AC2" s="1175"/>
      <c r="AD2" s="1175"/>
      <c r="AE2" s="1175"/>
      <c r="AF2" s="1175"/>
      <c r="AG2" s="1175"/>
      <c r="AH2" s="1175"/>
      <c r="AI2" s="1175"/>
      <c r="AJ2" s="1175"/>
      <c r="AK2" s="1175"/>
      <c r="AL2" s="1175"/>
      <c r="AM2" s="1175"/>
      <c r="AN2" s="1175"/>
      <c r="AO2" s="1175"/>
      <c r="AP2" s="1175"/>
      <c r="AQ2" s="1175"/>
      <c r="AR2" s="1175"/>
      <c r="AS2" s="1175"/>
      <c r="AT2" s="1175"/>
      <c r="AU2" s="1175"/>
      <c r="AV2" s="1175"/>
      <c r="AW2" s="1176"/>
      <c r="AX2" s="1176"/>
      <c r="AY2" s="1176"/>
      <c r="AZ2" s="1176"/>
      <c r="BA2" s="1176"/>
      <c r="BB2" s="1176"/>
      <c r="BC2" s="1176"/>
      <c r="BD2" s="1176"/>
      <c r="BE2" s="1176"/>
      <c r="BF2" s="1176"/>
      <c r="BG2" s="1176"/>
      <c r="BH2" s="1176"/>
      <c r="BI2" s="1176"/>
      <c r="BJ2" s="1176"/>
      <c r="BK2" s="1176"/>
      <c r="BL2" s="1176"/>
      <c r="BM2" s="1176"/>
      <c r="BN2" s="1176"/>
      <c r="BO2" s="1176"/>
      <c r="BP2" s="1176"/>
      <c r="BQ2" s="1176"/>
      <c r="BR2" s="1176"/>
      <c r="BS2" s="1176"/>
      <c r="BT2" s="1176"/>
      <c r="BU2" s="1176"/>
      <c r="BV2" s="1176"/>
      <c r="BW2" s="1176"/>
      <c r="BX2" s="1176"/>
      <c r="BY2" s="1176"/>
      <c r="BZ2" s="1176"/>
      <c r="CA2" s="1176"/>
      <c r="CB2" s="1176"/>
      <c r="CC2" s="1176"/>
      <c r="CD2" s="1176"/>
      <c r="CE2" s="1176"/>
      <c r="CF2" s="1176"/>
      <c r="CG2" s="1176"/>
      <c r="CH2" s="1176"/>
      <c r="CI2" s="1176"/>
      <c r="CJ2" s="1176"/>
      <c r="CK2" s="1176"/>
      <c r="CL2" s="1176"/>
      <c r="CM2" s="1176"/>
      <c r="CN2" s="1176"/>
      <c r="CO2" s="1176"/>
      <c r="CP2" s="1176"/>
      <c r="CQ2" s="1176"/>
      <c r="CR2" s="1176"/>
      <c r="CS2" s="1176"/>
      <c r="CT2" s="1176"/>
    </row>
    <row r="3" spans="2:98" ht="13.5" customHeight="1" thickBot="1" x14ac:dyDescent="0.25">
      <c r="B3" s="806" t="s">
        <v>379</v>
      </c>
      <c r="C3" s="806"/>
      <c r="D3" s="805" t="s">
        <v>380</v>
      </c>
      <c r="E3" s="805"/>
      <c r="F3" s="805"/>
      <c r="G3" s="805"/>
      <c r="H3" s="806"/>
      <c r="I3" s="2019" t="s">
        <v>381</v>
      </c>
      <c r="J3" s="2019"/>
      <c r="K3" s="2019"/>
      <c r="L3" s="2019"/>
      <c r="M3" s="806"/>
      <c r="N3" s="1177" t="s">
        <v>382</v>
      </c>
      <c r="O3" s="805"/>
      <c r="P3" s="805"/>
      <c r="Q3" s="1178"/>
      <c r="R3" s="806"/>
      <c r="S3" s="805" t="s">
        <v>383</v>
      </c>
      <c r="T3" s="805"/>
      <c r="U3" s="805"/>
      <c r="V3" s="1178"/>
      <c r="W3" s="806"/>
      <c r="X3" s="1177" t="s">
        <v>384</v>
      </c>
      <c r="Y3" s="805"/>
      <c r="Z3" s="805"/>
      <c r="AA3" s="1178"/>
      <c r="AB3" s="806"/>
      <c r="AC3" s="1177" t="s">
        <v>385</v>
      </c>
      <c r="AD3" s="805"/>
      <c r="AE3" s="805"/>
      <c r="AF3" s="1178"/>
      <c r="AG3" s="806"/>
      <c r="AH3" s="1177" t="s">
        <v>386</v>
      </c>
      <c r="AI3" s="805"/>
      <c r="AJ3" s="805"/>
      <c r="AK3" s="1178"/>
      <c r="AL3" s="806"/>
      <c r="AM3" s="1177" t="s">
        <v>387</v>
      </c>
      <c r="AN3" s="805"/>
      <c r="AO3" s="805"/>
      <c r="AP3" s="1178"/>
      <c r="AQ3" s="806"/>
      <c r="AR3" s="1177" t="s">
        <v>388</v>
      </c>
      <c r="AS3" s="805"/>
      <c r="AT3" s="805"/>
      <c r="AU3" s="1178"/>
      <c r="AV3" s="806"/>
      <c r="AW3" s="1177" t="s">
        <v>389</v>
      </c>
      <c r="AX3" s="805"/>
      <c r="AY3" s="805"/>
      <c r="AZ3" s="1178"/>
      <c r="BA3" s="806"/>
      <c r="BB3" s="1177" t="s">
        <v>390</v>
      </c>
      <c r="BC3" s="805"/>
      <c r="BD3" s="805"/>
      <c r="BE3" s="1178"/>
      <c r="BF3" s="806"/>
      <c r="BG3" s="1177" t="s">
        <v>391</v>
      </c>
      <c r="BH3" s="805"/>
      <c r="BI3" s="805"/>
      <c r="BJ3" s="1178"/>
      <c r="BK3" s="806"/>
      <c r="BL3" s="1177" t="s">
        <v>392</v>
      </c>
      <c r="BM3" s="805"/>
      <c r="BN3" s="805"/>
      <c r="BO3" s="1178"/>
      <c r="BP3" s="806"/>
      <c r="BQ3" s="1177" t="str">
        <f>Model!CC8</f>
        <v>Fiscal Year End, Dec 31 2016</v>
      </c>
      <c r="BR3" s="805"/>
      <c r="BS3" s="805"/>
      <c r="BT3" s="1178"/>
      <c r="BU3" s="806"/>
      <c r="BV3" s="1177" t="str">
        <f>Model!CH8</f>
        <v>Fiscal Year End, Dec 31 2017</v>
      </c>
      <c r="BW3" s="805"/>
      <c r="BX3" s="805"/>
      <c r="BY3" s="1178"/>
      <c r="BZ3" s="806"/>
      <c r="CA3" s="1177" t="str">
        <f>Model!CM8</f>
        <v>Fiscal Year End, Dec 31 2018</v>
      </c>
      <c r="CB3" s="805"/>
      <c r="CC3" s="805"/>
      <c r="CD3" s="1178"/>
      <c r="CE3" s="806"/>
      <c r="CF3" s="1177" t="str">
        <f>Model!CR8</f>
        <v>Fiscal Year End, Dec 31 2019</v>
      </c>
      <c r="CG3" s="805"/>
      <c r="CH3" s="805"/>
      <c r="CI3" s="1178"/>
      <c r="CJ3" s="806"/>
      <c r="CK3" s="1177" t="str">
        <f>Model!CW8</f>
        <v>Fiscal Year End, Dec 31 2020</v>
      </c>
      <c r="CL3" s="805"/>
      <c r="CM3" s="805"/>
      <c r="CN3" s="1178"/>
      <c r="CO3" s="806"/>
      <c r="CP3" s="1177" t="str">
        <f>Model!DB8</f>
        <v>Fiscal Year End, Dec 31 2021</v>
      </c>
      <c r="CQ3" s="805"/>
      <c r="CR3" s="805"/>
      <c r="CS3" s="1178"/>
      <c r="CT3" s="806"/>
    </row>
    <row r="4" spans="2:98" ht="13.5" customHeight="1" thickBot="1" x14ac:dyDescent="0.25">
      <c r="B4" s="1179" t="s">
        <v>69</v>
      </c>
      <c r="C4" s="829" t="s">
        <v>50</v>
      </c>
      <c r="D4" s="810" t="s">
        <v>56</v>
      </c>
      <c r="E4" s="810" t="s">
        <v>57</v>
      </c>
      <c r="F4" s="810" t="s">
        <v>58</v>
      </c>
      <c r="G4" s="810" t="s">
        <v>59</v>
      </c>
      <c r="H4" s="829" t="s">
        <v>55</v>
      </c>
      <c r="I4" s="810" t="s">
        <v>56</v>
      </c>
      <c r="J4" s="810" t="s">
        <v>57</v>
      </c>
      <c r="K4" s="810" t="s">
        <v>58</v>
      </c>
      <c r="L4" s="810" t="s">
        <v>59</v>
      </c>
      <c r="M4" s="829" t="s">
        <v>60</v>
      </c>
      <c r="N4" s="811" t="s">
        <v>56</v>
      </c>
      <c r="O4" s="810" t="s">
        <v>57</v>
      </c>
      <c r="P4" s="810" t="s">
        <v>58</v>
      </c>
      <c r="Q4" s="812" t="s">
        <v>59</v>
      </c>
      <c r="R4" s="813" t="s">
        <v>61</v>
      </c>
      <c r="S4" s="810" t="s">
        <v>56</v>
      </c>
      <c r="T4" s="810" t="s">
        <v>57</v>
      </c>
      <c r="U4" s="810" t="s">
        <v>58</v>
      </c>
      <c r="V4" s="810" t="s">
        <v>59</v>
      </c>
      <c r="W4" s="813" t="s">
        <v>219</v>
      </c>
      <c r="X4" s="810" t="s">
        <v>56</v>
      </c>
      <c r="Y4" s="810" t="s">
        <v>57</v>
      </c>
      <c r="Z4" s="810" t="s">
        <v>58</v>
      </c>
      <c r="AA4" s="810" t="s">
        <v>59</v>
      </c>
      <c r="AB4" s="813" t="s">
        <v>62</v>
      </c>
      <c r="AC4" s="810" t="s">
        <v>56</v>
      </c>
      <c r="AD4" s="810" t="s">
        <v>57</v>
      </c>
      <c r="AE4" s="810" t="s">
        <v>58</v>
      </c>
      <c r="AF4" s="810" t="s">
        <v>59</v>
      </c>
      <c r="AG4" s="813" t="s">
        <v>218</v>
      </c>
      <c r="AH4" s="810" t="s">
        <v>56</v>
      </c>
      <c r="AI4" s="810" t="s">
        <v>57</v>
      </c>
      <c r="AJ4" s="810" t="s">
        <v>58</v>
      </c>
      <c r="AK4" s="810" t="s">
        <v>59</v>
      </c>
      <c r="AL4" s="813" t="s">
        <v>370</v>
      </c>
      <c r="AM4" s="810" t="s">
        <v>56</v>
      </c>
      <c r="AN4" s="810" t="s">
        <v>57</v>
      </c>
      <c r="AO4" s="810" t="s">
        <v>58</v>
      </c>
      <c r="AP4" s="810" t="s">
        <v>59</v>
      </c>
      <c r="AQ4" s="813" t="s">
        <v>376</v>
      </c>
      <c r="AR4" s="810" t="str">
        <f>Model!BD9</f>
        <v>1QA</v>
      </c>
      <c r="AS4" s="810" t="str">
        <f>Model!BE9</f>
        <v>2QA</v>
      </c>
      <c r="AT4" s="810" t="str">
        <f>Model!BF9</f>
        <v>3QA</v>
      </c>
      <c r="AU4" s="810" t="str">
        <f>Model!BG9</f>
        <v>4QA</v>
      </c>
      <c r="AV4" s="813" t="str">
        <f>Model!BH9</f>
        <v>2011A</v>
      </c>
      <c r="AW4" s="810" t="str">
        <f>Model!BI9</f>
        <v>1QA</v>
      </c>
      <c r="AX4" s="810" t="str">
        <f>Model!BJ9</f>
        <v>2QA</v>
      </c>
      <c r="AY4" s="810" t="str">
        <f>Model!BK9</f>
        <v>3QA</v>
      </c>
      <c r="AZ4" s="810" t="str">
        <f>Model!BL9</f>
        <v>4QA</v>
      </c>
      <c r="BA4" s="813" t="str">
        <f>Model!BM9</f>
        <v>2012A</v>
      </c>
      <c r="BB4" s="810" t="str">
        <f>Model!BN9</f>
        <v>1QA</v>
      </c>
      <c r="BC4" s="810" t="str">
        <f>Model!BO9</f>
        <v>2QA</v>
      </c>
      <c r="BD4" s="810" t="str">
        <f>Model!BP9</f>
        <v>3QA</v>
      </c>
      <c r="BE4" s="810" t="str">
        <f>Model!BQ9</f>
        <v>4QA</v>
      </c>
      <c r="BF4" s="813" t="str">
        <f>Model!BR9</f>
        <v>2013A</v>
      </c>
      <c r="BG4" s="810" t="str">
        <f>Model!BS9</f>
        <v>1QA</v>
      </c>
      <c r="BH4" s="810" t="str">
        <f>Model!BT9</f>
        <v>2QA</v>
      </c>
      <c r="BI4" s="810" t="str">
        <f>Model!BU9</f>
        <v>3QA</v>
      </c>
      <c r="BJ4" s="810" t="str">
        <f>Model!BV9</f>
        <v>4QA</v>
      </c>
      <c r="BK4" s="813" t="str">
        <f>Model!BW9</f>
        <v>2014A</v>
      </c>
      <c r="BL4" s="810" t="str">
        <f>Model!BX9</f>
        <v>1QA</v>
      </c>
      <c r="BM4" s="810" t="str">
        <f>Model!BY9</f>
        <v>2QA</v>
      </c>
      <c r="BN4" s="810" t="str">
        <f>Model!BZ9</f>
        <v>3QA</v>
      </c>
      <c r="BO4" s="810" t="str">
        <f>Model!CA9</f>
        <v>4QA</v>
      </c>
      <c r="BP4" s="813" t="str">
        <f>Model!CB9</f>
        <v>2015A</v>
      </c>
      <c r="BQ4" s="810" t="str">
        <f>Model!CC9</f>
        <v>1QA</v>
      </c>
      <c r="BR4" s="810" t="str">
        <f>Model!CD9</f>
        <v>2QA</v>
      </c>
      <c r="BS4" s="810" t="str">
        <f>Model!CE9</f>
        <v>3QA</v>
      </c>
      <c r="BT4" s="810" t="str">
        <f>Model!CF9</f>
        <v>4QA</v>
      </c>
      <c r="BU4" s="813" t="str">
        <f>Model!CG9</f>
        <v>2016A</v>
      </c>
      <c r="BV4" s="810" t="str">
        <f>Model!CH9</f>
        <v>1QA</v>
      </c>
      <c r="BW4" s="810" t="str">
        <f>Model!CI9</f>
        <v>2QA</v>
      </c>
      <c r="BX4" s="810" t="str">
        <f>Model!CJ9</f>
        <v>3QA</v>
      </c>
      <c r="BY4" s="810" t="str">
        <f>Model!CK9</f>
        <v>4QA</v>
      </c>
      <c r="BZ4" s="813" t="str">
        <f>Model!CL9</f>
        <v>2017A</v>
      </c>
      <c r="CA4" s="810" t="str">
        <f>Model!CM9</f>
        <v>1QE</v>
      </c>
      <c r="CB4" s="810" t="str">
        <f>Model!CN9</f>
        <v>2QE</v>
      </c>
      <c r="CC4" s="810" t="str">
        <f>Model!CO9</f>
        <v>3QE</v>
      </c>
      <c r="CD4" s="810" t="str">
        <f>Model!CP9</f>
        <v>4QE</v>
      </c>
      <c r="CE4" s="813" t="str">
        <f>Model!CQ9</f>
        <v>2018E</v>
      </c>
      <c r="CF4" s="810" t="str">
        <f>Model!CR9</f>
        <v>1QE</v>
      </c>
      <c r="CG4" s="810" t="str">
        <f>Model!CS9</f>
        <v>2QE</v>
      </c>
      <c r="CH4" s="810" t="str">
        <f>Model!CT9</f>
        <v>3QE</v>
      </c>
      <c r="CI4" s="810" t="str">
        <f>Model!CU9</f>
        <v>4QE</v>
      </c>
      <c r="CJ4" s="813" t="str">
        <f>Model!CV9</f>
        <v>2019E</v>
      </c>
      <c r="CK4" s="810" t="str">
        <f>Model!CW9</f>
        <v>1QE</v>
      </c>
      <c r="CL4" s="810" t="str">
        <f>Model!CX9</f>
        <v>2QE</v>
      </c>
      <c r="CM4" s="810" t="str">
        <f>Model!CY9</f>
        <v>3QE</v>
      </c>
      <c r="CN4" s="810" t="str">
        <f>Model!CZ9</f>
        <v>4QE</v>
      </c>
      <c r="CO4" s="813" t="str">
        <f>Model!DA9</f>
        <v>2020E</v>
      </c>
      <c r="CP4" s="810" t="str">
        <f>Model!DB9</f>
        <v>1QE</v>
      </c>
      <c r="CQ4" s="810" t="str">
        <f>Model!DC9</f>
        <v>2QE</v>
      </c>
      <c r="CR4" s="810" t="str">
        <f>Model!DD9</f>
        <v>3QE</v>
      </c>
      <c r="CS4" s="810" t="str">
        <f>Model!DE9</f>
        <v>4QE</v>
      </c>
      <c r="CT4" s="813" t="str">
        <f>Model!DF9</f>
        <v>2021E</v>
      </c>
    </row>
    <row r="5" spans="2:98" ht="10.5" customHeight="1" x14ac:dyDescent="0.2">
      <c r="B5" s="1167" t="s">
        <v>15</v>
      </c>
      <c r="C5" s="1180"/>
      <c r="D5" s="1150"/>
      <c r="E5" s="1150"/>
      <c r="F5" s="1150"/>
      <c r="G5" s="1150"/>
      <c r="H5" s="1154"/>
      <c r="I5" s="1181"/>
      <c r="J5" s="1181"/>
      <c r="K5" s="1181"/>
      <c r="L5" s="1181"/>
      <c r="M5" s="1154"/>
      <c r="N5" s="1181"/>
      <c r="O5" s="1181"/>
      <c r="P5" s="1181"/>
      <c r="Q5" s="1181"/>
      <c r="R5" s="1154"/>
      <c r="S5" s="1181"/>
      <c r="T5" s="1181"/>
      <c r="U5" s="1181"/>
      <c r="V5" s="1182"/>
      <c r="W5" s="1154"/>
      <c r="X5" s="1181"/>
      <c r="Y5" s="1182"/>
      <c r="Z5" s="1182"/>
      <c r="AA5" s="1182"/>
      <c r="AB5" s="1154"/>
      <c r="AC5" s="1183"/>
      <c r="AD5" s="1182"/>
      <c r="AE5" s="1182"/>
      <c r="AF5" s="1182"/>
      <c r="AG5" s="1184"/>
      <c r="AH5" s="1182"/>
      <c r="AI5" s="1182"/>
      <c r="AJ5" s="1185"/>
      <c r="AK5" s="1185"/>
      <c r="AL5" s="1154"/>
      <c r="AM5" s="1185"/>
      <c r="AN5" s="1185"/>
      <c r="AO5" s="1185"/>
      <c r="AP5" s="1185"/>
      <c r="AQ5" s="1154"/>
      <c r="AR5" s="1185"/>
      <c r="AS5" s="1185"/>
      <c r="AT5" s="1148"/>
      <c r="AU5" s="1262"/>
      <c r="AV5" s="1154"/>
      <c r="AW5" s="1261"/>
      <c r="AX5" s="1148">
        <f>AX27*AX22</f>
        <v>1461.1089368316254</v>
      </c>
      <c r="AY5" s="1148">
        <f>AY27*AY22</f>
        <v>1551.1817229716228</v>
      </c>
      <c r="AZ5" s="1262">
        <f>AZ27*AZ22</f>
        <v>1551.1817229716228</v>
      </c>
      <c r="BA5" s="1154">
        <f>SUM(AW5:AZ5)</f>
        <v>4563.4723827748712</v>
      </c>
      <c r="BB5" s="1261">
        <f>BB27*BB22</f>
        <v>1602.7099686321449</v>
      </c>
      <c r="BC5" s="1148">
        <f>BC27*BC22</f>
        <v>1657.1897561544299</v>
      </c>
      <c r="BD5" s="1148">
        <f>BD27*BD22</f>
        <v>1759.3503101944148</v>
      </c>
      <c r="BE5" s="1262">
        <f>BE27*BE22</f>
        <v>1759.3503101944148</v>
      </c>
      <c r="BF5" s="1154">
        <f>SUM(BB5:BE5)</f>
        <v>6778.6003451754041</v>
      </c>
      <c r="BG5" s="1261">
        <f>BG27*BG22</f>
        <v>1766.9877404169399</v>
      </c>
      <c r="BH5" s="1148">
        <f>BH27*BH22</f>
        <v>1861.8526910395019</v>
      </c>
      <c r="BI5" s="1148">
        <f>BI27*BI22</f>
        <v>1976.6300735034251</v>
      </c>
      <c r="BJ5" s="1262">
        <f>BJ27*BJ22</f>
        <v>1976.6300735034251</v>
      </c>
      <c r="BK5" s="1154">
        <f>SUM(BG5:BJ5)</f>
        <v>7582.1005784632925</v>
      </c>
      <c r="BL5" s="1261">
        <f>BL27*BL22</f>
        <v>2127.453239461996</v>
      </c>
      <c r="BM5" s="1148">
        <f>BM27*BM22</f>
        <v>2241.6706400115604</v>
      </c>
      <c r="BN5" s="1148">
        <f>BN27*BN22</f>
        <v>2379.8626084981238</v>
      </c>
      <c r="BO5" s="1262">
        <f>BO27*BO22</f>
        <v>2294.8675153374766</v>
      </c>
      <c r="BP5" s="1154">
        <f>SUM(BL5:BO5)</f>
        <v>9043.8540033091576</v>
      </c>
      <c r="BQ5" s="1261">
        <f>BQ27*BQ22</f>
        <v>2424.2329663669443</v>
      </c>
      <c r="BR5" s="1148">
        <f>BR27*BR22</f>
        <v>2590.5306333633594</v>
      </c>
      <c r="BS5" s="1148">
        <f>BS27*BS22</f>
        <v>2750.2287269456442</v>
      </c>
      <c r="BT5" s="1262">
        <f>BT27*BT22</f>
        <v>2652.0062724118711</v>
      </c>
      <c r="BU5" s="1154">
        <f>SUM(BQ5:BT5)</f>
        <v>10416.998599087819</v>
      </c>
      <c r="BV5" s="1261">
        <f>BV27*BV22</f>
        <v>2801.5042217577993</v>
      </c>
      <c r="BW5" s="1148">
        <f>BW27*BW22</f>
        <v>2979.757861026204</v>
      </c>
      <c r="BX5" s="1148">
        <f>BX27*BX22</f>
        <v>3163.4505931692274</v>
      </c>
      <c r="BY5" s="1148">
        <f>BY27*BY22</f>
        <v>3050.470214841755</v>
      </c>
      <c r="BZ5" s="1154">
        <f>SUM(BV5:BY5)</f>
        <v>11995.182890794986</v>
      </c>
      <c r="CA5" s="1261">
        <f>CA27*CA22</f>
        <v>2989.2050046155723</v>
      </c>
      <c r="CB5" s="1148">
        <f>CB27*CB22</f>
        <v>3179.4016377149601</v>
      </c>
      <c r="CC5" s="1148">
        <f>CC27*CC22</f>
        <v>3375.401782911566</v>
      </c>
      <c r="CD5" s="1262">
        <f>CD27*CD22</f>
        <v>3254.8517192361528</v>
      </c>
      <c r="CE5" s="1154">
        <f>SUM(CA5:CD5)</f>
        <v>12798.860144478251</v>
      </c>
      <c r="CF5" s="1261">
        <f>CF27*CF22</f>
        <v>3263.614024039282</v>
      </c>
      <c r="CG5" s="1148">
        <f>CG27*CG22</f>
        <v>3471.2707080571936</v>
      </c>
      <c r="CH5" s="1148">
        <f>CH27*CH22</f>
        <v>3685.2636665828481</v>
      </c>
      <c r="CI5" s="1262">
        <f>CI27*CI22</f>
        <v>3553.6471070620319</v>
      </c>
      <c r="CJ5" s="1154">
        <f>SUM(CF5:CI5)</f>
        <v>13973.795505741356</v>
      </c>
      <c r="CK5" s="1261">
        <f>CK27*CK22</f>
        <v>3186.9190944743586</v>
      </c>
      <c r="CL5" s="1148">
        <f>CL27*CL22</f>
        <v>3389.6958464178497</v>
      </c>
      <c r="CM5" s="1148">
        <f>CM27*CM22</f>
        <v>3598.6599704181513</v>
      </c>
      <c r="CN5" s="1262">
        <f>CN27*CN22</f>
        <v>3470.136400046074</v>
      </c>
      <c r="CO5" s="1154">
        <f>SUM(CK5:CN5)</f>
        <v>13645.411311356434</v>
      </c>
      <c r="CP5" s="1261">
        <f>CP27*CP22</f>
        <v>3112.0264957542113</v>
      </c>
      <c r="CQ5" s="1148">
        <f>CQ27*CQ22</f>
        <v>3310.0379940270295</v>
      </c>
      <c r="CR5" s="1148">
        <f>CR27*CR22</f>
        <v>3514.0914611133239</v>
      </c>
      <c r="CS5" s="1262">
        <f>CS27*CS22</f>
        <v>3388.5881946449913</v>
      </c>
      <c r="CT5" s="1154">
        <f>SUM(CP5:CS5)</f>
        <v>13324.744145539556</v>
      </c>
    </row>
    <row r="6" spans="2:98" ht="10.5" customHeight="1" x14ac:dyDescent="0.2">
      <c r="B6" s="1242" t="s">
        <v>16</v>
      </c>
      <c r="C6" s="1243"/>
      <c r="D6" s="1253"/>
      <c r="E6" s="1253"/>
      <c r="F6" s="1253"/>
      <c r="G6" s="1253"/>
      <c r="H6" s="1254"/>
      <c r="I6" s="1255"/>
      <c r="J6" s="1255"/>
      <c r="K6" s="1255"/>
      <c r="L6" s="1255"/>
      <c r="M6" s="1254"/>
      <c r="N6" s="1255"/>
      <c r="O6" s="1255"/>
      <c r="P6" s="1255"/>
      <c r="Q6" s="1255"/>
      <c r="R6" s="1254"/>
      <c r="S6" s="1255"/>
      <c r="T6" s="1255"/>
      <c r="U6" s="1255"/>
      <c r="V6" s="1256"/>
      <c r="W6" s="1254"/>
      <c r="X6" s="1255"/>
      <c r="Y6" s="1256"/>
      <c r="Z6" s="1256"/>
      <c r="AA6" s="1256"/>
      <c r="AB6" s="1254"/>
      <c r="AC6" s="1258">
        <f>AC26*AC23</f>
        <v>541.19999999999982</v>
      </c>
      <c r="AD6" s="1259">
        <f>AD26*AD23</f>
        <v>546.80000000000018</v>
      </c>
      <c r="AE6" s="1259">
        <f>AE26*AE23</f>
        <v>567.29999999999995</v>
      </c>
      <c r="AF6" s="1260">
        <f>AF26*AF23</f>
        <v>577.70000000000005</v>
      </c>
      <c r="AG6" s="1257">
        <f>SUM(AC6:AF6)</f>
        <v>2233</v>
      </c>
      <c r="AH6" s="1258">
        <f>AH26*AH23</f>
        <v>628.96640399999978</v>
      </c>
      <c r="AI6" s="1259">
        <f>AI26*AI23</f>
        <v>631.22592000000031</v>
      </c>
      <c r="AJ6" s="1259">
        <f>AJ26*AJ23</f>
        <v>659.29904099999999</v>
      </c>
      <c r="AK6" s="1260">
        <f>AK26*AK23</f>
        <v>805.65546906899999</v>
      </c>
      <c r="AL6" s="1254">
        <f>SUM(AH6:AK6)</f>
        <v>2725.1468340689999</v>
      </c>
      <c r="AM6" s="1258">
        <f>AM26*AM23</f>
        <v>1060.5373005450001</v>
      </c>
      <c r="AN6" s="1259">
        <f>AN26*AN23</f>
        <v>1095.2825762092816</v>
      </c>
      <c r="AO6" s="1259">
        <f>AO26*AO23</f>
        <v>1125.8822780992803</v>
      </c>
      <c r="AP6" s="1260">
        <f>AP26*AP23</f>
        <v>1153.3102585386048</v>
      </c>
      <c r="AQ6" s="1254">
        <f>SUM(AM6:AP6)</f>
        <v>4435.0124133921672</v>
      </c>
      <c r="AR6" s="1258">
        <f ca="1">AR26*AR23</f>
        <v>1231.8506871450841</v>
      </c>
      <c r="AS6" s="1259">
        <f ca="1">AS26*AS23</f>
        <v>1196.1270172178765</v>
      </c>
      <c r="AT6" s="1259">
        <f ca="1">AT26*AT23</f>
        <v>1312.7787362637609</v>
      </c>
      <c r="AU6" s="1260">
        <f ca="1">AU26*AU23</f>
        <v>1357.4461742999379</v>
      </c>
      <c r="AV6" s="1254">
        <f ca="1">SUM(AR6:AU6)</f>
        <v>5098.2026149266594</v>
      </c>
      <c r="AW6" s="1258">
        <f ca="1">AW26*AW23</f>
        <v>1423.5266540648593</v>
      </c>
      <c r="AX6" s="1259">
        <f ca="1">AX26*AX23</f>
        <v>1494.7029867681024</v>
      </c>
      <c r="AY6" s="1259">
        <f ca="1">AY26*AY23</f>
        <v>1517.0471076264025</v>
      </c>
      <c r="AZ6" s="1260">
        <f ca="1">AZ26*AZ23</f>
        <v>1568.6647990210085</v>
      </c>
      <c r="BA6" s="1254">
        <f ca="1">SUM(AW6:AZ6)</f>
        <v>6003.9415474803727</v>
      </c>
      <c r="BB6" s="1259">
        <f ca="1">BB26*BB23</f>
        <v>1629.7956662388576</v>
      </c>
      <c r="BC6" s="1259">
        <f ca="1">BC26*BC23</f>
        <v>1711.2854495508006</v>
      </c>
      <c r="BD6" s="1259">
        <f ca="1">BD26*BD23</f>
        <v>1736.8672335214683</v>
      </c>
      <c r="BE6" s="1260">
        <f ca="1">BE26*BE23</f>
        <v>1795.9643283991529</v>
      </c>
      <c r="BF6" s="1254">
        <f ca="1">SUM(BB6:BE6)</f>
        <v>6873.9126777102792</v>
      </c>
      <c r="BG6" s="1258">
        <f ca="1">BG26*BG23</f>
        <v>1831.0754310193568</v>
      </c>
      <c r="BH6" s="1259">
        <f ca="1">BH26*BH23</f>
        <v>1959.2507111907121</v>
      </c>
      <c r="BI6" s="1259">
        <f ca="1">BI26*BI23</f>
        <v>1988.5392956587293</v>
      </c>
      <c r="BJ6" s="1260">
        <f ca="1">BJ26*BJ23</f>
        <v>2056.1995595841904</v>
      </c>
      <c r="BK6" s="1254">
        <f ca="1">SUM(BG6:BJ6)</f>
        <v>7835.0649974529879</v>
      </c>
      <c r="BL6" s="1258">
        <f ca="1">BL26*BL23</f>
        <v>2204.6148189473056</v>
      </c>
      <c r="BM6" s="1259">
        <f ca="1">BM26*BM23</f>
        <v>2358.9378562736179</v>
      </c>
      <c r="BN6" s="1259">
        <f ca="1">BN26*BN23</f>
        <v>2394.2013119731105</v>
      </c>
      <c r="BO6" s="1260">
        <f ca="1">BO26*BO23</f>
        <v>2387.2476886772456</v>
      </c>
      <c r="BP6" s="1254">
        <f ca="1">SUM(BL6:BO6)</f>
        <v>9345.0016758712791</v>
      </c>
      <c r="BQ6" s="1258">
        <f ca="1">BQ26*BQ23</f>
        <v>2512.158586190455</v>
      </c>
      <c r="BR6" s="1259">
        <f ca="1">BR26*BR23</f>
        <v>2726.0475601561993</v>
      </c>
      <c r="BS6" s="1259">
        <f ca="1">BS26*BS23</f>
        <v>2766.798891148926</v>
      </c>
      <c r="BT6" s="1260">
        <f ca="1">BT26*BT23</f>
        <v>2758.7631102276418</v>
      </c>
      <c r="BU6" s="1254">
        <f ca="1">SUM(BQ6:BT6)</f>
        <v>10763.768147723222</v>
      </c>
      <c r="BV6" s="1258">
        <f ca="1">BV26*BV23</f>
        <v>2903.1132661663441</v>
      </c>
      <c r="BW6" s="1259">
        <f ca="1">BW26*BW23</f>
        <v>3135.6362060696688</v>
      </c>
      <c r="BX6" s="1259">
        <f ca="1">BX26*BX23</f>
        <v>3182.5104245440521</v>
      </c>
      <c r="BY6" s="1259">
        <f ca="1">BY26*BY23</f>
        <v>3173.2672675393446</v>
      </c>
      <c r="BZ6" s="1254">
        <f ca="1">SUM(BV6:BY6)</f>
        <v>12394.52716431941</v>
      </c>
      <c r="CA6" s="1258">
        <f ca="1">CA26*CA23</f>
        <v>3097.6218549994896</v>
      </c>
      <c r="CB6" s="1259">
        <f ca="1">CB26*CB23</f>
        <v>3345.723831876337</v>
      </c>
      <c r="CC6" s="1259">
        <f ca="1">CC26*CC23</f>
        <v>3395.7386229885042</v>
      </c>
      <c r="CD6" s="1260">
        <f ca="1">CD26*CD23</f>
        <v>3385.8761744644812</v>
      </c>
      <c r="CE6" s="1254">
        <f ca="1">SUM(CA6:CD6)</f>
        <v>13224.960484328813</v>
      </c>
      <c r="CF6" s="1258">
        <f ca="1">CF26*CF23</f>
        <v>3381.9835412884427</v>
      </c>
      <c r="CG6" s="1259">
        <f ca="1">CG26*CG23</f>
        <v>3652.8612796425846</v>
      </c>
      <c r="CH6" s="1259">
        <f ca="1">CH26*CH23</f>
        <v>3707.4674285788487</v>
      </c>
      <c r="CI6" s="1260">
        <f ca="1">CI26*CI23</f>
        <v>3696.6996072803213</v>
      </c>
      <c r="CJ6" s="1254">
        <f ca="1">SUM(CF6:CI6)</f>
        <v>14439.011856790197</v>
      </c>
      <c r="CK6" s="1258">
        <f ca="1">CK26*CK23</f>
        <v>3302.5069280681641</v>
      </c>
      <c r="CL6" s="1259">
        <f ca="1">CL26*CL23</f>
        <v>3567.0190395709842</v>
      </c>
      <c r="CM6" s="1259">
        <f ca="1">CM26*CM23</f>
        <v>3620.3419440072457</v>
      </c>
      <c r="CN6" s="1260">
        <f ca="1">CN26*CN23</f>
        <v>3609.8271665092334</v>
      </c>
      <c r="CO6" s="1254">
        <f ca="1">SUM(CK6:CN6)</f>
        <v>14099.695078155626</v>
      </c>
      <c r="CP6" s="1258">
        <f ca="1">CP26*CP23</f>
        <v>3224.8980152585623</v>
      </c>
      <c r="CQ6" s="1259">
        <f ca="1">CQ26*CQ23</f>
        <v>3483.194092141066</v>
      </c>
      <c r="CR6" s="1259">
        <f ca="1">CR26*CR23</f>
        <v>3535.2639083230752</v>
      </c>
      <c r="CS6" s="1260">
        <f ca="1">CS26*CS23</f>
        <v>3524.9962280962663</v>
      </c>
      <c r="CT6" s="1254">
        <f ca="1">SUM(CP6:CS6)</f>
        <v>13768.35224381897</v>
      </c>
    </row>
    <row r="7" spans="2:98" ht="10.5" customHeight="1" x14ac:dyDescent="0.2">
      <c r="B7" s="1167" t="s">
        <v>393</v>
      </c>
      <c r="C7" s="1180"/>
      <c r="D7" s="1149">
        <f t="shared" ref="D7:AT7" si="0">SUM(D5:D6)</f>
        <v>0</v>
      </c>
      <c r="E7" s="1149">
        <f t="shared" si="0"/>
        <v>0</v>
      </c>
      <c r="F7" s="1149">
        <f t="shared" si="0"/>
        <v>0</v>
      </c>
      <c r="G7" s="1149">
        <f t="shared" si="0"/>
        <v>0</v>
      </c>
      <c r="H7" s="1154">
        <f t="shared" si="0"/>
        <v>0</v>
      </c>
      <c r="I7" s="1155">
        <f t="shared" si="0"/>
        <v>0</v>
      </c>
      <c r="J7" s="1155">
        <f t="shared" si="0"/>
        <v>0</v>
      </c>
      <c r="K7" s="1155">
        <f t="shared" si="0"/>
        <v>0</v>
      </c>
      <c r="L7" s="1155">
        <f t="shared" si="0"/>
        <v>0</v>
      </c>
      <c r="M7" s="1154">
        <f t="shared" si="0"/>
        <v>0</v>
      </c>
      <c r="N7" s="1155">
        <f t="shared" si="0"/>
        <v>0</v>
      </c>
      <c r="O7" s="1155">
        <f t="shared" si="0"/>
        <v>0</v>
      </c>
      <c r="P7" s="1155">
        <f t="shared" si="0"/>
        <v>0</v>
      </c>
      <c r="Q7" s="1155">
        <f t="shared" si="0"/>
        <v>0</v>
      </c>
      <c r="R7" s="1154">
        <f t="shared" si="0"/>
        <v>0</v>
      </c>
      <c r="S7" s="1155">
        <f t="shared" si="0"/>
        <v>0</v>
      </c>
      <c r="T7" s="1155">
        <f t="shared" si="0"/>
        <v>0</v>
      </c>
      <c r="U7" s="1155">
        <f t="shared" si="0"/>
        <v>0</v>
      </c>
      <c r="V7" s="1251">
        <f t="shared" si="0"/>
        <v>0</v>
      </c>
      <c r="W7" s="1154">
        <f t="shared" si="0"/>
        <v>0</v>
      </c>
      <c r="X7" s="1155">
        <f t="shared" si="0"/>
        <v>0</v>
      </c>
      <c r="Y7" s="1251">
        <f t="shared" si="0"/>
        <v>0</v>
      </c>
      <c r="Z7" s="1251">
        <f t="shared" si="0"/>
        <v>0</v>
      </c>
      <c r="AA7" s="1251">
        <f t="shared" si="0"/>
        <v>0</v>
      </c>
      <c r="AB7" s="1154">
        <f t="shared" si="0"/>
        <v>0</v>
      </c>
      <c r="AC7" s="1252">
        <f t="shared" si="0"/>
        <v>541.19999999999982</v>
      </c>
      <c r="AD7" s="1251">
        <f t="shared" si="0"/>
        <v>546.80000000000018</v>
      </c>
      <c r="AE7" s="1251">
        <f t="shared" si="0"/>
        <v>567.29999999999995</v>
      </c>
      <c r="AF7" s="1251">
        <f t="shared" si="0"/>
        <v>577.70000000000005</v>
      </c>
      <c r="AG7" s="1184">
        <f t="shared" si="0"/>
        <v>2233</v>
      </c>
      <c r="AH7" s="1251">
        <f t="shared" si="0"/>
        <v>628.96640399999978</v>
      </c>
      <c r="AI7" s="1251">
        <f t="shared" si="0"/>
        <v>631.22592000000031</v>
      </c>
      <c r="AJ7" s="1152">
        <f t="shared" si="0"/>
        <v>659.29904099999999</v>
      </c>
      <c r="AK7" s="1152">
        <f t="shared" si="0"/>
        <v>805.65546906899999</v>
      </c>
      <c r="AL7" s="1154">
        <f t="shared" si="0"/>
        <v>2725.1468340689999</v>
      </c>
      <c r="AM7" s="1152">
        <f t="shared" si="0"/>
        <v>1060.5373005450001</v>
      </c>
      <c r="AN7" s="1152">
        <f t="shared" si="0"/>
        <v>1095.2825762092816</v>
      </c>
      <c r="AO7" s="1152">
        <f t="shared" si="0"/>
        <v>1125.8822780992803</v>
      </c>
      <c r="AP7" s="1152">
        <f t="shared" si="0"/>
        <v>1153.3102585386048</v>
      </c>
      <c r="AQ7" s="1154">
        <f t="shared" si="0"/>
        <v>4435.0124133921672</v>
      </c>
      <c r="AR7" s="1152">
        <f t="shared" ca="1" si="0"/>
        <v>1231.8506871450841</v>
      </c>
      <c r="AS7" s="1152">
        <f t="shared" ca="1" si="0"/>
        <v>1196.1270172178765</v>
      </c>
      <c r="AT7" s="1152">
        <f t="shared" ca="1" si="0"/>
        <v>1312.7787362637609</v>
      </c>
      <c r="AU7" s="1152">
        <f t="shared" ref="AU7:BP7" ca="1" si="1">SUM(AU5:AU6)</f>
        <v>1357.4461742999379</v>
      </c>
      <c r="AV7" s="1154">
        <f t="shared" ca="1" si="1"/>
        <v>5098.2026149266594</v>
      </c>
      <c r="AW7" s="1152">
        <f t="shared" ca="1" si="1"/>
        <v>1423.5266540648593</v>
      </c>
      <c r="AX7" s="1152">
        <f t="shared" ca="1" si="1"/>
        <v>2955.8119235997278</v>
      </c>
      <c r="AY7" s="1152">
        <f t="shared" ca="1" si="1"/>
        <v>3068.2288305980255</v>
      </c>
      <c r="AZ7" s="1152">
        <f t="shared" ca="1" si="1"/>
        <v>3119.8465219926311</v>
      </c>
      <c r="BA7" s="1154">
        <f t="shared" ca="1" si="1"/>
        <v>10567.413930255243</v>
      </c>
      <c r="BB7" s="1152">
        <f t="shared" ca="1" si="1"/>
        <v>3232.5056348710023</v>
      </c>
      <c r="BC7" s="1152">
        <f t="shared" ca="1" si="1"/>
        <v>3368.4752057052306</v>
      </c>
      <c r="BD7" s="1152">
        <f t="shared" ca="1" si="1"/>
        <v>3496.217543715883</v>
      </c>
      <c r="BE7" s="1152">
        <f t="shared" ca="1" si="1"/>
        <v>3555.3146385935679</v>
      </c>
      <c r="BF7" s="1154">
        <f t="shared" ca="1" si="1"/>
        <v>13652.513022885683</v>
      </c>
      <c r="BG7" s="1152">
        <f t="shared" ca="1" si="1"/>
        <v>3598.0631714362967</v>
      </c>
      <c r="BH7" s="1152">
        <f t="shared" ca="1" si="1"/>
        <v>3821.1034022302138</v>
      </c>
      <c r="BI7" s="1152">
        <f t="shared" ca="1" si="1"/>
        <v>3965.1693691621545</v>
      </c>
      <c r="BJ7" s="1152">
        <f t="shared" ca="1" si="1"/>
        <v>4032.8296330876155</v>
      </c>
      <c r="BK7" s="1154">
        <f t="shared" ca="1" si="1"/>
        <v>15417.16557591628</v>
      </c>
      <c r="BL7" s="1152">
        <f t="shared" ca="1" si="1"/>
        <v>4332.0680584093016</v>
      </c>
      <c r="BM7" s="1152">
        <f t="shared" ca="1" si="1"/>
        <v>4600.6084962851783</v>
      </c>
      <c r="BN7" s="1152">
        <f t="shared" ca="1" si="1"/>
        <v>4774.0639204712343</v>
      </c>
      <c r="BO7" s="1152">
        <f t="shared" ca="1" si="1"/>
        <v>4682.1152040147226</v>
      </c>
      <c r="BP7" s="1154">
        <f t="shared" ca="1" si="1"/>
        <v>18388.855679180437</v>
      </c>
      <c r="BQ7" s="1152">
        <f t="shared" ref="BQ7:BZ7" ca="1" si="2">SUM(BQ5:BQ6)</f>
        <v>4936.3915525573993</v>
      </c>
      <c r="BR7" s="1152">
        <f t="shared" ca="1" si="2"/>
        <v>5316.5781935195591</v>
      </c>
      <c r="BS7" s="1152">
        <f t="shared" ca="1" si="2"/>
        <v>5517.0276180945702</v>
      </c>
      <c r="BT7" s="1152">
        <f t="shared" ca="1" si="2"/>
        <v>5410.7693826395134</v>
      </c>
      <c r="BU7" s="1154">
        <f t="shared" ca="1" si="2"/>
        <v>21180.766746811041</v>
      </c>
      <c r="BV7" s="1223">
        <f t="shared" ref="BV7:BW7" ca="1" si="3">SUM(BV5:BV6)</f>
        <v>5704.6174879241435</v>
      </c>
      <c r="BW7" s="1152">
        <f t="shared" ca="1" si="3"/>
        <v>6115.3940670958727</v>
      </c>
      <c r="BX7" s="1152">
        <f t="shared" ref="BX7:BY7" ca="1" si="4">SUM(BX5:BX6)</f>
        <v>6345.9610177132799</v>
      </c>
      <c r="BY7" s="1152">
        <f t="shared" ca="1" si="4"/>
        <v>6223.7374823810997</v>
      </c>
      <c r="BZ7" s="1154">
        <f t="shared" ca="1" si="2"/>
        <v>24389.710055114396</v>
      </c>
      <c r="CA7" s="1152">
        <f t="shared" ref="CA7:CJ7" ca="1" si="5">SUM(CA5:CA6)</f>
        <v>6086.8268596150619</v>
      </c>
      <c r="CB7" s="1152">
        <f t="shared" ca="1" si="5"/>
        <v>6525.1254695912976</v>
      </c>
      <c r="CC7" s="1152">
        <f t="shared" ca="1" si="5"/>
        <v>6771.1404059000706</v>
      </c>
      <c r="CD7" s="1152">
        <f t="shared" ca="1" si="5"/>
        <v>6640.727893700634</v>
      </c>
      <c r="CE7" s="1154">
        <f t="shared" ca="1" si="5"/>
        <v>26023.820628807065</v>
      </c>
      <c r="CF7" s="1152">
        <f t="shared" ca="1" si="5"/>
        <v>6645.5975653277246</v>
      </c>
      <c r="CG7" s="1152">
        <f t="shared" ca="1" si="5"/>
        <v>7124.1319876997786</v>
      </c>
      <c r="CH7" s="1152">
        <f t="shared" ca="1" si="5"/>
        <v>7392.7310951616964</v>
      </c>
      <c r="CI7" s="1152">
        <f t="shared" ca="1" si="5"/>
        <v>7250.3467143423532</v>
      </c>
      <c r="CJ7" s="1154">
        <f t="shared" ca="1" si="5"/>
        <v>28412.807362531552</v>
      </c>
      <c r="CK7" s="1152">
        <f t="shared" ref="CK7:CT7" ca="1" si="6">SUM(CK5:CK6)</f>
        <v>6489.4260225425223</v>
      </c>
      <c r="CL7" s="1152">
        <f t="shared" ca="1" si="6"/>
        <v>6956.7148859888339</v>
      </c>
      <c r="CM7" s="1152">
        <f t="shared" ca="1" si="6"/>
        <v>7219.0019144253965</v>
      </c>
      <c r="CN7" s="1152">
        <f t="shared" ca="1" si="6"/>
        <v>7079.9635665553069</v>
      </c>
      <c r="CO7" s="1154">
        <f t="shared" ca="1" si="6"/>
        <v>27745.106389512061</v>
      </c>
      <c r="CP7" s="1152">
        <f t="shared" ca="1" si="6"/>
        <v>6336.924511012774</v>
      </c>
      <c r="CQ7" s="1152">
        <f t="shared" ca="1" si="6"/>
        <v>6793.2320861680955</v>
      </c>
      <c r="CR7" s="1152">
        <f t="shared" ca="1" si="6"/>
        <v>7049.3553694363991</v>
      </c>
      <c r="CS7" s="1152">
        <f t="shared" ca="1" si="6"/>
        <v>6913.5844227412581</v>
      </c>
      <c r="CT7" s="1154">
        <f t="shared" ca="1" si="6"/>
        <v>27093.096389358529</v>
      </c>
    </row>
    <row r="8" spans="2:98" ht="10.5" customHeight="1" x14ac:dyDescent="0.2">
      <c r="B8" s="1167"/>
      <c r="C8" s="1180"/>
      <c r="D8" s="1186"/>
      <c r="E8" s="1186"/>
      <c r="F8" s="1186"/>
      <c r="G8" s="1186"/>
      <c r="H8" s="1180"/>
      <c r="I8" s="1187"/>
      <c r="J8" s="1187"/>
      <c r="K8" s="1187"/>
      <c r="L8" s="1187"/>
      <c r="M8" s="1188"/>
      <c r="N8" s="1187"/>
      <c r="O8" s="1187"/>
      <c r="P8" s="1187"/>
      <c r="Q8" s="1187"/>
      <c r="R8" s="1188"/>
      <c r="S8" s="1187"/>
      <c r="T8" s="1187"/>
      <c r="U8" s="1187"/>
      <c r="V8" s="1189"/>
      <c r="W8" s="1190"/>
      <c r="X8" s="1187"/>
      <c r="Y8" s="1189"/>
      <c r="Z8" s="1189"/>
      <c r="AA8" s="1191"/>
      <c r="AB8" s="1192"/>
      <c r="AC8" s="1193"/>
      <c r="AD8" s="1189"/>
      <c r="AE8" s="1189"/>
      <c r="AF8" s="1191"/>
      <c r="AG8" s="1190"/>
      <c r="AH8" s="1194"/>
      <c r="AI8" s="1189"/>
      <c r="AJ8" s="1189"/>
      <c r="AK8" s="1191"/>
      <c r="AL8" s="1190"/>
      <c r="AM8" s="1193"/>
      <c r="AN8" s="1195"/>
      <c r="AO8" s="1195"/>
      <c r="AP8" s="1192"/>
      <c r="AQ8" s="1190"/>
      <c r="AR8" s="1193"/>
      <c r="AS8" s="1195"/>
      <c r="AT8" s="1195"/>
      <c r="AU8" s="1192"/>
      <c r="AV8" s="1190"/>
      <c r="AW8" s="1193"/>
      <c r="AX8" s="1195"/>
      <c r="AY8" s="1195"/>
      <c r="AZ8" s="1192"/>
      <c r="BA8" s="1190"/>
      <c r="BB8" s="1193"/>
      <c r="BC8" s="1195"/>
      <c r="BD8" s="1195"/>
      <c r="BE8" s="1192"/>
      <c r="BF8" s="1190"/>
      <c r="BG8" s="1193"/>
      <c r="BH8" s="1195"/>
      <c r="BI8" s="1195"/>
      <c r="BJ8" s="1192"/>
      <c r="BK8" s="1190"/>
      <c r="BL8" s="1193"/>
      <c r="BM8" s="1195"/>
      <c r="BN8" s="1195"/>
      <c r="BO8" s="1192"/>
      <c r="BP8" s="1190"/>
      <c r="BQ8" s="1193"/>
      <c r="BR8" s="1195"/>
      <c r="BS8" s="1195"/>
      <c r="BT8" s="1192"/>
      <c r="BU8" s="1190"/>
      <c r="BV8" s="1193"/>
      <c r="BW8" s="1195"/>
      <c r="BX8" s="1195"/>
      <c r="BY8" s="1195"/>
      <c r="BZ8" s="1190"/>
      <c r="CA8" s="1193"/>
      <c r="CB8" s="1195"/>
      <c r="CC8" s="1195"/>
      <c r="CD8" s="1192"/>
      <c r="CE8" s="1190"/>
      <c r="CF8" s="1193"/>
      <c r="CG8" s="1195"/>
      <c r="CH8" s="1195"/>
      <c r="CI8" s="1192"/>
      <c r="CJ8" s="1190"/>
      <c r="CK8" s="1193"/>
      <c r="CL8" s="1195"/>
      <c r="CM8" s="1195"/>
      <c r="CN8" s="1192"/>
      <c r="CO8" s="1190"/>
      <c r="CP8" s="1193"/>
      <c r="CQ8" s="1195"/>
      <c r="CR8" s="1195"/>
      <c r="CS8" s="1192"/>
      <c r="CT8" s="1190"/>
    </row>
    <row r="9" spans="2:98" ht="10.5" customHeight="1" x14ac:dyDescent="0.2">
      <c r="B9" s="1167" t="s">
        <v>394</v>
      </c>
      <c r="C9" s="1180"/>
      <c r="D9" s="1186"/>
      <c r="E9" s="1186"/>
      <c r="F9" s="1186"/>
      <c r="G9" s="1186"/>
      <c r="H9" s="1180"/>
      <c r="I9" s="1187"/>
      <c r="J9" s="1187"/>
      <c r="K9" s="1187"/>
      <c r="L9" s="1187"/>
      <c r="M9" s="1188"/>
      <c r="N9" s="1187"/>
      <c r="O9" s="1187"/>
      <c r="P9" s="1187"/>
      <c r="Q9" s="1187"/>
      <c r="R9" s="1188"/>
      <c r="S9" s="1187"/>
      <c r="T9" s="1187"/>
      <c r="U9" s="1187"/>
      <c r="V9" s="1189"/>
      <c r="W9" s="1190"/>
      <c r="X9" s="1187"/>
      <c r="Y9" s="1189"/>
      <c r="Z9" s="1189"/>
      <c r="AA9" s="1191"/>
      <c r="AB9" s="1192"/>
      <c r="AC9" s="1536"/>
      <c r="AD9" s="1189"/>
      <c r="AE9" s="1189"/>
      <c r="AF9" s="1191"/>
      <c r="AG9" s="1190"/>
      <c r="AH9" s="1537"/>
      <c r="AI9" s="1247"/>
      <c r="AJ9" s="1247"/>
      <c r="AK9" s="1249"/>
      <c r="AL9" s="1248"/>
      <c r="AM9" s="1536"/>
      <c r="AN9" s="1538"/>
      <c r="AO9" s="1538"/>
      <c r="AP9" s="1250"/>
      <c r="AQ9" s="1248"/>
      <c r="AR9" s="1536"/>
      <c r="AS9" s="1538"/>
      <c r="AT9" s="1538"/>
      <c r="AU9" s="1250"/>
      <c r="AV9" s="1248"/>
      <c r="AW9" s="1536"/>
      <c r="AX9" s="1538"/>
      <c r="AY9" s="1538"/>
      <c r="AZ9" s="1250"/>
      <c r="BA9" s="1248"/>
      <c r="BB9" s="1536"/>
      <c r="BC9" s="1538"/>
      <c r="BD9" s="1538"/>
      <c r="BE9" s="1250"/>
      <c r="BF9" s="1248"/>
      <c r="BG9" s="1536"/>
      <c r="BH9" s="1538"/>
      <c r="BI9" s="1538"/>
      <c r="BJ9" s="1250"/>
      <c r="BK9" s="1248"/>
      <c r="BL9" s="1536"/>
      <c r="BM9" s="1538"/>
      <c r="BN9" s="1538"/>
      <c r="BO9" s="1250"/>
      <c r="BP9" s="1248"/>
      <c r="BQ9" s="1536"/>
      <c r="BR9" s="1538"/>
      <c r="BS9" s="1538"/>
      <c r="BT9" s="1250"/>
      <c r="BU9" s="1248"/>
      <c r="BV9" s="1536"/>
      <c r="BW9" s="1538"/>
      <c r="BX9" s="1538"/>
      <c r="BY9" s="1538"/>
      <c r="BZ9" s="1248"/>
      <c r="CA9" s="1536"/>
      <c r="CB9" s="1538"/>
      <c r="CC9" s="1538"/>
      <c r="CD9" s="1250"/>
      <c r="CE9" s="1248"/>
      <c r="CF9" s="1536"/>
      <c r="CG9" s="1538"/>
      <c r="CH9" s="1538"/>
      <c r="CI9" s="1250"/>
      <c r="CJ9" s="1248"/>
      <c r="CK9" s="1536"/>
      <c r="CL9" s="1538"/>
      <c r="CM9" s="1538"/>
      <c r="CN9" s="1250"/>
      <c r="CO9" s="1248"/>
      <c r="CP9" s="1536"/>
      <c r="CQ9" s="1538"/>
      <c r="CR9" s="1538"/>
      <c r="CS9" s="1250"/>
      <c r="CT9" s="1248"/>
    </row>
    <row r="10" spans="2:98" ht="10.5" customHeight="1" x14ac:dyDescent="0.2">
      <c r="B10" s="1167" t="s">
        <v>13</v>
      </c>
      <c r="C10" s="1180"/>
      <c r="D10" s="1196"/>
      <c r="E10" s="1196"/>
      <c r="F10" s="1196"/>
      <c r="G10" s="1196"/>
      <c r="H10" s="1197"/>
      <c r="I10" s="660"/>
      <c r="J10" s="660"/>
      <c r="K10" s="660"/>
      <c r="L10" s="660"/>
      <c r="M10" s="665"/>
      <c r="N10" s="660"/>
      <c r="O10" s="660"/>
      <c r="P10" s="660"/>
      <c r="Q10" s="660"/>
      <c r="R10" s="665"/>
      <c r="S10" s="660"/>
      <c r="T10" s="660"/>
      <c r="U10" s="660"/>
      <c r="V10" s="1198"/>
      <c r="W10" s="1163"/>
      <c r="X10" s="660"/>
      <c r="Y10" s="1198"/>
      <c r="Z10" s="1198"/>
      <c r="AA10" s="1199"/>
      <c r="AB10" s="1200"/>
      <c r="AC10" s="1201"/>
      <c r="AD10" s="1198"/>
      <c r="AE10" s="1198"/>
      <c r="AF10" s="1199"/>
      <c r="AG10" s="1163"/>
      <c r="AH10" s="1198"/>
      <c r="AI10" s="1198"/>
      <c r="AJ10" s="1198"/>
      <c r="AK10" s="1198"/>
      <c r="AL10" s="1163"/>
      <c r="AM10" s="1201"/>
      <c r="AN10" s="1198"/>
      <c r="AO10" s="1198"/>
      <c r="AP10" s="1198"/>
      <c r="AQ10" s="1163"/>
      <c r="AR10" s="1201"/>
      <c r="AS10" s="1198"/>
      <c r="AT10" s="617"/>
      <c r="AU10" s="1202"/>
      <c r="AV10" s="616"/>
      <c r="AW10" s="1203"/>
      <c r="AX10" s="617">
        <v>0.1</v>
      </c>
      <c r="AY10" s="617">
        <v>9.9000000000000005E-2</v>
      </c>
      <c r="AZ10" s="1202">
        <v>9.8500000000000004E-2</v>
      </c>
      <c r="BA10" s="616"/>
      <c r="BB10" s="617">
        <v>7.0000000000000007E-2</v>
      </c>
      <c r="BC10" s="617">
        <v>7.0000000000000007E-2</v>
      </c>
      <c r="BD10" s="617">
        <v>7.0000000000000007E-2</v>
      </c>
      <c r="BE10" s="617">
        <v>7.0000000000000007E-2</v>
      </c>
      <c r="BF10" s="616"/>
      <c r="BG10" s="617">
        <v>7.0000000000000007E-2</v>
      </c>
      <c r="BH10" s="617">
        <v>7.0000000000000007E-2</v>
      </c>
      <c r="BI10" s="617">
        <v>7.0000000000000007E-2</v>
      </c>
      <c r="BJ10" s="617">
        <v>7.0000000000000007E-2</v>
      </c>
      <c r="BK10" s="616"/>
      <c r="BL10" s="617">
        <v>7.0000000000000007E-2</v>
      </c>
      <c r="BM10" s="617">
        <v>7.0000000000000007E-2</v>
      </c>
      <c r="BN10" s="617">
        <v>6.5000000000000002E-2</v>
      </c>
      <c r="BO10" s="617">
        <v>6.5000000000000002E-2</v>
      </c>
      <c r="BP10" s="616"/>
      <c r="BQ10" s="617">
        <v>0.06</v>
      </c>
      <c r="BR10" s="617">
        <v>7.0000000000000007E-2</v>
      </c>
      <c r="BS10" s="617">
        <v>7.0000000000000007E-2</v>
      </c>
      <c r="BT10" s="617">
        <v>6.5000000000000002E-2</v>
      </c>
      <c r="BU10" s="616"/>
      <c r="BV10" s="1264">
        <v>6.5000000000000002E-2</v>
      </c>
      <c r="BW10" s="1265">
        <v>6.5000000000000002E-2</v>
      </c>
      <c r="BX10" s="1265">
        <v>6.5000000000000002E-2</v>
      </c>
      <c r="BY10" s="1265">
        <v>6.5000000000000002E-2</v>
      </c>
      <c r="BZ10" s="616"/>
      <c r="CA10" s="1265">
        <f>CA11</f>
        <v>0.06</v>
      </c>
      <c r="CB10" s="1265">
        <f>CB11</f>
        <v>7.0000000000000007E-2</v>
      </c>
      <c r="CC10" s="1265">
        <f>CC11</f>
        <v>7.0000000000000007E-2</v>
      </c>
      <c r="CD10" s="1265">
        <f>CD11</f>
        <v>7.0000000000000007E-2</v>
      </c>
      <c r="CE10" s="616"/>
      <c r="CF10" s="1265">
        <f>CF11</f>
        <v>7.0000000000000007E-2</v>
      </c>
      <c r="CG10" s="1265">
        <f>CG11</f>
        <v>7.0000000000000007E-2</v>
      </c>
      <c r="CH10" s="1265">
        <f>CH11</f>
        <v>7.0000000000000007E-2</v>
      </c>
      <c r="CI10" s="1265">
        <f>CI11</f>
        <v>7.0000000000000007E-2</v>
      </c>
      <c r="CJ10" s="616"/>
      <c r="CK10" s="1265">
        <f>CK11</f>
        <v>6.8000000000000005E-2</v>
      </c>
      <c r="CL10" s="1265">
        <f>CL11</f>
        <v>6.8000000000000005E-2</v>
      </c>
      <c r="CM10" s="1265">
        <f>CM11</f>
        <v>6.8000000000000005E-2</v>
      </c>
      <c r="CN10" s="1265">
        <f>CN11</f>
        <v>6.8000000000000005E-2</v>
      </c>
      <c r="CO10" s="616"/>
      <c r="CP10" s="1265">
        <f>CP11</f>
        <v>6.7500000000000004E-2</v>
      </c>
      <c r="CQ10" s="1265">
        <f>CQ11</f>
        <v>6.7500000000000004E-2</v>
      </c>
      <c r="CR10" s="1265">
        <f>CR11</f>
        <v>6.7500000000000004E-2</v>
      </c>
      <c r="CS10" s="1265">
        <f>CS11</f>
        <v>6.7500000000000004E-2</v>
      </c>
      <c r="CT10" s="616"/>
    </row>
    <row r="11" spans="2:98" ht="10.5" customHeight="1" x14ac:dyDescent="0.2">
      <c r="B11" s="1242" t="s">
        <v>14</v>
      </c>
      <c r="C11" s="1243"/>
      <c r="D11" s="1244"/>
      <c r="E11" s="1244"/>
      <c r="F11" s="1244"/>
      <c r="G11" s="1244"/>
      <c r="H11" s="1243"/>
      <c r="I11" s="1245"/>
      <c r="J11" s="1245"/>
      <c r="K11" s="1245"/>
      <c r="L11" s="1245"/>
      <c r="M11" s="1246"/>
      <c r="N11" s="1245"/>
      <c r="O11" s="1245"/>
      <c r="P11" s="1245"/>
      <c r="Q11" s="1245"/>
      <c r="R11" s="1246"/>
      <c r="S11" s="1245"/>
      <c r="T11" s="1245"/>
      <c r="U11" s="1245"/>
      <c r="V11" s="1247"/>
      <c r="W11" s="1248"/>
      <c r="X11" s="1245"/>
      <c r="Y11" s="1247"/>
      <c r="Z11" s="1247"/>
      <c r="AA11" s="1249"/>
      <c r="AB11" s="1250"/>
      <c r="AC11" s="196">
        <v>0.1</v>
      </c>
      <c r="AD11" s="196">
        <v>0.1</v>
      </c>
      <c r="AE11" s="196">
        <v>0.1</v>
      </c>
      <c r="AF11" s="196">
        <v>0.1</v>
      </c>
      <c r="AG11" s="136"/>
      <c r="AH11" s="196">
        <v>0.1</v>
      </c>
      <c r="AI11" s="196">
        <v>0.1</v>
      </c>
      <c r="AJ11" s="196">
        <v>0.1</v>
      </c>
      <c r="AK11" s="196">
        <v>0.1</v>
      </c>
      <c r="AL11" s="136"/>
      <c r="AM11" s="196">
        <v>9.2499999999999999E-2</v>
      </c>
      <c r="AN11" s="196">
        <v>9.5000000000000001E-2</v>
      </c>
      <c r="AO11" s="196">
        <v>9.7000000000000003E-2</v>
      </c>
      <c r="AP11" s="196">
        <v>9.7000000000000003E-2</v>
      </c>
      <c r="AQ11" s="136"/>
      <c r="AR11" s="196">
        <v>9.4E-2</v>
      </c>
      <c r="AS11" s="196">
        <v>9.6000000000000002E-2</v>
      </c>
      <c r="AT11" s="196">
        <v>0.1</v>
      </c>
      <c r="AU11" s="196">
        <v>0.10199999999999999</v>
      </c>
      <c r="AV11" s="136"/>
      <c r="AW11" s="196">
        <v>0.1</v>
      </c>
      <c r="AX11" s="196">
        <v>0.1</v>
      </c>
      <c r="AY11" s="196">
        <v>9.9000000000000005E-2</v>
      </c>
      <c r="AZ11" s="196">
        <v>9.8500000000000004E-2</v>
      </c>
      <c r="BA11" s="136"/>
      <c r="BB11" s="617">
        <v>7.0000000000000007E-2</v>
      </c>
      <c r="BC11" s="617">
        <v>7.0000000000000007E-2</v>
      </c>
      <c r="BD11" s="617">
        <v>7.0000000000000007E-2</v>
      </c>
      <c r="BE11" s="617">
        <v>7.0000000000000007E-2</v>
      </c>
      <c r="BF11" s="136"/>
      <c r="BG11" s="617">
        <v>7.0000000000000007E-2</v>
      </c>
      <c r="BH11" s="617">
        <v>7.0000000000000007E-2</v>
      </c>
      <c r="BI11" s="617">
        <v>7.0000000000000007E-2</v>
      </c>
      <c r="BJ11" s="617">
        <v>7.0000000000000007E-2</v>
      </c>
      <c r="BK11" s="136"/>
      <c r="BL11" s="617">
        <v>7.0000000000000007E-2</v>
      </c>
      <c r="BM11" s="617">
        <v>7.0000000000000007E-2</v>
      </c>
      <c r="BN11" s="617">
        <v>6.5000000000000002E-2</v>
      </c>
      <c r="BO11" s="617">
        <v>6.5000000000000002E-2</v>
      </c>
      <c r="BP11" s="616"/>
      <c r="BQ11" s="617">
        <v>0.06</v>
      </c>
      <c r="BR11" s="617">
        <v>7.0000000000000007E-2</v>
      </c>
      <c r="BS11" s="617">
        <v>7.0000000000000007E-2</v>
      </c>
      <c r="BT11" s="617">
        <v>6.5000000000000002E-2</v>
      </c>
      <c r="BU11" s="616"/>
      <c r="BV11" s="1203">
        <v>7.0000000000000007E-2</v>
      </c>
      <c r="BW11" s="617">
        <v>7.0000000000000007E-2</v>
      </c>
      <c r="BX11" s="617">
        <v>7.0000000000000007E-2</v>
      </c>
      <c r="BY11" s="617">
        <v>7.0000000000000007E-2</v>
      </c>
      <c r="BZ11" s="616"/>
      <c r="CA11" s="678">
        <v>0.06</v>
      </c>
      <c r="CB11" s="678">
        <f>CHOOSE(Scenarios!$C$9,Scenarios!AY23,Scenarios!AY24,Scenarios!AY25)</f>
        <v>7.0000000000000007E-2</v>
      </c>
      <c r="CC11" s="678">
        <f>CHOOSE(Scenarios!$C$9,Scenarios!AZ23,Scenarios!AZ24,Scenarios!AZ25)</f>
        <v>7.0000000000000007E-2</v>
      </c>
      <c r="CD11" s="678">
        <f>CHOOSE(Scenarios!$C$9,Scenarios!BA23,Scenarios!BA24,Scenarios!BA25)</f>
        <v>7.0000000000000007E-2</v>
      </c>
      <c r="CE11" s="616"/>
      <c r="CF11" s="678">
        <f>CHOOSE(Scenarios!$C$9,Scenarios!BC23,Scenarios!BC24,Scenarios!BC25)</f>
        <v>7.0000000000000007E-2</v>
      </c>
      <c r="CG11" s="678">
        <f>CHOOSE(Scenarios!$C$9,Scenarios!BD23,Scenarios!BD24,Scenarios!BD25)</f>
        <v>7.0000000000000007E-2</v>
      </c>
      <c r="CH11" s="678">
        <f>CHOOSE(Scenarios!$C$9,Scenarios!BE23,Scenarios!BE24,Scenarios!BE25)</f>
        <v>7.0000000000000007E-2</v>
      </c>
      <c r="CI11" s="678">
        <f>CHOOSE(Scenarios!$C$9,Scenarios!BF23,Scenarios!BF24,Scenarios!BF25)</f>
        <v>7.0000000000000007E-2</v>
      </c>
      <c r="CJ11" s="616"/>
      <c r="CK11" s="678">
        <f>CHOOSE(Scenarios!$C$9,Scenarios!BH23,Scenarios!BH24,Scenarios!BH25)</f>
        <v>6.8000000000000005E-2</v>
      </c>
      <c r="CL11" s="678">
        <f>CHOOSE(Scenarios!$C$9,Scenarios!BI23,Scenarios!BI24,Scenarios!BI25)</f>
        <v>6.8000000000000005E-2</v>
      </c>
      <c r="CM11" s="678">
        <f>CHOOSE(Scenarios!$C$9,Scenarios!BJ23,Scenarios!BJ24,Scenarios!BJ25)</f>
        <v>6.8000000000000005E-2</v>
      </c>
      <c r="CN11" s="678">
        <f>CHOOSE(Scenarios!$C$9,Scenarios!BK23,Scenarios!BK24,Scenarios!BK25)</f>
        <v>6.8000000000000005E-2</v>
      </c>
      <c r="CO11" s="616"/>
      <c r="CP11" s="678">
        <f>CHOOSE(Scenarios!$C$9,Scenarios!BM23,Scenarios!BM24,Scenarios!BM25)</f>
        <v>6.7500000000000004E-2</v>
      </c>
      <c r="CQ11" s="678">
        <f>CHOOSE(Scenarios!$C$9,Scenarios!BN23,Scenarios!BN24,Scenarios!BN25)</f>
        <v>6.7500000000000004E-2</v>
      </c>
      <c r="CR11" s="678">
        <f>CHOOSE(Scenarios!$C$9,Scenarios!BO23,Scenarios!BO24,Scenarios!BO25)</f>
        <v>6.7500000000000004E-2</v>
      </c>
      <c r="CS11" s="678">
        <f>CHOOSE(Scenarios!$C$9,Scenarios!BP23,Scenarios!BP24,Scenarios!BP25)</f>
        <v>6.7500000000000004E-2</v>
      </c>
      <c r="CT11" s="616"/>
    </row>
    <row r="12" spans="2:98" ht="10.5" customHeight="1" x14ac:dyDescent="0.2">
      <c r="B12" s="1167" t="s">
        <v>395</v>
      </c>
      <c r="C12" s="1180"/>
      <c r="D12" s="1196"/>
      <c r="E12" s="1196"/>
      <c r="F12" s="1196"/>
      <c r="G12" s="1196"/>
      <c r="H12" s="1197"/>
      <c r="I12" s="660"/>
      <c r="J12" s="660"/>
      <c r="K12" s="660"/>
      <c r="L12" s="660"/>
      <c r="M12" s="665"/>
      <c r="N12" s="660"/>
      <c r="O12" s="660"/>
      <c r="P12" s="660"/>
      <c r="Q12" s="660"/>
      <c r="R12" s="665"/>
      <c r="S12" s="660"/>
      <c r="T12" s="660"/>
      <c r="U12" s="660"/>
      <c r="V12" s="1198"/>
      <c r="W12" s="1163"/>
      <c r="X12" s="660"/>
      <c r="Y12" s="1198"/>
      <c r="Z12" s="1198"/>
      <c r="AA12" s="1199"/>
      <c r="AB12" s="1200"/>
      <c r="AC12" s="1201"/>
      <c r="AD12" s="1198"/>
      <c r="AE12" s="1198"/>
      <c r="AF12" s="1199"/>
      <c r="AG12" s="1163"/>
      <c r="AH12" s="1198"/>
      <c r="AI12" s="1198"/>
      <c r="AJ12" s="1198"/>
      <c r="AK12" s="1198"/>
      <c r="AL12" s="1163"/>
      <c r="AM12" s="1201"/>
      <c r="AN12" s="1198"/>
      <c r="AO12" s="1198"/>
      <c r="AP12" s="1198"/>
      <c r="AQ12" s="1163"/>
      <c r="AR12" s="1201"/>
      <c r="AS12" s="1198"/>
      <c r="AT12" s="617"/>
      <c r="AU12" s="1202"/>
      <c r="AV12" s="616"/>
      <c r="AW12" s="1203"/>
      <c r="AX12" s="617"/>
      <c r="AY12" s="1265">
        <f t="shared" ref="AY12:BP12" ca="1" si="7">AY15/AY7</f>
        <v>9.9000000000000005E-2</v>
      </c>
      <c r="AZ12" s="1263">
        <f t="shared" ca="1" si="7"/>
        <v>9.849999999999999E-2</v>
      </c>
      <c r="BA12" s="616"/>
      <c r="BB12" s="1264">
        <f t="shared" ca="1" si="7"/>
        <v>7.0000000000000007E-2</v>
      </c>
      <c r="BC12" s="1265">
        <f t="shared" ca="1" si="7"/>
        <v>6.9999999999999993E-2</v>
      </c>
      <c r="BD12" s="1265">
        <f t="shared" ca="1" si="7"/>
        <v>7.0000000000000007E-2</v>
      </c>
      <c r="BE12" s="1263">
        <f t="shared" ca="1" si="7"/>
        <v>7.0000000000000007E-2</v>
      </c>
      <c r="BF12" s="616">
        <f t="shared" ca="1" si="7"/>
        <v>7.0000000000000007E-2</v>
      </c>
      <c r="BG12" s="1264">
        <f t="shared" ca="1" si="7"/>
        <v>7.0000000000000007E-2</v>
      </c>
      <c r="BH12" s="1265">
        <f t="shared" ca="1" si="7"/>
        <v>7.0000000000000007E-2</v>
      </c>
      <c r="BI12" s="1265">
        <f t="shared" ca="1" si="7"/>
        <v>7.0000000000000007E-2</v>
      </c>
      <c r="BJ12" s="1263">
        <f t="shared" ca="1" si="7"/>
        <v>7.0000000000000007E-2</v>
      </c>
      <c r="BK12" s="616">
        <f t="shared" ca="1" si="7"/>
        <v>6.9999999999999993E-2</v>
      </c>
      <c r="BL12" s="1264">
        <f t="shared" ca="1" si="7"/>
        <v>7.0000000000000007E-2</v>
      </c>
      <c r="BM12" s="1265">
        <f t="shared" ca="1" si="7"/>
        <v>7.0000000000000007E-2</v>
      </c>
      <c r="BN12" s="1265">
        <f t="shared" ca="1" si="7"/>
        <v>6.5000000000000002E-2</v>
      </c>
      <c r="BO12" s="1265">
        <f t="shared" ref="BO12" ca="1" si="8">BO15/BO7</f>
        <v>6.4999999999999988E-2</v>
      </c>
      <c r="BP12" s="616">
        <f t="shared" ca="1" si="7"/>
        <v>6.7428828827235804E-2</v>
      </c>
      <c r="BQ12" s="1264">
        <f t="shared" ref="BQ12:BZ12" ca="1" si="9">BQ15/BQ7</f>
        <v>5.9999999999999991E-2</v>
      </c>
      <c r="BR12" s="1265">
        <f t="shared" ca="1" si="9"/>
        <v>6.9999999999999993E-2</v>
      </c>
      <c r="BS12" s="1265">
        <f t="shared" ca="1" si="9"/>
        <v>7.0000000000000007E-2</v>
      </c>
      <c r="BT12" s="1263">
        <f t="shared" ca="1" si="9"/>
        <v>6.4999999999999988E-2</v>
      </c>
      <c r="BU12" s="616">
        <f t="shared" ca="1" si="9"/>
        <v>6.6392115386933445E-2</v>
      </c>
      <c r="BV12" s="1264">
        <f t="shared" ref="BV12:BW12" ca="1" si="10">BV15/BV7</f>
        <v>6.7544529297811656E-2</v>
      </c>
      <c r="BW12" s="1265">
        <f t="shared" ca="1" si="10"/>
        <v>6.7563723753258267E-2</v>
      </c>
      <c r="BX12" s="1265">
        <f t="shared" ref="BX12:BY12" ca="1" si="11">BX15/BX7</f>
        <v>6.7507508646571263E-2</v>
      </c>
      <c r="BY12" s="1265">
        <f t="shared" ca="1" si="11"/>
        <v>6.7549326089445944E-2</v>
      </c>
      <c r="BZ12" s="616">
        <f t="shared" ca="1" si="9"/>
        <v>6.7540933683982105E-2</v>
      </c>
      <c r="CA12" s="1264">
        <f t="shared" ref="CA12:CJ12" ca="1" si="12">CA15/CA7</f>
        <v>6.0000000000000005E-2</v>
      </c>
      <c r="CB12" s="1265">
        <f t="shared" ca="1" si="12"/>
        <v>7.0000000000000007E-2</v>
      </c>
      <c r="CC12" s="1265">
        <f t="shared" ca="1" si="12"/>
        <v>7.0000000000000007E-2</v>
      </c>
      <c r="CD12" s="1263">
        <f t="shared" ca="1" si="12"/>
        <v>7.0000000000000007E-2</v>
      </c>
      <c r="CE12" s="616">
        <f t="shared" ca="1" si="12"/>
        <v>6.7661055635744261E-2</v>
      </c>
      <c r="CF12" s="1264">
        <f t="shared" ca="1" si="12"/>
        <v>7.0000000000000007E-2</v>
      </c>
      <c r="CG12" s="1265">
        <f t="shared" ca="1" si="12"/>
        <v>7.0000000000000007E-2</v>
      </c>
      <c r="CH12" s="1265">
        <f t="shared" ca="1" si="12"/>
        <v>7.0000000000000007E-2</v>
      </c>
      <c r="CI12" s="1263">
        <f t="shared" ca="1" si="12"/>
        <v>7.0000000000000007E-2</v>
      </c>
      <c r="CJ12" s="616">
        <f t="shared" ca="1" si="12"/>
        <v>7.0000000000000007E-2</v>
      </c>
      <c r="CK12" s="1264">
        <f t="shared" ref="CK12:CT12" ca="1" si="13">CK15/CK7</f>
        <v>6.8000000000000019E-2</v>
      </c>
      <c r="CL12" s="1265">
        <f t="shared" ca="1" si="13"/>
        <v>6.8000000000000005E-2</v>
      </c>
      <c r="CM12" s="1265">
        <f t="shared" ca="1" si="13"/>
        <v>6.8000000000000005E-2</v>
      </c>
      <c r="CN12" s="1263">
        <f t="shared" ca="1" si="13"/>
        <v>6.8000000000000005E-2</v>
      </c>
      <c r="CO12" s="616">
        <f t="shared" ca="1" si="13"/>
        <v>6.8000000000000005E-2</v>
      </c>
      <c r="CP12" s="1264">
        <f t="shared" ca="1" si="13"/>
        <v>6.7500000000000004E-2</v>
      </c>
      <c r="CQ12" s="1265">
        <f t="shared" ca="1" si="13"/>
        <v>6.7500000000000004E-2</v>
      </c>
      <c r="CR12" s="1265">
        <f t="shared" ca="1" si="13"/>
        <v>6.7500000000000004E-2</v>
      </c>
      <c r="CS12" s="1263">
        <f t="shared" ca="1" si="13"/>
        <v>6.7500000000000004E-2</v>
      </c>
      <c r="CT12" s="616">
        <f t="shared" ca="1" si="13"/>
        <v>6.7499999999999991E-2</v>
      </c>
    </row>
    <row r="13" spans="2:98" ht="10.5" customHeight="1" x14ac:dyDescent="0.2">
      <c r="B13" s="1167"/>
      <c r="C13" s="1180"/>
      <c r="D13" s="1186"/>
      <c r="E13" s="1186"/>
      <c r="F13" s="1186"/>
      <c r="G13" s="1186"/>
      <c r="H13" s="1180"/>
      <c r="I13" s="1204"/>
      <c r="J13" s="1204"/>
      <c r="K13" s="1204"/>
      <c r="L13" s="1204"/>
      <c r="M13" s="1188"/>
      <c r="N13" s="1187"/>
      <c r="O13" s="1187"/>
      <c r="P13" s="1187"/>
      <c r="Q13" s="1187"/>
      <c r="R13" s="1188"/>
      <c r="S13" s="1187"/>
      <c r="T13" s="1187"/>
      <c r="U13" s="1187"/>
      <c r="V13" s="1189"/>
      <c r="W13" s="1190"/>
      <c r="X13" s="1204"/>
      <c r="Y13" s="1195"/>
      <c r="Z13" s="1195"/>
      <c r="AA13" s="1205"/>
      <c r="AB13" s="1192"/>
      <c r="AC13" s="1195"/>
      <c r="AD13" s="1206"/>
      <c r="AE13" s="1195"/>
      <c r="AF13" s="1192"/>
      <c r="AG13" s="1190"/>
      <c r="AH13" s="1193"/>
      <c r="AI13" s="1195"/>
      <c r="AJ13" s="1195"/>
      <c r="AK13" s="1192"/>
      <c r="AL13" s="1190"/>
      <c r="AM13" s="1193"/>
      <c r="AN13" s="1195"/>
      <c r="AO13" s="1195"/>
      <c r="AP13" s="1195"/>
      <c r="AQ13" s="1190"/>
      <c r="AR13" s="1193"/>
      <c r="AS13" s="1195"/>
      <c r="AT13" s="1195"/>
      <c r="AU13" s="1192"/>
      <c r="AV13" s="1190"/>
      <c r="AW13" s="1193"/>
      <c r="AX13" s="1195"/>
      <c r="AY13" s="1195"/>
      <c r="AZ13" s="1192"/>
      <c r="BA13" s="1190"/>
      <c r="BB13" s="1193"/>
      <c r="BC13" s="1195"/>
      <c r="BD13" s="1195"/>
      <c r="BE13" s="1192"/>
      <c r="BF13" s="1190"/>
      <c r="BG13" s="1193"/>
      <c r="BH13" s="1195"/>
      <c r="BI13" s="1195"/>
      <c r="BJ13" s="1192"/>
      <c r="BK13" s="1190"/>
      <c r="BL13" s="1193"/>
      <c r="BM13" s="1195"/>
      <c r="BN13" s="1195"/>
      <c r="BO13" s="1192"/>
      <c r="BP13" s="1190"/>
      <c r="BQ13" s="1193"/>
      <c r="BR13" s="1195"/>
      <c r="BS13" s="1195"/>
      <c r="BT13" s="1192"/>
      <c r="BU13" s="1190"/>
      <c r="BV13" s="1193"/>
      <c r="BW13" s="1195"/>
      <c r="BX13" s="1195"/>
      <c r="BY13" s="1195"/>
      <c r="BZ13" s="1190"/>
      <c r="CA13" s="1193"/>
      <c r="CB13" s="1195"/>
      <c r="CC13" s="1195"/>
      <c r="CD13" s="1192"/>
      <c r="CE13" s="1190"/>
      <c r="CF13" s="1193"/>
      <c r="CG13" s="1195"/>
      <c r="CH13" s="1195"/>
      <c r="CI13" s="1192"/>
      <c r="CJ13" s="1190"/>
      <c r="CK13" s="1193"/>
      <c r="CL13" s="1195"/>
      <c r="CM13" s="1195"/>
      <c r="CN13" s="1192"/>
      <c r="CO13" s="1190"/>
      <c r="CP13" s="1193"/>
      <c r="CQ13" s="1195"/>
      <c r="CR13" s="1195"/>
      <c r="CS13" s="1192"/>
      <c r="CT13" s="1190"/>
    </row>
    <row r="14" spans="2:98" ht="10.5" customHeight="1" x14ac:dyDescent="0.2">
      <c r="B14" s="1167" t="s">
        <v>68</v>
      </c>
      <c r="C14" s="1180"/>
      <c r="D14" s="1161"/>
      <c r="E14" s="1161"/>
      <c r="F14" s="1161"/>
      <c r="G14" s="1161"/>
      <c r="H14" s="1180"/>
      <c r="I14" s="1204"/>
      <c r="J14" s="1204"/>
      <c r="K14" s="1204"/>
      <c r="L14" s="1204"/>
      <c r="M14" s="1188"/>
      <c r="N14" s="1204"/>
      <c r="O14" s="1204"/>
      <c r="P14" s="1204"/>
      <c r="Q14" s="1204"/>
      <c r="R14" s="1188"/>
      <c r="S14" s="1204"/>
      <c r="T14" s="1204"/>
      <c r="U14" s="1204"/>
      <c r="V14" s="1195"/>
      <c r="W14" s="1190"/>
      <c r="X14" s="1204"/>
      <c r="Y14" s="1195"/>
      <c r="Z14" s="1195"/>
      <c r="AA14" s="1192"/>
      <c r="AB14" s="1192"/>
      <c r="AC14" s="1536"/>
      <c r="AD14" s="1195"/>
      <c r="AE14" s="1195"/>
      <c r="AF14" s="1192"/>
      <c r="AG14" s="1190"/>
      <c r="AH14" s="1536"/>
      <c r="AI14" s="1195"/>
      <c r="AJ14" s="1195"/>
      <c r="AK14" s="1192"/>
      <c r="AL14" s="1190"/>
      <c r="AM14" s="1193"/>
      <c r="AN14" s="1195"/>
      <c r="AO14" s="1195"/>
      <c r="AP14" s="1195"/>
      <c r="AQ14" s="1190"/>
      <c r="AR14" s="1536"/>
      <c r="AS14" s="1538"/>
      <c r="AT14" s="1538"/>
      <c r="AU14" s="1250"/>
      <c r="AV14" s="1248"/>
      <c r="AW14" s="1536"/>
      <c r="AX14" s="1538"/>
      <c r="AY14" s="1538"/>
      <c r="AZ14" s="1250"/>
      <c r="BA14" s="1248"/>
      <c r="BB14" s="1536"/>
      <c r="BC14" s="1538"/>
      <c r="BD14" s="1538"/>
      <c r="BE14" s="1250"/>
      <c r="BF14" s="1248"/>
      <c r="BG14" s="1536"/>
      <c r="BH14" s="1538"/>
      <c r="BI14" s="1538"/>
      <c r="BJ14" s="1250"/>
      <c r="BK14" s="1248"/>
      <c r="BL14" s="1536"/>
      <c r="BM14" s="1538"/>
      <c r="BN14" s="1538"/>
      <c r="BO14" s="1250"/>
      <c r="BP14" s="1248"/>
      <c r="BQ14" s="1536"/>
      <c r="BR14" s="1538"/>
      <c r="BS14" s="1538"/>
      <c r="BT14" s="1250"/>
      <c r="BU14" s="1248"/>
      <c r="BV14" s="1536"/>
      <c r="BW14" s="1538"/>
      <c r="BX14" s="1538"/>
      <c r="BY14" s="1538"/>
      <c r="BZ14" s="1248"/>
      <c r="CA14" s="1536"/>
      <c r="CB14" s="1538"/>
      <c r="CC14" s="1538"/>
      <c r="CD14" s="1250"/>
      <c r="CE14" s="1248"/>
      <c r="CF14" s="1536"/>
      <c r="CG14" s="1538"/>
      <c r="CH14" s="1538"/>
      <c r="CI14" s="1250"/>
      <c r="CJ14" s="1248"/>
      <c r="CK14" s="1536"/>
      <c r="CL14" s="1538"/>
      <c r="CM14" s="1538"/>
      <c r="CN14" s="1250"/>
      <c r="CO14" s="1248"/>
      <c r="CP14" s="1536"/>
      <c r="CQ14" s="1538"/>
      <c r="CR14" s="1538"/>
      <c r="CS14" s="1250"/>
      <c r="CT14" s="1248"/>
    </row>
    <row r="15" spans="2:98" ht="10.5" customHeight="1" thickBot="1" x14ac:dyDescent="0.25">
      <c r="B15" s="1168" t="s">
        <v>396</v>
      </c>
      <c r="C15" s="1207"/>
      <c r="D15" s="1209"/>
      <c r="E15" s="1209"/>
      <c r="F15" s="1209"/>
      <c r="G15" s="1209"/>
      <c r="H15" s="1162"/>
      <c r="I15" s="1209"/>
      <c r="J15" s="1209"/>
      <c r="K15" s="1209"/>
      <c r="L15" s="1209"/>
      <c r="M15" s="1208"/>
      <c r="N15" s="1209"/>
      <c r="O15" s="1209"/>
      <c r="P15" s="1209"/>
      <c r="Q15" s="1209"/>
      <c r="R15" s="1208"/>
      <c r="S15" s="1209"/>
      <c r="T15" s="1209"/>
      <c r="U15" s="1209"/>
      <c r="V15" s="1209"/>
      <c r="W15" s="1210"/>
      <c r="X15" s="1209"/>
      <c r="Y15" s="1209"/>
      <c r="Z15" s="1209"/>
      <c r="AA15" s="1209"/>
      <c r="AB15" s="1211"/>
      <c r="AC15" s="1209"/>
      <c r="AD15" s="1209"/>
      <c r="AE15" s="1209"/>
      <c r="AF15" s="1209"/>
      <c r="AG15" s="1210"/>
      <c r="AH15" s="1209"/>
      <c r="AI15" s="1209"/>
      <c r="AJ15" s="1209"/>
      <c r="AK15" s="1209"/>
      <c r="AL15" s="1210"/>
      <c r="AM15" s="1209"/>
      <c r="AN15" s="1209"/>
      <c r="AO15" s="1209"/>
      <c r="AP15" s="1209"/>
      <c r="AQ15" s="1210"/>
      <c r="AR15" s="1209"/>
      <c r="AS15" s="1209"/>
      <c r="AT15" s="1209"/>
      <c r="AU15" s="1209"/>
      <c r="AV15" s="1210"/>
      <c r="AW15" s="1212"/>
      <c r="AX15" s="1209">
        <f ca="1">AX5*AX10+AX6*AX11</f>
        <v>295.58119235997276</v>
      </c>
      <c r="AY15" s="1209">
        <f ca="1">AY5*AY10+AY6*AY11</f>
        <v>303.75465422920456</v>
      </c>
      <c r="AZ15" s="1209">
        <f ca="1">AZ5*AZ10+AZ6*AZ11</f>
        <v>307.30488241627415</v>
      </c>
      <c r="BA15" s="1210">
        <f ca="1">SUM(AW15:AZ15)</f>
        <v>906.64072900545148</v>
      </c>
      <c r="BB15" s="1209">
        <f ca="1">BB5*BB10+BB6*BB11</f>
        <v>226.27539444097019</v>
      </c>
      <c r="BC15" s="1209">
        <f ca="1">BC5*BC10+BC6*BC11</f>
        <v>235.79326439936614</v>
      </c>
      <c r="BD15" s="1209">
        <f ca="1">BD5*BD10+BD6*BD11</f>
        <v>244.73522806011184</v>
      </c>
      <c r="BE15" s="1209">
        <f ca="1">BE5*BE10+BE6*BE11</f>
        <v>248.87202470154978</v>
      </c>
      <c r="BF15" s="1210">
        <f ca="1">SUM(BB15:BE15)</f>
        <v>955.67591160199788</v>
      </c>
      <c r="BG15" s="1209">
        <f ca="1">BG5*BG10+BG6*BG11</f>
        <v>251.8644220005408</v>
      </c>
      <c r="BH15" s="1209">
        <f ca="1">BH5*BH10+BH6*BH11</f>
        <v>267.47723815611499</v>
      </c>
      <c r="BI15" s="1209">
        <f ca="1">BI5*BI10+BI6*BI11</f>
        <v>277.56185584135085</v>
      </c>
      <c r="BJ15" s="1209">
        <f ca="1">BJ5*BJ10+BJ6*BJ11</f>
        <v>282.29807431613312</v>
      </c>
      <c r="BK15" s="1210">
        <f ca="1">SUM(BG15:BJ15)</f>
        <v>1079.2015903141396</v>
      </c>
      <c r="BL15" s="1209">
        <f ca="1">BL5*BL10+BL6*BL11</f>
        <v>303.24476408865115</v>
      </c>
      <c r="BM15" s="1209">
        <f ca="1">BM5*BM10+BM6*BM11</f>
        <v>322.04259473996251</v>
      </c>
      <c r="BN15" s="1209">
        <f ca="1">BN5*BN10+BN6*BN11</f>
        <v>310.31415483063023</v>
      </c>
      <c r="BO15" s="1209">
        <f ca="1">BO5*BO10+BO6*BO11</f>
        <v>304.33748826095695</v>
      </c>
      <c r="BP15" s="1210">
        <f ca="1">SUM(BL15:BO15)</f>
        <v>1239.9390019202008</v>
      </c>
      <c r="BQ15" s="1209">
        <f ca="1">BQ5*BQ10+BQ6*BQ11</f>
        <v>296.18349315344392</v>
      </c>
      <c r="BR15" s="1209">
        <f ca="1">BR5*BR10+BR6*BR11</f>
        <v>372.16047354636913</v>
      </c>
      <c r="BS15" s="1209">
        <f ca="1">BS5*BS10+BS6*BS11</f>
        <v>386.19193326661997</v>
      </c>
      <c r="BT15" s="1209">
        <f ca="1">BT5*BT10+BT6*BT11</f>
        <v>351.70000987156834</v>
      </c>
      <c r="BU15" s="1210">
        <f ca="1">SUM(BQ15:BT15)</f>
        <v>1406.2359098380016</v>
      </c>
      <c r="BV15" s="1209">
        <f ca="1">BV5*BV10+BV6*BV11</f>
        <v>385.31570304590105</v>
      </c>
      <c r="BW15" s="1209">
        <f ca="1">BW5*BW10+BW6*BW11</f>
        <v>413.17879539158014</v>
      </c>
      <c r="BX15" s="1209">
        <f ca="1">BX5*BX10+BX6*BX11</f>
        <v>428.40001827408344</v>
      </c>
      <c r="BY15" s="1209">
        <f ca="1">BY5*BY10+BY6*BY11</f>
        <v>420.40927269246822</v>
      </c>
      <c r="BZ15" s="1210">
        <f ca="1">SUM(BV15:BY15)</f>
        <v>1647.3037894040328</v>
      </c>
      <c r="CA15" s="1209">
        <f ca="1">CA5*CA10+CA6*CA11</f>
        <v>365.20961157690374</v>
      </c>
      <c r="CB15" s="1209">
        <f ca="1">CB5*CB10+CB6*CB11</f>
        <v>456.75878287139085</v>
      </c>
      <c r="CC15" s="1209">
        <f ca="1">CC5*CC10+CC6*CC11</f>
        <v>473.97982841300495</v>
      </c>
      <c r="CD15" s="1209">
        <f ca="1">CD5*CD10+CD6*CD11</f>
        <v>464.85095255904446</v>
      </c>
      <c r="CE15" s="1210">
        <f ca="1">SUM(CA15:CD15)</f>
        <v>1760.799175420344</v>
      </c>
      <c r="CF15" s="1209">
        <f ca="1">CF5*CF10+CF6*CF11</f>
        <v>465.19182957294078</v>
      </c>
      <c r="CG15" s="1209">
        <f ca="1">CG5*CG10+CG6*CG11</f>
        <v>498.68923913898453</v>
      </c>
      <c r="CH15" s="1209">
        <f ca="1">CH5*CH10+CH6*CH11</f>
        <v>517.49117666131883</v>
      </c>
      <c r="CI15" s="1209">
        <f ca="1">CI5*CI10+CI6*CI11</f>
        <v>507.52427000396477</v>
      </c>
      <c r="CJ15" s="1210">
        <f ca="1">SUM(CF15:CI15)</f>
        <v>1988.896515377209</v>
      </c>
      <c r="CK15" s="1209">
        <f ca="1">CK5*CK10+CK6*CK11</f>
        <v>441.28096953289162</v>
      </c>
      <c r="CL15" s="1209">
        <f ca="1">CL5*CL10+CL6*CL11</f>
        <v>473.05661224724076</v>
      </c>
      <c r="CM15" s="1209">
        <f ca="1">CM5*CM10+CM6*CM11</f>
        <v>490.89213018092698</v>
      </c>
      <c r="CN15" s="1209">
        <f ca="1">CN5*CN10+CN6*CN11</f>
        <v>481.43752252576093</v>
      </c>
      <c r="CO15" s="1210">
        <f ca="1">SUM(CK15:CN15)</f>
        <v>1886.6672344868202</v>
      </c>
      <c r="CP15" s="1209">
        <f ca="1">CP5*CP10+CP6*CP11</f>
        <v>427.74240449336224</v>
      </c>
      <c r="CQ15" s="1209">
        <f ca="1">CQ5*CQ10+CQ6*CQ11</f>
        <v>458.54316581634646</v>
      </c>
      <c r="CR15" s="1209">
        <f ca="1">CR5*CR10+CR6*CR11</f>
        <v>475.83148743695699</v>
      </c>
      <c r="CS15" s="1209">
        <f ca="1">CS5*CS10+CS6*CS11</f>
        <v>466.66694853503492</v>
      </c>
      <c r="CT15" s="1210">
        <f ca="1">SUM(CP15:CS15)</f>
        <v>1828.7840062817004</v>
      </c>
    </row>
    <row r="16" spans="2:98" ht="10.5" customHeight="1" thickBot="1" x14ac:dyDescent="0.25">
      <c r="B16" s="1168" t="s">
        <v>397</v>
      </c>
      <c r="C16" s="1207"/>
      <c r="D16" s="1209"/>
      <c r="E16" s="1209"/>
      <c r="F16" s="1209"/>
      <c r="G16" s="1209"/>
      <c r="H16" s="1162"/>
      <c r="I16" s="1209"/>
      <c r="J16" s="1209"/>
      <c r="K16" s="1209"/>
      <c r="L16" s="1209"/>
      <c r="M16" s="1208"/>
      <c r="N16" s="1209"/>
      <c r="O16" s="1209"/>
      <c r="P16" s="1209"/>
      <c r="Q16" s="1209"/>
      <c r="R16" s="1208"/>
      <c r="S16" s="1209"/>
      <c r="T16" s="1209"/>
      <c r="U16" s="1209"/>
      <c r="V16" s="1209"/>
      <c r="W16" s="1210"/>
      <c r="X16" s="1209"/>
      <c r="Y16" s="1209"/>
      <c r="Z16" s="1209"/>
      <c r="AA16" s="1209"/>
      <c r="AB16" s="1211"/>
      <c r="AC16" s="1209"/>
      <c r="AD16" s="1209"/>
      <c r="AE16" s="1209"/>
      <c r="AF16" s="1209"/>
      <c r="AG16" s="1210"/>
      <c r="AH16" s="1209"/>
      <c r="AI16" s="1209"/>
      <c r="AJ16" s="1209"/>
      <c r="AK16" s="1209"/>
      <c r="AL16" s="1210"/>
      <c r="AM16" s="1209"/>
      <c r="AN16" s="1209"/>
      <c r="AO16" s="1209"/>
      <c r="AP16" s="1209"/>
      <c r="AQ16" s="1210"/>
      <c r="AR16" s="1209"/>
      <c r="AS16" s="1209"/>
      <c r="AT16" s="1209"/>
      <c r="AU16" s="1209"/>
      <c r="AV16" s="1210"/>
      <c r="AW16" s="1212"/>
      <c r="AX16" s="1209">
        <f ca="1">AX7-AX15</f>
        <v>2660.2307312397552</v>
      </c>
      <c r="AY16" s="1209">
        <f ca="1">AY7-AY15</f>
        <v>2764.4741763688207</v>
      </c>
      <c r="AZ16" s="1209">
        <f ca="1">AZ7-AZ15</f>
        <v>2812.5416395763568</v>
      </c>
      <c r="BA16" s="1210">
        <f ca="1">SUM(AW16:AZ16)</f>
        <v>8237.2465471849318</v>
      </c>
      <c r="BB16" s="1209">
        <f ca="1">BB7-BB15</f>
        <v>3006.2302404300322</v>
      </c>
      <c r="BC16" s="1209">
        <f ca="1">BC7-BC15</f>
        <v>3132.6819413058643</v>
      </c>
      <c r="BD16" s="1209">
        <f ca="1">BD7-BD15</f>
        <v>3251.4823156557713</v>
      </c>
      <c r="BE16" s="1209">
        <f ca="1">BE7-BE15</f>
        <v>3306.442613892018</v>
      </c>
      <c r="BF16" s="1210">
        <f ca="1">SUM(BB16:BE16)</f>
        <v>12696.837111283687</v>
      </c>
      <c r="BG16" s="1209">
        <f ca="1">BG7-BG15</f>
        <v>3346.1987494357559</v>
      </c>
      <c r="BH16" s="1209">
        <f ca="1">BH7-BH15</f>
        <v>3553.6261640740986</v>
      </c>
      <c r="BI16" s="1209">
        <f ca="1">BI7-BI15</f>
        <v>3687.6075133208037</v>
      </c>
      <c r="BJ16" s="1209">
        <f ca="1">BJ7-BJ15</f>
        <v>3750.5315587714822</v>
      </c>
      <c r="BK16" s="1210">
        <f ca="1">SUM(BG16:BJ16)</f>
        <v>14337.963985602139</v>
      </c>
      <c r="BL16" s="1209">
        <f ca="1">BL7-BL15</f>
        <v>4028.8232943206503</v>
      </c>
      <c r="BM16" s="1209">
        <f ca="1">BM7-BM15</f>
        <v>4278.5659015452156</v>
      </c>
      <c r="BN16" s="1209">
        <f ca="1">BN7-BN15</f>
        <v>4463.749765640604</v>
      </c>
      <c r="BO16" s="1209">
        <f ca="1">BO7-BO15</f>
        <v>4377.7777157537657</v>
      </c>
      <c r="BP16" s="1210">
        <f ca="1">SUM(BL16:BO16)</f>
        <v>17148.916677260233</v>
      </c>
      <c r="BQ16" s="1209">
        <f ca="1">BQ7-BQ15</f>
        <v>4640.2080594039553</v>
      </c>
      <c r="BR16" s="1209">
        <f ca="1">BR7-BR15</f>
        <v>4944.4177199731903</v>
      </c>
      <c r="BS16" s="1209">
        <f ca="1">BS7-BS15</f>
        <v>5130.83568482795</v>
      </c>
      <c r="BT16" s="1209">
        <f ca="1">BT7-BT15</f>
        <v>5059.0693727679454</v>
      </c>
      <c r="BU16" s="1210">
        <f ca="1">SUM(BQ16:BT16)</f>
        <v>19774.530836973041</v>
      </c>
      <c r="BV16" s="1209">
        <f ca="1">BV7-BV15</f>
        <v>5319.301784878242</v>
      </c>
      <c r="BW16" s="1209">
        <f ca="1">BW7-BW15</f>
        <v>5702.2152717042927</v>
      </c>
      <c r="BX16" s="1209">
        <f ca="1">BX7-BX15</f>
        <v>5917.5609994391962</v>
      </c>
      <c r="BY16" s="1209">
        <f ca="1">BY7-BY15</f>
        <v>5803.3282096886314</v>
      </c>
      <c r="BZ16" s="1210">
        <f ca="1">SUM(BV16:BY16)</f>
        <v>22742.406265710364</v>
      </c>
      <c r="CA16" s="1209">
        <f ca="1">CA7-CA15</f>
        <v>5721.6172480381583</v>
      </c>
      <c r="CB16" s="1209">
        <f ca="1">CB7-CB15</f>
        <v>6068.3666867199063</v>
      </c>
      <c r="CC16" s="1209">
        <f ca="1">CC7-CC15</f>
        <v>6297.1605774870659</v>
      </c>
      <c r="CD16" s="1209">
        <f ca="1">CD7-CD15</f>
        <v>6175.8769411415897</v>
      </c>
      <c r="CE16" s="1210">
        <f ca="1">SUM(CA16:CD16)</f>
        <v>24263.021453386718</v>
      </c>
      <c r="CF16" s="1209">
        <f ca="1">CF7-CF15</f>
        <v>6180.4057357547836</v>
      </c>
      <c r="CG16" s="1209">
        <f ca="1">CG7-CG15</f>
        <v>6625.4427485607939</v>
      </c>
      <c r="CH16" s="1209">
        <f ca="1">CH7-CH15</f>
        <v>6875.2399185003778</v>
      </c>
      <c r="CI16" s="1209">
        <f ca="1">CI7-CI15</f>
        <v>6742.8224443383888</v>
      </c>
      <c r="CJ16" s="1210">
        <f ca="1">SUM(CF16:CI16)</f>
        <v>26423.910847154344</v>
      </c>
      <c r="CK16" s="1209">
        <f ca="1">CK7-CK15</f>
        <v>6048.1450530096308</v>
      </c>
      <c r="CL16" s="1209">
        <f ca="1">CL7-CL15</f>
        <v>6483.6582737415929</v>
      </c>
      <c r="CM16" s="1209">
        <f ca="1">CM7-CM15</f>
        <v>6728.1097842444697</v>
      </c>
      <c r="CN16" s="1209">
        <f ca="1">CN7-CN15</f>
        <v>6598.526044029546</v>
      </c>
      <c r="CO16" s="1210">
        <f ca="1">SUM(CK16:CN16)</f>
        <v>25858.43915502524</v>
      </c>
      <c r="CP16" s="1209">
        <f ca="1">CP7-CP15</f>
        <v>5909.1821065194117</v>
      </c>
      <c r="CQ16" s="1209">
        <f ca="1">CQ7-CQ15</f>
        <v>6334.6889203517494</v>
      </c>
      <c r="CR16" s="1209">
        <f ca="1">CR7-CR15</f>
        <v>6573.523881999442</v>
      </c>
      <c r="CS16" s="1209">
        <f ca="1">CS7-CS15</f>
        <v>6446.9174742062232</v>
      </c>
      <c r="CT16" s="1210">
        <f ca="1">SUM(CP16:CS16)</f>
        <v>25264.312383076827</v>
      </c>
    </row>
    <row r="17" spans="1:98" s="666" customFormat="1" ht="11.25" customHeight="1" thickBot="1" x14ac:dyDescent="0.25">
      <c r="A17" s="1214"/>
      <c r="C17" s="1195"/>
      <c r="D17" s="1215"/>
      <c r="E17" s="1161"/>
      <c r="F17" s="1161"/>
      <c r="G17" s="1161"/>
      <c r="H17" s="1195"/>
      <c r="I17" s="1161"/>
      <c r="J17" s="1161"/>
      <c r="K17" s="1161"/>
      <c r="L17" s="1161"/>
      <c r="M17" s="1195"/>
      <c r="N17" s="1161"/>
      <c r="O17" s="1161"/>
      <c r="P17" s="1161"/>
      <c r="Q17" s="1161"/>
      <c r="R17" s="1161"/>
      <c r="S17" s="1161"/>
      <c r="T17" s="1161"/>
      <c r="U17" s="1161"/>
      <c r="V17" s="1161"/>
      <c r="W17" s="1161"/>
      <c r="X17" s="1161"/>
      <c r="Y17" s="1161"/>
      <c r="Z17" s="1161"/>
      <c r="AA17" s="1161"/>
      <c r="AB17" s="1161"/>
      <c r="AC17" s="1186"/>
      <c r="AD17" s="1161"/>
      <c r="AE17" s="1161"/>
      <c r="AF17" s="1161"/>
      <c r="AG17" s="1161"/>
      <c r="AH17" s="1161"/>
      <c r="AI17" s="1161"/>
      <c r="AJ17" s="1161"/>
      <c r="AK17" s="1161"/>
      <c r="AL17" s="1161"/>
      <c r="AM17" s="1161"/>
      <c r="AN17" s="1161"/>
      <c r="AO17" s="1161"/>
      <c r="AP17" s="1161"/>
      <c r="AQ17" s="1161"/>
      <c r="AR17" s="1161"/>
      <c r="AS17" s="1161"/>
      <c r="AT17" s="1161"/>
      <c r="AU17" s="1161"/>
      <c r="AV17" s="661"/>
      <c r="AW17" s="1161"/>
      <c r="AX17" s="1161"/>
      <c r="AY17" s="1161"/>
      <c r="AZ17" s="1161"/>
      <c r="BA17" s="1161"/>
      <c r="BB17" s="1161"/>
      <c r="BC17" s="1161"/>
      <c r="BD17" s="1161"/>
      <c r="BE17" s="1161"/>
      <c r="BF17" s="1161"/>
      <c r="BG17" s="1161"/>
      <c r="BH17" s="1161"/>
      <c r="BI17" s="1161"/>
      <c r="BJ17" s="1161"/>
      <c r="BK17" s="1161"/>
      <c r="BL17" s="1161"/>
      <c r="BM17" s="1161"/>
      <c r="BN17" s="1161"/>
      <c r="BO17" s="1161"/>
      <c r="BP17" s="1161"/>
      <c r="BQ17" s="1161"/>
      <c r="BR17" s="1161"/>
      <c r="BS17" s="1161"/>
      <c r="BT17" s="1161"/>
      <c r="BU17" s="1161"/>
      <c r="BV17" s="1161"/>
      <c r="BW17" s="1161"/>
      <c r="BX17" s="1161"/>
      <c r="BY17" s="1161"/>
      <c r="BZ17" s="1161"/>
      <c r="CA17" s="1161"/>
      <c r="CB17" s="1161"/>
      <c r="CC17" s="1161"/>
      <c r="CD17" s="1161"/>
      <c r="CE17" s="1161"/>
      <c r="CF17" s="1161"/>
      <c r="CG17" s="1161"/>
      <c r="CH17" s="1161"/>
      <c r="CI17" s="1161"/>
      <c r="CJ17" s="1161"/>
      <c r="CK17" s="1161"/>
      <c r="CL17" s="1161"/>
      <c r="CM17" s="1161"/>
      <c r="CN17" s="1161"/>
      <c r="CO17" s="1161"/>
      <c r="CP17" s="1161"/>
      <c r="CQ17" s="1161"/>
      <c r="CR17" s="1161"/>
      <c r="CS17" s="1161"/>
      <c r="CT17" s="1161"/>
    </row>
    <row r="18" spans="1:98" s="666" customFormat="1" ht="12" thickBot="1" x14ac:dyDescent="0.25">
      <c r="A18" s="1216"/>
      <c r="B18" s="877" t="s">
        <v>398</v>
      </c>
      <c r="C18" s="878"/>
      <c r="D18" s="878"/>
      <c r="E18" s="878"/>
      <c r="F18" s="878"/>
      <c r="G18" s="878"/>
      <c r="H18" s="878"/>
      <c r="I18" s="878"/>
      <c r="J18" s="878"/>
      <c r="K18" s="878"/>
      <c r="L18" s="878"/>
      <c r="M18" s="878"/>
      <c r="N18" s="878"/>
      <c r="O18" s="878"/>
      <c r="P18" s="878"/>
      <c r="Q18" s="878"/>
      <c r="R18" s="878"/>
      <c r="S18" s="878"/>
      <c r="T18" s="878"/>
      <c r="U18" s="878"/>
      <c r="V18" s="878"/>
      <c r="W18" s="878"/>
      <c r="X18" s="878"/>
      <c r="Y18" s="878"/>
      <c r="Z18" s="878"/>
      <c r="AA18" s="878"/>
      <c r="AB18" s="878"/>
      <c r="AC18" s="878"/>
      <c r="AD18" s="878"/>
      <c r="AE18" s="878"/>
      <c r="AF18" s="878"/>
      <c r="AG18" s="878"/>
      <c r="AH18" s="878"/>
      <c r="AI18" s="878"/>
      <c r="AJ18" s="878"/>
      <c r="AK18" s="878"/>
      <c r="AL18" s="878"/>
      <c r="AM18" s="878"/>
      <c r="AN18" s="878"/>
      <c r="AO18" s="878"/>
      <c r="AP18" s="878"/>
      <c r="AQ18" s="878"/>
      <c r="AR18" s="878"/>
      <c r="AS18" s="878"/>
      <c r="AT18" s="878"/>
      <c r="AU18" s="878"/>
      <c r="AV18" s="878"/>
      <c r="AW18" s="878"/>
      <c r="AX18" s="878"/>
      <c r="AY18" s="878"/>
      <c r="AZ18" s="878"/>
      <c r="BA18" s="878"/>
      <c r="BB18" s="878"/>
      <c r="BC18" s="878"/>
      <c r="BD18" s="878"/>
      <c r="BE18" s="878"/>
      <c r="BF18" s="878"/>
      <c r="BG18" s="878"/>
      <c r="BH18" s="878"/>
      <c r="BI18" s="878"/>
      <c r="BJ18" s="878"/>
      <c r="BK18" s="819"/>
      <c r="BL18" s="819"/>
      <c r="BM18" s="819"/>
      <c r="BN18" s="819"/>
      <c r="BO18" s="819"/>
      <c r="BP18" s="872"/>
      <c r="BQ18" s="819"/>
      <c r="BR18" s="819"/>
      <c r="BS18" s="819"/>
      <c r="BT18" s="819"/>
      <c r="BU18" s="872"/>
      <c r="BV18" s="819"/>
      <c r="BW18" s="819"/>
      <c r="BX18" s="819"/>
      <c r="BY18" s="819"/>
      <c r="BZ18" s="872"/>
      <c r="CA18" s="819"/>
      <c r="CB18" s="819"/>
      <c r="CC18" s="819"/>
      <c r="CD18" s="819"/>
      <c r="CE18" s="872"/>
      <c r="CF18" s="819"/>
      <c r="CG18" s="819"/>
      <c r="CH18" s="819"/>
      <c r="CI18" s="819"/>
      <c r="CJ18" s="872"/>
      <c r="CK18" s="819"/>
      <c r="CL18" s="819"/>
      <c r="CM18" s="819"/>
      <c r="CN18" s="819"/>
      <c r="CO18" s="872"/>
      <c r="CP18" s="819"/>
      <c r="CQ18" s="819"/>
      <c r="CR18" s="819"/>
      <c r="CS18" s="819"/>
      <c r="CT18" s="872"/>
    </row>
    <row r="19" spans="1:98" s="666" customFormat="1" x14ac:dyDescent="0.2">
      <c r="A19" s="1214"/>
      <c r="B19" s="1165"/>
      <c r="C19" s="1158"/>
      <c r="D19" s="1158"/>
      <c r="E19" s="1158"/>
      <c r="F19" s="1158"/>
      <c r="G19" s="1158"/>
      <c r="H19" s="1157"/>
      <c r="I19" s="1164"/>
      <c r="J19" s="1158"/>
      <c r="K19" s="1158"/>
      <c r="L19" s="1158"/>
      <c r="M19" s="1157"/>
      <c r="N19" s="1158"/>
      <c r="O19" s="1158"/>
      <c r="P19" s="1158"/>
      <c r="Q19" s="1158"/>
      <c r="R19" s="1157"/>
      <c r="S19" s="1217"/>
      <c r="T19" s="1158"/>
      <c r="U19" s="1158"/>
      <c r="V19" s="1218"/>
      <c r="W19" s="1157"/>
      <c r="X19" s="1158"/>
      <c r="Y19" s="1158"/>
      <c r="Z19" s="1158"/>
      <c r="AA19" s="1158"/>
      <c r="AB19" s="1157"/>
      <c r="AC19" s="1158"/>
      <c r="AD19" s="1158"/>
      <c r="AE19" s="1158"/>
      <c r="AF19" s="1158"/>
      <c r="AG19" s="1157"/>
      <c r="AH19" s="1158"/>
      <c r="AI19" s="1158"/>
      <c r="AJ19" s="1158"/>
      <c r="AK19" s="1158"/>
      <c r="AL19" s="1157"/>
      <c r="AM19" s="1158"/>
      <c r="AN19" s="1158"/>
      <c r="AO19" s="1158"/>
      <c r="AP19" s="1158"/>
      <c r="AQ19" s="1157"/>
      <c r="AR19" s="1158"/>
      <c r="AS19" s="1158"/>
      <c r="AT19" s="1158"/>
      <c r="AU19" s="1158"/>
      <c r="AV19" s="1157"/>
      <c r="AW19" s="1158"/>
      <c r="AX19" s="1158"/>
      <c r="AY19" s="1158"/>
      <c r="AZ19" s="1158"/>
      <c r="BA19" s="1157"/>
      <c r="BB19" s="1158"/>
      <c r="BC19" s="1158"/>
      <c r="BD19" s="1158"/>
      <c r="BE19" s="1158"/>
      <c r="BF19" s="1157"/>
      <c r="BG19" s="1158"/>
      <c r="BH19" s="1158"/>
      <c r="BI19" s="1158"/>
      <c r="BJ19" s="1158"/>
      <c r="BK19" s="1157"/>
      <c r="BL19" s="1158"/>
      <c r="BM19" s="1158"/>
      <c r="BN19" s="1158"/>
      <c r="BO19" s="1158"/>
      <c r="BP19" s="1157"/>
      <c r="BQ19" s="1158"/>
      <c r="BR19" s="1158"/>
      <c r="BS19" s="1158"/>
      <c r="BT19" s="1158"/>
      <c r="BU19" s="1157"/>
      <c r="BV19" s="1158"/>
      <c r="BW19" s="1158"/>
      <c r="BX19" s="1158"/>
      <c r="BY19" s="1158"/>
      <c r="BZ19" s="1157"/>
      <c r="CA19" s="1158"/>
      <c r="CB19" s="1158"/>
      <c r="CC19" s="1158"/>
      <c r="CD19" s="1158"/>
      <c r="CE19" s="1157"/>
      <c r="CF19" s="1158"/>
      <c r="CG19" s="1158"/>
      <c r="CH19" s="1158"/>
      <c r="CI19" s="1158"/>
      <c r="CJ19" s="1157"/>
      <c r="CK19" s="1158"/>
      <c r="CL19" s="1158"/>
      <c r="CM19" s="1158"/>
      <c r="CN19" s="1158"/>
      <c r="CO19" s="1157"/>
      <c r="CP19" s="1158"/>
      <c r="CQ19" s="1158"/>
      <c r="CR19" s="1158"/>
      <c r="CS19" s="1158"/>
      <c r="CT19" s="1157"/>
    </row>
    <row r="20" spans="1:98" s="666" customFormat="1" x14ac:dyDescent="0.2">
      <c r="A20" s="1219"/>
      <c r="B20" s="904" t="s">
        <v>399</v>
      </c>
      <c r="C20" s="906"/>
      <c r="D20" s="1149">
        <f t="shared" ref="D20:AS20" si="14">D5</f>
        <v>0</v>
      </c>
      <c r="E20" s="1149">
        <f t="shared" si="14"/>
        <v>0</v>
      </c>
      <c r="F20" s="1149">
        <f t="shared" si="14"/>
        <v>0</v>
      </c>
      <c r="G20" s="1149">
        <f t="shared" si="14"/>
        <v>0</v>
      </c>
      <c r="H20" s="1154">
        <f t="shared" si="14"/>
        <v>0</v>
      </c>
      <c r="I20" s="1149">
        <f t="shared" si="14"/>
        <v>0</v>
      </c>
      <c r="J20" s="1149">
        <f t="shared" si="14"/>
        <v>0</v>
      </c>
      <c r="K20" s="1149">
        <f t="shared" si="14"/>
        <v>0</v>
      </c>
      <c r="L20" s="1149">
        <f t="shared" si="14"/>
        <v>0</v>
      </c>
      <c r="M20" s="1154">
        <f t="shared" si="14"/>
        <v>0</v>
      </c>
      <c r="N20" s="1149">
        <f t="shared" si="14"/>
        <v>0</v>
      </c>
      <c r="O20" s="1149">
        <f t="shared" si="14"/>
        <v>0</v>
      </c>
      <c r="P20" s="1149">
        <f t="shared" si="14"/>
        <v>0</v>
      </c>
      <c r="Q20" s="1149">
        <f t="shared" si="14"/>
        <v>0</v>
      </c>
      <c r="R20" s="1154">
        <f t="shared" si="14"/>
        <v>0</v>
      </c>
      <c r="S20" s="664">
        <f t="shared" si="14"/>
        <v>0</v>
      </c>
      <c r="T20" s="1149">
        <f t="shared" si="14"/>
        <v>0</v>
      </c>
      <c r="U20" s="1149">
        <f t="shared" si="14"/>
        <v>0</v>
      </c>
      <c r="V20" s="1220">
        <f t="shared" si="14"/>
        <v>0</v>
      </c>
      <c r="W20" s="1154">
        <f t="shared" si="14"/>
        <v>0</v>
      </c>
      <c r="X20" s="1149">
        <f t="shared" si="14"/>
        <v>0</v>
      </c>
      <c r="Y20" s="1149">
        <f t="shared" si="14"/>
        <v>0</v>
      </c>
      <c r="Z20" s="1149">
        <f t="shared" si="14"/>
        <v>0</v>
      </c>
      <c r="AA20" s="1149">
        <f t="shared" si="14"/>
        <v>0</v>
      </c>
      <c r="AB20" s="1154">
        <f t="shared" si="14"/>
        <v>0</v>
      </c>
      <c r="AC20" s="1149">
        <f t="shared" si="14"/>
        <v>0</v>
      </c>
      <c r="AD20" s="1149">
        <f t="shared" si="14"/>
        <v>0</v>
      </c>
      <c r="AE20" s="1149">
        <f t="shared" si="14"/>
        <v>0</v>
      </c>
      <c r="AF20" s="1149">
        <f t="shared" si="14"/>
        <v>0</v>
      </c>
      <c r="AG20" s="1154">
        <f t="shared" si="14"/>
        <v>0</v>
      </c>
      <c r="AH20" s="1149">
        <f t="shared" si="14"/>
        <v>0</v>
      </c>
      <c r="AI20" s="1149">
        <f t="shared" si="14"/>
        <v>0</v>
      </c>
      <c r="AJ20" s="1149">
        <f t="shared" si="14"/>
        <v>0</v>
      </c>
      <c r="AK20" s="1149">
        <f t="shared" si="14"/>
        <v>0</v>
      </c>
      <c r="AL20" s="1154">
        <f t="shared" si="14"/>
        <v>0</v>
      </c>
      <c r="AM20" s="1149">
        <f t="shared" si="14"/>
        <v>0</v>
      </c>
      <c r="AN20" s="1149">
        <f t="shared" si="14"/>
        <v>0</v>
      </c>
      <c r="AO20" s="1149">
        <f t="shared" si="14"/>
        <v>0</v>
      </c>
      <c r="AP20" s="1149">
        <f t="shared" si="14"/>
        <v>0</v>
      </c>
      <c r="AQ20" s="1154">
        <f t="shared" si="14"/>
        <v>0</v>
      </c>
      <c r="AR20" s="1149">
        <f t="shared" si="14"/>
        <v>0</v>
      </c>
      <c r="AS20" s="1149">
        <f t="shared" si="14"/>
        <v>0</v>
      </c>
      <c r="AT20" s="1149">
        <f>AT5</f>
        <v>0</v>
      </c>
      <c r="AU20" s="1149">
        <f>AU5</f>
        <v>0</v>
      </c>
      <c r="AV20" s="1154">
        <f>AV5</f>
        <v>0</v>
      </c>
      <c r="AW20" s="1149">
        <f>AW5</f>
        <v>0</v>
      </c>
      <c r="AX20" s="1149">
        <f>AX5</f>
        <v>1461.1089368316254</v>
      </c>
      <c r="AY20" s="1149">
        <f ca="1">AY7</f>
        <v>3068.2288305980255</v>
      </c>
      <c r="AZ20" s="1149">
        <f t="shared" ref="AZ20:BP20" ca="1" si="15">AZ7</f>
        <v>3119.8465219926311</v>
      </c>
      <c r="BA20" s="1154">
        <f t="shared" ca="1" si="15"/>
        <v>10567.413930255243</v>
      </c>
      <c r="BB20" s="1149">
        <f t="shared" ca="1" si="15"/>
        <v>3232.5056348710023</v>
      </c>
      <c r="BC20" s="1149">
        <f t="shared" ca="1" si="15"/>
        <v>3368.4752057052306</v>
      </c>
      <c r="BD20" s="1149">
        <f t="shared" ca="1" si="15"/>
        <v>3496.217543715883</v>
      </c>
      <c r="BE20" s="1149">
        <f t="shared" ca="1" si="15"/>
        <v>3555.3146385935679</v>
      </c>
      <c r="BF20" s="1154">
        <f t="shared" ca="1" si="15"/>
        <v>13652.513022885683</v>
      </c>
      <c r="BG20" s="1149">
        <f t="shared" ca="1" si="15"/>
        <v>3598.0631714362967</v>
      </c>
      <c r="BH20" s="1149">
        <f t="shared" ca="1" si="15"/>
        <v>3821.1034022302138</v>
      </c>
      <c r="BI20" s="1149">
        <f t="shared" ca="1" si="15"/>
        <v>3965.1693691621545</v>
      </c>
      <c r="BJ20" s="1149">
        <f t="shared" ca="1" si="15"/>
        <v>4032.8296330876155</v>
      </c>
      <c r="BK20" s="1154">
        <f t="shared" ca="1" si="15"/>
        <v>15417.16557591628</v>
      </c>
      <c r="BL20" s="1149">
        <f t="shared" ca="1" si="15"/>
        <v>4332.0680584093016</v>
      </c>
      <c r="BM20" s="1149">
        <f t="shared" ca="1" si="15"/>
        <v>4600.6084962851783</v>
      </c>
      <c r="BN20" s="1149">
        <f t="shared" ca="1" si="15"/>
        <v>4774.0639204712343</v>
      </c>
      <c r="BO20" s="1149">
        <f t="shared" ca="1" si="15"/>
        <v>4682.1152040147226</v>
      </c>
      <c r="BP20" s="1154">
        <f t="shared" ca="1" si="15"/>
        <v>18388.855679180437</v>
      </c>
      <c r="BQ20" s="1149">
        <f t="shared" ref="BQ20:BZ20" ca="1" si="16">BQ7</f>
        <v>4936.3915525573993</v>
      </c>
      <c r="BR20" s="1149">
        <f t="shared" ca="1" si="16"/>
        <v>5316.5781935195591</v>
      </c>
      <c r="BS20" s="1149">
        <f t="shared" ca="1" si="16"/>
        <v>5517.0276180945702</v>
      </c>
      <c r="BT20" s="1149">
        <f t="shared" ca="1" si="16"/>
        <v>5410.7693826395134</v>
      </c>
      <c r="BU20" s="1154">
        <f t="shared" ca="1" si="16"/>
        <v>21180.766746811041</v>
      </c>
      <c r="BV20" s="1149">
        <f t="shared" ref="BV20" ca="1" si="17">BV7</f>
        <v>5704.6174879241435</v>
      </c>
      <c r="BW20" s="1149">
        <f t="shared" ca="1" si="16"/>
        <v>6115.3940670958727</v>
      </c>
      <c r="BX20" s="1149">
        <f t="shared" ref="BX20:BY20" ca="1" si="18">BX7</f>
        <v>6345.9610177132799</v>
      </c>
      <c r="BY20" s="1149">
        <f t="shared" ca="1" si="18"/>
        <v>6223.7374823810997</v>
      </c>
      <c r="BZ20" s="1154">
        <f t="shared" ca="1" si="16"/>
        <v>24389.710055114396</v>
      </c>
      <c r="CA20" s="1149">
        <f t="shared" ref="CA20:CJ20" ca="1" si="19">CA7</f>
        <v>6086.8268596150619</v>
      </c>
      <c r="CB20" s="1149">
        <f t="shared" ca="1" si="19"/>
        <v>6525.1254695912976</v>
      </c>
      <c r="CC20" s="1149">
        <f t="shared" ca="1" si="19"/>
        <v>6771.1404059000706</v>
      </c>
      <c r="CD20" s="1149">
        <f t="shared" ca="1" si="19"/>
        <v>6640.727893700634</v>
      </c>
      <c r="CE20" s="1154">
        <f t="shared" ca="1" si="19"/>
        <v>26023.820628807065</v>
      </c>
      <c r="CF20" s="1149">
        <f t="shared" ca="1" si="19"/>
        <v>6645.5975653277246</v>
      </c>
      <c r="CG20" s="1149">
        <f t="shared" ca="1" si="19"/>
        <v>7124.1319876997786</v>
      </c>
      <c r="CH20" s="1149">
        <f t="shared" ca="1" si="19"/>
        <v>7392.7310951616964</v>
      </c>
      <c r="CI20" s="1149">
        <f t="shared" ca="1" si="19"/>
        <v>7250.3467143423532</v>
      </c>
      <c r="CJ20" s="1154">
        <f t="shared" ca="1" si="19"/>
        <v>28412.807362531552</v>
      </c>
      <c r="CK20" s="1149">
        <f t="shared" ref="CK20:CT20" ca="1" si="20">CK7</f>
        <v>6489.4260225425223</v>
      </c>
      <c r="CL20" s="1149">
        <f t="shared" ca="1" si="20"/>
        <v>6956.7148859888339</v>
      </c>
      <c r="CM20" s="1149">
        <f t="shared" ca="1" si="20"/>
        <v>7219.0019144253965</v>
      </c>
      <c r="CN20" s="1149">
        <f t="shared" ca="1" si="20"/>
        <v>7079.9635665553069</v>
      </c>
      <c r="CO20" s="1154">
        <f t="shared" ca="1" si="20"/>
        <v>27745.106389512061</v>
      </c>
      <c r="CP20" s="1149">
        <f t="shared" ca="1" si="20"/>
        <v>6336.924511012774</v>
      </c>
      <c r="CQ20" s="1149">
        <f t="shared" ca="1" si="20"/>
        <v>6793.2320861680955</v>
      </c>
      <c r="CR20" s="1149">
        <f t="shared" ca="1" si="20"/>
        <v>7049.3553694363991</v>
      </c>
      <c r="CS20" s="1149">
        <f t="shared" ca="1" si="20"/>
        <v>6913.5844227412581</v>
      </c>
      <c r="CT20" s="1154">
        <f t="shared" ca="1" si="20"/>
        <v>27093.096389358529</v>
      </c>
    </row>
    <row r="21" spans="1:98" s="666" customFormat="1" x14ac:dyDescent="0.2">
      <c r="A21" s="1219"/>
      <c r="B21" s="904"/>
      <c r="C21" s="906"/>
      <c r="D21" s="1149"/>
      <c r="E21" s="1149"/>
      <c r="F21" s="1149"/>
      <c r="G21" s="1149"/>
      <c r="H21" s="1154"/>
      <c r="I21" s="1149"/>
      <c r="J21" s="1149"/>
      <c r="K21" s="1149"/>
      <c r="L21" s="1149"/>
      <c r="M21" s="1154"/>
      <c r="N21" s="1149"/>
      <c r="O21" s="1149"/>
      <c r="P21" s="1149"/>
      <c r="Q21" s="1149"/>
      <c r="R21" s="1154"/>
      <c r="S21" s="664"/>
      <c r="T21" s="1149"/>
      <c r="U21" s="1149"/>
      <c r="V21" s="1220"/>
      <c r="W21" s="1154"/>
      <c r="X21" s="1149"/>
      <c r="Y21" s="1149"/>
      <c r="Z21" s="1149"/>
      <c r="AA21" s="1149"/>
      <c r="AB21" s="1154"/>
      <c r="AC21" s="1149"/>
      <c r="AD21" s="1149"/>
      <c r="AE21" s="1149"/>
      <c r="AF21" s="1149"/>
      <c r="AG21" s="1154"/>
      <c r="AH21" s="1149"/>
      <c r="AI21" s="1149"/>
      <c r="AJ21" s="1149"/>
      <c r="AK21" s="1149"/>
      <c r="AL21" s="1154"/>
      <c r="AM21" s="1149"/>
      <c r="AN21" s="1149"/>
      <c r="AO21" s="1149"/>
      <c r="AP21" s="1149"/>
      <c r="AQ21" s="1154"/>
      <c r="AR21" s="1149"/>
      <c r="AS21" s="1149"/>
      <c r="AT21" s="1149"/>
      <c r="AU21" s="1149"/>
      <c r="AV21" s="1154"/>
      <c r="AW21" s="1149"/>
      <c r="AX21" s="1149"/>
      <c r="AY21" s="1149"/>
      <c r="AZ21" s="1149"/>
      <c r="BA21" s="1154"/>
      <c r="BB21" s="1149"/>
      <c r="BC21" s="1149"/>
      <c r="BD21" s="1149"/>
      <c r="BE21" s="1149"/>
      <c r="BF21" s="1154"/>
      <c r="BG21" s="1149"/>
      <c r="BH21" s="1149"/>
      <c r="BI21" s="1149"/>
      <c r="BJ21" s="1149"/>
      <c r="BK21" s="1154"/>
      <c r="BL21" s="1149"/>
      <c r="BM21" s="1149"/>
      <c r="BN21" s="1149"/>
      <c r="BO21" s="1149"/>
      <c r="BP21" s="1154"/>
      <c r="BQ21" s="1149"/>
      <c r="BR21" s="1149"/>
      <c r="BS21" s="1149"/>
      <c r="BT21" s="1149"/>
      <c r="BU21" s="1154"/>
      <c r="BV21" s="1149"/>
      <c r="BW21" s="1149"/>
      <c r="BX21" s="1149"/>
      <c r="BY21" s="1149"/>
      <c r="BZ21" s="1154"/>
      <c r="CA21" s="1149"/>
      <c r="CB21" s="1149"/>
      <c r="CC21" s="1149"/>
      <c r="CD21" s="1149"/>
      <c r="CE21" s="1154"/>
      <c r="CF21" s="1149"/>
      <c r="CG21" s="1149"/>
      <c r="CH21" s="1149"/>
      <c r="CI21" s="1149"/>
      <c r="CJ21" s="1154"/>
      <c r="CK21" s="1149"/>
      <c r="CL21" s="1149"/>
      <c r="CM21" s="1149"/>
      <c r="CN21" s="1149"/>
      <c r="CO21" s="1154"/>
      <c r="CP21" s="1149"/>
      <c r="CQ21" s="1149"/>
      <c r="CR21" s="1149"/>
      <c r="CS21" s="1149"/>
      <c r="CT21" s="1154"/>
    </row>
    <row r="22" spans="1:98" s="666" customFormat="1" x14ac:dyDescent="0.2">
      <c r="A22" s="1219"/>
      <c r="B22" s="904" t="s">
        <v>10</v>
      </c>
      <c r="C22" s="906"/>
      <c r="D22" s="1150"/>
      <c r="E22" s="1149"/>
      <c r="F22" s="1149"/>
      <c r="G22" s="1149"/>
      <c r="H22" s="1154"/>
      <c r="I22" s="1149"/>
      <c r="J22" s="1149"/>
      <c r="K22" s="1149"/>
      <c r="L22" s="1149"/>
      <c r="M22" s="1154"/>
      <c r="N22" s="1149"/>
      <c r="O22" s="1149"/>
      <c r="P22" s="1149"/>
      <c r="Q22" s="1149"/>
      <c r="R22" s="1154"/>
      <c r="S22" s="1221"/>
      <c r="T22" s="1150"/>
      <c r="U22" s="1150"/>
      <c r="V22" s="1222"/>
      <c r="W22" s="1154"/>
      <c r="X22" s="1150"/>
      <c r="Y22" s="1150"/>
      <c r="Z22" s="1150"/>
      <c r="AA22" s="1150"/>
      <c r="AB22" s="1154"/>
      <c r="AC22" s="1149"/>
      <c r="AD22" s="1149"/>
      <c r="AE22" s="1149"/>
      <c r="AF22" s="1149"/>
      <c r="AG22" s="1154"/>
      <c r="AH22" s="1149"/>
      <c r="AI22" s="1149"/>
      <c r="AJ22" s="1149"/>
      <c r="AK22" s="1149"/>
      <c r="AL22" s="1154"/>
      <c r="AM22" s="1149"/>
      <c r="AN22" s="1149"/>
      <c r="AO22" s="1149"/>
      <c r="AP22" s="1149"/>
      <c r="AQ22" s="1154"/>
      <c r="AR22" s="1149"/>
      <c r="AS22" s="1149"/>
      <c r="AT22" s="1149"/>
      <c r="AU22" s="1149"/>
      <c r="AV22" s="1154"/>
      <c r="AW22" s="1149"/>
      <c r="AX22" s="1150">
        <v>2300</v>
      </c>
      <c r="AY22" s="1150">
        <v>2300</v>
      </c>
      <c r="AZ22" s="1150">
        <v>2300</v>
      </c>
      <c r="BA22" s="1154">
        <f>AVERAGE(AW22:AZ22)</f>
        <v>2300</v>
      </c>
      <c r="BB22" s="1149">
        <v>2450</v>
      </c>
      <c r="BC22" s="1149">
        <f t="shared" ref="BC22:BE23" si="21">AX22*(1+BC32)</f>
        <v>2461</v>
      </c>
      <c r="BD22" s="1149">
        <f t="shared" si="21"/>
        <v>2461</v>
      </c>
      <c r="BE22" s="1149">
        <f t="shared" si="21"/>
        <v>2461</v>
      </c>
      <c r="BF22" s="1154">
        <f>AVERAGE(BB22:BE22)</f>
        <v>2458.25</v>
      </c>
      <c r="BG22" s="1149">
        <f t="shared" ref="BG22:BJ23" si="22">BB22*(1+BG32)</f>
        <v>2572.5</v>
      </c>
      <c r="BH22" s="1149">
        <f t="shared" si="22"/>
        <v>2633.27</v>
      </c>
      <c r="BI22" s="1149">
        <f t="shared" si="22"/>
        <v>2633.27</v>
      </c>
      <c r="BJ22" s="1149">
        <f t="shared" si="22"/>
        <v>2633.27</v>
      </c>
      <c r="BK22" s="1154">
        <f>AVERAGE(BG22:BJ22)</f>
        <v>2618.0775000000003</v>
      </c>
      <c r="BL22" s="1149">
        <f t="shared" ref="BL22:BO23" si="23">BG22*(1+BL32)</f>
        <v>2881.2000000000003</v>
      </c>
      <c r="BM22" s="1149">
        <f t="shared" si="23"/>
        <v>2949.2624000000001</v>
      </c>
      <c r="BN22" s="1149">
        <f t="shared" si="23"/>
        <v>2949.2624000000001</v>
      </c>
      <c r="BO22" s="1149">
        <f t="shared" si="23"/>
        <v>2843.9316000000003</v>
      </c>
      <c r="BP22" s="1154">
        <f>AVERAGE(BL22:BO22)</f>
        <v>2905.9141</v>
      </c>
      <c r="BQ22" s="1149">
        <f t="shared" ref="BQ22:BV23" si="24">BL22*(1+BQ32)</f>
        <v>3054.0720000000006</v>
      </c>
      <c r="BR22" s="1149">
        <f t="shared" si="24"/>
        <v>3170.4570800000001</v>
      </c>
      <c r="BS22" s="1149">
        <f t="shared" si="24"/>
        <v>3170.4570800000001</v>
      </c>
      <c r="BT22" s="1149">
        <f t="shared" si="24"/>
        <v>3057.2264700000001</v>
      </c>
      <c r="BU22" s="1154">
        <f>AVERAGE(BQ22:BT22)</f>
        <v>3113.0531575</v>
      </c>
      <c r="BV22" s="1149">
        <f t="shared" si="24"/>
        <v>3283.1274000000003</v>
      </c>
      <c r="BW22" s="1149">
        <f t="shared" ref="BW22:BY23" si="25">BR22*(1+BW32)</f>
        <v>3408.2413609999999</v>
      </c>
      <c r="BX22" s="1149">
        <f t="shared" si="25"/>
        <v>3408.2413609999999</v>
      </c>
      <c r="BY22" s="1149">
        <f t="shared" si="25"/>
        <v>3286.51845525</v>
      </c>
      <c r="BZ22" s="1154">
        <f>AVERAGE(BV22:BY22)</f>
        <v>3346.5321443124999</v>
      </c>
      <c r="CA22" s="1149">
        <f t="shared" ref="CA22:CD23" si="26">BV22*(1+CA32)</f>
        <v>3611.4401400000006</v>
      </c>
      <c r="CB22" s="1149">
        <f t="shared" si="26"/>
        <v>3749.0654971000004</v>
      </c>
      <c r="CC22" s="1149">
        <f t="shared" si="26"/>
        <v>3749.0654971000004</v>
      </c>
      <c r="CD22" s="1149">
        <f t="shared" si="26"/>
        <v>3615.1703007750002</v>
      </c>
      <c r="CE22" s="1154">
        <f>AVERAGE(CA22:CD22)</f>
        <v>3681.1853587437504</v>
      </c>
      <c r="CF22" s="1149">
        <f t="shared" ref="CF22:CI23" si="27">CA22*(1+CF32)</f>
        <v>3828.126548400001</v>
      </c>
      <c r="CG22" s="1149">
        <f t="shared" si="27"/>
        <v>3974.0094269260007</v>
      </c>
      <c r="CH22" s="1149">
        <f t="shared" si="27"/>
        <v>3974.0094269260007</v>
      </c>
      <c r="CI22" s="1149">
        <f t="shared" si="27"/>
        <v>3832.0805188215004</v>
      </c>
      <c r="CJ22" s="1154">
        <f>AVERAGE(CF22:CI22)</f>
        <v>3902.0564802683757</v>
      </c>
      <c r="CK22" s="1149">
        <f t="shared" ref="CK22:CK23" si="28">CF22*(1+CK32)</f>
        <v>4019.5328758200012</v>
      </c>
      <c r="CL22" s="1149">
        <f t="shared" ref="CL22:CL23" si="29">CG22*(1+CL32)</f>
        <v>4172.709898272301</v>
      </c>
      <c r="CM22" s="1149">
        <f t="shared" ref="CM22:CM23" si="30">CH22*(1+CM32)</f>
        <v>4172.709898272301</v>
      </c>
      <c r="CN22" s="1149">
        <f t="shared" ref="CN22:CN23" si="31">CI22*(1+CN32)</f>
        <v>4023.6845447625756</v>
      </c>
      <c r="CO22" s="1154">
        <f>AVERAGE(CK22:CN22)</f>
        <v>4097.159304281794</v>
      </c>
      <c r="CP22" s="1149">
        <f t="shared" ref="CP22:CP23" si="32">CK22*(1+CP32)</f>
        <v>4220.5095196110015</v>
      </c>
      <c r="CQ22" s="1149">
        <f t="shared" ref="CQ22:CQ23" si="33">CL22*(1+CQ32)</f>
        <v>4381.3453931859158</v>
      </c>
      <c r="CR22" s="1149">
        <f t="shared" ref="CR22:CR23" si="34">CM22*(1+CR32)</f>
        <v>4381.3453931859158</v>
      </c>
      <c r="CS22" s="1149">
        <f t="shared" ref="CS22:CS23" si="35">CN22*(1+CS32)</f>
        <v>4224.8687720007047</v>
      </c>
      <c r="CT22" s="1154">
        <f>AVERAGE(CP22:CS22)</f>
        <v>4302.0172694958837</v>
      </c>
    </row>
    <row r="23" spans="1:98" s="666" customFormat="1" x14ac:dyDescent="0.2">
      <c r="A23" s="1219"/>
      <c r="B23" s="904" t="s">
        <v>11</v>
      </c>
      <c r="C23" s="906"/>
      <c r="D23" s="1150"/>
      <c r="E23" s="1149"/>
      <c r="F23" s="1149"/>
      <c r="G23" s="1149"/>
      <c r="H23" s="1154"/>
      <c r="I23" s="1149"/>
      <c r="J23" s="1149"/>
      <c r="K23" s="1149"/>
      <c r="L23" s="1149"/>
      <c r="M23" s="1154"/>
      <c r="N23" s="1149"/>
      <c r="O23" s="1149"/>
      <c r="P23" s="1149"/>
      <c r="Q23" s="1149"/>
      <c r="R23" s="1154"/>
      <c r="S23" s="1221">
        <v>1404.01</v>
      </c>
      <c r="T23" s="1150">
        <v>1404.01</v>
      </c>
      <c r="U23" s="1150">
        <v>1404.01</v>
      </c>
      <c r="V23" s="1222">
        <v>1404.01</v>
      </c>
      <c r="W23" s="1153">
        <v>1404.01</v>
      </c>
      <c r="X23" s="1150">
        <v>1519.15</v>
      </c>
      <c r="Y23" s="1150">
        <v>1519.15</v>
      </c>
      <c r="Z23" s="1150">
        <v>1519.15</v>
      </c>
      <c r="AA23" s="1150">
        <v>1519.15</v>
      </c>
      <c r="AB23" s="1153">
        <v>1519.15</v>
      </c>
      <c r="AC23" s="1150">
        <v>1753.0990999999999</v>
      </c>
      <c r="AD23" s="1150">
        <v>1753.0990999999999</v>
      </c>
      <c r="AE23" s="1150">
        <v>1753.0990999999999</v>
      </c>
      <c r="AF23" s="1150">
        <v>1753.0990999999999</v>
      </c>
      <c r="AG23" s="1153">
        <v>1753.0990999999999</v>
      </c>
      <c r="AH23" s="1150">
        <v>1945.9400010000002</v>
      </c>
      <c r="AI23" s="1150">
        <v>1945.9400010000002</v>
      </c>
      <c r="AJ23" s="1150">
        <v>1945.9400010000002</v>
      </c>
      <c r="AK23" s="1150">
        <v>1945.9400010000002</v>
      </c>
      <c r="AL23" s="1153">
        <v>1945.9400010000002</v>
      </c>
      <c r="AM23" s="1150">
        <v>2121.0746010900002</v>
      </c>
      <c r="AN23" s="1150">
        <v>2121.0746010900002</v>
      </c>
      <c r="AO23" s="1150">
        <v>2121.0746010900002</v>
      </c>
      <c r="AP23" s="1150">
        <v>2121.0746010900002</v>
      </c>
      <c r="AQ23" s="1153">
        <v>2121.0746010900002</v>
      </c>
      <c r="AR23" s="1149">
        <f ca="1">AM23*(1+AR33)</f>
        <v>2333.1820611990006</v>
      </c>
      <c r="AS23" s="1149">
        <f ca="1">AN23*(1+AS33)</f>
        <v>2333.1820611990006</v>
      </c>
      <c r="AT23" s="1149">
        <f ca="1">AO23*(1+AT33)</f>
        <v>2333.1820611990006</v>
      </c>
      <c r="AU23" s="1149">
        <f ca="1">AP23*(1+AU33)</f>
        <v>2333.1820611990006</v>
      </c>
      <c r="AV23" s="1153">
        <v>2333.1820611990006</v>
      </c>
      <c r="AW23" s="1149">
        <f ca="1">AR23*(1+AW33)</f>
        <v>2519.836626094921</v>
      </c>
      <c r="AX23" s="1149">
        <f ca="1">AS23*(1+AX33)</f>
        <v>2519.836626094921</v>
      </c>
      <c r="AY23" s="1149">
        <f ca="1">AT23*(1+AY33)</f>
        <v>2519.836626094921</v>
      </c>
      <c r="AZ23" s="1149">
        <f ca="1">AU23*(1+AZ33)</f>
        <v>2519.836626094921</v>
      </c>
      <c r="BA23" s="1154">
        <f ca="1">AVERAGE(AW23:AZ23)</f>
        <v>2519.836626094921</v>
      </c>
      <c r="BB23" s="1149">
        <f ca="1">AW23*(1+BB33)</f>
        <v>2696.2251899215657</v>
      </c>
      <c r="BC23" s="1149">
        <f t="shared" ca="1" si="21"/>
        <v>2696.2251899215657</v>
      </c>
      <c r="BD23" s="1149">
        <f t="shared" ca="1" si="21"/>
        <v>2696.2251899215657</v>
      </c>
      <c r="BE23" s="1149">
        <f t="shared" ca="1" si="21"/>
        <v>2696.2251899215657</v>
      </c>
      <c r="BF23" s="1154">
        <f ca="1">AVERAGE(BB23:BE23)</f>
        <v>2696.2251899215657</v>
      </c>
      <c r="BG23" s="1149">
        <f t="shared" ca="1" si="22"/>
        <v>2831.0364494176442</v>
      </c>
      <c r="BH23" s="1149">
        <f t="shared" ca="1" si="22"/>
        <v>2884.9609532160757</v>
      </c>
      <c r="BI23" s="1149">
        <f t="shared" ca="1" si="22"/>
        <v>2884.9609532160757</v>
      </c>
      <c r="BJ23" s="1149">
        <f t="shared" ca="1" si="22"/>
        <v>2884.9609532160757</v>
      </c>
      <c r="BK23" s="1154">
        <f ca="1">AVERAGE(BG23:BJ23)</f>
        <v>2871.479827266468</v>
      </c>
      <c r="BL23" s="1149">
        <f t="shared" ca="1" si="23"/>
        <v>3170.7608233477617</v>
      </c>
      <c r="BM23" s="1149">
        <f t="shared" ca="1" si="23"/>
        <v>3231.1562676020053</v>
      </c>
      <c r="BN23" s="1149">
        <f t="shared" ca="1" si="23"/>
        <v>3231.1562676020053</v>
      </c>
      <c r="BO23" s="1149">
        <f t="shared" ca="1" si="23"/>
        <v>3115.7578294733621</v>
      </c>
      <c r="BP23" s="1154">
        <f ca="1">AVERAGE(BL23:BO23)</f>
        <v>3187.2077970062837</v>
      </c>
      <c r="BQ23" s="1149">
        <f t="shared" ca="1" si="24"/>
        <v>3361.0064727486274</v>
      </c>
      <c r="BR23" s="1149">
        <f t="shared" ca="1" si="24"/>
        <v>3473.4929876721558</v>
      </c>
      <c r="BS23" s="1149">
        <f t="shared" ca="1" si="24"/>
        <v>3473.4929876721558</v>
      </c>
      <c r="BT23" s="1149">
        <f t="shared" ca="1" si="24"/>
        <v>3349.4396666838643</v>
      </c>
      <c r="BU23" s="1154">
        <f ca="1">AVERAGE(BQ23:BT23)</f>
        <v>3414.3580286942006</v>
      </c>
      <c r="BV23" s="1149">
        <f t="shared" ca="1" si="24"/>
        <v>3613.0819582047743</v>
      </c>
      <c r="BW23" s="1149">
        <f t="shared" ca="1" si="25"/>
        <v>3734.0049617475674</v>
      </c>
      <c r="BX23" s="1149">
        <f t="shared" ca="1" si="25"/>
        <v>3734.0049617475674</v>
      </c>
      <c r="BY23" s="1149">
        <f t="shared" ca="1" si="25"/>
        <v>3600.6476416851538</v>
      </c>
      <c r="BZ23" s="1154">
        <f ca="1">AVERAGE(BV23:BY23)</f>
        <v>3670.4348808462655</v>
      </c>
      <c r="CA23" s="1149">
        <f t="shared" ca="1" si="26"/>
        <v>3974.3901540252523</v>
      </c>
      <c r="CB23" s="1149">
        <f t="shared" ca="1" si="26"/>
        <v>4107.4054579223248</v>
      </c>
      <c r="CC23" s="1149">
        <f t="shared" ca="1" si="26"/>
        <v>4107.4054579223248</v>
      </c>
      <c r="CD23" s="1149">
        <f t="shared" ca="1" si="26"/>
        <v>3960.7124058536697</v>
      </c>
      <c r="CE23" s="1154">
        <f ca="1">AVERAGE(CA23:CD23)</f>
        <v>4037.4783689308929</v>
      </c>
      <c r="CF23" s="1149">
        <f t="shared" ca="1" si="27"/>
        <v>4212.8535632667672</v>
      </c>
      <c r="CG23" s="1149">
        <f t="shared" ca="1" si="27"/>
        <v>4353.8497853976642</v>
      </c>
      <c r="CH23" s="1149">
        <f t="shared" ca="1" si="27"/>
        <v>4353.8497853976642</v>
      </c>
      <c r="CI23" s="1149">
        <f t="shared" ca="1" si="27"/>
        <v>4198.3551502048904</v>
      </c>
      <c r="CJ23" s="1154">
        <f ca="1">AVERAGE(CF23:CI23)</f>
        <v>4279.7270710667472</v>
      </c>
      <c r="CK23" s="1149">
        <f t="shared" ca="1" si="28"/>
        <v>4423.4962414301053</v>
      </c>
      <c r="CL23" s="1149">
        <f t="shared" ca="1" si="29"/>
        <v>4571.5422746675476</v>
      </c>
      <c r="CM23" s="1149">
        <f t="shared" ca="1" si="30"/>
        <v>4571.5422746675476</v>
      </c>
      <c r="CN23" s="1149">
        <f t="shared" ca="1" si="31"/>
        <v>4408.2729077151353</v>
      </c>
      <c r="CO23" s="1154">
        <f ca="1">AVERAGE(CK23:CN23)</f>
        <v>4493.713424620084</v>
      </c>
      <c r="CP23" s="1149">
        <f t="shared" ca="1" si="32"/>
        <v>4644.6710535016109</v>
      </c>
      <c r="CQ23" s="1149">
        <f t="shared" ca="1" si="33"/>
        <v>4800.1193884009253</v>
      </c>
      <c r="CR23" s="1149">
        <f t="shared" ca="1" si="34"/>
        <v>4800.1193884009253</v>
      </c>
      <c r="CS23" s="1149">
        <f t="shared" ca="1" si="35"/>
        <v>4628.6865531008925</v>
      </c>
      <c r="CT23" s="1154">
        <f ca="1">AVERAGE(CP23:CS23)</f>
        <v>4718.3990958510885</v>
      </c>
    </row>
    <row r="24" spans="1:98" s="666" customFormat="1" x14ac:dyDescent="0.2">
      <c r="A24" s="1219"/>
      <c r="B24" s="904" t="s">
        <v>727</v>
      </c>
      <c r="C24" s="906"/>
      <c r="D24" s="1150"/>
      <c r="E24" s="1149"/>
      <c r="F24" s="1149"/>
      <c r="G24" s="1149"/>
      <c r="H24" s="1154"/>
      <c r="I24" s="1149"/>
      <c r="J24" s="1149"/>
      <c r="K24" s="1149"/>
      <c r="L24" s="1149"/>
      <c r="M24" s="1154"/>
      <c r="N24" s="1149"/>
      <c r="O24" s="1149"/>
      <c r="P24" s="1149"/>
      <c r="Q24" s="1149"/>
      <c r="R24" s="1154"/>
      <c r="S24" s="1221">
        <f t="shared" ref="S24:BT24" si="36">+S20/S28</f>
        <v>0</v>
      </c>
      <c r="T24" s="1150">
        <f t="shared" si="36"/>
        <v>0</v>
      </c>
      <c r="U24" s="1150">
        <f t="shared" si="36"/>
        <v>0</v>
      </c>
      <c r="V24" s="1222">
        <f t="shared" si="36"/>
        <v>0</v>
      </c>
      <c r="W24" s="1153">
        <f t="shared" si="36"/>
        <v>0</v>
      </c>
      <c r="X24" s="1150">
        <f t="shared" si="36"/>
        <v>0</v>
      </c>
      <c r="Y24" s="1150">
        <f t="shared" si="36"/>
        <v>0</v>
      </c>
      <c r="Z24" s="1150">
        <f t="shared" si="36"/>
        <v>0</v>
      </c>
      <c r="AA24" s="1150">
        <f t="shared" si="36"/>
        <v>0</v>
      </c>
      <c r="AB24" s="1153">
        <f t="shared" si="36"/>
        <v>0</v>
      </c>
      <c r="AC24" s="1150">
        <f t="shared" si="36"/>
        <v>0</v>
      </c>
      <c r="AD24" s="1150">
        <f t="shared" si="36"/>
        <v>0</v>
      </c>
      <c r="AE24" s="1150">
        <f t="shared" si="36"/>
        <v>0</v>
      </c>
      <c r="AF24" s="1150">
        <f t="shared" si="36"/>
        <v>0</v>
      </c>
      <c r="AG24" s="1153">
        <f t="shared" si="36"/>
        <v>0</v>
      </c>
      <c r="AH24" s="1150">
        <f t="shared" si="36"/>
        <v>0</v>
      </c>
      <c r="AI24" s="1150">
        <f t="shared" si="36"/>
        <v>0</v>
      </c>
      <c r="AJ24" s="1150">
        <f t="shared" si="36"/>
        <v>0</v>
      </c>
      <c r="AK24" s="1150">
        <f t="shared" si="36"/>
        <v>0</v>
      </c>
      <c r="AL24" s="1153">
        <f t="shared" si="36"/>
        <v>0</v>
      </c>
      <c r="AM24" s="1150">
        <f t="shared" si="36"/>
        <v>0</v>
      </c>
      <c r="AN24" s="1150">
        <f t="shared" si="36"/>
        <v>0</v>
      </c>
      <c r="AO24" s="1150">
        <f t="shared" si="36"/>
        <v>0</v>
      </c>
      <c r="AP24" s="1150">
        <f t="shared" si="36"/>
        <v>0</v>
      </c>
      <c r="AQ24" s="1153">
        <f t="shared" si="36"/>
        <v>0</v>
      </c>
      <c r="AR24" s="1149">
        <f t="shared" si="36"/>
        <v>0</v>
      </c>
      <c r="AS24" s="1149">
        <f t="shared" si="36"/>
        <v>0</v>
      </c>
      <c r="AT24" s="1149">
        <f t="shared" si="36"/>
        <v>0</v>
      </c>
      <c r="AU24" s="1149">
        <f t="shared" si="36"/>
        <v>0</v>
      </c>
      <c r="AV24" s="1153">
        <f t="shared" si="36"/>
        <v>0</v>
      </c>
      <c r="AW24" s="1149">
        <f t="shared" si="36"/>
        <v>0</v>
      </c>
      <c r="AX24" s="1149">
        <f t="shared" si="36"/>
        <v>1189.4026156177038</v>
      </c>
      <c r="AY24" s="1149">
        <f t="shared" ca="1" si="36"/>
        <v>2403.6851516058659</v>
      </c>
      <c r="AZ24" s="1149">
        <f t="shared" ca="1" si="36"/>
        <v>2405.5196891584292</v>
      </c>
      <c r="BA24" s="1154">
        <f t="shared" ca="1" si="36"/>
        <v>1886.678596153449</v>
      </c>
      <c r="BB24" s="1149">
        <f t="shared" ca="1" si="36"/>
        <v>2568.2518080715704</v>
      </c>
      <c r="BC24" s="1149">
        <f t="shared" ca="1" si="36"/>
        <v>2575.1344299919156</v>
      </c>
      <c r="BD24" s="1149">
        <f t="shared" ca="1" si="36"/>
        <v>2572.4936549737395</v>
      </c>
      <c r="BE24" s="1149">
        <f t="shared" ca="1" si="36"/>
        <v>2574.4574585638738</v>
      </c>
      <c r="BF24" s="1154">
        <f t="shared" ca="1" si="36"/>
        <v>2572.6495650819274</v>
      </c>
      <c r="BG24" s="1149">
        <f t="shared" ca="1" si="36"/>
        <v>2697.8824626761225</v>
      </c>
      <c r="BH24" s="1149">
        <f t="shared" ca="1" si="36"/>
        <v>2756.5803542920085</v>
      </c>
      <c r="BI24" s="1149">
        <f t="shared" ca="1" si="36"/>
        <v>2753.7528002253907</v>
      </c>
      <c r="BJ24" s="1149">
        <f t="shared" ca="1" si="36"/>
        <v>2755.8556156534569</v>
      </c>
      <c r="BK24" s="1154">
        <f t="shared" ca="1" si="36"/>
        <v>2741.7460367356416</v>
      </c>
      <c r="BL24" s="1149">
        <f t="shared" ca="1" si="36"/>
        <v>3021.6283581972575</v>
      </c>
      <c r="BM24" s="1149">
        <f t="shared" ca="1" si="36"/>
        <v>3087.36999680705</v>
      </c>
      <c r="BN24" s="1149">
        <f t="shared" ca="1" si="36"/>
        <v>3084.2031362524381</v>
      </c>
      <c r="BO24" s="1149">
        <f t="shared" ca="1" si="36"/>
        <v>2976.3240649057338</v>
      </c>
      <c r="BP24" s="1154">
        <f t="shared" ca="1" si="36"/>
        <v>3042.0680709333428</v>
      </c>
      <c r="BQ24" s="1149">
        <f t="shared" ca="1" si="36"/>
        <v>3202.9260596890931</v>
      </c>
      <c r="BR24" s="1149">
        <f t="shared" ca="1" si="36"/>
        <v>3318.922746567579</v>
      </c>
      <c r="BS24" s="1149">
        <f t="shared" ca="1" si="36"/>
        <v>3315.5183714713708</v>
      </c>
      <c r="BT24" s="1149">
        <f t="shared" ca="1" si="36"/>
        <v>3199.548369773664</v>
      </c>
      <c r="BU24" s="1154">
        <f ca="1">+BU20/BU28</f>
        <v>3259.4733671149879</v>
      </c>
      <c r="BV24" s="1149">
        <f t="shared" ref="BV24" ca="1" si="37">+BV20/BV28</f>
        <v>3443.1455141657748</v>
      </c>
      <c r="BW24" s="1149">
        <f t="shared" ref="BW24:CJ24" ca="1" si="38">+BW20/BW28</f>
        <v>3567.8419525601471</v>
      </c>
      <c r="BX24" s="1149">
        <f t="shared" ref="BX24:BY24" ca="1" si="39">+BX20/BX28</f>
        <v>3564.1822493317241</v>
      </c>
      <c r="BY24" s="1149">
        <f t="shared" ca="1" si="39"/>
        <v>3439.5144975066878</v>
      </c>
      <c r="BZ24" s="1154">
        <f t="shared" ca="1" si="38"/>
        <v>3503.8665729113732</v>
      </c>
      <c r="CA24" s="1149">
        <f t="shared" ca="1" si="38"/>
        <v>3787.4600655823529</v>
      </c>
      <c r="CB24" s="1149">
        <f t="shared" ca="1" si="38"/>
        <v>3924.6261478161632</v>
      </c>
      <c r="CC24" s="1149">
        <f t="shared" ca="1" si="38"/>
        <v>3920.600474264897</v>
      </c>
      <c r="CD24" s="1149">
        <f t="shared" ca="1" si="38"/>
        <v>3783.4659472573571</v>
      </c>
      <c r="CE24" s="1154">
        <f t="shared" ca="1" si="38"/>
        <v>3854.2532302025115</v>
      </c>
      <c r="CF24" s="1149">
        <f t="shared" ca="1" si="38"/>
        <v>4014.7076695172937</v>
      </c>
      <c r="CG24" s="1149">
        <f t="shared" ca="1" si="38"/>
        <v>4160.1037166851329</v>
      </c>
      <c r="CH24" s="1149">
        <f t="shared" ca="1" si="38"/>
        <v>4155.8365027207901</v>
      </c>
      <c r="CI24" s="1149">
        <f t="shared" ca="1" si="38"/>
        <v>4010.4739040927989</v>
      </c>
      <c r="CJ24" s="1154">
        <f t="shared" ca="1" si="38"/>
        <v>4085.5084240146621</v>
      </c>
      <c r="CK24" s="1149">
        <f t="shared" ref="CK24:CT24" ca="1" si="40">+CK20/CK28</f>
        <v>4215.4430529931578</v>
      </c>
      <c r="CL24" s="1149">
        <f t="shared" ca="1" si="40"/>
        <v>4368.1089025193896</v>
      </c>
      <c r="CM24" s="1149">
        <f t="shared" ca="1" si="40"/>
        <v>4363.6283278568299</v>
      </c>
      <c r="CN24" s="1149">
        <f t="shared" ca="1" si="40"/>
        <v>4210.9975992974387</v>
      </c>
      <c r="CO24" s="1154">
        <f t="shared" ca="1" si="40"/>
        <v>4289.7838452153946</v>
      </c>
      <c r="CP24" s="1149">
        <f t="shared" ca="1" si="40"/>
        <v>4426.2152056428167</v>
      </c>
      <c r="CQ24" s="1149">
        <f t="shared" ca="1" si="40"/>
        <v>4586.5143476453586</v>
      </c>
      <c r="CR24" s="1149">
        <f t="shared" ca="1" si="40"/>
        <v>4581.8097442496719</v>
      </c>
      <c r="CS24" s="1149">
        <f t="shared" ca="1" si="40"/>
        <v>4421.5474792623118</v>
      </c>
      <c r="CT24" s="1154">
        <f t="shared" ca="1" si="40"/>
        <v>4504.2730374761659</v>
      </c>
    </row>
    <row r="25" spans="1:98" s="666" customFormat="1" x14ac:dyDescent="0.2">
      <c r="A25" s="1219"/>
      <c r="B25" s="904"/>
      <c r="C25" s="906"/>
      <c r="D25" s="1150"/>
      <c r="E25" s="1149"/>
      <c r="F25" s="1149"/>
      <c r="G25" s="1149"/>
      <c r="H25" s="1154"/>
      <c r="I25" s="1149"/>
      <c r="J25" s="1149"/>
      <c r="K25" s="1149"/>
      <c r="L25" s="1149"/>
      <c r="M25" s="1154"/>
      <c r="N25" s="1149"/>
      <c r="O25" s="1149"/>
      <c r="P25" s="1149"/>
      <c r="Q25" s="1149"/>
      <c r="R25" s="1154"/>
      <c r="S25" s="1221"/>
      <c r="T25" s="1150"/>
      <c r="U25" s="1150"/>
      <c r="V25" s="1222"/>
      <c r="W25" s="1154"/>
      <c r="X25" s="1150"/>
      <c r="Y25" s="1150"/>
      <c r="Z25" s="1150"/>
      <c r="AA25" s="1150"/>
      <c r="AB25" s="1154"/>
      <c r="AC25" s="1149"/>
      <c r="AD25" s="1149"/>
      <c r="AE25" s="1149"/>
      <c r="AF25" s="1149"/>
      <c r="AG25" s="1154"/>
      <c r="AH25" s="1149"/>
      <c r="AI25" s="1149"/>
      <c r="AJ25" s="1149"/>
      <c r="AK25" s="1149"/>
      <c r="AL25" s="1154"/>
      <c r="AM25" s="1149"/>
      <c r="AN25" s="1149"/>
      <c r="AO25" s="1149"/>
      <c r="AP25" s="1149"/>
      <c r="AQ25" s="1154"/>
      <c r="AR25" s="1149"/>
      <c r="AS25" s="1149"/>
      <c r="AT25" s="1149"/>
      <c r="AU25" s="1149"/>
      <c r="AV25" s="1154"/>
      <c r="AW25" s="1149"/>
      <c r="AX25" s="1149"/>
      <c r="AY25" s="1149"/>
      <c r="AZ25" s="1149"/>
      <c r="BA25" s="1154"/>
      <c r="BB25" s="1149"/>
      <c r="BC25" s="1149"/>
      <c r="BD25" s="1149"/>
      <c r="BE25" s="1149"/>
      <c r="BF25" s="1154"/>
      <c r="BG25" s="1149"/>
      <c r="BH25" s="1149"/>
      <c r="BI25" s="1149"/>
      <c r="BJ25" s="1149"/>
      <c r="BK25" s="1154"/>
      <c r="BL25" s="1149"/>
      <c r="BM25" s="1149"/>
      <c r="BN25" s="1149"/>
      <c r="BO25" s="1149"/>
      <c r="BP25" s="1154"/>
      <c r="BQ25" s="1149"/>
      <c r="BR25" s="1149"/>
      <c r="BS25" s="1149"/>
      <c r="BT25" s="1149"/>
      <c r="BU25" s="1154"/>
      <c r="BV25" s="1149"/>
      <c r="BW25" s="1149"/>
      <c r="BX25" s="1149"/>
      <c r="BY25" s="1149"/>
      <c r="BZ25" s="1154"/>
      <c r="CA25" s="1149"/>
      <c r="CB25" s="1149"/>
      <c r="CC25" s="1149"/>
      <c r="CD25" s="1149"/>
      <c r="CE25" s="1154"/>
      <c r="CF25" s="1149"/>
      <c r="CG25" s="1149"/>
      <c r="CH25" s="1149"/>
      <c r="CI25" s="1149"/>
      <c r="CJ25" s="1154"/>
      <c r="CK25" s="1149"/>
      <c r="CL25" s="1149"/>
      <c r="CM25" s="1149"/>
      <c r="CN25" s="1149"/>
      <c r="CO25" s="1154"/>
      <c r="CP25" s="1149"/>
      <c r="CQ25" s="1149"/>
      <c r="CR25" s="1149"/>
      <c r="CS25" s="1149"/>
      <c r="CT25" s="1154"/>
    </row>
    <row r="26" spans="1:98" s="666" customFormat="1" x14ac:dyDescent="0.2">
      <c r="A26" s="1219"/>
      <c r="B26" s="904" t="s">
        <v>2</v>
      </c>
      <c r="C26" s="906"/>
      <c r="D26" s="1149"/>
      <c r="E26" s="1149"/>
      <c r="F26" s="1149"/>
      <c r="G26" s="1149"/>
      <c r="H26" s="1154"/>
      <c r="I26" s="1149"/>
      <c r="J26" s="1149"/>
      <c r="K26" s="1149"/>
      <c r="L26" s="1149"/>
      <c r="M26" s="1154"/>
      <c r="N26" s="1149"/>
      <c r="O26" s="1149"/>
      <c r="P26" s="1149"/>
      <c r="Q26" s="1149"/>
      <c r="R26" s="1154"/>
      <c r="S26" s="664"/>
      <c r="T26" s="1149"/>
      <c r="U26" s="1149"/>
      <c r="V26" s="1220"/>
      <c r="W26" s="1154"/>
      <c r="X26" s="1149"/>
      <c r="Y26" s="1149"/>
      <c r="Z26" s="1149"/>
      <c r="AA26" s="1149"/>
      <c r="AB26" s="1154"/>
      <c r="AC26" s="1232">
        <v>0.30871044312326656</v>
      </c>
      <c r="AD26" s="1150">
        <v>0.31190478621545137</v>
      </c>
      <c r="AE26" s="1150">
        <v>0.32359836360648409</v>
      </c>
      <c r="AF26" s="1150">
        <v>0.32953071506339832</v>
      </c>
      <c r="AG26" s="1153">
        <v>1.2737443080086004</v>
      </c>
      <c r="AH26" s="1150">
        <v>0.3232198339500601</v>
      </c>
      <c r="AI26" s="1150">
        <v>0.32438097766406943</v>
      </c>
      <c r="AJ26" s="1150">
        <v>0.33880748669598881</v>
      </c>
      <c r="AK26" s="1150">
        <v>0.41401865867137799</v>
      </c>
      <c r="AL26" s="1153">
        <v>1.4004269569814962</v>
      </c>
      <c r="AM26" s="1150">
        <v>0.5</v>
      </c>
      <c r="AN26" s="1150">
        <v>0.51638097766406998</v>
      </c>
      <c r="AO26" s="1150">
        <v>0.53080748669598887</v>
      </c>
      <c r="AP26" s="1150">
        <v>0.54373865867137794</v>
      </c>
      <c r="AQ26" s="1153">
        <v>2.0909271230314368</v>
      </c>
      <c r="AR26" s="1150">
        <v>0.52797023756990802</v>
      </c>
      <c r="AS26" s="1150">
        <v>0.51265910068038067</v>
      </c>
      <c r="AT26" s="1152">
        <v>0.56265593589774821</v>
      </c>
      <c r="AU26" s="1152">
        <v>0.58180036477837438</v>
      </c>
      <c r="AV26" s="1151">
        <v>2.1850856389264113</v>
      </c>
      <c r="AW26" s="1152">
        <v>0.56492815419980158</v>
      </c>
      <c r="AX26" s="1152">
        <v>0.59317456190979168</v>
      </c>
      <c r="AY26" s="1152">
        <f>AT26*(1+AY35)</f>
        <v>0.60204185141059063</v>
      </c>
      <c r="AZ26" s="1152">
        <f>AU26*(1+AZ35)</f>
        <v>0.62252639031286061</v>
      </c>
      <c r="BA26" s="1151">
        <f>SUM(AW26:AZ26)</f>
        <v>2.3826709578330449</v>
      </c>
      <c r="BB26" s="1152">
        <f>AW26*(1+BB35)</f>
        <v>0.60447312499378769</v>
      </c>
      <c r="BC26" s="1579">
        <f>AX26*(1+BC35)</f>
        <v>0.63469678124347717</v>
      </c>
      <c r="BD26" s="1152">
        <f>AY26*(1+BD35)</f>
        <v>0.64418478100933196</v>
      </c>
      <c r="BE26" s="1152">
        <f>AZ26*(1+BE35)</f>
        <v>0.66610323763476087</v>
      </c>
      <c r="BF26" s="1151">
        <f>SUM(BB26:BE26)</f>
        <v>2.5494579248813576</v>
      </c>
      <c r="BG26" s="1152">
        <f>BB26*(1+BG35)</f>
        <v>0.64678624374335292</v>
      </c>
      <c r="BH26" s="1152">
        <f>BC26*(1+BH35)</f>
        <v>0.6791255559305206</v>
      </c>
      <c r="BI26" s="1152">
        <f>BD26*(1+BI35)</f>
        <v>0.68927771567998519</v>
      </c>
      <c r="BJ26" s="1152">
        <f>BE26*(1+BJ35)</f>
        <v>0.71273046426919417</v>
      </c>
      <c r="BK26" s="1151">
        <f>SUM(BG26:BJ26)</f>
        <v>2.7279199796230529</v>
      </c>
      <c r="BL26" s="1152">
        <f>BG26*(1+BL35)</f>
        <v>0.69529521202410438</v>
      </c>
      <c r="BM26" s="1152">
        <f>BH26*(1+BM35)</f>
        <v>0.73005997262530964</v>
      </c>
      <c r="BN26" s="1152">
        <f>BI26*(1+BN35)</f>
        <v>0.74097354435598406</v>
      </c>
      <c r="BO26" s="1152">
        <f>BJ26*(1+BO35)</f>
        <v>0.76618524908938368</v>
      </c>
      <c r="BP26" s="1151">
        <f>SUM(BL26:BO26)</f>
        <v>2.9325139780947822</v>
      </c>
      <c r="BQ26" s="1152">
        <f>BL26*(1+BQ35)</f>
        <v>0.74744235292591221</v>
      </c>
      <c r="BR26" s="1152">
        <f>BM26*(1+BR35)</f>
        <v>0.78481447057220788</v>
      </c>
      <c r="BS26" s="1152">
        <f>BN26*(1+BS35)</f>
        <v>0.79654656018268288</v>
      </c>
      <c r="BT26" s="1152">
        <f>BO26*(1+BT35)</f>
        <v>0.82364914277108747</v>
      </c>
      <c r="BU26" s="1151">
        <f>SUM(BQ26:BT26)</f>
        <v>3.1524525264518908</v>
      </c>
      <c r="BV26" s="1152">
        <f>BQ26*(1+BV35)</f>
        <v>0.80350052939535554</v>
      </c>
      <c r="BW26" s="1152">
        <f>BR26*(1+BW35)</f>
        <v>0.83975148351226248</v>
      </c>
      <c r="BX26" s="1152">
        <f>BS26*(1+BX35)</f>
        <v>0.85230481939547076</v>
      </c>
      <c r="BY26" s="1152">
        <f>BT26*(1+BY35)</f>
        <v>0.88130458276506363</v>
      </c>
      <c r="BZ26" s="1151">
        <f>SUM(BV26:BY26)</f>
        <v>3.3768614150681522</v>
      </c>
      <c r="CA26" s="1152">
        <f>BV26*(1+CA35)</f>
        <v>0.7793955135134949</v>
      </c>
      <c r="CB26" s="1152">
        <f>BW26*(1+CB35)</f>
        <v>0.81455893900689458</v>
      </c>
      <c r="CC26" s="1152">
        <f>BX26*(1+CC35)</f>
        <v>0.82673567481360666</v>
      </c>
      <c r="CD26" s="1152">
        <f>BY26*(1+CD35)</f>
        <v>0.85486544528211172</v>
      </c>
      <c r="CE26" s="1151">
        <f>SUM(CA26:CD26)</f>
        <v>3.2755555726161081</v>
      </c>
      <c r="CF26" s="1152">
        <f>CA26*(1+CF35)</f>
        <v>0.80277737891889978</v>
      </c>
      <c r="CG26" s="1152">
        <f>CB26*(1+CG35)</f>
        <v>0.83899570717710148</v>
      </c>
      <c r="CH26" s="1152">
        <f>CC26*(1+CH35)</f>
        <v>0.85153774505801483</v>
      </c>
      <c r="CI26" s="1152">
        <f>CD26*(1+CI35)</f>
        <v>0.88051140864057509</v>
      </c>
      <c r="CJ26" s="1151">
        <f>SUM(CF26:CI26)</f>
        <v>3.3738222397945909</v>
      </c>
      <c r="CK26" s="1152">
        <f>CF26*(1+CK35)</f>
        <v>0.74658296239457678</v>
      </c>
      <c r="CL26" s="1152">
        <f>CG26*(1+CL35)</f>
        <v>0.78026600767470433</v>
      </c>
      <c r="CM26" s="1152">
        <f>CH26*(1+CM35)</f>
        <v>0.79193010290395371</v>
      </c>
      <c r="CN26" s="1152">
        <f>CI26*(1+CN35)</f>
        <v>0.81887561003573472</v>
      </c>
      <c r="CO26" s="1151">
        <f>SUM(CK26:CN26)</f>
        <v>3.1376546830089693</v>
      </c>
      <c r="CP26" s="1152">
        <f>CK26*(1+CP35)</f>
        <v>0.69432215502695638</v>
      </c>
      <c r="CQ26" s="1152">
        <f>CL26*(1+CQ35)</f>
        <v>0.72564738713747501</v>
      </c>
      <c r="CR26" s="1152">
        <f>CM26*(1+CR35)</f>
        <v>0.73649499570067689</v>
      </c>
      <c r="CS26" s="1152">
        <f>CN26*(1+CS35)</f>
        <v>0.7615543173332332</v>
      </c>
      <c r="CT26" s="1151">
        <f>SUM(CP26:CS26)</f>
        <v>2.9180188551983415</v>
      </c>
    </row>
    <row r="27" spans="1:98" s="666" customFormat="1" ht="12" thickBot="1" x14ac:dyDescent="0.25">
      <c r="A27" s="1214"/>
      <c r="B27" s="904" t="s">
        <v>3</v>
      </c>
      <c r="D27" s="1150">
        <v>0.12244897959183673</v>
      </c>
      <c r="E27" s="1150">
        <v>0.20408163265306123</v>
      </c>
      <c r="F27" s="1150">
        <v>0.2857142857142857</v>
      </c>
      <c r="G27" s="1150">
        <v>0.40816326530612246</v>
      </c>
      <c r="H27" s="1154">
        <f>SUM(D27:G27)</f>
        <v>1.0204081632653061</v>
      </c>
      <c r="I27" s="1150">
        <v>0.5714285714285714</v>
      </c>
      <c r="J27" s="1150">
        <v>0.5714285714285714</v>
      </c>
      <c r="K27" s="1150">
        <v>0.5714285714285714</v>
      </c>
      <c r="L27" s="1150">
        <v>0.5714285714285714</v>
      </c>
      <c r="M27" s="1154">
        <f>SUM(I27:L27)</f>
        <v>2.2857142857142856</v>
      </c>
      <c r="N27" s="1150">
        <v>0.5714285714285714</v>
      </c>
      <c r="O27" s="1150">
        <v>0.5714285714285714</v>
      </c>
      <c r="P27" s="1150">
        <v>0.69372567829624288</v>
      </c>
      <c r="Q27" s="1150">
        <v>1.0612244897959184</v>
      </c>
      <c r="R27" s="1154">
        <f>SUM(N27:Q27)</f>
        <v>2.8978073109493039</v>
      </c>
      <c r="S27" s="1221">
        <v>0.94678812828968439</v>
      </c>
      <c r="T27" s="1150">
        <v>0.94963711084678881</v>
      </c>
      <c r="U27" s="1150">
        <v>0.99714389498650291</v>
      </c>
      <c r="V27" s="1222">
        <v>0.97855428380139742</v>
      </c>
      <c r="W27" s="1154">
        <f>SUM(S27:V27)</f>
        <v>3.8721234179243735</v>
      </c>
      <c r="X27" s="1150">
        <v>0.95428364545963207</v>
      </c>
      <c r="Y27" s="1150">
        <v>0.98397129973998609</v>
      </c>
      <c r="Z27" s="1150">
        <v>0.98713096139288403</v>
      </c>
      <c r="AA27" s="1150">
        <v>1.05223315669947</v>
      </c>
      <c r="AB27" s="1154">
        <f>SUM(X27:AA27)</f>
        <v>3.9776190632919723</v>
      </c>
      <c r="AC27" s="1232">
        <v>1.1155636508438087</v>
      </c>
      <c r="AD27" s="1150">
        <v>1.1700548262104915</v>
      </c>
      <c r="AE27" s="1150">
        <v>1.1894189708695078</v>
      </c>
      <c r="AF27" s="1150">
        <v>1.2326340741938973</v>
      </c>
      <c r="AG27" s="1154">
        <f>SUM(AC27:AF27)</f>
        <v>4.707671522117705</v>
      </c>
      <c r="AH27" s="1150">
        <v>1.2160031842976444</v>
      </c>
      <c r="AI27" s="1150">
        <v>1.2680727778517444</v>
      </c>
      <c r="AJ27" s="1150">
        <v>1.276795365535986</v>
      </c>
      <c r="AK27" s="1150">
        <v>1.3065266247767848</v>
      </c>
      <c r="AL27" s="1154">
        <f>SUM(AH27:AK27)</f>
        <v>5.0673979524621595</v>
      </c>
      <c r="AM27" s="1150">
        <v>1.2823698868015576</v>
      </c>
      <c r="AN27" s="1150">
        <v>1.3487811509762375</v>
      </c>
      <c r="AO27" s="1150">
        <v>1.3790160050124736</v>
      </c>
      <c r="AP27" s="1150">
        <v>1.4111275582409153</v>
      </c>
      <c r="AQ27" s="1151">
        <f>SUM(AM27:AP27)</f>
        <v>5.4212946010311835</v>
      </c>
      <c r="AR27" s="1213">
        <v>1.3271806332634803</v>
      </c>
      <c r="AS27" s="1213">
        <v>1.3661607637509392</v>
      </c>
      <c r="AT27" s="1169">
        <v>1.4503802926335885</v>
      </c>
      <c r="AU27" s="1169">
        <v>1.4503802926335885</v>
      </c>
      <c r="AV27" s="1170">
        <f>SUM(AR27:AU27)</f>
        <v>5.5941019822815967</v>
      </c>
      <c r="AW27" s="1169">
        <v>1.2342779889350366</v>
      </c>
      <c r="AX27" s="1169">
        <f>1.27052951028837/2</f>
        <v>0.63526475514418501</v>
      </c>
      <c r="AY27" s="1169">
        <f>AT27*(1+AY34)/2</f>
        <v>0.67442683607461862</v>
      </c>
      <c r="AZ27" s="1169">
        <f>AU27*(1+AZ34)/2</f>
        <v>0.67442683607461862</v>
      </c>
      <c r="BA27" s="1170">
        <f>SUM(AW27:AZ27)</f>
        <v>3.2183964162284591</v>
      </c>
      <c r="BB27" s="1169">
        <f>AW27*(1+BB34)/2</f>
        <v>0.65416733413556938</v>
      </c>
      <c r="BC27" s="1532">
        <f>AX27*(1+BC34)</f>
        <v>0.67338064045283619</v>
      </c>
      <c r="BD27" s="1169">
        <f>AY27*(1+BD34)</f>
        <v>0.71489244623909576</v>
      </c>
      <c r="BE27" s="1169">
        <f>AZ27*(1+BE34)</f>
        <v>0.71489244623909576</v>
      </c>
      <c r="BF27" s="1170">
        <f>SUM(BB27:BE27)</f>
        <v>2.7573328670665971</v>
      </c>
      <c r="BG27" s="1169">
        <f>BB27*(1+BG34)</f>
        <v>0.68687570084234784</v>
      </c>
      <c r="BH27" s="1169">
        <f>BC27*(1+BH34)</f>
        <v>0.70704967247547801</v>
      </c>
      <c r="BI27" s="1169">
        <f>BD27*(1+BI34)</f>
        <v>0.75063706855105061</v>
      </c>
      <c r="BJ27" s="1169">
        <f>BE27*(1+BJ34)</f>
        <v>0.75063706855105061</v>
      </c>
      <c r="BK27" s="1170">
        <f>SUM(BG27:BJ27)</f>
        <v>2.8951995104199266</v>
      </c>
      <c r="BL27" s="1169">
        <f>BG27*(1+BL34)</f>
        <v>0.73839137840552393</v>
      </c>
      <c r="BM27" s="1169">
        <f>BH27*(1+BM34)</f>
        <v>0.76007839791113885</v>
      </c>
      <c r="BN27" s="1169">
        <f>BI27*(1+BN34)</f>
        <v>0.80693484869237941</v>
      </c>
      <c r="BO27" s="1169">
        <f>BJ27*(1+BO34)</f>
        <v>0.80693484869237941</v>
      </c>
      <c r="BP27" s="1170">
        <f>SUM(BL27:BO27)</f>
        <v>3.1123394737014216</v>
      </c>
      <c r="BQ27" s="1169">
        <f>BL27*(1+BQ34)</f>
        <v>0.79377073178593816</v>
      </c>
      <c r="BR27" s="1169">
        <f>BM27*(1+BR34)</f>
        <v>0.81708427775447423</v>
      </c>
      <c r="BS27" s="1169">
        <f>BN27*(1+BS34)</f>
        <v>0.86745496234430786</v>
      </c>
      <c r="BT27" s="1169">
        <f>BO27*(1+BT34)</f>
        <v>0.86745496234430786</v>
      </c>
      <c r="BU27" s="1170">
        <f>SUM(BQ27:BT27)</f>
        <v>3.3457649342290279</v>
      </c>
      <c r="BV27" s="1169">
        <f>BQ27*(1+BV34)</f>
        <v>0.85330353666988346</v>
      </c>
      <c r="BW27" s="1169">
        <f>BR27*(1+BW34)</f>
        <v>0.87428017719728746</v>
      </c>
      <c r="BX27" s="1169">
        <f>BS27*(1+BX34)</f>
        <v>0.92817680970840943</v>
      </c>
      <c r="BY27" s="1169">
        <f>BT27*(1+BY34)</f>
        <v>0.92817680970840943</v>
      </c>
      <c r="BZ27" s="1170">
        <f>SUM(BV27:BY27)</f>
        <v>3.5839373332839894</v>
      </c>
      <c r="CA27" s="1169">
        <f>BV27*(1+CA34)</f>
        <v>0.82770443056978693</v>
      </c>
      <c r="CB27" s="1169">
        <f>BW27*(1+CB34)</f>
        <v>0.84805177188136882</v>
      </c>
      <c r="CC27" s="1169">
        <f>BX27*(1+CC34)</f>
        <v>0.90033150541715712</v>
      </c>
      <c r="CD27" s="1169">
        <f>BY27*(1+CD34)</f>
        <v>0.90033150541715712</v>
      </c>
      <c r="CE27" s="1170">
        <f>SUM(CA27:CD27)</f>
        <v>3.4764192132854697</v>
      </c>
      <c r="CF27" s="1169">
        <f>CA27*(1+CF34)</f>
        <v>0.85253556348688053</v>
      </c>
      <c r="CG27" s="1169">
        <f>CB27*(1+CG34)</f>
        <v>0.87349332503780985</v>
      </c>
      <c r="CH27" s="1169">
        <f>CC27*(1+CH34)</f>
        <v>0.92734145057967188</v>
      </c>
      <c r="CI27" s="1169">
        <f>CD27*(1+CI34)</f>
        <v>0.92734145057967188</v>
      </c>
      <c r="CJ27" s="1170">
        <f>SUM(CF27:CI27)</f>
        <v>3.5807117896840341</v>
      </c>
      <c r="CK27" s="1169">
        <f>CF27*(1+CK34)</f>
        <v>0.79285807404279884</v>
      </c>
      <c r="CL27" s="1169">
        <f>CG27*(1+CL34)</f>
        <v>0.8123487922851631</v>
      </c>
      <c r="CM27" s="1169">
        <f>CH27*(1+CM34)</f>
        <v>0.8624275490390948</v>
      </c>
      <c r="CN27" s="1169">
        <f>CI27*(1+CN34)</f>
        <v>0.8624275490390948</v>
      </c>
      <c r="CO27" s="1170">
        <f>SUM(CK27:CN27)</f>
        <v>3.3300619644061515</v>
      </c>
      <c r="CP27" s="1169">
        <f>CK27*(1+CP34)</f>
        <v>0.73735800885980285</v>
      </c>
      <c r="CQ27" s="1169">
        <f>CL27*(1+CQ34)</f>
        <v>0.75548437682520164</v>
      </c>
      <c r="CR27" s="1169">
        <f>CM27*(1+CR34)</f>
        <v>0.8020576206063581</v>
      </c>
      <c r="CS27" s="1169">
        <f>CN27*(1+CS34)</f>
        <v>0.8020576206063581</v>
      </c>
      <c r="CT27" s="1170">
        <f>SUM(CP27:CS27)</f>
        <v>3.0969576268977201</v>
      </c>
    </row>
    <row r="28" spans="1:98" s="666" customFormat="1" ht="12" thickBot="1" x14ac:dyDescent="0.25">
      <c r="A28" s="1214"/>
      <c r="B28" s="1235" t="s">
        <v>12</v>
      </c>
      <c r="C28" s="1166"/>
      <c r="D28" s="1236">
        <f>SUM(D26:D27)</f>
        <v>0.12244897959183673</v>
      </c>
      <c r="E28" s="1236">
        <f t="shared" ref="E28:BP28" si="41">SUM(E26:E27)</f>
        <v>0.20408163265306123</v>
      </c>
      <c r="F28" s="1236">
        <f t="shared" si="41"/>
        <v>0.2857142857142857</v>
      </c>
      <c r="G28" s="1236">
        <f t="shared" si="41"/>
        <v>0.40816326530612246</v>
      </c>
      <c r="H28" s="1237">
        <f t="shared" si="41"/>
        <v>1.0204081632653061</v>
      </c>
      <c r="I28" s="1236">
        <f t="shared" si="41"/>
        <v>0.5714285714285714</v>
      </c>
      <c r="J28" s="1236">
        <f t="shared" si="41"/>
        <v>0.5714285714285714</v>
      </c>
      <c r="K28" s="1236">
        <f t="shared" si="41"/>
        <v>0.5714285714285714</v>
      </c>
      <c r="L28" s="1236">
        <f t="shared" si="41"/>
        <v>0.5714285714285714</v>
      </c>
      <c r="M28" s="1237">
        <f t="shared" si="41"/>
        <v>2.2857142857142856</v>
      </c>
      <c r="N28" s="1236">
        <f t="shared" si="41"/>
        <v>0.5714285714285714</v>
      </c>
      <c r="O28" s="1236">
        <f t="shared" si="41"/>
        <v>0.5714285714285714</v>
      </c>
      <c r="P28" s="1236">
        <f t="shared" si="41"/>
        <v>0.69372567829624288</v>
      </c>
      <c r="Q28" s="1236">
        <f t="shared" si="41"/>
        <v>1.0612244897959184</v>
      </c>
      <c r="R28" s="1237">
        <f t="shared" si="41"/>
        <v>2.8978073109493039</v>
      </c>
      <c r="S28" s="1238">
        <f t="shared" si="41"/>
        <v>0.94678812828968439</v>
      </c>
      <c r="T28" s="1236">
        <f t="shared" si="41"/>
        <v>0.94963711084678881</v>
      </c>
      <c r="U28" s="1236">
        <f t="shared" si="41"/>
        <v>0.99714389498650291</v>
      </c>
      <c r="V28" s="1239">
        <f t="shared" si="41"/>
        <v>0.97855428380139742</v>
      </c>
      <c r="W28" s="1237">
        <f t="shared" si="41"/>
        <v>3.8721234179243735</v>
      </c>
      <c r="X28" s="1236">
        <f t="shared" si="41"/>
        <v>0.95428364545963207</v>
      </c>
      <c r="Y28" s="1236">
        <f t="shared" si="41"/>
        <v>0.98397129973998609</v>
      </c>
      <c r="Z28" s="1236">
        <f t="shared" si="41"/>
        <v>0.98713096139288403</v>
      </c>
      <c r="AA28" s="1236">
        <f t="shared" si="41"/>
        <v>1.05223315669947</v>
      </c>
      <c r="AB28" s="1237">
        <f t="shared" si="41"/>
        <v>3.9776190632919723</v>
      </c>
      <c r="AC28" s="1240">
        <f t="shared" si="41"/>
        <v>1.4242740939670753</v>
      </c>
      <c r="AD28" s="1236">
        <f t="shared" si="41"/>
        <v>1.4819596124259429</v>
      </c>
      <c r="AE28" s="1236">
        <f t="shared" si="41"/>
        <v>1.5130173344759918</v>
      </c>
      <c r="AF28" s="1236">
        <f t="shared" si="41"/>
        <v>1.5621647892572956</v>
      </c>
      <c r="AG28" s="1237">
        <f t="shared" si="41"/>
        <v>5.9814158301263056</v>
      </c>
      <c r="AH28" s="1236">
        <f t="shared" si="41"/>
        <v>1.5392230182477045</v>
      </c>
      <c r="AI28" s="1236">
        <f t="shared" si="41"/>
        <v>1.5924537555158138</v>
      </c>
      <c r="AJ28" s="1236">
        <f t="shared" si="41"/>
        <v>1.6156028522319748</v>
      </c>
      <c r="AK28" s="1236">
        <f t="shared" si="41"/>
        <v>1.7205452834481627</v>
      </c>
      <c r="AL28" s="1237">
        <f t="shared" si="41"/>
        <v>6.4678249094436557</v>
      </c>
      <c r="AM28" s="1236">
        <f t="shared" si="41"/>
        <v>1.7823698868015576</v>
      </c>
      <c r="AN28" s="1236">
        <f t="shared" si="41"/>
        <v>1.8651621286403075</v>
      </c>
      <c r="AO28" s="1236">
        <f t="shared" si="41"/>
        <v>1.9098234917084624</v>
      </c>
      <c r="AP28" s="1236">
        <f t="shared" si="41"/>
        <v>1.9548662169122932</v>
      </c>
      <c r="AQ28" s="1241">
        <f t="shared" si="41"/>
        <v>7.5122217240626199</v>
      </c>
      <c r="AR28" s="1169">
        <f t="shared" si="41"/>
        <v>1.8551508708333884</v>
      </c>
      <c r="AS28" s="1169">
        <f t="shared" si="41"/>
        <v>1.8788198644313199</v>
      </c>
      <c r="AT28" s="1169">
        <f t="shared" si="41"/>
        <v>2.0130362285313366</v>
      </c>
      <c r="AU28" s="1169">
        <f t="shared" si="41"/>
        <v>2.032180657411963</v>
      </c>
      <c r="AV28" s="1170">
        <f t="shared" si="41"/>
        <v>7.779187621208008</v>
      </c>
      <c r="AW28" s="1169">
        <f t="shared" si="41"/>
        <v>1.7992061431348381</v>
      </c>
      <c r="AX28" s="1169">
        <f t="shared" si="41"/>
        <v>1.2284393170539767</v>
      </c>
      <c r="AY28" s="1169">
        <f t="shared" si="41"/>
        <v>1.2764686874852091</v>
      </c>
      <c r="AZ28" s="1169">
        <f t="shared" si="41"/>
        <v>1.2969532263874792</v>
      </c>
      <c r="BA28" s="1170">
        <f t="shared" si="41"/>
        <v>5.601067374061504</v>
      </c>
      <c r="BB28" s="1169">
        <f t="shared" si="41"/>
        <v>1.258640459129357</v>
      </c>
      <c r="BC28" s="1532">
        <f t="shared" si="41"/>
        <v>1.3080774216963134</v>
      </c>
      <c r="BD28" s="1169">
        <f t="shared" si="41"/>
        <v>1.3590772272484277</v>
      </c>
      <c r="BE28" s="1169">
        <f t="shared" si="41"/>
        <v>1.3809956838738566</v>
      </c>
      <c r="BF28" s="1170">
        <f t="shared" si="41"/>
        <v>5.3067907919479547</v>
      </c>
      <c r="BG28" s="1169">
        <f t="shared" si="41"/>
        <v>1.3336619445857008</v>
      </c>
      <c r="BH28" s="1169">
        <f t="shared" si="41"/>
        <v>1.3861752284059987</v>
      </c>
      <c r="BI28" s="1169">
        <f t="shared" si="41"/>
        <v>1.4399147842310358</v>
      </c>
      <c r="BJ28" s="1169">
        <f t="shared" si="41"/>
        <v>1.4633675328202447</v>
      </c>
      <c r="BK28" s="1170">
        <f t="shared" si="41"/>
        <v>5.6231194900429795</v>
      </c>
      <c r="BL28" s="1169">
        <f t="shared" si="41"/>
        <v>1.4336865904296283</v>
      </c>
      <c r="BM28" s="1169">
        <f t="shared" si="41"/>
        <v>1.4901383705364486</v>
      </c>
      <c r="BN28" s="1169">
        <f t="shared" si="41"/>
        <v>1.5479083930483635</v>
      </c>
      <c r="BO28" s="1169">
        <f t="shared" si="41"/>
        <v>1.573120097781763</v>
      </c>
      <c r="BP28" s="1170">
        <f t="shared" si="41"/>
        <v>6.0448534517962038</v>
      </c>
      <c r="BQ28" s="1169">
        <f t="shared" ref="BQ28:BZ28" si="42">SUM(BQ26:BQ27)</f>
        <v>1.5412130847118504</v>
      </c>
      <c r="BR28" s="1169">
        <f t="shared" si="42"/>
        <v>1.6018987483266822</v>
      </c>
      <c r="BS28" s="1169">
        <f t="shared" si="42"/>
        <v>1.6640015225269909</v>
      </c>
      <c r="BT28" s="1169">
        <f t="shared" si="42"/>
        <v>1.6911041051153952</v>
      </c>
      <c r="BU28" s="1170">
        <f t="shared" si="42"/>
        <v>6.4982174606809187</v>
      </c>
      <c r="BV28" s="1169">
        <f t="shared" ref="BV28" si="43">SUM(BV26:BV27)</f>
        <v>1.656804066065239</v>
      </c>
      <c r="BW28" s="1169">
        <f t="shared" si="42"/>
        <v>1.71403166070955</v>
      </c>
      <c r="BX28" s="1169">
        <f t="shared" ref="BX28:BY28" si="44">SUM(BX26:BX27)</f>
        <v>1.7804816291038801</v>
      </c>
      <c r="BY28" s="1169">
        <f t="shared" si="44"/>
        <v>1.8094813924734732</v>
      </c>
      <c r="BZ28" s="1170">
        <f t="shared" si="42"/>
        <v>6.9607987483521416</v>
      </c>
      <c r="CA28" s="1169">
        <f t="shared" ref="CA28:CJ28" si="45">SUM(CA26:CA27)</f>
        <v>1.6070999440832818</v>
      </c>
      <c r="CB28" s="1169">
        <f t="shared" si="45"/>
        <v>1.6626107108882633</v>
      </c>
      <c r="CC28" s="1169">
        <f t="shared" si="45"/>
        <v>1.7270671802307638</v>
      </c>
      <c r="CD28" s="1169">
        <f t="shared" si="45"/>
        <v>1.7551969506992688</v>
      </c>
      <c r="CE28" s="1170">
        <f t="shared" si="45"/>
        <v>6.7519747859015773</v>
      </c>
      <c r="CF28" s="1169">
        <f t="shared" si="45"/>
        <v>1.6553129424057804</v>
      </c>
      <c r="CG28" s="1169">
        <f t="shared" si="45"/>
        <v>1.7124890322149113</v>
      </c>
      <c r="CH28" s="1169">
        <f t="shared" si="45"/>
        <v>1.7788791956376868</v>
      </c>
      <c r="CI28" s="1169">
        <f t="shared" si="45"/>
        <v>1.807852859220247</v>
      </c>
      <c r="CJ28" s="1170">
        <f t="shared" si="45"/>
        <v>6.9545340294786246</v>
      </c>
      <c r="CK28" s="1169">
        <f t="shared" ref="CK28:CT28" si="46">SUM(CK26:CK27)</f>
        <v>1.5394410364373756</v>
      </c>
      <c r="CL28" s="1169">
        <f t="shared" si="46"/>
        <v>1.5926147999598674</v>
      </c>
      <c r="CM28" s="1169">
        <f t="shared" si="46"/>
        <v>1.6543576519430485</v>
      </c>
      <c r="CN28" s="1169">
        <f t="shared" si="46"/>
        <v>1.6813031590748295</v>
      </c>
      <c r="CO28" s="1170">
        <f t="shared" si="46"/>
        <v>6.4677166474151209</v>
      </c>
      <c r="CP28" s="1169">
        <f t="shared" si="46"/>
        <v>1.4316801638867593</v>
      </c>
      <c r="CQ28" s="1169">
        <f t="shared" si="46"/>
        <v>1.4811317639626767</v>
      </c>
      <c r="CR28" s="1169">
        <f t="shared" si="46"/>
        <v>1.5385526163070349</v>
      </c>
      <c r="CS28" s="1169">
        <f t="shared" si="46"/>
        <v>1.5636119379395912</v>
      </c>
      <c r="CT28" s="1170">
        <f t="shared" si="46"/>
        <v>6.0149764820960616</v>
      </c>
    </row>
    <row r="29" spans="1:98" s="666" customFormat="1" ht="12" thickBot="1" x14ac:dyDescent="0.25">
      <c r="A29" s="1214"/>
      <c r="B29" s="1156"/>
      <c r="C29" s="1225"/>
      <c r="D29" s="1152"/>
      <c r="E29" s="1152"/>
      <c r="F29" s="1152"/>
      <c r="G29" s="1152"/>
      <c r="H29" s="1152"/>
      <c r="I29" s="1152"/>
      <c r="J29" s="1152"/>
      <c r="K29" s="1152"/>
      <c r="L29" s="1152"/>
      <c r="M29" s="1152"/>
      <c r="N29" s="1152"/>
      <c r="O29" s="1152"/>
      <c r="P29" s="1152"/>
      <c r="Q29" s="1152"/>
      <c r="R29" s="1152"/>
      <c r="S29" s="1152"/>
      <c r="T29" s="1152"/>
      <c r="U29" s="1152"/>
      <c r="V29" s="1152"/>
      <c r="W29" s="1152"/>
      <c r="X29" s="1152"/>
      <c r="Y29" s="1152"/>
      <c r="Z29" s="1152"/>
      <c r="AA29" s="1152"/>
      <c r="AB29" s="1152"/>
      <c r="AC29" s="1152"/>
      <c r="AD29" s="1152"/>
      <c r="AE29" s="1152"/>
      <c r="AF29" s="1152"/>
      <c r="AG29" s="1152"/>
      <c r="AH29" s="1152"/>
      <c r="AI29" s="1152"/>
      <c r="AJ29" s="1152"/>
      <c r="AK29" s="1152"/>
      <c r="AL29" s="1152"/>
      <c r="AM29" s="1152"/>
      <c r="AN29" s="1152"/>
      <c r="AO29" s="1152"/>
      <c r="AP29" s="1152"/>
      <c r="AQ29" s="1152"/>
      <c r="AR29" s="1152"/>
      <c r="AS29" s="1152"/>
      <c r="AT29" s="1152"/>
      <c r="AU29" s="1152"/>
      <c r="AV29" s="1152"/>
      <c r="AW29" s="1152"/>
      <c r="AX29" s="1152"/>
      <c r="AY29" s="1152"/>
      <c r="AZ29" s="1152"/>
      <c r="BA29" s="1152"/>
      <c r="BB29" s="1152"/>
      <c r="BC29" s="1152"/>
      <c r="BD29" s="1152"/>
      <c r="BE29" s="1152"/>
      <c r="BF29" s="1152"/>
      <c r="BG29" s="1152"/>
      <c r="BH29" s="1152"/>
      <c r="BI29" s="1152"/>
      <c r="BJ29" s="1152"/>
      <c r="BK29" s="1152"/>
      <c r="BL29" s="1152"/>
      <c r="BM29" s="1152"/>
      <c r="BN29" s="1152"/>
      <c r="BO29" s="1152"/>
      <c r="BP29" s="1152"/>
      <c r="BQ29" s="1152"/>
      <c r="BR29" s="1152"/>
      <c r="BS29" s="1152"/>
      <c r="BT29" s="1152"/>
      <c r="BU29" s="1152"/>
      <c r="BV29" s="1152"/>
      <c r="BW29" s="1152"/>
      <c r="BX29" s="1152"/>
      <c r="BY29" s="1152"/>
      <c r="BZ29" s="1152"/>
      <c r="CA29" s="1152"/>
      <c r="CB29" s="1152"/>
      <c r="CC29" s="1152"/>
      <c r="CD29" s="1152"/>
      <c r="CE29" s="1152"/>
      <c r="CF29" s="1152"/>
      <c r="CG29" s="1152"/>
      <c r="CH29" s="1152"/>
      <c r="CI29" s="1152"/>
      <c r="CJ29" s="1152"/>
      <c r="CK29" s="1152"/>
      <c r="CL29" s="1152"/>
      <c r="CM29" s="1152"/>
      <c r="CN29" s="1152"/>
      <c r="CO29" s="1152"/>
      <c r="CP29" s="1152"/>
      <c r="CQ29" s="1152"/>
      <c r="CR29" s="1152"/>
      <c r="CS29" s="1152"/>
      <c r="CT29" s="1152"/>
    </row>
    <row r="30" spans="1:98" s="666" customFormat="1" ht="12" thickBot="1" x14ac:dyDescent="0.25">
      <c r="A30" s="1216"/>
      <c r="B30" s="855" t="s">
        <v>400</v>
      </c>
      <c r="C30" s="878"/>
      <c r="D30" s="878"/>
      <c r="E30" s="878"/>
      <c r="F30" s="878"/>
      <c r="G30" s="878"/>
      <c r="H30" s="878"/>
      <c r="I30" s="878"/>
      <c r="J30" s="878"/>
      <c r="K30" s="878"/>
      <c r="L30" s="878"/>
      <c r="M30" s="878"/>
      <c r="N30" s="878"/>
      <c r="O30" s="878"/>
      <c r="P30" s="878"/>
      <c r="Q30" s="878"/>
      <c r="R30" s="878"/>
      <c r="S30" s="878"/>
      <c r="T30" s="878"/>
      <c r="U30" s="878"/>
      <c r="V30" s="878"/>
      <c r="W30" s="878"/>
      <c r="X30" s="878"/>
      <c r="Y30" s="878"/>
      <c r="Z30" s="878"/>
      <c r="AA30" s="878"/>
      <c r="AB30" s="878"/>
      <c r="AC30" s="878"/>
      <c r="AD30" s="878"/>
      <c r="AE30" s="878"/>
      <c r="AF30" s="878"/>
      <c r="AG30" s="878"/>
      <c r="AH30" s="819"/>
      <c r="AI30" s="819"/>
      <c r="AJ30" s="819"/>
      <c r="AK30" s="819"/>
      <c r="AL30" s="819"/>
      <c r="AM30" s="819"/>
      <c r="AN30" s="819"/>
      <c r="AO30" s="819"/>
      <c r="AP30" s="819"/>
      <c r="AQ30" s="819"/>
      <c r="AR30" s="819"/>
      <c r="AS30" s="819"/>
      <c r="AT30" s="819"/>
      <c r="AU30" s="819"/>
      <c r="AV30" s="819"/>
      <c r="AW30" s="819"/>
      <c r="AX30" s="819"/>
      <c r="AY30" s="819"/>
      <c r="AZ30" s="819"/>
      <c r="BA30" s="819"/>
      <c r="BB30" s="819"/>
      <c r="BC30" s="819"/>
      <c r="BD30" s="819"/>
      <c r="BE30" s="819"/>
      <c r="BF30" s="819"/>
      <c r="BG30" s="819"/>
      <c r="BH30" s="819"/>
      <c r="BI30" s="819"/>
      <c r="BJ30" s="819"/>
      <c r="BK30" s="819"/>
      <c r="BL30" s="819"/>
      <c r="BM30" s="819"/>
      <c r="BN30" s="819"/>
      <c r="BO30" s="819"/>
      <c r="BP30" s="872"/>
      <c r="BQ30" s="819"/>
      <c r="BR30" s="819"/>
      <c r="BS30" s="819"/>
      <c r="BT30" s="819"/>
      <c r="BU30" s="872"/>
      <c r="BV30" s="819"/>
      <c r="BW30" s="819"/>
      <c r="BX30" s="819"/>
      <c r="BY30" s="819"/>
      <c r="BZ30" s="872"/>
      <c r="CA30" s="819"/>
      <c r="CB30" s="819"/>
      <c r="CC30" s="819"/>
      <c r="CD30" s="819"/>
      <c r="CE30" s="872"/>
      <c r="CF30" s="819"/>
      <c r="CG30" s="819"/>
      <c r="CH30" s="819"/>
      <c r="CI30" s="819"/>
      <c r="CJ30" s="872"/>
      <c r="CK30" s="819"/>
      <c r="CL30" s="819"/>
      <c r="CM30" s="819"/>
      <c r="CN30" s="819"/>
      <c r="CO30" s="872"/>
      <c r="CP30" s="819"/>
      <c r="CQ30" s="819"/>
      <c r="CR30" s="819"/>
      <c r="CS30" s="819"/>
      <c r="CT30" s="872"/>
    </row>
    <row r="31" spans="1:98" s="666" customFormat="1" ht="12" thickBot="1" x14ac:dyDescent="0.25">
      <c r="A31" s="1214"/>
      <c r="B31" s="1226" t="s">
        <v>401</v>
      </c>
      <c r="C31" s="1146"/>
      <c r="D31" s="1148"/>
      <c r="E31" s="1148"/>
      <c r="F31" s="1148"/>
      <c r="G31" s="1148"/>
      <c r="H31" s="1147"/>
      <c r="I31" s="1158"/>
      <c r="J31" s="1158"/>
      <c r="K31" s="1158"/>
      <c r="L31" s="1158"/>
      <c r="M31" s="1157"/>
      <c r="N31" s="1158"/>
      <c r="O31" s="1158"/>
      <c r="P31" s="1158"/>
      <c r="Q31" s="1158"/>
      <c r="R31" s="1157"/>
      <c r="S31" s="1158"/>
      <c r="T31" s="1158"/>
      <c r="U31" s="1158"/>
      <c r="V31" s="1158"/>
      <c r="W31" s="1157"/>
      <c r="X31" s="1158"/>
      <c r="Y31" s="1158"/>
      <c r="Z31" s="1158"/>
      <c r="AA31" s="1158"/>
      <c r="AB31" s="1157"/>
      <c r="AC31" s="1158"/>
      <c r="AD31" s="1158"/>
      <c r="AE31" s="1158"/>
      <c r="AF31" s="1158"/>
      <c r="AG31" s="1157"/>
      <c r="AH31" s="1158">
        <f t="shared" ref="AH31:BO31" si="47">(AH7-AC7)/(AC7)</f>
        <v>0.16216999999999998</v>
      </c>
      <c r="AI31" s="1158">
        <f t="shared" si="47"/>
        <v>0.1544000000000002</v>
      </c>
      <c r="AJ31" s="1158">
        <f t="shared" si="47"/>
        <v>0.16217000000000006</v>
      </c>
      <c r="AK31" s="1158">
        <f t="shared" si="47"/>
        <v>0.39459142992729779</v>
      </c>
      <c r="AL31" s="1157">
        <f t="shared" si="47"/>
        <v>0.22039714915763539</v>
      </c>
      <c r="AM31" s="1158">
        <f t="shared" si="47"/>
        <v>0.68615890101659627</v>
      </c>
      <c r="AN31" s="1158">
        <f t="shared" si="47"/>
        <v>0.73516730144617803</v>
      </c>
      <c r="AO31" s="1158">
        <f t="shared" si="47"/>
        <v>0.70769591351381966</v>
      </c>
      <c r="AP31" s="1158">
        <f t="shared" si="47"/>
        <v>0.43151794137430483</v>
      </c>
      <c r="AQ31" s="1157">
        <f t="shared" si="47"/>
        <v>0.62743979808607775</v>
      </c>
      <c r="AR31" s="1158">
        <f t="shared" ca="1" si="47"/>
        <v>0.16153452265379786</v>
      </c>
      <c r="AS31" s="1158">
        <f t="shared" ca="1" si="47"/>
        <v>9.207161987147873E-2</v>
      </c>
      <c r="AT31" s="1158">
        <f t="shared" ca="1" si="47"/>
        <v>0.16600000000000015</v>
      </c>
      <c r="AU31" s="1158">
        <f t="shared" ca="1" si="47"/>
        <v>0.17700000000000002</v>
      </c>
      <c r="AV31" s="1157">
        <f t="shared" ca="1" si="47"/>
        <v>0.14953513986384628</v>
      </c>
      <c r="AW31" s="1158">
        <f t="shared" ca="1" si="47"/>
        <v>0.1556000000000001</v>
      </c>
      <c r="AX31" s="1158">
        <f t="shared" ca="1" si="47"/>
        <v>1.471152211305099</v>
      </c>
      <c r="AY31" s="1158">
        <f t="shared" ca="1" si="47"/>
        <v>1.3372018039615496</v>
      </c>
      <c r="AZ31" s="1158">
        <f t="shared" ca="1" si="47"/>
        <v>1.2983206119399897</v>
      </c>
      <c r="BA31" s="1157">
        <f t="shared" ca="1" si="47"/>
        <v>1.0727724510822059</v>
      </c>
      <c r="BB31" s="1457">
        <f t="shared" ca="1" si="47"/>
        <v>1.2707728201931663</v>
      </c>
      <c r="BC31" s="1458">
        <f t="shared" ca="1" si="47"/>
        <v>0.13961080500783074</v>
      </c>
      <c r="BD31" s="1458">
        <f t="shared" ca="1" si="47"/>
        <v>0.13949048025679317</v>
      </c>
      <c r="BE31" s="1459">
        <f t="shared" ca="1" si="47"/>
        <v>0.13957998046737422</v>
      </c>
      <c r="BF31" s="1157">
        <f t="shared" ca="1" si="47"/>
        <v>0.29194456779984612</v>
      </c>
      <c r="BG31" s="1158">
        <f t="shared" ca="1" si="47"/>
        <v>0.1130879812309693</v>
      </c>
      <c r="BH31" s="1158">
        <f t="shared" ca="1" si="47"/>
        <v>0.13437183558850629</v>
      </c>
      <c r="BI31" s="1158">
        <f t="shared" ca="1" si="47"/>
        <v>0.13413119166144782</v>
      </c>
      <c r="BJ31" s="1158">
        <f t="shared" ca="1" si="47"/>
        <v>0.13431019277746561</v>
      </c>
      <c r="BK31" s="1157">
        <f t="shared" ca="1" si="47"/>
        <v>0.12925477896065823</v>
      </c>
      <c r="BL31" s="1158">
        <f t="shared" ca="1" si="47"/>
        <v>0.2040000000000001</v>
      </c>
      <c r="BM31" s="1158">
        <f t="shared" ca="1" si="47"/>
        <v>0.20400000000000024</v>
      </c>
      <c r="BN31" s="1158">
        <f t="shared" ca="1" si="47"/>
        <v>0.20400000000000007</v>
      </c>
      <c r="BO31" s="1158">
        <f t="shared" ca="1" si="47"/>
        <v>0.16100000000000025</v>
      </c>
      <c r="BP31" s="1157">
        <f t="shared" ref="BP31:BV31" ca="1" si="48">(BP7-BK7)/(BK7)</f>
        <v>0.1927520391884707</v>
      </c>
      <c r="BQ31" s="1158">
        <f t="shared" ca="1" si="48"/>
        <v>0.13950000000000004</v>
      </c>
      <c r="BR31" s="1158">
        <f t="shared" ca="1" si="48"/>
        <v>0.15562500000000001</v>
      </c>
      <c r="BS31" s="1158">
        <f t="shared" ca="1" si="48"/>
        <v>0.15562500000000004</v>
      </c>
      <c r="BT31" s="1158">
        <f t="shared" ca="1" si="48"/>
        <v>0.1556249999999999</v>
      </c>
      <c r="BU31" s="1157">
        <f t="shared" ca="1" si="48"/>
        <v>0.15182625370166786</v>
      </c>
      <c r="BV31" s="1158">
        <f t="shared" ca="1" si="48"/>
        <v>0.15562499999999976</v>
      </c>
      <c r="BW31" s="1158">
        <f t="shared" ref="BW31:CE31" ca="1" si="49">(BW7-BR7)/(BR7)</f>
        <v>0.15024999999999997</v>
      </c>
      <c r="BX31" s="1158">
        <f t="shared" ca="1" si="49"/>
        <v>0.15025000000000011</v>
      </c>
      <c r="BY31" s="1158">
        <f t="shared" ca="1" si="49"/>
        <v>0.15024999999999988</v>
      </c>
      <c r="BZ31" s="1157">
        <f t="shared" ca="1" si="49"/>
        <v>0.15150269802137784</v>
      </c>
      <c r="CA31" s="1158">
        <f t="shared" ca="1" si="49"/>
        <v>6.7000000000000157E-2</v>
      </c>
      <c r="CB31" s="1158">
        <f t="shared" ca="1" si="49"/>
        <v>6.7000000000000226E-2</v>
      </c>
      <c r="CC31" s="1158">
        <f t="shared" ca="1" si="49"/>
        <v>6.7000000000000143E-2</v>
      </c>
      <c r="CD31" s="1158">
        <f t="shared" ca="1" si="49"/>
        <v>6.7000000000000115E-2</v>
      </c>
      <c r="CE31" s="1157">
        <f t="shared" ca="1" si="49"/>
        <v>6.7000000000000198E-2</v>
      </c>
      <c r="CF31" s="1158">
        <f t="shared" ref="CF31" ca="1" si="50">(CF7-CA7)/(CA7)</f>
        <v>9.1799999999999993E-2</v>
      </c>
      <c r="CG31" s="1158">
        <f t="shared" ref="CG31" ca="1" si="51">(CG7-CB7)/(CB7)</f>
        <v>9.1799999999999993E-2</v>
      </c>
      <c r="CH31" s="1158">
        <f t="shared" ref="CH31" ca="1" si="52">(CH7-CC7)/(CC7)</f>
        <v>9.1799999999999896E-2</v>
      </c>
      <c r="CI31" s="1158">
        <f t="shared" ref="CI31" ca="1" si="53">(CI7-CD7)/(CD7)</f>
        <v>9.1800000000000145E-2</v>
      </c>
      <c r="CJ31" s="1157">
        <f t="shared" ref="CJ31" ca="1" si="54">(CJ7-CE7)/(CE7)</f>
        <v>9.1799999999999937E-2</v>
      </c>
      <c r="CK31" s="1158">
        <f t="shared" ref="CK31" ca="1" si="55">(CK7-CF7)/(CF7)</f>
        <v>-2.3500000000000115E-2</v>
      </c>
      <c r="CL31" s="1158">
        <f t="shared" ref="CL31" ca="1" si="56">(CL7-CG7)/(CG7)</f>
        <v>-2.349999999999999E-2</v>
      </c>
      <c r="CM31" s="1158">
        <f t="shared" ref="CM31" ca="1" si="57">(CM7-CH7)/(CH7)</f>
        <v>-2.3500000000000004E-2</v>
      </c>
      <c r="CN31" s="1158">
        <f t="shared" ref="CN31" ca="1" si="58">(CN7-CI7)/(CI7)</f>
        <v>-2.3500000000000132E-2</v>
      </c>
      <c r="CO31" s="1157">
        <f t="shared" ref="CO31" ca="1" si="59">(CO7-CJ7)/(CJ7)</f>
        <v>-2.3499999999999997E-2</v>
      </c>
      <c r="CP31" s="1158">
        <f t="shared" ref="CP31" ca="1" si="60">(CP7-CK7)/(CK7)</f>
        <v>-2.3499999999999851E-2</v>
      </c>
      <c r="CQ31" s="1158">
        <f t="shared" ref="CQ31" ca="1" si="61">(CQ7-CL7)/(CL7)</f>
        <v>-2.3500000000000111E-2</v>
      </c>
      <c r="CR31" s="1158">
        <f t="shared" ref="CR31" ca="1" si="62">(CR7-CM7)/(CM7)</f>
        <v>-2.3500000000000087E-2</v>
      </c>
      <c r="CS31" s="1158">
        <f t="shared" ref="CS31" ca="1" si="63">(CS7-CN7)/(CN7)</f>
        <v>-2.3499999999999872E-2</v>
      </c>
      <c r="CT31" s="1157">
        <f t="shared" ref="CT31" ca="1" si="64">(CT7-CO7)/(CO7)</f>
        <v>-2.3499999999999948E-2</v>
      </c>
    </row>
    <row r="32" spans="1:98" s="666" customFormat="1" x14ac:dyDescent="0.2">
      <c r="A32" s="1214"/>
      <c r="B32" s="1226" t="str">
        <f>B22</f>
        <v>MHS Specialty revenue per claim (e)</v>
      </c>
      <c r="C32" s="1146"/>
      <c r="D32" s="1148"/>
      <c r="E32" s="1148"/>
      <c r="F32" s="1148"/>
      <c r="G32" s="1148"/>
      <c r="H32" s="1147"/>
      <c r="I32" s="1227"/>
      <c r="J32" s="1227"/>
      <c r="K32" s="1227"/>
      <c r="L32" s="1227"/>
      <c r="M32" s="1228"/>
      <c r="N32" s="1227"/>
      <c r="O32" s="1227"/>
      <c r="P32" s="1227"/>
      <c r="Q32" s="1227"/>
      <c r="R32" s="1228"/>
      <c r="S32" s="1227"/>
      <c r="T32" s="1227"/>
      <c r="U32" s="1227"/>
      <c r="V32" s="1227"/>
      <c r="W32" s="1228"/>
      <c r="X32" s="1227"/>
      <c r="Y32" s="1227"/>
      <c r="Z32" s="1227"/>
      <c r="AA32" s="1227"/>
      <c r="AB32" s="1228"/>
      <c r="AC32" s="1020"/>
      <c r="AD32" s="1020"/>
      <c r="AE32" s="1020"/>
      <c r="AF32" s="1020"/>
      <c r="AG32" s="1157"/>
      <c r="AH32" s="1020"/>
      <c r="AI32" s="1020"/>
      <c r="AJ32" s="1020"/>
      <c r="AK32" s="1020"/>
      <c r="AL32" s="1228"/>
      <c r="AM32" s="1020"/>
      <c r="AN32" s="1020"/>
      <c r="AO32" s="1020"/>
      <c r="AP32" s="1020"/>
      <c r="AQ32" s="1228"/>
      <c r="AR32" s="1020"/>
      <c r="AS32" s="1020"/>
      <c r="AT32" s="1020"/>
      <c r="AU32" s="1020"/>
      <c r="AV32" s="1228"/>
      <c r="AW32" s="1020"/>
      <c r="AX32" s="1020"/>
      <c r="AY32" s="1020">
        <v>0.11</v>
      </c>
      <c r="AZ32" s="1020">
        <v>0.11</v>
      </c>
      <c r="BA32" s="1228"/>
      <c r="BB32" s="660">
        <v>7.0000000000000007E-2</v>
      </c>
      <c r="BC32" s="660">
        <v>7.0000000000000007E-2</v>
      </c>
      <c r="BD32" s="660">
        <v>7.0000000000000007E-2</v>
      </c>
      <c r="BE32" s="660">
        <v>7.0000000000000007E-2</v>
      </c>
      <c r="BF32" s="1228">
        <f>BF22/BA22-1</f>
        <v>6.8804347826086909E-2</v>
      </c>
      <c r="BG32" s="1020">
        <v>0.05</v>
      </c>
      <c r="BH32" s="1020">
        <v>7.0000000000000007E-2</v>
      </c>
      <c r="BI32" s="1020">
        <v>7.0000000000000007E-2</v>
      </c>
      <c r="BJ32" s="1020">
        <v>7.0000000000000007E-2</v>
      </c>
      <c r="BK32" s="1228">
        <f>BK22/BF22-1</f>
        <v>6.5016780229838478E-2</v>
      </c>
      <c r="BL32" s="1020">
        <v>0.12</v>
      </c>
      <c r="BM32" s="1020">
        <v>0.12</v>
      </c>
      <c r="BN32" s="1020">
        <v>0.12</v>
      </c>
      <c r="BO32" s="1020">
        <v>0.08</v>
      </c>
      <c r="BP32" s="1157">
        <f>BP22/BK22-1</f>
        <v>0.10994197077817591</v>
      </c>
      <c r="BQ32" s="1020">
        <v>0.06</v>
      </c>
      <c r="BR32" s="1020">
        <v>7.4999999999999997E-2</v>
      </c>
      <c r="BS32" s="1020">
        <v>7.4999999999999997E-2</v>
      </c>
      <c r="BT32" s="1020">
        <v>7.4999999999999997E-2</v>
      </c>
      <c r="BU32" s="1157">
        <f>BU22/BP22-1</f>
        <v>7.1281892847417705E-2</v>
      </c>
      <c r="BV32" s="1020">
        <v>7.4999999999999997E-2</v>
      </c>
      <c r="BW32" s="1020">
        <v>7.4999999999999997E-2</v>
      </c>
      <c r="BX32" s="1020">
        <v>7.4999999999999997E-2</v>
      </c>
      <c r="BY32" s="1020">
        <v>7.4999999999999997E-2</v>
      </c>
      <c r="BZ32" s="1228">
        <f>BZ22/BU22-1</f>
        <v>7.4999999999999956E-2</v>
      </c>
      <c r="CA32" s="1020">
        <v>0.1</v>
      </c>
      <c r="CB32" s="1020">
        <v>0.1</v>
      </c>
      <c r="CC32" s="1020">
        <v>0.1</v>
      </c>
      <c r="CD32" s="1020">
        <v>0.1</v>
      </c>
      <c r="CE32" s="1228">
        <f>CE22/BZ22-1</f>
        <v>0.10000000000000009</v>
      </c>
      <c r="CF32" s="1020">
        <v>0.06</v>
      </c>
      <c r="CG32" s="1020">
        <v>0.06</v>
      </c>
      <c r="CH32" s="1020">
        <v>0.06</v>
      </c>
      <c r="CI32" s="1020">
        <v>0.06</v>
      </c>
      <c r="CJ32" s="1228">
        <f>CJ22/CE22-1</f>
        <v>6.0000000000000053E-2</v>
      </c>
      <c r="CK32" s="1020">
        <v>0.05</v>
      </c>
      <c r="CL32" s="1020">
        <v>0.05</v>
      </c>
      <c r="CM32" s="1020">
        <v>0.05</v>
      </c>
      <c r="CN32" s="1020">
        <v>0.05</v>
      </c>
      <c r="CO32" s="1228">
        <f>CO22/CJ22-1</f>
        <v>4.9999999999999822E-2</v>
      </c>
      <c r="CP32" s="1020">
        <v>0.05</v>
      </c>
      <c r="CQ32" s="1020">
        <v>0.05</v>
      </c>
      <c r="CR32" s="1020">
        <v>0.05</v>
      </c>
      <c r="CS32" s="1020">
        <v>0.05</v>
      </c>
      <c r="CT32" s="1228">
        <f>CT22/CO22-1</f>
        <v>5.0000000000000044E-2</v>
      </c>
    </row>
    <row r="33" spans="1:98" s="666" customFormat="1" ht="12" thickBot="1" x14ac:dyDescent="0.25">
      <c r="A33" s="1214"/>
      <c r="B33" s="913" t="str">
        <f>B23</f>
        <v>ESRX Specialty revenue per claim</v>
      </c>
      <c r="C33" s="915"/>
      <c r="D33" s="1169"/>
      <c r="E33" s="1169"/>
      <c r="F33" s="1169"/>
      <c r="G33" s="1169"/>
      <c r="H33" s="1170"/>
      <c r="I33" s="1229"/>
      <c r="J33" s="1229"/>
      <c r="K33" s="1229"/>
      <c r="L33" s="1229"/>
      <c r="M33" s="1230"/>
      <c r="N33" s="1229"/>
      <c r="O33" s="1229"/>
      <c r="P33" s="1229"/>
      <c r="Q33" s="1229"/>
      <c r="R33" s="1230"/>
      <c r="S33" s="1229"/>
      <c r="T33" s="1229"/>
      <c r="U33" s="1229"/>
      <c r="V33" s="1229"/>
      <c r="W33" s="1230"/>
      <c r="X33" s="1229">
        <f t="shared" ref="X33:AZ33" si="65">X23/S23-1</f>
        <v>8.2007962906247123E-2</v>
      </c>
      <c r="Y33" s="1229">
        <f t="shared" si="65"/>
        <v>8.2007962906247123E-2</v>
      </c>
      <c r="Z33" s="1229">
        <f t="shared" si="65"/>
        <v>8.2007962906247123E-2</v>
      </c>
      <c r="AA33" s="1229">
        <f t="shared" si="65"/>
        <v>8.2007962906247123E-2</v>
      </c>
      <c r="AB33" s="1230">
        <f t="shared" si="65"/>
        <v>8.2007962906247123E-2</v>
      </c>
      <c r="AC33" s="1160">
        <f t="shared" si="65"/>
        <v>0.15399999999999991</v>
      </c>
      <c r="AD33" s="1160">
        <f t="shared" si="65"/>
        <v>0.15399999999999991</v>
      </c>
      <c r="AE33" s="1160">
        <f t="shared" si="65"/>
        <v>0.15399999999999991</v>
      </c>
      <c r="AF33" s="1160">
        <f t="shared" si="65"/>
        <v>0.15399999999999991</v>
      </c>
      <c r="AG33" s="1159">
        <f t="shared" si="65"/>
        <v>0.15399999999999991</v>
      </c>
      <c r="AH33" s="1160">
        <f t="shared" si="65"/>
        <v>0.1100000000000001</v>
      </c>
      <c r="AI33" s="1160">
        <f t="shared" si="65"/>
        <v>0.1100000000000001</v>
      </c>
      <c r="AJ33" s="1160">
        <f t="shared" si="65"/>
        <v>0.1100000000000001</v>
      </c>
      <c r="AK33" s="1160">
        <f t="shared" si="65"/>
        <v>0.1100000000000001</v>
      </c>
      <c r="AL33" s="1230">
        <f t="shared" si="65"/>
        <v>0.1100000000000001</v>
      </c>
      <c r="AM33" s="1160">
        <f t="shared" si="65"/>
        <v>9.000000000000008E-2</v>
      </c>
      <c r="AN33" s="1160">
        <f t="shared" si="65"/>
        <v>9.000000000000008E-2</v>
      </c>
      <c r="AO33" s="1160">
        <f t="shared" si="65"/>
        <v>9.000000000000008E-2</v>
      </c>
      <c r="AP33" s="1160">
        <f t="shared" si="65"/>
        <v>9.000000000000008E-2</v>
      </c>
      <c r="AQ33" s="1230">
        <f t="shared" si="65"/>
        <v>9.000000000000008E-2</v>
      </c>
      <c r="AR33" s="1234">
        <f t="shared" ca="1" si="65"/>
        <v>0.10000000000000009</v>
      </c>
      <c r="AS33" s="1234">
        <f t="shared" ca="1" si="65"/>
        <v>0.10000000000000009</v>
      </c>
      <c r="AT33" s="1234">
        <f t="shared" ca="1" si="65"/>
        <v>0.10000000000000009</v>
      </c>
      <c r="AU33" s="1234">
        <f t="shared" ca="1" si="65"/>
        <v>0.10000000000000009</v>
      </c>
      <c r="AV33" s="1230">
        <f t="shared" si="65"/>
        <v>0.10000000000000009</v>
      </c>
      <c r="AW33" s="1234">
        <f t="shared" ca="1" si="65"/>
        <v>8.0000000000000071E-2</v>
      </c>
      <c r="AX33" s="1234">
        <f t="shared" ca="1" si="65"/>
        <v>8.0000000000000071E-2</v>
      </c>
      <c r="AY33" s="1234">
        <f t="shared" ca="1" si="65"/>
        <v>8.0000000000000071E-2</v>
      </c>
      <c r="AZ33" s="1234">
        <f t="shared" ca="1" si="65"/>
        <v>8.0000000000000071E-2</v>
      </c>
      <c r="BA33" s="1230">
        <f ca="1">BA23/AV23-1</f>
        <v>8.0000000000000071E-2</v>
      </c>
      <c r="BB33" s="1234">
        <f ca="1">BB23/AW23-1</f>
        <v>7.0000000000000062E-2</v>
      </c>
      <c r="BC33" s="1234">
        <f ca="1">BC23/AX23-1</f>
        <v>7.0000000000000062E-2</v>
      </c>
      <c r="BD33" s="1234">
        <f ca="1">BD23/AY23-1</f>
        <v>7.0000000000000062E-2</v>
      </c>
      <c r="BE33" s="1234">
        <f ca="1">BE23/AZ23-1</f>
        <v>7.0000000000000062E-2</v>
      </c>
      <c r="BF33" s="1230">
        <f ca="1">BF23/BA23-1</f>
        <v>7.0000000000000062E-2</v>
      </c>
      <c r="BG33" s="1234">
        <f ca="1">BG23/BB23-1</f>
        <v>5.0000000000000044E-2</v>
      </c>
      <c r="BH33" s="1234">
        <v>7.0000000000000007E-2</v>
      </c>
      <c r="BI33" s="1234">
        <v>7.0000000000000007E-2</v>
      </c>
      <c r="BJ33" s="1234">
        <v>7.0000000000000007E-2</v>
      </c>
      <c r="BK33" s="1230">
        <f ca="1">BK23/BF23-1</f>
        <v>6.5000000000000169E-2</v>
      </c>
      <c r="BL33" s="1234">
        <v>0.12</v>
      </c>
      <c r="BM33" s="1234">
        <v>0.12</v>
      </c>
      <c r="BN33" s="1234">
        <v>0.12</v>
      </c>
      <c r="BO33" s="1234">
        <v>0.08</v>
      </c>
      <c r="BP33" s="1159">
        <f ca="1">BP23/BK23-1</f>
        <v>0.10995305164319258</v>
      </c>
      <c r="BQ33" s="1234">
        <v>0.06</v>
      </c>
      <c r="BR33" s="1234">
        <v>7.4999999999999997E-2</v>
      </c>
      <c r="BS33" s="1234">
        <v>7.4999999999999997E-2</v>
      </c>
      <c r="BT33" s="1234">
        <v>7.4999999999999997E-2</v>
      </c>
      <c r="BU33" s="1159">
        <f ca="1">BU23/BP23-1</f>
        <v>7.1269351154724436E-2</v>
      </c>
      <c r="BV33" s="1234">
        <v>7.4999999999999997E-2</v>
      </c>
      <c r="BW33" s="1234">
        <v>7.4999999999999997E-2</v>
      </c>
      <c r="BX33" s="1234">
        <v>7.4999999999999997E-2</v>
      </c>
      <c r="BY33" s="1234">
        <v>7.4999999999999997E-2</v>
      </c>
      <c r="BZ33" s="1230">
        <f ca="1">BZ23/BU23-1</f>
        <v>7.4999999999999956E-2</v>
      </c>
      <c r="CA33" s="1234">
        <v>0.1</v>
      </c>
      <c r="CB33" s="1234">
        <v>0.1</v>
      </c>
      <c r="CC33" s="1234">
        <v>0.1</v>
      </c>
      <c r="CD33" s="1234">
        <v>0.1</v>
      </c>
      <c r="CE33" s="1230">
        <f ca="1">CE23/BZ23-1</f>
        <v>0.10000000000000031</v>
      </c>
      <c r="CF33" s="1234">
        <v>0.06</v>
      </c>
      <c r="CG33" s="1234">
        <v>0.06</v>
      </c>
      <c r="CH33" s="1234">
        <v>0.06</v>
      </c>
      <c r="CI33" s="1234">
        <v>0.06</v>
      </c>
      <c r="CJ33" s="1230">
        <f ca="1">CJ23/CE23-1</f>
        <v>6.0000000000000275E-2</v>
      </c>
      <c r="CK33" s="1234">
        <v>0.05</v>
      </c>
      <c r="CL33" s="1234">
        <v>0.05</v>
      </c>
      <c r="CM33" s="1234">
        <v>0.05</v>
      </c>
      <c r="CN33" s="1234">
        <v>0.05</v>
      </c>
      <c r="CO33" s="1230">
        <f ca="1">CO23/CJ23-1</f>
        <v>4.9999999999999822E-2</v>
      </c>
      <c r="CP33" s="1234">
        <v>0.05</v>
      </c>
      <c r="CQ33" s="1234">
        <v>0.05</v>
      </c>
      <c r="CR33" s="1234">
        <v>0.05</v>
      </c>
      <c r="CS33" s="1234">
        <v>0.05</v>
      </c>
      <c r="CT33" s="1230">
        <f ca="1">CT23/CO23-1</f>
        <v>5.0000000000000044E-2</v>
      </c>
    </row>
    <row r="34" spans="1:98" s="666" customFormat="1" ht="12" thickBot="1" x14ac:dyDescent="0.25">
      <c r="A34" s="1214"/>
      <c r="B34" s="913" t="s">
        <v>3</v>
      </c>
      <c r="C34" s="915"/>
      <c r="D34" s="1169"/>
      <c r="E34" s="1169"/>
      <c r="F34" s="1169"/>
      <c r="G34" s="1169"/>
      <c r="H34" s="1170"/>
      <c r="I34" s="1160">
        <f t="shared" ref="I34:AV34" si="66">I27/D27-1</f>
        <v>3.6666666666666661</v>
      </c>
      <c r="J34" s="1160">
        <f t="shared" si="66"/>
        <v>1.7999999999999998</v>
      </c>
      <c r="K34" s="1160">
        <f t="shared" si="66"/>
        <v>1</v>
      </c>
      <c r="L34" s="1160">
        <f t="shared" si="66"/>
        <v>0.39999999999999991</v>
      </c>
      <c r="M34" s="1159">
        <f t="shared" si="66"/>
        <v>1.2399999999999998</v>
      </c>
      <c r="N34" s="1160">
        <f t="shared" si="66"/>
        <v>0</v>
      </c>
      <c r="O34" s="1160">
        <f t="shared" si="66"/>
        <v>0</v>
      </c>
      <c r="P34" s="1160">
        <f t="shared" si="66"/>
        <v>0.21401993701842503</v>
      </c>
      <c r="Q34" s="1160">
        <f t="shared" si="66"/>
        <v>0.85714285714285743</v>
      </c>
      <c r="R34" s="1159">
        <f t="shared" si="66"/>
        <v>0.26779069854032045</v>
      </c>
      <c r="S34" s="1160">
        <f t="shared" si="66"/>
        <v>0.65687922450694769</v>
      </c>
      <c r="T34" s="1160">
        <f t="shared" si="66"/>
        <v>0.66186494398188045</v>
      </c>
      <c r="U34" s="1160">
        <f t="shared" si="66"/>
        <v>0.43737492525206889</v>
      </c>
      <c r="V34" s="1160">
        <f t="shared" si="66"/>
        <v>-7.7900771033298621E-2</v>
      </c>
      <c r="W34" s="1159">
        <f t="shared" si="66"/>
        <v>0.33622529120333056</v>
      </c>
      <c r="X34" s="1160">
        <f t="shared" si="66"/>
        <v>7.9167840681397816E-3</v>
      </c>
      <c r="Y34" s="1160">
        <f t="shared" si="66"/>
        <v>3.6155062287510642E-2</v>
      </c>
      <c r="Z34" s="1160">
        <f t="shared" si="66"/>
        <v>-1.0041613496269197E-2</v>
      </c>
      <c r="AA34" s="1160">
        <f t="shared" si="66"/>
        <v>7.5293598033061349E-2</v>
      </c>
      <c r="AB34" s="1159">
        <f t="shared" si="66"/>
        <v>2.7244907762818515E-2</v>
      </c>
      <c r="AC34" s="1160">
        <f t="shared" si="66"/>
        <v>0.16900636006026892</v>
      </c>
      <c r="AD34" s="1160">
        <f t="shared" si="66"/>
        <v>0.18911479076643589</v>
      </c>
      <c r="AE34" s="1160">
        <f t="shared" si="66"/>
        <v>0.20492519978421786</v>
      </c>
      <c r="AF34" s="1160">
        <f t="shared" si="66"/>
        <v>0.1714457640360707</v>
      </c>
      <c r="AG34" s="1159">
        <f t="shared" si="66"/>
        <v>0.18354006434731929</v>
      </c>
      <c r="AH34" s="1160">
        <f t="shared" si="66"/>
        <v>9.0034784996681827E-2</v>
      </c>
      <c r="AI34" s="1160">
        <f t="shared" si="66"/>
        <v>8.3772101482379346E-2</v>
      </c>
      <c r="AJ34" s="1160">
        <f t="shared" si="66"/>
        <v>7.3461409987939819E-2</v>
      </c>
      <c r="AK34" s="1160">
        <f t="shared" si="66"/>
        <v>5.9946866738379789E-2</v>
      </c>
      <c r="AL34" s="1159">
        <f t="shared" si="66"/>
        <v>7.6412814414595021E-2</v>
      </c>
      <c r="AM34" s="1160">
        <f t="shared" si="66"/>
        <v>5.4577737427756956E-2</v>
      </c>
      <c r="AN34" s="1160">
        <f t="shared" si="66"/>
        <v>6.3646483493811745E-2</v>
      </c>
      <c r="AO34" s="1160">
        <f t="shared" si="66"/>
        <v>8.0060315251517356E-2</v>
      </c>
      <c r="AP34" s="1160">
        <f t="shared" si="66"/>
        <v>8.0060315251517356E-2</v>
      </c>
      <c r="AQ34" s="1159">
        <f t="shared" si="66"/>
        <v>6.9837942843441247E-2</v>
      </c>
      <c r="AR34" s="1160">
        <f t="shared" si="66"/>
        <v>3.4943698322243089E-2</v>
      </c>
      <c r="AS34" s="1160">
        <f t="shared" si="66"/>
        <v>1.2885420857284613E-2</v>
      </c>
      <c r="AT34" s="1160">
        <f t="shared" si="66"/>
        <v>5.1750151819644374E-2</v>
      </c>
      <c r="AU34" s="1234">
        <v>3.9999999999999813E-2</v>
      </c>
      <c r="AV34" s="1159">
        <f t="shared" si="66"/>
        <v>3.1875666970310634E-2</v>
      </c>
      <c r="AW34" s="1234">
        <v>-7.0000000000000062E-2</v>
      </c>
      <c r="AX34" s="1234">
        <v>-7.0000000000000062E-2</v>
      </c>
      <c r="AY34" s="1234">
        <v>-7.0000000000000062E-2</v>
      </c>
      <c r="AZ34" s="1234">
        <v>-7.0000000000000062E-2</v>
      </c>
      <c r="BA34" s="1159">
        <f>BA27/AV27-1</f>
        <v>-0.42468041762159436</v>
      </c>
      <c r="BB34" s="1234">
        <v>6.0000000000000053E-2</v>
      </c>
      <c r="BC34" s="1234">
        <v>6.0000000000000053E-2</v>
      </c>
      <c r="BD34" s="1234">
        <v>6.0000000000000053E-2</v>
      </c>
      <c r="BE34" s="1234">
        <v>0.06</v>
      </c>
      <c r="BF34" s="1159">
        <f>BF27/BA27-1</f>
        <v>-0.14325878155872684</v>
      </c>
      <c r="BG34" s="1234">
        <v>0.05</v>
      </c>
      <c r="BH34" s="1234">
        <v>0.05</v>
      </c>
      <c r="BI34" s="1234">
        <v>0.05</v>
      </c>
      <c r="BJ34" s="1234">
        <v>0.05</v>
      </c>
      <c r="BK34" s="1159">
        <f>BK27/BF27-1</f>
        <v>4.9999999999999822E-2</v>
      </c>
      <c r="BL34" s="1234">
        <v>7.4999999999999997E-2</v>
      </c>
      <c r="BM34" s="1234">
        <v>7.4999999999999997E-2</v>
      </c>
      <c r="BN34" s="1234">
        <v>7.4999999999999997E-2</v>
      </c>
      <c r="BO34" s="1234">
        <v>7.4999999999999997E-2</v>
      </c>
      <c r="BP34" s="1159">
        <f>BP27/BK27-1</f>
        <v>7.5000000000000178E-2</v>
      </c>
      <c r="BQ34" s="1234">
        <v>7.4999999999999997E-2</v>
      </c>
      <c r="BR34" s="1234">
        <v>7.4999999999999997E-2</v>
      </c>
      <c r="BS34" s="1234">
        <v>7.4999999999999997E-2</v>
      </c>
      <c r="BT34" s="1234">
        <v>7.4999999999999997E-2</v>
      </c>
      <c r="BU34" s="1159">
        <f>BU27/BP27-1</f>
        <v>7.4999999999999956E-2</v>
      </c>
      <c r="BV34" s="1234">
        <v>7.4999999999999997E-2</v>
      </c>
      <c r="BW34" s="1234">
        <v>7.0000000000000007E-2</v>
      </c>
      <c r="BX34" s="1234">
        <v>7.0000000000000007E-2</v>
      </c>
      <c r="BY34" s="1234">
        <v>7.0000000000000007E-2</v>
      </c>
      <c r="BZ34" s="1159">
        <f>BZ27/BU27-1</f>
        <v>7.1186232068584987E-2</v>
      </c>
      <c r="CA34" s="1234">
        <v>-0.03</v>
      </c>
      <c r="CB34" s="1234">
        <v>-0.03</v>
      </c>
      <c r="CC34" s="1234">
        <v>-0.03</v>
      </c>
      <c r="CD34" s="1234">
        <v>-0.03</v>
      </c>
      <c r="CE34" s="1159">
        <f>CE27/BZ27-1</f>
        <v>-3.0000000000000027E-2</v>
      </c>
      <c r="CF34" s="1234">
        <v>0.03</v>
      </c>
      <c r="CG34" s="1234">
        <v>0.03</v>
      </c>
      <c r="CH34" s="1234">
        <v>0.03</v>
      </c>
      <c r="CI34" s="1234">
        <v>0.03</v>
      </c>
      <c r="CJ34" s="1159">
        <f>CJ27/CE27-1</f>
        <v>3.0000000000000027E-2</v>
      </c>
      <c r="CK34" s="1234">
        <v>-7.0000000000000007E-2</v>
      </c>
      <c r="CL34" s="1234">
        <v>-7.0000000000000007E-2</v>
      </c>
      <c r="CM34" s="1234">
        <v>-7.0000000000000007E-2</v>
      </c>
      <c r="CN34" s="1234">
        <v>-7.0000000000000007E-2</v>
      </c>
      <c r="CO34" s="1159">
        <f>CO27/CJ27-1</f>
        <v>-7.0000000000000062E-2</v>
      </c>
      <c r="CP34" s="1234">
        <v>-7.0000000000000007E-2</v>
      </c>
      <c r="CQ34" s="1234">
        <v>-7.0000000000000007E-2</v>
      </c>
      <c r="CR34" s="1234">
        <v>-7.0000000000000007E-2</v>
      </c>
      <c r="CS34" s="1234">
        <v>-7.0000000000000007E-2</v>
      </c>
      <c r="CT34" s="1159">
        <f>CT27/CO27-1</f>
        <v>-7.0000000000000284E-2</v>
      </c>
    </row>
    <row r="35" spans="1:98" s="666" customFormat="1" ht="12" thickBot="1" x14ac:dyDescent="0.25">
      <c r="A35" s="1214"/>
      <c r="B35" s="913" t="s">
        <v>4</v>
      </c>
      <c r="C35" s="915"/>
      <c r="D35" s="1169"/>
      <c r="E35" s="1169"/>
      <c r="F35" s="1169"/>
      <c r="G35" s="1169"/>
      <c r="H35" s="1170"/>
      <c r="I35" s="1160"/>
      <c r="J35" s="1160"/>
      <c r="K35" s="1160"/>
      <c r="L35" s="1160"/>
      <c r="M35" s="1159"/>
      <c r="N35" s="1160"/>
      <c r="O35" s="1160"/>
      <c r="P35" s="1160"/>
      <c r="Q35" s="1160"/>
      <c r="R35" s="1159"/>
      <c r="S35" s="1160"/>
      <c r="T35" s="1160"/>
      <c r="U35" s="1160"/>
      <c r="V35" s="1160"/>
      <c r="W35" s="1159"/>
      <c r="X35" s="1160"/>
      <c r="Y35" s="1160"/>
      <c r="Z35" s="1160"/>
      <c r="AA35" s="1160"/>
      <c r="AB35" s="1159"/>
      <c r="AC35" s="1160"/>
      <c r="AD35" s="1160"/>
      <c r="AE35" s="1160"/>
      <c r="AF35" s="1160"/>
      <c r="AG35" s="1159"/>
      <c r="AH35" s="1160"/>
      <c r="AI35" s="1160"/>
      <c r="AJ35" s="1160"/>
      <c r="AK35" s="1160"/>
      <c r="AL35" s="1159"/>
      <c r="AM35" s="1160"/>
      <c r="AN35" s="1160"/>
      <c r="AO35" s="1160"/>
      <c r="AP35" s="1160"/>
      <c r="AQ35" s="1159"/>
      <c r="AR35" s="1160"/>
      <c r="AS35" s="1160"/>
      <c r="AT35" s="769">
        <v>7.0000000000000007E-2</v>
      </c>
      <c r="AU35" s="769">
        <v>7.0000000000000007E-2</v>
      </c>
      <c r="AV35" s="1159">
        <f>AV26/AQ26-1</f>
        <v>4.5031945330769263E-2</v>
      </c>
      <c r="AW35" s="769">
        <v>7.0000000000000007E-2</v>
      </c>
      <c r="AX35" s="769">
        <v>7.0000000000000007E-2</v>
      </c>
      <c r="AY35" s="769">
        <v>7.0000000000000062E-2</v>
      </c>
      <c r="AZ35" s="769">
        <v>7.0000000000000062E-2</v>
      </c>
      <c r="BA35" s="1159">
        <f>BA26/AV26-1</f>
        <v>9.042451947270691E-2</v>
      </c>
      <c r="BB35" s="769">
        <v>7.0000000000000062E-2</v>
      </c>
      <c r="BC35" s="769">
        <v>7.0000000000000062E-2</v>
      </c>
      <c r="BD35" s="769">
        <v>7.0000000000000062E-2</v>
      </c>
      <c r="BE35" s="769">
        <v>7.0000000000000062E-2</v>
      </c>
      <c r="BF35" s="1159">
        <f>BF26/BA26-1</f>
        <v>6.999999999999984E-2</v>
      </c>
      <c r="BG35" s="769">
        <v>7.0000000000000062E-2</v>
      </c>
      <c r="BH35" s="769">
        <v>7.0000000000000062E-2</v>
      </c>
      <c r="BI35" s="769">
        <v>7.0000000000000062E-2</v>
      </c>
      <c r="BJ35" s="769">
        <v>7.0000000000000062E-2</v>
      </c>
      <c r="BK35" s="1159">
        <f>BK26/BF26-1</f>
        <v>7.0000000000000062E-2</v>
      </c>
      <c r="BL35" s="1234">
        <v>7.4999999999999997E-2</v>
      </c>
      <c r="BM35" s="1234">
        <v>7.4999999999999997E-2</v>
      </c>
      <c r="BN35" s="1234">
        <v>7.4999999999999997E-2</v>
      </c>
      <c r="BO35" s="1234">
        <v>7.4999999999999997E-2</v>
      </c>
      <c r="BP35" s="1159">
        <f>BP26/BK26-1</f>
        <v>7.5000000000000178E-2</v>
      </c>
      <c r="BQ35" s="1234">
        <v>7.4999999999999997E-2</v>
      </c>
      <c r="BR35" s="1234">
        <v>7.4999999999999997E-2</v>
      </c>
      <c r="BS35" s="1234">
        <v>7.4999999999999997E-2</v>
      </c>
      <c r="BT35" s="1234">
        <v>7.4999999999999997E-2</v>
      </c>
      <c r="BU35" s="1159">
        <f>BU26/BP26-1</f>
        <v>7.4999999999999956E-2</v>
      </c>
      <c r="BV35" s="1234">
        <v>7.4999999999999997E-2</v>
      </c>
      <c r="BW35" s="1234">
        <v>7.0000000000000007E-2</v>
      </c>
      <c r="BX35" s="1234">
        <v>7.0000000000000007E-2</v>
      </c>
      <c r="BY35" s="1234">
        <v>7.0000000000000007E-2</v>
      </c>
      <c r="BZ35" s="1159">
        <f>BZ26/BU26-1</f>
        <v>7.1185493431945579E-2</v>
      </c>
      <c r="CA35" s="1234">
        <v>-0.03</v>
      </c>
      <c r="CB35" s="1234">
        <v>-0.03</v>
      </c>
      <c r="CC35" s="1234">
        <v>-0.03</v>
      </c>
      <c r="CD35" s="1234">
        <v>-0.03</v>
      </c>
      <c r="CE35" s="1159">
        <f>CE26/BZ26-1</f>
        <v>-2.9999999999999916E-2</v>
      </c>
      <c r="CF35" s="1234">
        <v>0.03</v>
      </c>
      <c r="CG35" s="1234">
        <v>0.03</v>
      </c>
      <c r="CH35" s="1234">
        <v>0.03</v>
      </c>
      <c r="CI35" s="1234">
        <v>0.03</v>
      </c>
      <c r="CJ35" s="1159">
        <f>CJ26/CE26-1</f>
        <v>2.9999999999999805E-2</v>
      </c>
      <c r="CK35" s="1234">
        <v>-7.0000000000000007E-2</v>
      </c>
      <c r="CL35" s="1234">
        <v>-7.0000000000000007E-2</v>
      </c>
      <c r="CM35" s="1234">
        <v>-7.0000000000000007E-2</v>
      </c>
      <c r="CN35" s="1234">
        <v>-7.0000000000000007E-2</v>
      </c>
      <c r="CO35" s="1159">
        <f>CO26/CJ26-1</f>
        <v>-7.0000000000000062E-2</v>
      </c>
      <c r="CP35" s="1234">
        <v>-7.0000000000000007E-2</v>
      </c>
      <c r="CQ35" s="1234">
        <v>-7.0000000000000007E-2</v>
      </c>
      <c r="CR35" s="1234">
        <v>-7.0000000000000007E-2</v>
      </c>
      <c r="CS35" s="1234">
        <v>-7.0000000000000007E-2</v>
      </c>
      <c r="CT35" s="1159">
        <f>CT26/CO26-1</f>
        <v>-6.9999999999999951E-2</v>
      </c>
    </row>
    <row r="36" spans="1:98" x14ac:dyDescent="0.2">
      <c r="X36" s="1161"/>
      <c r="Y36" s="1161"/>
      <c r="Z36" s="1161"/>
      <c r="AA36" s="1161"/>
      <c r="AC36" s="1161"/>
      <c r="AD36" s="1161"/>
      <c r="AE36" s="1161"/>
      <c r="AF36" s="1161"/>
      <c r="AG36" s="1161"/>
    </row>
    <row r="37" spans="1:98" x14ac:dyDescent="0.2">
      <c r="AV37" s="1171"/>
      <c r="AW37" s="1171"/>
      <c r="AX37" s="1171"/>
      <c r="AY37" s="1171"/>
      <c r="AZ37" s="1171"/>
      <c r="BA37" s="1171"/>
      <c r="BB37" s="1171"/>
      <c r="BC37" s="1171"/>
      <c r="BD37" s="1171"/>
      <c r="BE37" s="1171"/>
      <c r="BF37" s="1171"/>
      <c r="BG37" s="1171"/>
      <c r="BH37" s="1171"/>
      <c r="BI37" s="1171"/>
      <c r="BJ37" s="1171"/>
      <c r="BK37" s="1171"/>
      <c r="BL37" s="1171"/>
      <c r="BQ37" s="1171"/>
      <c r="BV37" s="1171"/>
      <c r="CA37" s="1171"/>
      <c r="CO37" s="1937"/>
      <c r="CT37" s="1937"/>
    </row>
    <row r="38" spans="1:98" ht="12.75" x14ac:dyDescent="0.2">
      <c r="AV38" s="1231"/>
      <c r="AW38" s="757"/>
      <c r="AX38" s="757"/>
      <c r="AY38" s="757"/>
      <c r="AZ38" s="757"/>
      <c r="BA38" s="757"/>
      <c r="BB38" s="757"/>
      <c r="BC38" s="757"/>
      <c r="BD38" s="757"/>
      <c r="BE38" s="757"/>
      <c r="BF38" s="757"/>
      <c r="BG38" s="757"/>
      <c r="BH38" s="757"/>
      <c r="BI38" s="757"/>
      <c r="BJ38" s="757"/>
      <c r="BK38" s="757"/>
      <c r="BL38" s="757"/>
      <c r="BM38" s="666"/>
      <c r="BN38" s="666"/>
      <c r="BO38"/>
      <c r="BP38"/>
      <c r="BQ38"/>
      <c r="BR38"/>
      <c r="BS38" s="666"/>
      <c r="BT38" s="666"/>
      <c r="BU38" s="666"/>
      <c r="BV38" s="757"/>
      <c r="BW38" s="666"/>
      <c r="BX38" s="666"/>
      <c r="BY38" s="666"/>
      <c r="BZ38" s="666"/>
      <c r="CA38" s="757"/>
      <c r="CB38" s="666"/>
      <c r="CC38" s="666"/>
      <c r="CD38" s="666"/>
      <c r="CE38" s="666"/>
    </row>
    <row r="39" spans="1:98" ht="12.75" x14ac:dyDescent="0.2">
      <c r="AW39" s="666"/>
      <c r="AX39" s="1152"/>
      <c r="AY39" s="1152"/>
      <c r="AZ39" s="1152"/>
      <c r="BA39" s="1152"/>
      <c r="BB39" s="1152"/>
      <c r="BC39" s="1152"/>
      <c r="BD39" s="1152"/>
      <c r="BE39" s="1152"/>
      <c r="BF39" s="1152"/>
      <c r="BG39" s="1152"/>
      <c r="BH39" s="1152"/>
      <c r="BI39" s="1152"/>
      <c r="BJ39" s="1152"/>
      <c r="BK39" s="1152"/>
      <c r="BL39" s="1152"/>
      <c r="BM39" s="1152"/>
      <c r="BN39" s="1152"/>
      <c r="BO39"/>
      <c r="BP39"/>
      <c r="BQ39"/>
      <c r="BR39"/>
      <c r="BS39" s="1152"/>
      <c r="BT39" s="1152"/>
      <c r="BU39" s="661"/>
      <c r="BV39" s="1152"/>
      <c r="BW39" s="1152"/>
      <c r="BX39" s="1152"/>
      <c r="BY39" s="1152"/>
      <c r="BZ39" s="1912"/>
      <c r="CA39" s="1152"/>
      <c r="CB39" s="1152"/>
      <c r="CC39" s="1152"/>
      <c r="CD39" s="1152"/>
      <c r="CE39" s="1152"/>
    </row>
    <row r="40" spans="1:98" ht="12.75" x14ac:dyDescent="0.2">
      <c r="BO40"/>
      <c r="BP40"/>
      <c r="BQ40"/>
      <c r="BR40"/>
    </row>
    <row r="41" spans="1:98" ht="12.75" x14ac:dyDescent="0.2">
      <c r="BO41"/>
      <c r="BP41"/>
      <c r="BQ41"/>
      <c r="BR41"/>
    </row>
    <row r="42" spans="1:98" ht="12.75" x14ac:dyDescent="0.2">
      <c r="BO42"/>
      <c r="BP42"/>
      <c r="BQ42"/>
      <c r="BR42"/>
    </row>
  </sheetData>
  <mergeCells count="1">
    <mergeCell ref="I3:L3"/>
  </mergeCells>
  <phoneticPr fontId="0" type="noConversion"/>
  <hyperlinks>
    <hyperlink ref="B1" location="Cover!A1" display="Cover Page"/>
  </hyperlinks>
  <pageMargins left="0.75" right="0.75" top="1" bottom="1" header="0.5" footer="0.5"/>
  <pageSetup paperSize="5" orientation="landscape" r:id="rId1"/>
  <headerFooter alignWithMargins="0"/>
  <colBreaks count="1" manualBreakCount="1">
    <brk id="1" max="1048575" man="1"/>
  </colBreaks>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DF371"/>
  <sheetViews>
    <sheetView showGridLines="0" workbookViewId="0">
      <pane xSplit="2" ySplit="5" topLeftCell="C12" activePane="bottomRight" state="frozen"/>
      <selection activeCell="C6" sqref="C6"/>
      <selection pane="topRight" activeCell="C6" sqref="C6"/>
      <selection pane="bottomLeft" activeCell="C6" sqref="C6"/>
      <selection pane="bottomRight" activeCell="C1" sqref="C1:C1048576"/>
    </sheetView>
  </sheetViews>
  <sheetFormatPr defaultRowHeight="11.25" outlineLevelRow="1" outlineLevelCol="1" x14ac:dyDescent="0.2"/>
  <cols>
    <col min="1" max="1" width="1.7109375" style="324" customWidth="1"/>
    <col min="2" max="2" width="38.140625" style="324" bestFit="1" customWidth="1"/>
    <col min="3" max="3" width="8.28515625" style="324" hidden="1" customWidth="1"/>
    <col min="4" max="18" width="8.28515625" style="325" hidden="1" customWidth="1" outlineLevel="1"/>
    <col min="19" max="19" width="10.5703125" style="324" hidden="1" customWidth="1" outlineLevel="1" collapsed="1"/>
    <col min="20" max="20" width="10.5703125" style="324" hidden="1" customWidth="1" outlineLevel="1"/>
    <col min="21" max="21" width="9.85546875" style="324" hidden="1" customWidth="1" outlineLevel="1"/>
    <col min="22" max="22" width="10.28515625" style="324" hidden="1" customWidth="1" outlineLevel="1"/>
    <col min="23" max="23" width="11.140625" style="324" hidden="1" customWidth="1" outlineLevel="1"/>
    <col min="24" max="25" width="10.5703125" style="324" hidden="1" customWidth="1" outlineLevel="1"/>
    <col min="26" max="26" width="10" style="326" hidden="1" customWidth="1" outlineLevel="1"/>
    <col min="27" max="27" width="9.7109375" style="324" hidden="1" customWidth="1" outlineLevel="1"/>
    <col min="28" max="28" width="9.85546875" style="324" hidden="1" customWidth="1" outlineLevel="1"/>
    <col min="29" max="29" width="10.140625" style="324" hidden="1" customWidth="1" outlineLevel="1"/>
    <col min="30" max="30" width="11.28515625" style="324" hidden="1" customWidth="1" outlineLevel="1"/>
    <col min="31" max="32" width="10.42578125" style="324" hidden="1" customWidth="1" outlineLevel="1"/>
    <col min="33" max="33" width="10.140625" style="324" hidden="1" customWidth="1" outlineLevel="1"/>
    <col min="34" max="34" width="10.42578125" style="324" hidden="1" customWidth="1" outlineLevel="1"/>
    <col min="35" max="35" width="9.85546875" style="324" hidden="1" customWidth="1" outlineLevel="1"/>
    <col min="36" max="36" width="9.140625" style="324" hidden="1" customWidth="1" outlineLevel="1" collapsed="1"/>
    <col min="37" max="39" width="9.140625" style="324" hidden="1" customWidth="1" outlineLevel="1"/>
    <col min="40" max="40" width="9.140625" style="324" hidden="1" customWidth="1" collapsed="1"/>
    <col min="41" max="41" width="9.140625" style="324" hidden="1" customWidth="1" outlineLevel="1"/>
    <col min="42" max="42" width="10.42578125" style="324" hidden="1" customWidth="1" outlineLevel="1"/>
    <col min="43" max="44" width="9.140625" style="324" hidden="1" customWidth="1" outlineLevel="1"/>
    <col min="45" max="45" width="9.140625" style="324" hidden="1" customWidth="1" collapsed="1"/>
    <col min="46" max="49" width="9.140625" style="324" hidden="1" customWidth="1" outlineLevel="1"/>
    <col min="50" max="50" width="9.140625" style="324" hidden="1" customWidth="1" collapsed="1"/>
    <col min="51" max="54" width="9.140625" style="324" hidden="1" customWidth="1" outlineLevel="1"/>
    <col min="55" max="55" width="9.140625" style="324" hidden="1" customWidth="1" collapsed="1"/>
    <col min="56" max="57" width="9.140625" style="324" hidden="1" customWidth="1" outlineLevel="1"/>
    <col min="58" max="59" width="9.85546875" style="324" hidden="1" customWidth="1" outlineLevel="1"/>
    <col min="60" max="60" width="9.140625" style="324" hidden="1" customWidth="1" collapsed="1"/>
    <col min="61" max="62" width="10.7109375" style="324" hidden="1" customWidth="1" outlineLevel="1"/>
    <col min="63" max="63" width="11.140625" style="324" hidden="1" customWidth="1" outlineLevel="1"/>
    <col min="64" max="64" width="12.140625" style="324" hidden="1" customWidth="1" outlineLevel="1"/>
    <col min="65" max="65" width="11.140625" style="324" hidden="1" customWidth="1" collapsed="1"/>
    <col min="66" max="67" width="10.7109375" style="324" hidden="1" customWidth="1" outlineLevel="1"/>
    <col min="68" max="68" width="11.140625" style="324" hidden="1" customWidth="1" outlineLevel="1"/>
    <col min="69" max="69" width="12.140625" style="324" hidden="1" customWidth="1" outlineLevel="1"/>
    <col min="70" max="70" width="11.140625" style="324" hidden="1" customWidth="1" collapsed="1"/>
    <col min="71" max="72" width="10.7109375" style="324" hidden="1" customWidth="1" outlineLevel="1"/>
    <col min="73" max="73" width="11.140625" style="324" hidden="1" customWidth="1" outlineLevel="1"/>
    <col min="74" max="74" width="12.140625" style="324" hidden="1" customWidth="1" outlineLevel="1"/>
    <col min="75" max="75" width="11.140625" style="324" hidden="1" customWidth="1" collapsed="1"/>
    <col min="76" max="77" width="10.7109375" style="324" hidden="1" customWidth="1" outlineLevel="1"/>
    <col min="78" max="78" width="11.140625" style="324" hidden="1" customWidth="1" outlineLevel="1"/>
    <col min="79" max="79" width="12.140625" style="324" hidden="1" customWidth="1" outlineLevel="1"/>
    <col min="80" max="80" width="11.140625" style="324" hidden="1" customWidth="1" collapsed="1"/>
    <col min="81" max="82" width="10.7109375" style="324" hidden="1" customWidth="1" outlineLevel="1"/>
    <col min="83" max="83" width="11.140625" style="324" hidden="1" customWidth="1" outlineLevel="1"/>
    <col min="84" max="84" width="12.140625" style="324" hidden="1" customWidth="1" outlineLevel="1"/>
    <col min="85" max="85" width="11.140625" style="324" bestFit="1" customWidth="1" collapsed="1"/>
    <col min="86" max="87" width="10.7109375" style="324" customWidth="1" outlineLevel="1"/>
    <col min="88" max="88" width="11.140625" style="324" customWidth="1" outlineLevel="1"/>
    <col min="89" max="89" width="12.140625" style="324" customWidth="1" outlineLevel="1"/>
    <col min="90" max="90" width="11.140625" style="324" bestFit="1" customWidth="1"/>
    <col min="91" max="92" width="10.7109375" style="324" customWidth="1" outlineLevel="1"/>
    <col min="93" max="93" width="11.140625" style="324" customWidth="1" outlineLevel="1"/>
    <col min="94" max="94" width="12.140625" style="324" customWidth="1" outlineLevel="1"/>
    <col min="95" max="95" width="11.140625" style="324" bestFit="1" customWidth="1"/>
    <col min="96" max="97" width="10.7109375" style="324" hidden="1" customWidth="1" outlineLevel="1"/>
    <col min="98" max="98" width="11.140625" style="324" hidden="1" customWidth="1" outlineLevel="1"/>
    <col min="99" max="99" width="12.140625" style="324" hidden="1" customWidth="1" outlineLevel="1"/>
    <col min="100" max="100" width="11.140625" style="324" bestFit="1" customWidth="1" collapsed="1"/>
    <col min="101" max="102" width="10.7109375" style="324" hidden="1" customWidth="1" outlineLevel="1"/>
    <col min="103" max="103" width="11.140625" style="324" hidden="1" customWidth="1" outlineLevel="1"/>
    <col min="104" max="104" width="12.140625" style="324" hidden="1" customWidth="1" outlineLevel="1"/>
    <col min="105" max="105" width="11.140625" style="324" bestFit="1" customWidth="1" collapsed="1"/>
    <col min="106" max="107" width="10.7109375" style="324" hidden="1" customWidth="1" outlineLevel="1"/>
    <col min="108" max="108" width="11.140625" style="324" hidden="1" customWidth="1" outlineLevel="1"/>
    <col min="109" max="109" width="12.140625" style="324" hidden="1" customWidth="1" outlineLevel="1"/>
    <col min="110" max="110" width="11.140625" style="324" bestFit="1" customWidth="1" collapsed="1"/>
    <col min="111" max="16384" width="9.140625" style="324"/>
  </cols>
  <sheetData>
    <row r="1" spans="1:110" ht="18.75" x14ac:dyDescent="0.3">
      <c r="B1" s="882" t="str">
        <f>Ticker</f>
        <v>ESRX</v>
      </c>
      <c r="C1" s="883"/>
      <c r="D1" s="883"/>
      <c r="E1" s="884"/>
      <c r="F1" s="885"/>
      <c r="G1" s="884"/>
      <c r="H1" s="884"/>
      <c r="I1" s="886"/>
      <c r="J1" s="884"/>
      <c r="K1" s="884"/>
      <c r="L1" s="884"/>
      <c r="M1" s="887"/>
      <c r="N1" s="887"/>
      <c r="O1" s="886"/>
      <c r="P1" s="888"/>
      <c r="Q1" s="889"/>
      <c r="R1" s="890"/>
      <c r="S1" s="890"/>
      <c r="T1" s="884"/>
      <c r="U1" s="888"/>
      <c r="V1" s="889"/>
      <c r="W1" s="884"/>
      <c r="X1" s="884"/>
      <c r="Y1" s="890"/>
      <c r="Z1" s="884"/>
      <c r="AA1" s="884"/>
      <c r="AB1" s="884"/>
      <c r="AC1" s="884"/>
      <c r="AD1" s="884"/>
      <c r="AE1" s="884"/>
      <c r="AF1" s="884"/>
      <c r="AG1" s="884"/>
      <c r="AH1" s="884"/>
      <c r="AI1" s="891"/>
      <c r="AJ1" s="884"/>
      <c r="AK1" s="884"/>
      <c r="AL1" s="884"/>
      <c r="AM1" s="884"/>
      <c r="AN1" s="884"/>
      <c r="AO1" s="884"/>
      <c r="AP1" s="884"/>
      <c r="AQ1" s="884"/>
      <c r="AR1" s="884"/>
      <c r="AS1" s="884"/>
      <c r="AT1" s="884"/>
      <c r="AU1" s="884"/>
      <c r="AV1" s="884"/>
      <c r="AW1" s="884"/>
      <c r="AX1" s="884"/>
      <c r="AY1" s="884"/>
      <c r="AZ1" s="884"/>
      <c r="BA1" s="884"/>
      <c r="BB1" s="884"/>
      <c r="BC1" s="884"/>
      <c r="BD1" s="884"/>
      <c r="BE1" s="884"/>
      <c r="BF1" s="884"/>
      <c r="BG1" s="884"/>
      <c r="BH1" s="884"/>
      <c r="BI1" s="884"/>
      <c r="BJ1" s="884"/>
      <c r="BK1" s="884"/>
      <c r="BL1" s="884"/>
      <c r="BM1" s="884"/>
      <c r="BN1" s="884"/>
      <c r="BO1" s="884"/>
      <c r="BP1" s="884"/>
      <c r="BQ1" s="884"/>
      <c r="BR1" s="884"/>
      <c r="BS1" s="892"/>
      <c r="BT1" s="892"/>
      <c r="BU1" s="892"/>
      <c r="BV1" s="892"/>
      <c r="BW1" s="892"/>
      <c r="BX1" s="892"/>
      <c r="BY1" s="892"/>
      <c r="BZ1" s="892"/>
      <c r="CA1" s="892"/>
      <c r="CB1" s="892"/>
      <c r="CC1" s="892"/>
      <c r="CD1" s="892"/>
      <c r="CE1" s="892"/>
      <c r="CF1" s="892"/>
      <c r="CG1" s="892"/>
      <c r="CH1" s="892"/>
      <c r="CI1" s="892"/>
      <c r="CJ1" s="892"/>
      <c r="CK1" s="892"/>
      <c r="CL1" s="892"/>
      <c r="CM1" s="892"/>
      <c r="CN1" s="892"/>
      <c r="CO1" s="892"/>
      <c r="CP1" s="892"/>
      <c r="CQ1" s="892"/>
      <c r="CR1" s="892"/>
      <c r="CS1" s="892"/>
      <c r="CT1" s="892"/>
      <c r="CU1" s="892"/>
      <c r="CV1" s="892"/>
      <c r="CW1" s="892"/>
      <c r="CX1" s="892"/>
      <c r="CY1" s="892"/>
      <c r="CZ1" s="892"/>
      <c r="DA1" s="892"/>
      <c r="DB1" s="892"/>
      <c r="DC1" s="892"/>
      <c r="DD1" s="892"/>
      <c r="DE1" s="892"/>
      <c r="DF1" s="892"/>
    </row>
    <row r="2" spans="1:110" ht="12" thickBot="1" x14ac:dyDescent="0.25">
      <c r="B2" s="948" t="s">
        <v>363</v>
      </c>
      <c r="C2" s="884"/>
      <c r="D2" s="884"/>
      <c r="E2" s="884"/>
      <c r="F2" s="884"/>
      <c r="G2" s="894"/>
      <c r="H2" s="884"/>
      <c r="I2" s="884"/>
      <c r="J2" s="884"/>
      <c r="K2" s="886"/>
      <c r="L2" s="885"/>
      <c r="M2" s="886"/>
      <c r="N2" s="886"/>
      <c r="O2" s="884"/>
      <c r="P2" s="886"/>
      <c r="Q2" s="886"/>
      <c r="R2" s="886"/>
      <c r="S2" s="886"/>
      <c r="T2" s="889"/>
      <c r="U2" s="886"/>
      <c r="V2" s="886"/>
      <c r="W2" s="886"/>
      <c r="X2" s="889"/>
      <c r="Y2" s="889"/>
      <c r="Z2" s="884"/>
      <c r="AA2" s="884"/>
      <c r="AB2" s="884"/>
      <c r="AC2" s="891"/>
      <c r="AD2" s="884"/>
      <c r="AE2" s="895"/>
      <c r="AF2" s="896"/>
      <c r="AG2" s="889"/>
      <c r="AH2" s="884"/>
      <c r="AI2" s="897"/>
      <c r="AJ2" s="885"/>
      <c r="AK2" s="884"/>
      <c r="AL2" s="884"/>
      <c r="AM2" s="884"/>
      <c r="AN2" s="885"/>
      <c r="AO2" s="891"/>
      <c r="AP2" s="884"/>
      <c r="AQ2" s="884"/>
      <c r="AR2" s="884"/>
      <c r="AS2" s="884"/>
      <c r="AT2" s="891"/>
      <c r="AU2" s="884"/>
      <c r="AV2" s="884"/>
      <c r="AW2" s="884"/>
      <c r="AX2" s="884"/>
      <c r="AY2" s="898"/>
      <c r="AZ2" s="884"/>
      <c r="BA2" s="884"/>
      <c r="BB2" s="884"/>
      <c r="BC2" s="884"/>
      <c r="BD2" s="884"/>
      <c r="BE2" s="884"/>
      <c r="BF2" s="884"/>
      <c r="BG2" s="884"/>
      <c r="BH2" s="884"/>
      <c r="BI2" s="884"/>
      <c r="BJ2" s="884"/>
      <c r="BK2" s="884"/>
      <c r="BL2" s="884"/>
      <c r="BM2" s="884"/>
      <c r="BN2" s="884"/>
      <c r="BO2" s="884"/>
      <c r="BP2" s="884"/>
      <c r="BQ2" s="884"/>
      <c r="BR2" s="884"/>
      <c r="BS2" s="892"/>
      <c r="BT2" s="892"/>
      <c r="BU2" s="892"/>
      <c r="BV2" s="892"/>
      <c r="BW2" s="892"/>
      <c r="BX2" s="892"/>
      <c r="BY2" s="892"/>
      <c r="BZ2" s="892"/>
      <c r="CA2" s="892"/>
      <c r="CB2" s="892"/>
      <c r="CC2" s="892"/>
      <c r="CD2" s="892"/>
      <c r="CE2" s="892"/>
      <c r="CF2" s="892"/>
      <c r="CG2" s="892"/>
      <c r="CH2" s="892"/>
      <c r="CI2" s="892"/>
      <c r="CJ2" s="892"/>
      <c r="CK2" s="892"/>
      <c r="CL2" s="892"/>
      <c r="CM2" s="892"/>
      <c r="CN2" s="892"/>
      <c r="CO2" s="892"/>
      <c r="CP2" s="892"/>
      <c r="CQ2" s="892"/>
      <c r="CR2" s="892"/>
      <c r="CS2" s="892"/>
      <c r="CT2" s="892"/>
      <c r="CU2" s="892"/>
      <c r="CV2" s="892"/>
      <c r="CW2" s="892"/>
      <c r="CX2" s="892"/>
      <c r="CY2" s="892"/>
      <c r="CZ2" s="892"/>
      <c r="DA2" s="892"/>
      <c r="DB2" s="892"/>
      <c r="DC2" s="892"/>
      <c r="DD2" s="892"/>
      <c r="DE2" s="892"/>
      <c r="DF2" s="892"/>
    </row>
    <row r="3" spans="1:110" s="326" customFormat="1" ht="13.5" hidden="1" outlineLevel="1" thickBot="1" x14ac:dyDescent="0.3">
      <c r="A3" s="326" t="s">
        <v>412</v>
      </c>
      <c r="B3" s="151"/>
      <c r="C3" s="151"/>
      <c r="D3" s="151"/>
      <c r="E3" s="278"/>
      <c r="F3" s="278">
        <v>36981</v>
      </c>
      <c r="G3" s="278">
        <v>37072</v>
      </c>
      <c r="H3" s="278">
        <v>37164</v>
      </c>
      <c r="I3" s="278">
        <v>37256</v>
      </c>
      <c r="J3" s="278"/>
      <c r="K3" s="278">
        <v>37346</v>
      </c>
      <c r="L3" s="278">
        <v>37437</v>
      </c>
      <c r="M3" s="278">
        <v>37529</v>
      </c>
      <c r="N3" s="278">
        <v>37621</v>
      </c>
      <c r="O3" s="278"/>
      <c r="P3" s="278">
        <v>37711</v>
      </c>
      <c r="Q3" s="278">
        <v>37802</v>
      </c>
      <c r="R3" s="278">
        <v>37894</v>
      </c>
      <c r="S3" s="278">
        <v>37986</v>
      </c>
      <c r="T3" s="278"/>
      <c r="U3" s="278">
        <v>38077</v>
      </c>
      <c r="V3" s="278">
        <v>38168</v>
      </c>
      <c r="W3" s="278">
        <v>38260</v>
      </c>
      <c r="X3" s="278">
        <v>38352</v>
      </c>
      <c r="Y3" s="278"/>
      <c r="Z3" s="278">
        <v>38442</v>
      </c>
      <c r="AA3" s="278">
        <v>38533</v>
      </c>
      <c r="AB3" s="278">
        <v>38625</v>
      </c>
      <c r="AC3" s="278">
        <v>38717</v>
      </c>
      <c r="AD3" s="278"/>
      <c r="AE3" s="278">
        <v>38807</v>
      </c>
      <c r="AF3" s="278">
        <v>38898</v>
      </c>
      <c r="AG3" s="278">
        <v>38990</v>
      </c>
      <c r="AH3" s="278">
        <v>39082</v>
      </c>
      <c r="AI3" s="278"/>
      <c r="AJ3" s="278">
        <v>39172</v>
      </c>
      <c r="AK3" s="278">
        <v>39263</v>
      </c>
      <c r="AL3" s="278">
        <v>39355</v>
      </c>
      <c r="AM3" s="278">
        <v>39447</v>
      </c>
      <c r="AN3" s="278"/>
      <c r="AO3" s="278">
        <f>Revenue!AO6</f>
        <v>39538</v>
      </c>
      <c r="AP3" s="278">
        <f>Revenue!AP6</f>
        <v>39629</v>
      </c>
      <c r="AQ3" s="278">
        <f>Revenue!AQ6</f>
        <v>39721</v>
      </c>
      <c r="AR3" s="278">
        <f>Revenue!AR6</f>
        <v>39813</v>
      </c>
      <c r="AS3" s="278"/>
      <c r="AT3" s="278">
        <f>Revenue!AT6</f>
        <v>39903</v>
      </c>
      <c r="AU3" s="278">
        <f>Revenue!AU6</f>
        <v>39994</v>
      </c>
      <c r="AV3" s="278">
        <f>Revenue!AV6</f>
        <v>40086</v>
      </c>
      <c r="AW3" s="278">
        <f>Revenue!AW6</f>
        <v>40178</v>
      </c>
      <c r="AX3" s="278"/>
      <c r="AY3" s="278">
        <f>Revenue!AY6</f>
        <v>40268</v>
      </c>
      <c r="AZ3" s="278">
        <f>Revenue!AZ6</f>
        <v>40359</v>
      </c>
      <c r="BA3" s="278">
        <f>Revenue!BA6</f>
        <v>40451</v>
      </c>
      <c r="BB3" s="278">
        <f>Revenue!BB6</f>
        <v>40543</v>
      </c>
      <c r="BC3" s="278"/>
      <c r="BD3" s="278">
        <f>Revenue!BD6</f>
        <v>40633</v>
      </c>
      <c r="BE3" s="278">
        <f>Revenue!BE6</f>
        <v>40724</v>
      </c>
      <c r="BF3" s="278">
        <f>Revenue!BF6</f>
        <v>40816</v>
      </c>
      <c r="BG3" s="278">
        <f>Revenue!BG6</f>
        <v>40908</v>
      </c>
      <c r="BH3" s="278"/>
      <c r="BI3" s="278">
        <f>Revenue!BI6</f>
        <v>40999</v>
      </c>
      <c r="BJ3" s="278">
        <f>Revenue!BJ6</f>
        <v>41090</v>
      </c>
      <c r="BK3" s="278">
        <f>Revenue!BK6</f>
        <v>41182</v>
      </c>
      <c r="BL3" s="278">
        <f>Revenue!BL6</f>
        <v>41274</v>
      </c>
      <c r="BM3" s="1468">
        <f>Model!BM25</f>
        <v>2798.0000000000014</v>
      </c>
      <c r="BN3" s="278">
        <f>Revenue!BN6</f>
        <v>41364</v>
      </c>
      <c r="BO3" s="278">
        <f>Revenue!BO6</f>
        <v>41455</v>
      </c>
      <c r="BP3" s="278">
        <f>Revenue!BP6</f>
        <v>41547</v>
      </c>
      <c r="BQ3" s="278">
        <f>Revenue!BQ6</f>
        <v>41639</v>
      </c>
      <c r="BR3" s="278"/>
      <c r="BS3" s="278">
        <f>Revenue!BS6</f>
        <v>41729</v>
      </c>
      <c r="BT3" s="278">
        <f>Revenue!BT6</f>
        <v>41820</v>
      </c>
      <c r="BU3" s="278">
        <f>Revenue!BU6</f>
        <v>41912</v>
      </c>
      <c r="BV3" s="278">
        <f>Revenue!BV6</f>
        <v>42004</v>
      </c>
      <c r="BW3" s="278"/>
      <c r="BX3" s="278">
        <f>Revenue!BX6</f>
        <v>42094</v>
      </c>
      <c r="BY3" s="278">
        <f>Revenue!BY6</f>
        <v>42185</v>
      </c>
      <c r="BZ3" s="278">
        <f>Revenue!BZ6</f>
        <v>42277</v>
      </c>
      <c r="CA3" s="278">
        <f>Revenue!CA6</f>
        <v>42369</v>
      </c>
      <c r="CB3" s="278"/>
      <c r="CC3" s="278">
        <f>Revenue!CC6</f>
        <v>42094</v>
      </c>
      <c r="CD3" s="278">
        <f>Revenue!CD6</f>
        <v>42185</v>
      </c>
      <c r="CE3" s="278">
        <f>Revenue!CE6</f>
        <v>42277</v>
      </c>
      <c r="CF3" s="278">
        <f>Revenue!CF6</f>
        <v>42369</v>
      </c>
      <c r="CG3" s="278"/>
      <c r="CH3" s="278">
        <f>Revenue!CH6</f>
        <v>42094</v>
      </c>
      <c r="CI3" s="278">
        <f>Revenue!CI6</f>
        <v>42185</v>
      </c>
      <c r="CJ3" s="278">
        <f>Revenue!CJ6</f>
        <v>42277</v>
      </c>
      <c r="CK3" s="278">
        <f>Revenue!CK6</f>
        <v>42369</v>
      </c>
      <c r="CL3" s="278"/>
      <c r="CM3" s="278">
        <f>Revenue!CM6</f>
        <v>42094</v>
      </c>
      <c r="CN3" s="278">
        <f>Revenue!CN6</f>
        <v>42185</v>
      </c>
      <c r="CO3" s="278">
        <f>Revenue!CO6</f>
        <v>42277</v>
      </c>
      <c r="CP3" s="278">
        <f>Revenue!CP6</f>
        <v>42369</v>
      </c>
      <c r="CQ3" s="278"/>
    </row>
    <row r="4" spans="1:110" ht="12.75" collapsed="1" thickBot="1" x14ac:dyDescent="0.25">
      <c r="B4" s="799"/>
      <c r="C4" s="800"/>
      <c r="D4" s="801"/>
      <c r="E4" s="801"/>
      <c r="F4" s="802" t="s">
        <v>26</v>
      </c>
      <c r="G4" s="803"/>
      <c r="H4" s="803"/>
      <c r="I4" s="804"/>
      <c r="J4" s="801"/>
      <c r="K4" s="802" t="s">
        <v>27</v>
      </c>
      <c r="L4" s="803"/>
      <c r="M4" s="803"/>
      <c r="N4" s="804"/>
      <c r="O4" s="801"/>
      <c r="P4" s="802" t="s">
        <v>28</v>
      </c>
      <c r="Q4" s="803"/>
      <c r="R4" s="803"/>
      <c r="S4" s="804"/>
      <c r="T4" s="801"/>
      <c r="U4" s="802" t="s">
        <v>29</v>
      </c>
      <c r="V4" s="803"/>
      <c r="W4" s="803"/>
      <c r="X4" s="804"/>
      <c r="Y4" s="801"/>
      <c r="Z4" s="802" t="s">
        <v>30</v>
      </c>
      <c r="AA4" s="803"/>
      <c r="AB4" s="803"/>
      <c r="AC4" s="803"/>
      <c r="AD4" s="801"/>
      <c r="AE4" s="803" t="s">
        <v>31</v>
      </c>
      <c r="AF4" s="803"/>
      <c r="AG4" s="803"/>
      <c r="AH4" s="803"/>
      <c r="AI4" s="801"/>
      <c r="AJ4" s="803" t="s">
        <v>32</v>
      </c>
      <c r="AK4" s="803"/>
      <c r="AL4" s="803"/>
      <c r="AM4" s="803"/>
      <c r="AN4" s="801"/>
      <c r="AO4" s="803" t="s">
        <v>33</v>
      </c>
      <c r="AP4" s="803"/>
      <c r="AQ4" s="803"/>
      <c r="AR4" s="803"/>
      <c r="AS4" s="801"/>
      <c r="AT4" s="803" t="s">
        <v>34</v>
      </c>
      <c r="AU4" s="803"/>
      <c r="AV4" s="803"/>
      <c r="AW4" s="803"/>
      <c r="AX4" s="801"/>
      <c r="AY4" s="803" t="s">
        <v>35</v>
      </c>
      <c r="AZ4" s="803"/>
      <c r="BA4" s="803"/>
      <c r="BB4" s="803"/>
      <c r="BC4" s="801"/>
      <c r="BD4" s="803" t="s">
        <v>36</v>
      </c>
      <c r="BE4" s="803"/>
      <c r="BF4" s="803"/>
      <c r="BG4" s="803"/>
      <c r="BH4" s="801"/>
      <c r="BI4" s="803" t="s">
        <v>37</v>
      </c>
      <c r="BJ4" s="803"/>
      <c r="BK4" s="803"/>
      <c r="BL4" s="803"/>
      <c r="BM4" s="1467"/>
      <c r="BN4" s="803" t="s">
        <v>331</v>
      </c>
      <c r="BO4" s="803"/>
      <c r="BP4" s="803"/>
      <c r="BQ4" s="803"/>
      <c r="BR4" s="801"/>
      <c r="BS4" s="803" t="s">
        <v>334</v>
      </c>
      <c r="BT4" s="803"/>
      <c r="BU4" s="803"/>
      <c r="BV4" s="803"/>
      <c r="BW4" s="801"/>
      <c r="BX4" s="803" t="s">
        <v>356</v>
      </c>
      <c r="BY4" s="803"/>
      <c r="BZ4" s="803"/>
      <c r="CA4" s="803"/>
      <c r="CB4" s="801"/>
      <c r="CC4" s="803" t="str">
        <f>Model!CC8</f>
        <v>Fiscal Year End, Dec 31 2016</v>
      </c>
      <c r="CD4" s="803"/>
      <c r="CE4" s="803"/>
      <c r="CF4" s="803"/>
      <c r="CG4" s="801"/>
      <c r="CH4" s="803" t="str">
        <f>Model!CH8</f>
        <v>Fiscal Year End, Dec 31 2017</v>
      </c>
      <c r="CI4" s="803"/>
      <c r="CJ4" s="803"/>
      <c r="CK4" s="803"/>
      <c r="CL4" s="801"/>
      <c r="CM4" s="803" t="str">
        <f>Model!CM8</f>
        <v>Fiscal Year End, Dec 31 2018</v>
      </c>
      <c r="CN4" s="803"/>
      <c r="CO4" s="803"/>
      <c r="CP4" s="803"/>
      <c r="CQ4" s="801"/>
      <c r="CR4" s="803" t="str">
        <f>Model!CR8</f>
        <v>Fiscal Year End, Dec 31 2019</v>
      </c>
      <c r="CS4" s="803"/>
      <c r="CT4" s="803"/>
      <c r="CU4" s="803"/>
      <c r="CV4" s="801"/>
      <c r="CW4" s="803" t="str">
        <f>Model!CW8</f>
        <v>Fiscal Year End, Dec 31 2020</v>
      </c>
      <c r="CX4" s="803"/>
      <c r="CY4" s="803"/>
      <c r="CZ4" s="803"/>
      <c r="DA4" s="801"/>
      <c r="DB4" s="803" t="str">
        <f>Model!DB8</f>
        <v>Fiscal Year End, Dec 31 2021</v>
      </c>
      <c r="DC4" s="803"/>
      <c r="DD4" s="803"/>
      <c r="DE4" s="803"/>
      <c r="DF4" s="801"/>
    </row>
    <row r="5" spans="1:110" ht="12.75" thickBot="1" x14ac:dyDescent="0.25">
      <c r="B5" s="807" t="s">
        <v>25</v>
      </c>
      <c r="C5" s="808"/>
      <c r="D5" s="808" t="str">
        <f>Model!D9</f>
        <v>1999A</v>
      </c>
      <c r="E5" s="809" t="str">
        <f>Model!E9</f>
        <v>2000A</v>
      </c>
      <c r="F5" s="810" t="str">
        <f>Model!F9</f>
        <v>1Q01A</v>
      </c>
      <c r="G5" s="810" t="str">
        <f>Model!G9</f>
        <v>2Q01A</v>
      </c>
      <c r="H5" s="810" t="str">
        <f>Model!H9</f>
        <v>3Q01A</v>
      </c>
      <c r="I5" s="810" t="str">
        <f>Model!I9</f>
        <v>4Q01A</v>
      </c>
      <c r="J5" s="809" t="str">
        <f>Model!J9</f>
        <v>2001A</v>
      </c>
      <c r="K5" s="810" t="str">
        <f>Model!K9</f>
        <v>1Q02A</v>
      </c>
      <c r="L5" s="810" t="str">
        <f>Model!L9</f>
        <v>2Q02A</v>
      </c>
      <c r="M5" s="810" t="str">
        <f>Model!M9</f>
        <v>3Q02A</v>
      </c>
      <c r="N5" s="810" t="str">
        <f>Model!N9</f>
        <v>4Q02A</v>
      </c>
      <c r="O5" s="809" t="str">
        <f>Model!O9</f>
        <v>2002A</v>
      </c>
      <c r="P5" s="811" t="str">
        <f>Model!P9</f>
        <v>1Q03A</v>
      </c>
      <c r="Q5" s="810" t="str">
        <f>Model!Q9</f>
        <v>2Q03A</v>
      </c>
      <c r="R5" s="810" t="str">
        <f>Model!R9</f>
        <v>3Q03A</v>
      </c>
      <c r="S5" s="812" t="str">
        <f>Model!S9</f>
        <v>4Q03A</v>
      </c>
      <c r="T5" s="809" t="str">
        <f>Model!T9</f>
        <v>2003A</v>
      </c>
      <c r="U5" s="810" t="str">
        <f>Model!U9</f>
        <v>1QA</v>
      </c>
      <c r="V5" s="810" t="str">
        <f>Model!V9</f>
        <v>2QA</v>
      </c>
      <c r="W5" s="810" t="str">
        <f>Model!W9</f>
        <v>3QA</v>
      </c>
      <c r="X5" s="810" t="str">
        <f>Model!X9</f>
        <v>4QA</v>
      </c>
      <c r="Y5" s="809" t="str">
        <f>Model!Y9</f>
        <v>2004A</v>
      </c>
      <c r="Z5" s="810" t="str">
        <f>Model!Z9</f>
        <v>1QA</v>
      </c>
      <c r="AA5" s="810" t="str">
        <f>Model!AA9</f>
        <v>2QA</v>
      </c>
      <c r="AB5" s="810" t="str">
        <f>Model!AB9</f>
        <v>3QA</v>
      </c>
      <c r="AC5" s="810" t="str">
        <f>Model!AC9</f>
        <v>4QA</v>
      </c>
      <c r="AD5" s="813" t="str">
        <f>Model!AD9</f>
        <v>2005A</v>
      </c>
      <c r="AE5" s="810" t="str">
        <f>Model!AE9</f>
        <v>1QA</v>
      </c>
      <c r="AF5" s="810" t="str">
        <f>Model!AF9</f>
        <v>2QA</v>
      </c>
      <c r="AG5" s="810" t="str">
        <f>Model!AG9</f>
        <v>3QA</v>
      </c>
      <c r="AH5" s="810" t="str">
        <f>Model!AH9</f>
        <v>4QA</v>
      </c>
      <c r="AI5" s="813" t="str">
        <f>Model!AI9</f>
        <v>2006A</v>
      </c>
      <c r="AJ5" s="810" t="str">
        <f>Model!AJ9</f>
        <v>1QA</v>
      </c>
      <c r="AK5" s="810" t="str">
        <f>Model!AK9</f>
        <v>2QA</v>
      </c>
      <c r="AL5" s="810" t="str">
        <f>Model!AL9</f>
        <v>3QA</v>
      </c>
      <c r="AM5" s="810" t="str">
        <f>Model!AM9</f>
        <v>4QA</v>
      </c>
      <c r="AN5" s="813" t="str">
        <f>Model!AN9</f>
        <v>2007A</v>
      </c>
      <c r="AO5" s="810" t="str">
        <f>Model!AO9</f>
        <v>1QA</v>
      </c>
      <c r="AP5" s="810" t="str">
        <f>Model!AP9</f>
        <v>2QA</v>
      </c>
      <c r="AQ5" s="810" t="str">
        <f>Model!AQ9</f>
        <v>3QA</v>
      </c>
      <c r="AR5" s="810" t="str">
        <f>Model!AR9</f>
        <v>4QA</v>
      </c>
      <c r="AS5" s="809" t="str">
        <f>Model!AS9</f>
        <v>2008A</v>
      </c>
      <c r="AT5" s="810" t="str">
        <f>Model!AT9</f>
        <v>1QA</v>
      </c>
      <c r="AU5" s="810" t="str">
        <f>Model!AU9</f>
        <v>2QA</v>
      </c>
      <c r="AV5" s="810" t="str">
        <f>Model!AV9</f>
        <v>3QA</v>
      </c>
      <c r="AW5" s="810" t="str">
        <f>Model!AW9</f>
        <v>4QA</v>
      </c>
      <c r="AX5" s="809" t="str">
        <f>Model!AX9</f>
        <v>2009A</v>
      </c>
      <c r="AY5" s="810" t="str">
        <f>Model!AY9</f>
        <v>1QA</v>
      </c>
      <c r="AZ5" s="810" t="str">
        <f>Model!AZ9</f>
        <v>2QA</v>
      </c>
      <c r="BA5" s="810" t="str">
        <f>Model!BA9</f>
        <v>3QA</v>
      </c>
      <c r="BB5" s="810" t="str">
        <f>Model!BB9</f>
        <v>4QA</v>
      </c>
      <c r="BC5" s="809" t="str">
        <f>Model!BC9</f>
        <v>2010A</v>
      </c>
      <c r="BD5" s="810" t="str">
        <f>Model!BD9</f>
        <v>1QA</v>
      </c>
      <c r="BE5" s="810" t="str">
        <f>Model!BE9</f>
        <v>2QA</v>
      </c>
      <c r="BF5" s="810" t="str">
        <f>Model!BF9</f>
        <v>3QA</v>
      </c>
      <c r="BG5" s="810" t="str">
        <f>Model!BG9</f>
        <v>4QA</v>
      </c>
      <c r="BH5" s="809" t="str">
        <f>Model!BH9</f>
        <v>2011A</v>
      </c>
      <c r="BI5" s="810" t="str">
        <f>Model!BI9</f>
        <v>1QA</v>
      </c>
      <c r="BJ5" s="810" t="str">
        <f>Model!BJ9</f>
        <v>2QA</v>
      </c>
      <c r="BK5" s="810" t="str">
        <f>Model!BK9</f>
        <v>3QA</v>
      </c>
      <c r="BL5" s="810" t="str">
        <f>Model!BL9</f>
        <v>4QA</v>
      </c>
      <c r="BM5" s="809" t="str">
        <f>Model!BM9</f>
        <v>2012A</v>
      </c>
      <c r="BN5" s="810" t="str">
        <f>Model!BN9</f>
        <v>1QA</v>
      </c>
      <c r="BO5" s="810" t="str">
        <f>Model!BO9</f>
        <v>2QA</v>
      </c>
      <c r="BP5" s="810" t="str">
        <f>Model!BP9</f>
        <v>3QA</v>
      </c>
      <c r="BQ5" s="810" t="str">
        <f>Model!BQ9</f>
        <v>4QA</v>
      </c>
      <c r="BR5" s="809" t="str">
        <f>Model!BR9</f>
        <v>2013A</v>
      </c>
      <c r="BS5" s="810" t="str">
        <f>Model!BS9</f>
        <v>1QA</v>
      </c>
      <c r="BT5" s="810" t="str">
        <f>Model!BT9</f>
        <v>2QA</v>
      </c>
      <c r="BU5" s="810" t="str">
        <f>Model!BU9</f>
        <v>3QA</v>
      </c>
      <c r="BV5" s="810" t="str">
        <f>Model!BV9</f>
        <v>4QA</v>
      </c>
      <c r="BW5" s="809" t="str">
        <f>Model!BW9</f>
        <v>2014A</v>
      </c>
      <c r="BX5" s="810" t="str">
        <f>Model!BX9</f>
        <v>1QA</v>
      </c>
      <c r="BY5" s="810" t="str">
        <f>Model!BY9</f>
        <v>2QA</v>
      </c>
      <c r="BZ5" s="810" t="str">
        <f>Model!BZ9</f>
        <v>3QA</v>
      </c>
      <c r="CA5" s="810" t="str">
        <f>Model!CA9</f>
        <v>4QA</v>
      </c>
      <c r="CB5" s="809" t="str">
        <f>Model!CB9</f>
        <v>2015A</v>
      </c>
      <c r="CC5" s="810" t="str">
        <f>Model!CC9</f>
        <v>1QA</v>
      </c>
      <c r="CD5" s="810" t="str">
        <f>Model!CD9</f>
        <v>2QA</v>
      </c>
      <c r="CE5" s="810" t="str">
        <f>Model!CE9</f>
        <v>3QA</v>
      </c>
      <c r="CF5" s="810" t="str">
        <f>Model!CF9</f>
        <v>4QA</v>
      </c>
      <c r="CG5" s="809" t="str">
        <f>Model!CG9</f>
        <v>2016A</v>
      </c>
      <c r="CH5" s="810" t="str">
        <f>Model!CH9</f>
        <v>1QA</v>
      </c>
      <c r="CI5" s="810" t="str">
        <f>Model!CI9</f>
        <v>2QA</v>
      </c>
      <c r="CJ5" s="810" t="str">
        <f>Model!CJ9</f>
        <v>3QA</v>
      </c>
      <c r="CK5" s="810" t="str">
        <f>Model!CK9</f>
        <v>4QA</v>
      </c>
      <c r="CL5" s="809" t="str">
        <f>Model!CL9</f>
        <v>2017A</v>
      </c>
      <c r="CM5" s="810" t="str">
        <f>Model!CM9</f>
        <v>1QE</v>
      </c>
      <c r="CN5" s="810" t="str">
        <f>Model!CN9</f>
        <v>2QE</v>
      </c>
      <c r="CO5" s="810" t="str">
        <f>Model!CO9</f>
        <v>3QE</v>
      </c>
      <c r="CP5" s="810" t="str">
        <f>Model!CP9</f>
        <v>4QE</v>
      </c>
      <c r="CQ5" s="809" t="str">
        <f>Model!CQ9</f>
        <v>2018E</v>
      </c>
      <c r="CR5" s="810" t="str">
        <f>Model!CR9</f>
        <v>1QE</v>
      </c>
      <c r="CS5" s="810" t="str">
        <f>Model!CS9</f>
        <v>2QE</v>
      </c>
      <c r="CT5" s="810" t="str">
        <f>Model!CT9</f>
        <v>3QE</v>
      </c>
      <c r="CU5" s="810" t="str">
        <f>Model!CU9</f>
        <v>4QE</v>
      </c>
      <c r="CV5" s="809" t="str">
        <f>Model!CV9</f>
        <v>2019E</v>
      </c>
      <c r="CW5" s="810" t="str">
        <f>Model!CW9</f>
        <v>1QE</v>
      </c>
      <c r="CX5" s="810" t="str">
        <f>Model!CX9</f>
        <v>2QE</v>
      </c>
      <c r="CY5" s="810" t="str">
        <f>Model!CY9</f>
        <v>3QE</v>
      </c>
      <c r="CZ5" s="810" t="str">
        <f>Model!CZ9</f>
        <v>4QE</v>
      </c>
      <c r="DA5" s="809" t="str">
        <f>Model!DA9</f>
        <v>2020E</v>
      </c>
      <c r="DB5" s="810" t="str">
        <f>Model!DB9</f>
        <v>1QE</v>
      </c>
      <c r="DC5" s="810" t="str">
        <f>Model!DC9</f>
        <v>2QE</v>
      </c>
      <c r="DD5" s="810" t="str">
        <f>Model!DD9</f>
        <v>3QE</v>
      </c>
      <c r="DE5" s="810" t="str">
        <f>Model!DE9</f>
        <v>4QE</v>
      </c>
      <c r="DF5" s="809" t="str">
        <f>Model!DF9</f>
        <v>2021E</v>
      </c>
    </row>
    <row r="6" spans="1:110" s="10" customFormat="1" ht="12" thickBot="1" x14ac:dyDescent="0.25">
      <c r="B6" s="970" t="s">
        <v>146</v>
      </c>
      <c r="C6" s="819"/>
      <c r="D6" s="819"/>
      <c r="E6" s="819"/>
      <c r="F6" s="819"/>
      <c r="G6" s="819"/>
      <c r="H6" s="819"/>
      <c r="I6" s="819"/>
      <c r="J6" s="819"/>
      <c r="K6" s="819"/>
      <c r="L6" s="819"/>
      <c r="M6" s="819"/>
      <c r="N6" s="819"/>
      <c r="O6" s="819"/>
      <c r="P6" s="819"/>
      <c r="Q6" s="819"/>
      <c r="R6" s="819"/>
      <c r="S6" s="819"/>
      <c r="T6" s="819"/>
      <c r="U6" s="819"/>
      <c r="V6" s="819"/>
      <c r="W6" s="819"/>
      <c r="X6" s="819"/>
      <c r="Y6" s="819"/>
      <c r="Z6" s="819"/>
      <c r="AA6" s="819"/>
      <c r="AB6" s="819"/>
      <c r="AC6" s="819"/>
      <c r="AD6" s="819"/>
      <c r="AE6" s="819"/>
      <c r="AF6" s="819"/>
      <c r="AG6" s="819"/>
      <c r="AH6" s="819"/>
      <c r="AI6" s="819"/>
      <c r="AJ6" s="819"/>
      <c r="AK6" s="819"/>
      <c r="AL6" s="819"/>
      <c r="AM6" s="819"/>
      <c r="AN6" s="819"/>
      <c r="AO6" s="819"/>
      <c r="AP6" s="819"/>
      <c r="AQ6" s="819"/>
      <c r="AR6" s="819"/>
      <c r="AS6" s="819"/>
      <c r="AT6" s="819"/>
      <c r="AU6" s="819"/>
      <c r="AV6" s="819"/>
      <c r="AW6" s="819"/>
      <c r="AX6" s="819"/>
      <c r="AY6" s="819"/>
      <c r="AZ6" s="819"/>
      <c r="BA6" s="819"/>
      <c r="BB6" s="819"/>
      <c r="BC6" s="819"/>
      <c r="BD6" s="819"/>
      <c r="BE6" s="819"/>
      <c r="BF6" s="819"/>
      <c r="BG6" s="819"/>
      <c r="BH6" s="819"/>
      <c r="BI6" s="819"/>
      <c r="BJ6" s="819"/>
      <c r="BK6" s="819"/>
      <c r="BL6" s="819"/>
      <c r="BM6" s="819"/>
      <c r="BN6" s="819"/>
      <c r="BO6" s="819"/>
      <c r="BP6" s="819"/>
      <c r="BQ6" s="819"/>
      <c r="BR6" s="819"/>
      <c r="BS6" s="819"/>
      <c r="BT6" s="819"/>
      <c r="BU6" s="819"/>
      <c r="BV6" s="819"/>
      <c r="BW6" s="819"/>
      <c r="BX6" s="819"/>
      <c r="BY6" s="819"/>
      <c r="BZ6" s="819"/>
      <c r="CA6" s="819"/>
      <c r="CB6" s="872"/>
      <c r="CC6" s="819"/>
      <c r="CD6" s="819"/>
      <c r="CE6" s="819"/>
      <c r="CF6" s="819"/>
      <c r="CG6" s="872"/>
      <c r="CH6" s="819"/>
      <c r="CI6" s="819"/>
      <c r="CJ6" s="819"/>
      <c r="CK6" s="819"/>
      <c r="CL6" s="872"/>
      <c r="CM6" s="819"/>
      <c r="CN6" s="819"/>
      <c r="CO6" s="819"/>
      <c r="CP6" s="819"/>
      <c r="CQ6" s="872"/>
      <c r="CR6" s="819"/>
      <c r="CS6" s="819"/>
      <c r="CT6" s="819"/>
      <c r="CU6" s="819"/>
      <c r="CV6" s="872"/>
      <c r="CW6" s="819"/>
      <c r="CX6" s="819"/>
      <c r="CY6" s="819"/>
      <c r="CZ6" s="819"/>
      <c r="DA6" s="872"/>
      <c r="DB6" s="819"/>
      <c r="DC6" s="819"/>
      <c r="DD6" s="819"/>
      <c r="DE6" s="819"/>
      <c r="DF6" s="872"/>
    </row>
    <row r="7" spans="1:110" s="554" customFormat="1" x14ac:dyDescent="0.2">
      <c r="B7" s="559" t="s">
        <v>196</v>
      </c>
      <c r="C7" s="555"/>
      <c r="D7" s="555"/>
      <c r="E7" s="555"/>
      <c r="F7" s="555"/>
      <c r="G7" s="555"/>
      <c r="H7" s="555"/>
      <c r="I7" s="555"/>
      <c r="J7" s="555"/>
      <c r="K7" s="555"/>
      <c r="L7" s="555"/>
      <c r="M7" s="555"/>
      <c r="N7" s="555"/>
      <c r="O7" s="555"/>
      <c r="P7" s="555"/>
      <c r="Q7" s="555"/>
      <c r="R7" s="555"/>
      <c r="S7" s="556"/>
      <c r="T7" s="557"/>
      <c r="U7" s="556"/>
      <c r="V7" s="556"/>
      <c r="W7" s="556"/>
      <c r="X7" s="555"/>
      <c r="Y7" s="557"/>
      <c r="Z7" s="555">
        <v>3.04E-2</v>
      </c>
      <c r="AA7" s="555">
        <v>2.9180000000000001E-2</v>
      </c>
      <c r="AB7" s="555">
        <v>3.4209999999999997E-2</v>
      </c>
      <c r="AC7" s="555">
        <v>3.6200000000000003E-2</v>
      </c>
      <c r="AD7" s="557"/>
      <c r="AE7" s="555">
        <v>4.0500000000000001E-2</v>
      </c>
      <c r="AF7" s="555">
        <v>4.5499999999999999E-2</v>
      </c>
      <c r="AG7" s="555">
        <v>4.7E-2</v>
      </c>
      <c r="AH7" s="555">
        <v>9.643395278754513E-2</v>
      </c>
      <c r="AI7" s="557"/>
      <c r="AJ7" s="555">
        <v>6.6232998225902673E-2</v>
      </c>
      <c r="AK7" s="555">
        <v>6.5326633165828665E-2</v>
      </c>
      <c r="AL7" s="555">
        <v>0.10424710424710369</v>
      </c>
      <c r="AM7" s="555">
        <v>6.180516299227469E-2</v>
      </c>
      <c r="AN7" s="557"/>
      <c r="AO7" s="555">
        <v>4.4791886752587995E-2</v>
      </c>
      <c r="AP7" s="555">
        <v>3.1895624018364134E-2</v>
      </c>
      <c r="AQ7" s="555">
        <v>3.0944940136305027E-2</v>
      </c>
      <c r="AR7" s="555">
        <v>2.4280812879387867E-2</v>
      </c>
      <c r="AS7" s="557"/>
      <c r="AT7" s="555">
        <v>5.7338536274590358E-3</v>
      </c>
      <c r="AU7" s="555">
        <v>2.188780665754674E-3</v>
      </c>
      <c r="AV7" s="555">
        <v>2.1043217507957105E-3</v>
      </c>
      <c r="AW7" s="555">
        <v>1.9150973507820602E-3</v>
      </c>
      <c r="AX7" s="557"/>
      <c r="AY7" s="555">
        <v>5.4107817783966578E-3</v>
      </c>
      <c r="AZ7" s="555">
        <v>1.3011091955891984E-3</v>
      </c>
      <c r="BA7" s="555">
        <v>5.3948013732222416E-3</v>
      </c>
      <c r="BB7" s="555">
        <v>5.0556218402426686E-3</v>
      </c>
      <c r="BC7" s="557"/>
      <c r="BD7" s="555">
        <v>2.4809986044347964E-3</v>
      </c>
      <c r="BE7" s="555">
        <v>1.135181912780248E-2</v>
      </c>
      <c r="BF7" s="555">
        <v>1.14E-2</v>
      </c>
      <c r="BG7" s="555">
        <v>2.5000000000000001E-3</v>
      </c>
      <c r="BH7" s="557"/>
      <c r="BI7" s="555">
        <v>2.5000000000000001E-3</v>
      </c>
      <c r="BJ7" s="555">
        <v>6.4999999999999997E-3</v>
      </c>
      <c r="BK7" s="555">
        <v>4.1999999999999997E-3</v>
      </c>
      <c r="BL7" s="555">
        <v>5.0000000000000001E-3</v>
      </c>
      <c r="BM7" s="555"/>
      <c r="BN7" s="555">
        <v>2.5000000000000001E-3</v>
      </c>
      <c r="BO7" s="555">
        <v>2.5000000000000001E-3</v>
      </c>
      <c r="BP7" s="555">
        <v>2.5000000000000001E-3</v>
      </c>
      <c r="BQ7" s="555">
        <v>2.5000000000000001E-3</v>
      </c>
      <c r="BR7" s="555"/>
      <c r="BS7" s="555">
        <v>0.01</v>
      </c>
      <c r="BT7" s="555">
        <v>9.4999999999999998E-3</v>
      </c>
      <c r="BU7" s="555">
        <v>0.01</v>
      </c>
      <c r="BV7" s="555">
        <v>0.01</v>
      </c>
      <c r="BW7" s="555"/>
      <c r="BX7" s="555">
        <v>0.01</v>
      </c>
      <c r="BY7" s="555">
        <v>0.01</v>
      </c>
      <c r="BZ7" s="555">
        <v>0.01</v>
      </c>
      <c r="CA7" s="555">
        <v>0.01</v>
      </c>
      <c r="CB7" s="558"/>
      <c r="CC7" s="555">
        <v>0.01</v>
      </c>
      <c r="CD7" s="555">
        <v>0.01</v>
      </c>
      <c r="CE7" s="555">
        <v>0.01</v>
      </c>
      <c r="CF7" s="555">
        <v>0.01</v>
      </c>
      <c r="CG7" s="558"/>
      <c r="CH7" s="555">
        <v>0.01</v>
      </c>
      <c r="CI7" s="555">
        <v>0.01</v>
      </c>
      <c r="CJ7" s="555">
        <v>0.01</v>
      </c>
      <c r="CK7" s="555">
        <v>0.01</v>
      </c>
      <c r="CL7" s="558"/>
      <c r="CM7" s="555">
        <v>0.01</v>
      </c>
      <c r="CN7" s="555">
        <v>0.01</v>
      </c>
      <c r="CO7" s="555">
        <v>0.01</v>
      </c>
      <c r="CP7" s="555">
        <v>0.01</v>
      </c>
      <c r="CQ7" s="558"/>
      <c r="CR7" s="555">
        <v>0.01</v>
      </c>
      <c r="CS7" s="555">
        <v>0.01</v>
      </c>
      <c r="CT7" s="555">
        <v>0.01</v>
      </c>
      <c r="CU7" s="555">
        <v>0.01</v>
      </c>
      <c r="CV7" s="558"/>
      <c r="CW7" s="555">
        <v>0.01</v>
      </c>
      <c r="CX7" s="555">
        <v>0.01</v>
      </c>
      <c r="CY7" s="555">
        <v>0.01</v>
      </c>
      <c r="CZ7" s="555">
        <v>0.01</v>
      </c>
      <c r="DA7" s="558"/>
      <c r="DB7" s="555">
        <v>0.01</v>
      </c>
      <c r="DC7" s="555">
        <v>0.01</v>
      </c>
      <c r="DD7" s="555">
        <v>0.01</v>
      </c>
      <c r="DE7" s="555">
        <v>0.01</v>
      </c>
      <c r="DF7" s="558"/>
    </row>
    <row r="8" spans="1:110" s="360" customFormat="1" x14ac:dyDescent="0.2">
      <c r="B8" s="59" t="s">
        <v>214</v>
      </c>
      <c r="C8" s="145"/>
      <c r="D8" s="145"/>
      <c r="E8" s="145"/>
      <c r="F8" s="145"/>
      <c r="G8" s="145"/>
      <c r="H8" s="145"/>
      <c r="I8" s="145"/>
      <c r="J8" s="145"/>
      <c r="K8" s="145"/>
      <c r="L8" s="145"/>
      <c r="M8" s="145"/>
      <c r="N8" s="145"/>
      <c r="O8" s="145"/>
      <c r="P8" s="145"/>
      <c r="Q8" s="145"/>
      <c r="R8" s="145"/>
      <c r="S8" s="322"/>
      <c r="T8" s="361"/>
      <c r="U8" s="322"/>
      <c r="V8" s="322"/>
      <c r="W8" s="322"/>
      <c r="X8" s="363"/>
      <c r="Y8" s="362">
        <f>+X8</f>
        <v>0</v>
      </c>
      <c r="Z8" s="363">
        <f>Model!Y96</f>
        <v>166</v>
      </c>
      <c r="AA8" s="363">
        <f>Model!Z96</f>
        <v>255.12100000000001</v>
      </c>
      <c r="AB8" s="363">
        <f>Model!AA96</f>
        <v>417.25299999999999</v>
      </c>
      <c r="AC8" s="363">
        <f>Model!AB96</f>
        <v>405.02699999999999</v>
      </c>
      <c r="AD8" s="362"/>
      <c r="AE8" s="363">
        <f>+AC9</f>
        <v>477.9</v>
      </c>
      <c r="AF8" s="363">
        <f>+AE9</f>
        <v>509.4</v>
      </c>
      <c r="AG8" s="363">
        <f>+AF9</f>
        <v>195.9</v>
      </c>
      <c r="AH8" s="363">
        <f>+AG9</f>
        <v>68.099999999999994</v>
      </c>
      <c r="AI8" s="362"/>
      <c r="AJ8" s="363">
        <f>+AH9</f>
        <v>131</v>
      </c>
      <c r="AK8" s="363">
        <f>+AJ9</f>
        <v>207.2</v>
      </c>
      <c r="AL8" s="363">
        <f>+AK9</f>
        <v>111.2</v>
      </c>
      <c r="AM8" s="363">
        <f>+AL9</f>
        <v>96</v>
      </c>
      <c r="AN8" s="362">
        <f>+AM8</f>
        <v>96</v>
      </c>
      <c r="AO8" s="363">
        <f>+AM9</f>
        <v>434.7</v>
      </c>
      <c r="AP8" s="363">
        <f>+AO9</f>
        <v>511.9</v>
      </c>
      <c r="AQ8" s="363">
        <f>+AP9</f>
        <v>315.8</v>
      </c>
      <c r="AR8" s="363">
        <f>+AQ9</f>
        <v>227.1</v>
      </c>
      <c r="AS8" s="362">
        <f>+AR8</f>
        <v>227.1</v>
      </c>
      <c r="AT8" s="363">
        <f>+AR9</f>
        <v>530.70000000000005</v>
      </c>
      <c r="AU8" s="363">
        <f>+AT9</f>
        <v>725</v>
      </c>
      <c r="AV8" s="363">
        <f>+AU9</f>
        <v>3661</v>
      </c>
      <c r="AW8" s="363">
        <f>+AV9</f>
        <v>3942.4</v>
      </c>
      <c r="AX8" s="362">
        <f>+AW8</f>
        <v>3942.4</v>
      </c>
      <c r="AY8" s="363">
        <f>+AW9</f>
        <v>1070.4000000000001</v>
      </c>
      <c r="AZ8" s="363">
        <f>+AY9</f>
        <v>1443.1</v>
      </c>
      <c r="BA8" s="363">
        <f>+AZ9</f>
        <v>1631.2</v>
      </c>
      <c r="BB8" s="363">
        <f>+BA9</f>
        <v>267.5</v>
      </c>
      <c r="BC8" s="362">
        <f>+BB8</f>
        <v>267.5</v>
      </c>
      <c r="BD8" s="363">
        <f>+BB9</f>
        <v>523.70000000000005</v>
      </c>
      <c r="BE8" s="363">
        <f>+BD9</f>
        <v>766.1</v>
      </c>
      <c r="BF8" s="363">
        <f>+BE9</f>
        <v>291</v>
      </c>
      <c r="BG8" s="363">
        <f>+BF9</f>
        <v>1062.5999999999999</v>
      </c>
      <c r="BH8" s="362">
        <f>+BG8</f>
        <v>1062.5999999999999</v>
      </c>
      <c r="BI8" s="363">
        <f>+BG9</f>
        <v>5620.1</v>
      </c>
      <c r="BJ8" s="363">
        <f>+BI9</f>
        <v>9577.7000000000007</v>
      </c>
      <c r="BK8" s="363">
        <f>+BJ9</f>
        <v>1399.2</v>
      </c>
      <c r="BL8" s="363">
        <f>+BK9</f>
        <v>1243.1000000000001</v>
      </c>
      <c r="BM8" s="362">
        <f>+BL8</f>
        <v>1243.1000000000001</v>
      </c>
      <c r="BN8" s="363">
        <f>+BL9</f>
        <v>2793.9</v>
      </c>
      <c r="BO8" s="363">
        <f>+BN9</f>
        <v>1990</v>
      </c>
      <c r="BP8" s="363">
        <f>+BO9</f>
        <v>1342.2</v>
      </c>
      <c r="BQ8" s="363">
        <f>+BP9</f>
        <v>1722.3</v>
      </c>
      <c r="BR8" s="362">
        <f>+BQ8</f>
        <v>1722.3</v>
      </c>
      <c r="BS8" s="363">
        <f>+BQ9</f>
        <v>1991.4</v>
      </c>
      <c r="BT8" s="363">
        <f>+BS9</f>
        <v>1850.4</v>
      </c>
      <c r="BU8" s="363">
        <f>+BT9</f>
        <v>2835.2</v>
      </c>
      <c r="BV8" s="363">
        <f>+BU9</f>
        <v>834.8</v>
      </c>
      <c r="BW8" s="362">
        <f>+BV8</f>
        <v>834.8</v>
      </c>
      <c r="BX8" s="363">
        <f>+BV9</f>
        <v>1832.6</v>
      </c>
      <c r="BY8" s="363">
        <f>+BX9</f>
        <v>933.8</v>
      </c>
      <c r="BZ8" s="363">
        <f>+BY9</f>
        <v>721</v>
      </c>
      <c r="CA8" s="363">
        <f>+BZ9</f>
        <v>438.2</v>
      </c>
      <c r="CB8" s="533">
        <f>+CA8</f>
        <v>438.2</v>
      </c>
      <c r="CC8" s="363">
        <f>+CA9</f>
        <v>3186.3</v>
      </c>
      <c r="CD8" s="363">
        <f>+CC9</f>
        <v>1771.1</v>
      </c>
      <c r="CE8" s="363">
        <f>+CD9</f>
        <v>1324.4</v>
      </c>
      <c r="CF8" s="363">
        <f>+CE9</f>
        <v>2304.6999999999998</v>
      </c>
      <c r="CG8" s="533">
        <f>+CF8</f>
        <v>2304.6999999999998</v>
      </c>
      <c r="CH8" s="363">
        <f>+CF9</f>
        <v>3077.2</v>
      </c>
      <c r="CI8" s="363">
        <f>+CH9</f>
        <v>3163.8</v>
      </c>
      <c r="CJ8" s="363">
        <f>+CI9</f>
        <v>2352.5</v>
      </c>
      <c r="CK8" s="363">
        <f>+CJ9</f>
        <v>3395.9</v>
      </c>
      <c r="CL8" s="533">
        <f>+CK8</f>
        <v>3395.9</v>
      </c>
      <c r="CM8" s="363">
        <f>+CK9</f>
        <v>2309.6</v>
      </c>
      <c r="CN8" s="363">
        <f ca="1">+CM9</f>
        <v>1355.4792991483314</v>
      </c>
      <c r="CO8" s="363">
        <f ca="1">+CN9</f>
        <v>2546.5530322589889</v>
      </c>
      <c r="CP8" s="363">
        <f ca="1">+CO9</f>
        <v>4002.4475269410145</v>
      </c>
      <c r="CQ8" s="533">
        <f ca="1">+CP8</f>
        <v>4002.4475269410145</v>
      </c>
      <c r="CR8" s="363">
        <f ca="1">+CP9</f>
        <v>5374.0575196585341</v>
      </c>
      <c r="CS8" s="363">
        <f ca="1">+CR9</f>
        <v>7254.3027386248086</v>
      </c>
      <c r="CT8" s="363">
        <f ca="1">+CS9</f>
        <v>7144.5216483537606</v>
      </c>
      <c r="CU8" s="363">
        <f ca="1">+CT9</f>
        <v>8585.0552309010072</v>
      </c>
      <c r="CV8" s="533">
        <f ca="1">+CU8</f>
        <v>8585.0552309010072</v>
      </c>
      <c r="CW8" s="363">
        <f ca="1">+CU9</f>
        <v>9723.9667527798319</v>
      </c>
      <c r="CX8" s="363">
        <f ca="1">+CW9</f>
        <v>10721.408454895514</v>
      </c>
      <c r="CY8" s="363">
        <f ca="1">+CX9</f>
        <v>10498.044410372515</v>
      </c>
      <c r="CZ8" s="363">
        <f ca="1">+CY9</f>
        <v>11817.616597766559</v>
      </c>
      <c r="DA8" s="533">
        <f ca="1">+CZ8</f>
        <v>11817.616597766559</v>
      </c>
      <c r="DB8" s="363">
        <f ca="1">+CZ9</f>
        <v>12813.44477378271</v>
      </c>
      <c r="DC8" s="363">
        <f ca="1">+DB9</f>
        <v>13632.542005521904</v>
      </c>
      <c r="DD8" s="363">
        <f ca="1">+DC9</f>
        <v>13285.66373280245</v>
      </c>
      <c r="DE8" s="363">
        <f ca="1">+DD9</f>
        <v>14486.87825749777</v>
      </c>
      <c r="DF8" s="533">
        <f ca="1">+DE8</f>
        <v>14486.87825749777</v>
      </c>
    </row>
    <row r="9" spans="1:110" s="360" customFormat="1" x14ac:dyDescent="0.2">
      <c r="B9" s="59" t="s">
        <v>215</v>
      </c>
      <c r="C9" s="534"/>
      <c r="D9" s="535"/>
      <c r="E9" s="535"/>
      <c r="F9" s="535"/>
      <c r="G9" s="535"/>
      <c r="H9" s="535"/>
      <c r="I9" s="535"/>
      <c r="J9" s="535"/>
      <c r="K9" s="535"/>
      <c r="L9" s="535"/>
      <c r="M9" s="535"/>
      <c r="N9" s="535"/>
      <c r="O9" s="535"/>
      <c r="P9" s="535"/>
      <c r="Q9" s="535"/>
      <c r="R9" s="535"/>
      <c r="S9" s="322"/>
      <c r="T9" s="361"/>
      <c r="U9" s="322"/>
      <c r="V9" s="322"/>
      <c r="W9" s="322"/>
      <c r="X9" s="363">
        <f>Model!Y96</f>
        <v>166</v>
      </c>
      <c r="Y9" s="362">
        <f>+X9</f>
        <v>166</v>
      </c>
      <c r="Z9" s="363">
        <f>Model!Z96</f>
        <v>255.12100000000001</v>
      </c>
      <c r="AA9" s="363">
        <f>Model!AA96</f>
        <v>417.25299999999999</v>
      </c>
      <c r="AB9" s="363">
        <f>Model!AB96</f>
        <v>405.02699999999999</v>
      </c>
      <c r="AC9" s="363">
        <f>Model!AC96</f>
        <v>477.9</v>
      </c>
      <c r="AD9" s="362">
        <f>+AC9</f>
        <v>477.9</v>
      </c>
      <c r="AE9" s="363">
        <f>Model!AE96</f>
        <v>509.4</v>
      </c>
      <c r="AF9" s="363">
        <f>Model!AF96</f>
        <v>195.9</v>
      </c>
      <c r="AG9" s="363">
        <f>Model!AG96</f>
        <v>68.099999999999994</v>
      </c>
      <c r="AH9" s="363">
        <f>Model!AH96</f>
        <v>131</v>
      </c>
      <c r="AI9" s="362">
        <f>+AH9</f>
        <v>131</v>
      </c>
      <c r="AJ9" s="363">
        <f>Model!AJ96</f>
        <v>207.2</v>
      </c>
      <c r="AK9" s="363">
        <f>Model!AK96</f>
        <v>111.2</v>
      </c>
      <c r="AL9" s="363">
        <f>Model!AL96</f>
        <v>96</v>
      </c>
      <c r="AM9" s="363">
        <f>Model!AM96</f>
        <v>434.7</v>
      </c>
      <c r="AN9" s="362">
        <f>+AM9</f>
        <v>434.7</v>
      </c>
      <c r="AO9" s="363">
        <f>Model!AO96</f>
        <v>511.9</v>
      </c>
      <c r="AP9" s="363">
        <f>Model!AP96</f>
        <v>315.8</v>
      </c>
      <c r="AQ9" s="363">
        <f>Model!AQ96</f>
        <v>227.1</v>
      </c>
      <c r="AR9" s="363">
        <f>Model!AR96</f>
        <v>530.70000000000005</v>
      </c>
      <c r="AS9" s="362">
        <f>+AR9</f>
        <v>530.70000000000005</v>
      </c>
      <c r="AT9" s="363">
        <f>Model!AT96</f>
        <v>725</v>
      </c>
      <c r="AU9" s="363">
        <f>Model!AU96</f>
        <v>3661</v>
      </c>
      <c r="AV9" s="363">
        <f>Model!AV96</f>
        <v>3942.4</v>
      </c>
      <c r="AW9" s="363">
        <f>Model!AW96</f>
        <v>1070.4000000000001</v>
      </c>
      <c r="AX9" s="362">
        <f>+AW9</f>
        <v>1070.4000000000001</v>
      </c>
      <c r="AY9" s="363">
        <f>Model!AY96</f>
        <v>1443.1</v>
      </c>
      <c r="AZ9" s="363">
        <f>Model!AZ96</f>
        <v>1631.2</v>
      </c>
      <c r="BA9" s="363">
        <f>Model!BA96</f>
        <v>267.5</v>
      </c>
      <c r="BB9" s="363">
        <f>Model!BB96</f>
        <v>523.70000000000005</v>
      </c>
      <c r="BC9" s="362">
        <f>+BB9</f>
        <v>523.70000000000005</v>
      </c>
      <c r="BD9" s="363">
        <f>Model!BD96</f>
        <v>766.1</v>
      </c>
      <c r="BE9" s="363">
        <f>Model!BE96</f>
        <v>291</v>
      </c>
      <c r="BF9" s="363">
        <f>Model!BF96</f>
        <v>1062.5999999999999</v>
      </c>
      <c r="BG9" s="363">
        <f>Model!BG96</f>
        <v>5620.1</v>
      </c>
      <c r="BH9" s="362">
        <f>+BG9</f>
        <v>5620.1</v>
      </c>
      <c r="BI9" s="363">
        <f>Model!BI96</f>
        <v>9577.7000000000007</v>
      </c>
      <c r="BJ9" s="363">
        <f>Model!BJ96</f>
        <v>1399.2</v>
      </c>
      <c r="BK9" s="363">
        <f>Model!BK96</f>
        <v>1243.1000000000001</v>
      </c>
      <c r="BL9" s="363">
        <f>Model!BL96</f>
        <v>2793.9</v>
      </c>
      <c r="BM9" s="362">
        <f>+BL9</f>
        <v>2793.9</v>
      </c>
      <c r="BN9" s="363">
        <f>Model!BN96</f>
        <v>1990</v>
      </c>
      <c r="BO9" s="363">
        <f>Model!BO96</f>
        <v>1342.2</v>
      </c>
      <c r="BP9" s="363">
        <f>Model!BP96</f>
        <v>1722.3</v>
      </c>
      <c r="BQ9" s="363">
        <f>Model!BQ96</f>
        <v>1991.4</v>
      </c>
      <c r="BR9" s="362">
        <f>+BQ9</f>
        <v>1991.4</v>
      </c>
      <c r="BS9" s="363">
        <f>Model!BS96</f>
        <v>1850.4</v>
      </c>
      <c r="BT9" s="363">
        <f>Model!BT96</f>
        <v>2835.2</v>
      </c>
      <c r="BU9" s="363">
        <f>Model!BU96</f>
        <v>834.8</v>
      </c>
      <c r="BV9" s="363">
        <f>Model!BV96</f>
        <v>1832.6</v>
      </c>
      <c r="BW9" s="362">
        <f>+BV9</f>
        <v>1832.6</v>
      </c>
      <c r="BX9" s="363">
        <f>Model!BX96</f>
        <v>933.8</v>
      </c>
      <c r="BY9" s="363">
        <f>Model!BY96</f>
        <v>721</v>
      </c>
      <c r="BZ9" s="363">
        <f>Model!BZ96</f>
        <v>438.2</v>
      </c>
      <c r="CA9" s="363">
        <f>Model!CA96</f>
        <v>3186.3</v>
      </c>
      <c r="CB9" s="533">
        <f>+CA9</f>
        <v>3186.3</v>
      </c>
      <c r="CC9" s="363">
        <f>Model!CC96</f>
        <v>1771.1</v>
      </c>
      <c r="CD9" s="363">
        <f>Model!CD96</f>
        <v>1324.4</v>
      </c>
      <c r="CE9" s="363">
        <f>Model!CE96</f>
        <v>2304.6999999999998</v>
      </c>
      <c r="CF9" s="363">
        <f>Model!CF96</f>
        <v>3077.2</v>
      </c>
      <c r="CG9" s="533">
        <f>+CF9</f>
        <v>3077.2</v>
      </c>
      <c r="CH9" s="363">
        <f>Model!CH96</f>
        <v>3163.8</v>
      </c>
      <c r="CI9" s="363">
        <f>Model!CI96</f>
        <v>2352.5</v>
      </c>
      <c r="CJ9" s="363">
        <f>Model!CJ96</f>
        <v>3395.9</v>
      </c>
      <c r="CK9" s="363">
        <f>Model!CK96</f>
        <v>2309.6</v>
      </c>
      <c r="CL9" s="533">
        <f>+CK9</f>
        <v>2309.6</v>
      </c>
      <c r="CM9" s="363">
        <f ca="1">Model!CM96</f>
        <v>1355.4792991483314</v>
      </c>
      <c r="CN9" s="363">
        <f ca="1">Model!CN96</f>
        <v>2546.5530322589889</v>
      </c>
      <c r="CO9" s="363">
        <f ca="1">Model!CO96</f>
        <v>4002.4475269410145</v>
      </c>
      <c r="CP9" s="363">
        <f ca="1">Model!CP96</f>
        <v>5374.0575196585341</v>
      </c>
      <c r="CQ9" s="533">
        <f ca="1">+CP9</f>
        <v>5374.0575196585341</v>
      </c>
      <c r="CR9" s="363">
        <f ca="1">Model!CR96</f>
        <v>7254.3027386248086</v>
      </c>
      <c r="CS9" s="363">
        <f ca="1">Model!CS96</f>
        <v>7144.5216483537606</v>
      </c>
      <c r="CT9" s="363">
        <f ca="1">Model!CT96</f>
        <v>8585.0552309010072</v>
      </c>
      <c r="CU9" s="363">
        <f ca="1">Model!CU96</f>
        <v>9723.9667527798319</v>
      </c>
      <c r="CV9" s="533">
        <f ca="1">+CU9</f>
        <v>9723.9667527798319</v>
      </c>
      <c r="CW9" s="363">
        <f ca="1">Model!CW96</f>
        <v>10721.408454895514</v>
      </c>
      <c r="CX9" s="363">
        <f ca="1">Model!CX96</f>
        <v>10498.044410372515</v>
      </c>
      <c r="CY9" s="363">
        <f ca="1">Model!CY96</f>
        <v>11817.616597766559</v>
      </c>
      <c r="CZ9" s="363">
        <f ca="1">Model!CZ96</f>
        <v>12813.44477378271</v>
      </c>
      <c r="DA9" s="533">
        <f ca="1">+CZ9</f>
        <v>12813.44477378271</v>
      </c>
      <c r="DB9" s="363">
        <f ca="1">Model!DB96</f>
        <v>13632.542005521904</v>
      </c>
      <c r="DC9" s="363">
        <f ca="1">Model!DC96</f>
        <v>13285.66373280245</v>
      </c>
      <c r="DD9" s="363">
        <f ca="1">Model!DD96</f>
        <v>14486.87825749777</v>
      </c>
      <c r="DE9" s="363">
        <f ca="1">Model!DE96</f>
        <v>15372.197280892397</v>
      </c>
      <c r="DF9" s="533">
        <f ca="1">+DE9</f>
        <v>15372.197280892397</v>
      </c>
    </row>
    <row r="10" spans="1:110" s="360" customFormat="1" x14ac:dyDescent="0.2">
      <c r="B10" s="536"/>
      <c r="C10" s="10"/>
      <c r="D10" s="537"/>
      <c r="E10" s="537"/>
      <c r="F10" s="537"/>
      <c r="G10" s="537"/>
      <c r="H10" s="537"/>
      <c r="I10" s="537"/>
      <c r="J10" s="537"/>
      <c r="K10" s="537"/>
      <c r="L10" s="537"/>
      <c r="M10" s="537"/>
      <c r="N10" s="537"/>
      <c r="O10" s="537"/>
      <c r="P10" s="537"/>
      <c r="Q10" s="537"/>
      <c r="R10" s="537"/>
      <c r="S10" s="364"/>
      <c r="T10" s="341"/>
      <c r="U10" s="365"/>
      <c r="V10" s="342"/>
      <c r="W10" s="342"/>
      <c r="X10" s="366"/>
      <c r="Y10" s="367"/>
      <c r="Z10" s="366"/>
      <c r="AA10" s="366"/>
      <c r="AB10" s="366"/>
      <c r="AC10" s="366"/>
      <c r="AD10" s="367"/>
      <c r="AE10" s="366"/>
      <c r="AF10" s="366"/>
      <c r="AG10" s="366"/>
      <c r="AH10" s="366"/>
      <c r="AI10" s="367"/>
      <c r="AJ10" s="366"/>
      <c r="AK10" s="366"/>
      <c r="AL10" s="366"/>
      <c r="AM10" s="366"/>
      <c r="AN10" s="367"/>
      <c r="AO10" s="366"/>
      <c r="AP10" s="366"/>
      <c r="AQ10" s="366"/>
      <c r="AR10" s="366"/>
      <c r="AS10" s="367"/>
      <c r="AT10" s="366"/>
      <c r="AU10" s="366"/>
      <c r="AV10" s="366"/>
      <c r="AW10" s="366"/>
      <c r="AX10" s="367"/>
      <c r="AY10" s="366"/>
      <c r="AZ10" s="366"/>
      <c r="BA10" s="366"/>
      <c r="BB10" s="366"/>
      <c r="BC10" s="367"/>
      <c r="BD10" s="366"/>
      <c r="BE10" s="366"/>
      <c r="BF10" s="366"/>
      <c r="BG10" s="366"/>
      <c r="BH10" s="367"/>
      <c r="BI10" s="366"/>
      <c r="BJ10" s="366"/>
      <c r="BK10" s="366"/>
      <c r="BL10" s="366"/>
      <c r="BM10" s="367"/>
      <c r="BN10" s="366"/>
      <c r="BO10" s="366"/>
      <c r="BP10" s="366"/>
      <c r="BQ10" s="366"/>
      <c r="BR10" s="367"/>
      <c r="BS10" s="366"/>
      <c r="BT10" s="366"/>
      <c r="BU10" s="366"/>
      <c r="BV10" s="366"/>
      <c r="BW10" s="367"/>
      <c r="BX10" s="366"/>
      <c r="BY10" s="366"/>
      <c r="BZ10" s="366"/>
      <c r="CA10" s="366"/>
      <c r="CB10" s="538"/>
      <c r="CC10" s="366"/>
      <c r="CD10" s="366"/>
      <c r="CE10" s="366"/>
      <c r="CF10" s="366"/>
      <c r="CG10" s="538"/>
      <c r="CH10" s="366"/>
      <c r="CI10" s="366"/>
      <c r="CJ10" s="366"/>
      <c r="CK10" s="366"/>
      <c r="CL10" s="538"/>
      <c r="CM10" s="366"/>
      <c r="CN10" s="366"/>
      <c r="CO10" s="366"/>
      <c r="CP10" s="366"/>
      <c r="CQ10" s="538"/>
      <c r="CR10" s="366"/>
      <c r="CS10" s="366"/>
      <c r="CT10" s="366"/>
      <c r="CU10" s="366"/>
      <c r="CV10" s="538"/>
      <c r="CW10" s="366"/>
      <c r="CX10" s="366"/>
      <c r="CY10" s="366"/>
      <c r="CZ10" s="366"/>
      <c r="DA10" s="538"/>
      <c r="DB10" s="366"/>
      <c r="DC10" s="366"/>
      <c r="DD10" s="366"/>
      <c r="DE10" s="366"/>
      <c r="DF10" s="538"/>
    </row>
    <row r="11" spans="1:110" s="368" customFormat="1" x14ac:dyDescent="0.2">
      <c r="B11" s="59" t="s">
        <v>321</v>
      </c>
      <c r="C11" s="10"/>
      <c r="D11" s="77"/>
      <c r="E11" s="77"/>
      <c r="F11" s="77"/>
      <c r="G11" s="77"/>
      <c r="H11" s="77"/>
      <c r="I11" s="77"/>
      <c r="J11" s="77"/>
      <c r="K11" s="77"/>
      <c r="L11" s="77"/>
      <c r="M11" s="77"/>
      <c r="N11" s="77"/>
      <c r="O11" s="77"/>
      <c r="P11" s="77"/>
      <c r="Q11" s="77"/>
      <c r="R11" s="77"/>
      <c r="S11" s="77"/>
      <c r="T11" s="77"/>
      <c r="U11" s="539"/>
      <c r="V11" s="539"/>
      <c r="W11" s="539"/>
      <c r="X11" s="540"/>
      <c r="Y11" s="541"/>
      <c r="Z11" s="542">
        <f>(AVERAGE(Z8,Z9)*(Z7/4))</f>
        <v>1.6002597999999999</v>
      </c>
      <c r="AA11" s="542">
        <f>(AVERAGE(AA8,AA9)*(AA7/4))</f>
        <v>2.452484165</v>
      </c>
      <c r="AB11" s="542">
        <f>(AVERAGE(AB8,AB9)*(AB7/4))</f>
        <v>3.5162748499999994</v>
      </c>
      <c r="AC11" s="542">
        <f>(AVERAGE(AC8,AC9)*(AC7/4))</f>
        <v>3.9952446749999999</v>
      </c>
      <c r="AD11" s="370"/>
      <c r="AE11" s="542">
        <f>(AVERAGE(AE8,AE9)*(AE7/4))</f>
        <v>4.99820625</v>
      </c>
      <c r="AF11" s="542">
        <f>(AVERAGE(AF8,AF9)*(AF7/4))</f>
        <v>4.0113937499999999</v>
      </c>
      <c r="AG11" s="542">
        <f>(AVERAGE(AG8,AG8)*(AG7/4))</f>
        <v>2.301825</v>
      </c>
      <c r="AH11" s="542">
        <f>(AVERAGE(AH8,AH9)*(AH7/4))</f>
        <v>2.4000000000000292</v>
      </c>
      <c r="AI11" s="370"/>
      <c r="AJ11" s="542">
        <f>(AVERAGE(AJ8,AJ9)*(AJ7/4))</f>
        <v>2.8000000000000353</v>
      </c>
      <c r="AK11" s="542">
        <f>(AVERAGE(AK8,AK9)*(AK7/4))</f>
        <v>2.5999999999999805</v>
      </c>
      <c r="AL11" s="542">
        <f>(AVERAGE(AL8,AL9)*(AL7/4))</f>
        <v>2.6999999999999855</v>
      </c>
      <c r="AM11" s="542">
        <f>(AVERAGE(AM8,AM9)*(AM7/4))</f>
        <v>4.1000000000000227</v>
      </c>
      <c r="AN11" s="370"/>
      <c r="AO11" s="542">
        <f>(AVERAGE(AO8,AO9)*(AO7/4))</f>
        <v>5.2999999999999741</v>
      </c>
      <c r="AP11" s="542">
        <f>(AVERAGE(AP8,AP9)*(AP7/4))</f>
        <v>3.3000009999999995</v>
      </c>
      <c r="AQ11" s="542">
        <f>(AVERAGE(AQ8,AQ9)*(AQ7/4))</f>
        <v>2.1000009999999998</v>
      </c>
      <c r="AR11" s="542">
        <f>(AVERAGE(AR8,AR9)*(AR7/4))</f>
        <v>2.3000000000000158</v>
      </c>
      <c r="AS11" s="370"/>
      <c r="AT11" s="542">
        <f>(AVERAGE(AT8,AT9)*(AT7/4))</f>
        <v>0.90000000000003899</v>
      </c>
      <c r="AU11" s="542">
        <f>(AVERAGE(AU8,AU9)*(AU7/4))</f>
        <v>1.199999</v>
      </c>
      <c r="AV11" s="542">
        <f>(AVERAGE(AV8,AV9)*(AV7/4))</f>
        <v>2.0000000000000129</v>
      </c>
      <c r="AW11" s="542">
        <f>IF(UPPER(Circularity)="Y",(AVERAGE(AW8,AW9)*(AW7/4)),AV11)</f>
        <v>1.200000000000039</v>
      </c>
      <c r="AX11" s="370"/>
      <c r="AY11" s="542">
        <f>IF(UPPER(Circularity)="Y",(AVERAGE(AY8,AY9)*(AY7/4)),AW11)</f>
        <v>1.7</v>
      </c>
      <c r="AZ11" s="542">
        <f>IF(UPPER(Circularity)="Y",(AVERAGE(AZ8,AZ9)*(AZ7/4)),AY11)</f>
        <v>0.49999999999998412</v>
      </c>
      <c r="BA11" s="542">
        <f>IF(UPPER(Circularity)="Y",(AVERAGE(BA8,BA8)*(BA7/4)),AZ11)</f>
        <v>2.2000000000000304</v>
      </c>
      <c r="BB11" s="542">
        <f>IF(UPPER(Circularity)="Y",(AVERAGE(BB8,BB9)*(BB7/4)),BA11)</f>
        <v>0.50000099999999992</v>
      </c>
      <c r="BC11" s="370"/>
      <c r="BD11" s="542">
        <f>IF(UPPER(Circularity)="Y",(AVERAGE(BD8,BD9)*(BD7/4)),BB11)</f>
        <v>0.3999990000000001</v>
      </c>
      <c r="BE11" s="542">
        <f>IF(UPPER(Circularity)="Y",(AVERAGE(BE8,BE9)*(BE7/4)),BD11)</f>
        <v>1.5000009999999999</v>
      </c>
      <c r="BF11" s="542">
        <f>IF(UPPER(Circularity)="Y",(AVERAGE(BF8,BF9)*(BF7/4)),BE11)</f>
        <v>1.9288799999999999</v>
      </c>
      <c r="BG11" s="542">
        <f>IF(UPPER(Circularity)="Y",(AVERAGE(BG8,BG9)*(BG7/4)),BF11)</f>
        <v>2.0883437500000004</v>
      </c>
      <c r="BH11" s="370"/>
      <c r="BI11" s="542">
        <f>IF(UPPER(Circularity)="Y",(AVERAGE(BI8,BI9)*(BI7/4)),BG11)</f>
        <v>4.7493125000000003</v>
      </c>
      <c r="BJ11" s="542">
        <f>IF(UPPER(Circularity)="Y",(AVERAGE(BJ9,BJ9)*(BJ7/4)),BI11)</f>
        <v>2.2736999999999998</v>
      </c>
      <c r="BK11" s="542">
        <f>IF(UPPER(Circularity)="Y",(AVERAGE(BK8,BK9)*(BK7/4)),BJ11)</f>
        <v>1.3872074999999999</v>
      </c>
      <c r="BL11" s="542">
        <f>IF(UPPER(Circularity)="Y",(AVERAGE(BL8,BL9)*(BL7/4)),BK11)</f>
        <v>2.5231249999999998</v>
      </c>
      <c r="BM11" s="370">
        <f>SUM(BI11:BL11)</f>
        <v>10.933345000000001</v>
      </c>
      <c r="BN11" s="542">
        <f>IF(UPPER(Circularity)="Y",(AVERAGE(BN8,BN9)*(BN7/4)),BL11)</f>
        <v>1.49496875</v>
      </c>
      <c r="BO11" s="542">
        <f>IF(UPPER(Circularity)="Y",(AVERAGE(BO8,BO9)*(BO7/4)),BM11)</f>
        <v>1.0413124999999999</v>
      </c>
      <c r="BP11" s="542">
        <f>IF(UPPER(Circularity)="Y",(AVERAGE(BP8,BP9)*(BP7/4)),BN11)</f>
        <v>0.95765624999999999</v>
      </c>
      <c r="BQ11" s="542">
        <f>IF(UPPER(Circularity)="Y",(AVERAGE(BQ8,BQ9)*(BQ7/4)),BO11)</f>
        <v>1.16053125</v>
      </c>
      <c r="BR11" s="370"/>
      <c r="BS11" s="542">
        <f>IF(UPPER(Circularity)="Y",(AVERAGE(BS8,BS9)*(BS7/4)),BQ11)</f>
        <v>4.8022499999999999</v>
      </c>
      <c r="BT11" s="542">
        <f>IF(UPPER(Circularity)="Y",(AVERAGE(BT8,BT9)*(BT7/4)),BS11)</f>
        <v>5.5641500000000006</v>
      </c>
      <c r="BU11" s="542">
        <f>IF(UPPER(Circularity)="Y",(AVERAGE(BU8,BU9)*(BU7/4)),BT11)</f>
        <v>4.5875000000000004</v>
      </c>
      <c r="BV11" s="542">
        <f>IF(UPPER(Circularity)="Y",(AVERAGE(BV8,BV9)*(BV7/4)),BU11)</f>
        <v>3.3342499999999995</v>
      </c>
      <c r="BW11" s="370"/>
      <c r="BX11" s="542">
        <f>IF(UPPER(Circularity)="Y",(AVERAGE(BX8,BX9)*(BX7/4)),BV11)</f>
        <v>3.4579999999999997</v>
      </c>
      <c r="BY11" s="542">
        <f>IF(UPPER(Circularity)="Y",(AVERAGE(BY8,BY9)*(BY7/4)),BX11)</f>
        <v>2.0684999999999998</v>
      </c>
      <c r="BZ11" s="542">
        <f>IF(UPPER(Circularity)="Y",(AVERAGE(BZ8,BZ9)*(BZ7/4)),BY11)</f>
        <v>1.4490000000000001</v>
      </c>
      <c r="CA11" s="542">
        <f>IF(UPPER(Circularity)="Y",(AVERAGE(CA8,CA9)*(CA7/4)),BZ11)</f>
        <v>4.5306249999999997</v>
      </c>
      <c r="CB11" s="543"/>
      <c r="CC11" s="542">
        <f>IF(UPPER(Circularity)="Y",(AVERAGE(CC8,CC9)*(CC7/4)),CA11)</f>
        <v>6.1967499999999998</v>
      </c>
      <c r="CD11" s="542">
        <f>IF(UPPER(Circularity)="Y",(AVERAGE(CD8,CD9)*(CD7/4)),CC11)</f>
        <v>3.8693750000000002</v>
      </c>
      <c r="CE11" s="542">
        <f>IF(UPPER(Circularity)="Y",(AVERAGE(CE8,CE9)*(CE7/4)),CD11)</f>
        <v>4.5363749999999996</v>
      </c>
      <c r="CF11" s="542">
        <f>IF(UPPER(Circularity)="Y",(AVERAGE(CF8,CF9)*(CF7/4)),CE11)</f>
        <v>6.7273749999999994</v>
      </c>
      <c r="CG11" s="543"/>
      <c r="CH11" s="542">
        <f>IF(UPPER(Circularity)="Y",(AVERAGE(CH8,CH9)*(CH7/4)),CF11)</f>
        <v>7.8012500000000005</v>
      </c>
      <c r="CI11" s="542">
        <f>IF(UPPER(Circularity)="Y",(AVERAGE(CI8,CI9)*(CI7/4)),CH11)</f>
        <v>6.8953750000000005</v>
      </c>
      <c r="CJ11" s="542">
        <f>IF(UPPER(Circularity)="Y",(AVERAGE(CJ8,CJ9)*(CJ7/4)),CI11)</f>
        <v>7.1854999999999993</v>
      </c>
      <c r="CK11" s="542">
        <f>IF(UPPER(Circularity)="Y",(AVERAGE(CK8,CK9)*(CK7/4)),CJ11)</f>
        <v>7.131875</v>
      </c>
      <c r="CL11" s="543"/>
      <c r="CM11" s="542">
        <f ca="1">IF(UPPER(Circularity)="Y",(AVERAGE(CM8,CM9)*(CM7/4)),CK11)</f>
        <v>4.5813491239354143</v>
      </c>
      <c r="CN11" s="542">
        <f ca="1">IF(UPPER(Circularity)="Y",(AVERAGE(CN8,CN9)*(CN7/4)),CM11)</f>
        <v>4.8775404142591503</v>
      </c>
      <c r="CO11" s="542">
        <f ca="1">IF(UPPER(Circularity)="Y",(AVERAGE(CO8,CO9)*(CO7/4)),CN11)</f>
        <v>8.1862506990000039</v>
      </c>
      <c r="CP11" s="542">
        <f ca="1">IF(UPPER(Circularity)="Y",(AVERAGE(CP8,CP9)*(CP7/4)),CO11)</f>
        <v>11.720631308249436</v>
      </c>
      <c r="CQ11" s="543"/>
      <c r="CR11" s="542">
        <f ca="1">IF(UPPER(Circularity)="Y",(AVERAGE(CR8,CR9)*(CR7/4)),CP11)</f>
        <v>15.785450322854178</v>
      </c>
      <c r="CS11" s="542">
        <f ca="1">IF(UPPER(Circularity)="Y",(AVERAGE(CS8,CS9)*(CS7/4)),CR11)</f>
        <v>17.998530483723211</v>
      </c>
      <c r="CT11" s="542">
        <f ca="1">IF(UPPER(Circularity)="Y",(AVERAGE(CT8,CT9)*(CT7/4)),CS11)</f>
        <v>19.66197109906846</v>
      </c>
      <c r="CU11" s="542">
        <f ca="1">IF(UPPER(Circularity)="Y",(AVERAGE(CU8,CU9)*(CU7/4)),CT11)</f>
        <v>22.886277479601048</v>
      </c>
      <c r="CV11" s="543"/>
      <c r="CW11" s="542">
        <f ca="1">IF(UPPER(Circularity)="Y",(AVERAGE(CW8,CW9)*(CW7/4)),CU11)</f>
        <v>25.556719009594183</v>
      </c>
      <c r="CX11" s="542">
        <f ca="1">IF(UPPER(Circularity)="Y",(AVERAGE(CX8,CX9)*(CX7/4)),CW11)</f>
        <v>26.524316081585038</v>
      </c>
      <c r="CY11" s="542">
        <f ca="1">IF(UPPER(Circularity)="Y",(AVERAGE(CY8,CY9)*(CY7/4)),CX11)</f>
        <v>27.894576260173846</v>
      </c>
      <c r="CZ11" s="542">
        <f ca="1">IF(UPPER(Circularity)="Y",(AVERAGE(CZ8,CZ9)*(CZ7/4)),CY11)</f>
        <v>30.788826714436588</v>
      </c>
      <c r="DA11" s="543"/>
      <c r="DB11" s="542">
        <f ca="1">IF(UPPER(Circularity)="Y",(AVERAGE(DB8,DB9)*(DB7/4)),CZ11)</f>
        <v>33.05748347413077</v>
      </c>
      <c r="DC11" s="542">
        <f ca="1">IF(UPPER(Circularity)="Y",(AVERAGE(DC8,DC9)*(DC7/4)),DB11)</f>
        <v>33.647757172905443</v>
      </c>
      <c r="DD11" s="542">
        <f ca="1">IF(UPPER(Circularity)="Y",(AVERAGE(DD8,DD9)*(DD7/4)),DC11)</f>
        <v>34.715677487875276</v>
      </c>
      <c r="DE11" s="542">
        <f ca="1">IF(UPPER(Circularity)="Y",(AVERAGE(DE8,DE9)*(DE7/4)),DD11)</f>
        <v>37.323844422987712</v>
      </c>
      <c r="DF11" s="543"/>
    </row>
    <row r="12" spans="1:110" s="368" customFormat="1" x14ac:dyDescent="0.2">
      <c r="B12" s="544" t="s">
        <v>216</v>
      </c>
      <c r="C12" s="10"/>
      <c r="D12" s="77"/>
      <c r="E12" s="77"/>
      <c r="F12" s="77"/>
      <c r="G12" s="77"/>
      <c r="H12" s="77"/>
      <c r="I12" s="77"/>
      <c r="J12" s="77"/>
      <c r="K12" s="77"/>
      <c r="L12" s="77"/>
      <c r="M12" s="77"/>
      <c r="N12" s="77"/>
      <c r="O12" s="77"/>
      <c r="P12" s="77"/>
      <c r="Q12" s="77"/>
      <c r="R12" s="77"/>
      <c r="S12" s="77"/>
      <c r="T12" s="77"/>
      <c r="U12" s="77"/>
      <c r="V12" s="77"/>
      <c r="W12" s="77"/>
      <c r="X12" s="540"/>
      <c r="Y12" s="540"/>
      <c r="Z12" s="542">
        <f>Model!Z19</f>
        <v>1.6</v>
      </c>
      <c r="AA12" s="542">
        <f>Model!AA19</f>
        <v>2.452</v>
      </c>
      <c r="AB12" s="542">
        <f>Model!AB19</f>
        <v>3.5</v>
      </c>
      <c r="AC12" s="542">
        <f>Model!AC19</f>
        <v>3.6479999999999997</v>
      </c>
      <c r="AD12" s="370"/>
      <c r="AE12" s="542">
        <f>Model!AE19</f>
        <v>5</v>
      </c>
      <c r="AF12" s="542">
        <f>Model!AF19</f>
        <v>4</v>
      </c>
      <c r="AG12" s="542">
        <f>Model!AG19</f>
        <v>2.2999999999999998</v>
      </c>
      <c r="AH12" s="542">
        <f>Model!AH19</f>
        <v>2.3999999999999986</v>
      </c>
      <c r="AI12" s="370"/>
      <c r="AJ12" s="542">
        <f>Model!AJ19</f>
        <v>2.8</v>
      </c>
      <c r="AK12" s="542">
        <f>Model!AK19</f>
        <v>2.6</v>
      </c>
      <c r="AL12" s="542">
        <f>Model!AL19</f>
        <v>2.7</v>
      </c>
      <c r="AM12" s="542">
        <f>Model!AM19</f>
        <v>4.0999999999999996</v>
      </c>
      <c r="AN12" s="370"/>
      <c r="AO12" s="542">
        <f>Model!AO19</f>
        <v>5.3</v>
      </c>
      <c r="AP12" s="542">
        <f>Model!AP19</f>
        <v>3.3</v>
      </c>
      <c r="AQ12" s="542">
        <f>Model!AQ19</f>
        <v>2.1</v>
      </c>
      <c r="AR12" s="542">
        <f>Model!AR19</f>
        <v>2.2999999999999998</v>
      </c>
      <c r="AS12" s="370"/>
      <c r="AT12" s="542">
        <f>Model!AT19</f>
        <v>0.9</v>
      </c>
      <c r="AU12" s="542">
        <f>Model!AU19</f>
        <v>1.2</v>
      </c>
      <c r="AV12" s="542">
        <f>Model!AV19</f>
        <v>2</v>
      </c>
      <c r="AW12" s="542">
        <f>Model!AW19</f>
        <v>1.2</v>
      </c>
      <c r="AX12" s="370"/>
      <c r="AY12" s="542">
        <f>Model!AY19</f>
        <v>1.7</v>
      </c>
      <c r="AZ12" s="542">
        <f>Model!AZ19</f>
        <v>0.5</v>
      </c>
      <c r="BA12" s="542">
        <f>Model!BA19</f>
        <v>2.2000000000000002</v>
      </c>
      <c r="BB12" s="542">
        <f>Model!BB19</f>
        <v>0.5</v>
      </c>
      <c r="BC12" s="370"/>
      <c r="BD12" s="542">
        <f>Model!BD19</f>
        <v>0.4</v>
      </c>
      <c r="BE12" s="542">
        <f>Model!BE19</f>
        <v>1.5</v>
      </c>
      <c r="BF12" s="542">
        <f>Model!BF19</f>
        <v>5.9</v>
      </c>
      <c r="BG12" s="542">
        <f>Model!BG19</f>
        <v>4.5999999999999996</v>
      </c>
      <c r="BH12" s="370"/>
      <c r="BI12" s="542">
        <f>Model!BI19</f>
        <v>2.2999999999999998</v>
      </c>
      <c r="BJ12" s="542">
        <f>Model!BJ19</f>
        <v>2.2999999999999998</v>
      </c>
      <c r="BK12" s="542">
        <f>Model!BK19</f>
        <v>1.4</v>
      </c>
      <c r="BL12" s="542">
        <f>Model!BL19</f>
        <v>4.5999999999999996</v>
      </c>
      <c r="BM12" s="370"/>
      <c r="BN12" s="542">
        <f>Model!BN19</f>
        <v>1.6</v>
      </c>
      <c r="BO12" s="542">
        <f>Model!BO19</f>
        <v>1.1000000000000001</v>
      </c>
      <c r="BP12" s="542">
        <f>Model!BP19</f>
        <v>0.80000000000000071</v>
      </c>
      <c r="BQ12" s="542">
        <f>Model!BQ19</f>
        <v>1.9000000000000004</v>
      </c>
      <c r="BR12" s="370"/>
      <c r="BS12" s="542">
        <f>Model!BS19</f>
        <v>9.4</v>
      </c>
      <c r="BT12" s="542">
        <f>Model!BT19</f>
        <v>5.6</v>
      </c>
      <c r="BU12" s="542">
        <f>Model!BU19</f>
        <v>8.3000000000000007</v>
      </c>
      <c r="BV12" s="542">
        <f>Model!BV19</f>
        <v>4.7</v>
      </c>
      <c r="BW12" s="370"/>
      <c r="BX12" s="542">
        <f>Model!BX19</f>
        <v>4.7</v>
      </c>
      <c r="BY12" s="542">
        <f>Model!BY19</f>
        <v>6</v>
      </c>
      <c r="BZ12" s="542">
        <f>Model!BZ19</f>
        <v>7.8</v>
      </c>
      <c r="CA12" s="542">
        <f>Model!CA19</f>
        <v>5.7</v>
      </c>
      <c r="CB12" s="543"/>
      <c r="CC12" s="542">
        <f>Model!CC19</f>
        <v>8.8000000000000007</v>
      </c>
      <c r="CD12" s="542">
        <f>Model!CD19</f>
        <v>10.3</v>
      </c>
      <c r="CE12" s="542">
        <f>Model!CE19</f>
        <v>8.3000000000000007</v>
      </c>
      <c r="CF12" s="542">
        <f>Model!CF19</f>
        <v>6.7</v>
      </c>
      <c r="CG12" s="543"/>
      <c r="CH12" s="542">
        <f>Model!CH19</f>
        <v>6.3</v>
      </c>
      <c r="CI12" s="542">
        <f>Model!CI19</f>
        <v>8.8000000000000007</v>
      </c>
      <c r="CJ12" s="542">
        <f>Model!CJ19</f>
        <v>13.6</v>
      </c>
      <c r="CK12" s="542">
        <f>Model!CK19</f>
        <v>14.2</v>
      </c>
      <c r="CL12" s="543"/>
      <c r="CM12" s="542">
        <f ca="1">Model!CM19</f>
        <v>4.5813491239354143</v>
      </c>
      <c r="CN12" s="542">
        <f ca="1">Model!CN19</f>
        <v>4.8775404142591503</v>
      </c>
      <c r="CO12" s="542">
        <f ca="1">Model!CO19</f>
        <v>8.1862506990000039</v>
      </c>
      <c r="CP12" s="542">
        <f ca="1">Model!CP19</f>
        <v>11.720631308249436</v>
      </c>
      <c r="CQ12" s="543"/>
      <c r="CR12" s="542">
        <f ca="1">Model!CR19</f>
        <v>15.785450322854178</v>
      </c>
      <c r="CS12" s="542">
        <f ca="1">Model!CS19</f>
        <v>17.998530483723211</v>
      </c>
      <c r="CT12" s="542">
        <f ca="1">Model!CT19</f>
        <v>19.66197109906846</v>
      </c>
      <c r="CU12" s="542">
        <f ca="1">Model!CU19</f>
        <v>22.886277479601048</v>
      </c>
      <c r="CV12" s="543"/>
      <c r="CW12" s="542">
        <f ca="1">Model!CW19</f>
        <v>25.556719009594183</v>
      </c>
      <c r="CX12" s="542">
        <f ca="1">Model!CX19</f>
        <v>26.524316081585038</v>
      </c>
      <c r="CY12" s="542">
        <f ca="1">Model!CY19</f>
        <v>27.894576260173846</v>
      </c>
      <c r="CZ12" s="542">
        <f ca="1">Model!CZ19</f>
        <v>30.788826714436588</v>
      </c>
      <c r="DA12" s="543"/>
      <c r="DB12" s="542">
        <f ca="1">Model!DB19</f>
        <v>33.05748347413077</v>
      </c>
      <c r="DC12" s="542">
        <f ca="1">Model!DC19</f>
        <v>33.647757172905443</v>
      </c>
      <c r="DD12" s="542">
        <f ca="1">Model!DD19</f>
        <v>34.715677487875276</v>
      </c>
      <c r="DE12" s="542">
        <f ca="1">Model!DE19</f>
        <v>37.323844422987712</v>
      </c>
      <c r="DF12" s="543"/>
    </row>
    <row r="13" spans="1:110" s="368" customFormat="1" hidden="1" outlineLevel="1" x14ac:dyDescent="0.2">
      <c r="B13" s="545" t="s">
        <v>168</v>
      </c>
      <c r="C13" s="356"/>
      <c r="D13" s="356"/>
      <c r="E13" s="356"/>
      <c r="F13" s="356"/>
      <c r="G13" s="356"/>
      <c r="H13" s="356"/>
      <c r="I13" s="356"/>
      <c r="J13" s="356"/>
      <c r="K13" s="356"/>
      <c r="L13" s="356"/>
      <c r="M13" s="356"/>
      <c r="N13" s="356"/>
      <c r="O13" s="356"/>
      <c r="P13" s="356"/>
      <c r="Q13" s="356"/>
      <c r="R13" s="356"/>
      <c r="S13" s="357"/>
      <c r="T13" s="358"/>
      <c r="U13" s="357"/>
      <c r="V13" s="357"/>
      <c r="W13" s="357"/>
      <c r="X13" s="546"/>
      <c r="Y13" s="369"/>
      <c r="Z13" s="546">
        <f>Z12-Z11</f>
        <v>-2.5979999999981018E-4</v>
      </c>
      <c r="AA13" s="546">
        <f>AA12-AA11</f>
        <v>-4.8416500000003637E-4</v>
      </c>
      <c r="AB13" s="546">
        <f>AB12-AB11</f>
        <v>-1.6274849999999397E-2</v>
      </c>
      <c r="AC13" s="546">
        <f>AC12-AC11</f>
        <v>-0.34724467500000022</v>
      </c>
      <c r="AD13" s="369"/>
      <c r="AE13" s="546">
        <f>AE12-AE11</f>
        <v>1.7937500000000384E-3</v>
      </c>
      <c r="AF13" s="546">
        <f>AF12-AF11</f>
        <v>-1.1393749999999869E-2</v>
      </c>
      <c r="AG13" s="546">
        <f>AG12-AG11</f>
        <v>-1.8250000000001876E-3</v>
      </c>
      <c r="AH13" s="546">
        <f>AH12-AH11</f>
        <v>-3.0642155479654321E-14</v>
      </c>
      <c r="AI13" s="369"/>
      <c r="AJ13" s="546">
        <f>AJ12-AJ11</f>
        <v>-3.5527136788005009E-14</v>
      </c>
      <c r="AK13" s="546">
        <f>AK12-AK11</f>
        <v>1.9539925233402755E-14</v>
      </c>
      <c r="AL13" s="546">
        <f>AL12-AL11</f>
        <v>1.4654943925052066E-14</v>
      </c>
      <c r="AM13" s="546">
        <f>AM12-AM11</f>
        <v>-2.3092638912203256E-14</v>
      </c>
      <c r="AN13" s="369"/>
      <c r="AO13" s="546">
        <f>AO12-AO11</f>
        <v>2.5757174171303632E-14</v>
      </c>
      <c r="AP13" s="546">
        <f>AP12-AP11</f>
        <v>-9.9999999969568876E-7</v>
      </c>
      <c r="AQ13" s="546">
        <f>AQ12-AQ11</f>
        <v>-9.9999999969568876E-7</v>
      </c>
      <c r="AR13" s="546">
        <f>AR12-AR11</f>
        <v>-1.5987211554602254E-14</v>
      </c>
      <c r="AS13" s="369"/>
      <c r="AT13" s="546">
        <f>AT12-AT11</f>
        <v>-3.8968828164342995E-14</v>
      </c>
      <c r="AU13" s="546">
        <f>AU12-AU11</f>
        <v>9.9999999991773336E-7</v>
      </c>
      <c r="AV13" s="546">
        <f>AV12-AV11</f>
        <v>-1.2878587085651816E-14</v>
      </c>
      <c r="AW13" s="546">
        <f>AW12-AW11</f>
        <v>-3.907985046680551E-14</v>
      </c>
      <c r="AX13" s="369"/>
      <c r="AY13" s="546">
        <f>AY12-AY11</f>
        <v>0</v>
      </c>
      <c r="AZ13" s="546">
        <f>AZ12-AZ11</f>
        <v>1.5876189252139739E-14</v>
      </c>
      <c r="BA13" s="546">
        <f>BA12-BA11</f>
        <v>-3.0198066269804258E-14</v>
      </c>
      <c r="BB13" s="546">
        <f>BB12-BB11</f>
        <v>-9.9999999991773336E-7</v>
      </c>
      <c r="BC13" s="369"/>
      <c r="BD13" s="546"/>
      <c r="BE13" s="546"/>
      <c r="BF13" s="546"/>
      <c r="BG13" s="546">
        <f>BG12-BG11</f>
        <v>2.5116562499999993</v>
      </c>
      <c r="BH13" s="369"/>
      <c r="BI13" s="546">
        <f>BI12-BI11</f>
        <v>-2.4493125000000004</v>
      </c>
      <c r="BJ13" s="615">
        <f>BJ12-BJ11</f>
        <v>2.629999999999999E-2</v>
      </c>
      <c r="BK13" s="615">
        <f>BK12-BK11</f>
        <v>1.2792499999999984E-2</v>
      </c>
      <c r="BL13" s="615">
        <f>BL12-BL11</f>
        <v>2.0768749999999998</v>
      </c>
      <c r="BM13" s="369"/>
      <c r="BN13" s="546">
        <f>BN12-BN11</f>
        <v>0.10503125000000013</v>
      </c>
      <c r="BO13" s="615">
        <f>BO12-BO11</f>
        <v>5.8687500000000226E-2</v>
      </c>
      <c r="BP13" s="615">
        <f>BP12-BP11</f>
        <v>-0.15765624999999928</v>
      </c>
      <c r="BQ13" s="615">
        <f>BQ12-BQ11</f>
        <v>0.73946875000000034</v>
      </c>
      <c r="BR13" s="369"/>
      <c r="BS13" s="546">
        <f>BS12-BS11</f>
        <v>4.5977500000000004</v>
      </c>
      <c r="BT13" s="615">
        <f>BT12-BT11</f>
        <v>3.5849999999999049E-2</v>
      </c>
      <c r="BU13" s="615">
        <f>BU12-BU11</f>
        <v>3.7125000000000004</v>
      </c>
      <c r="BV13" s="615">
        <f>BV12-BV11</f>
        <v>1.3657500000000007</v>
      </c>
      <c r="BW13" s="369"/>
      <c r="BX13" s="546">
        <f>BX12-BX11</f>
        <v>1.2420000000000004</v>
      </c>
      <c r="BY13" s="615">
        <f>BY12-BY11</f>
        <v>3.9315000000000002</v>
      </c>
      <c r="BZ13" s="615">
        <f>BZ12-BZ11</f>
        <v>6.351</v>
      </c>
      <c r="CA13" s="615">
        <f>CA12-CA11</f>
        <v>1.1693750000000005</v>
      </c>
      <c r="CB13" s="547"/>
      <c r="CC13" s="546">
        <f>CC12-CC11</f>
        <v>2.603250000000001</v>
      </c>
      <c r="CD13" s="615">
        <f>CD12-CD11</f>
        <v>6.4306250000000009</v>
      </c>
      <c r="CE13" s="615">
        <f>CE12-CE11</f>
        <v>3.7636250000000011</v>
      </c>
      <c r="CF13" s="615">
        <f>CF12-CF11</f>
        <v>-2.7374999999999261E-2</v>
      </c>
      <c r="CG13" s="547"/>
      <c r="CH13" s="546">
        <f>CH12-CH11</f>
        <v>-1.5012500000000006</v>
      </c>
      <c r="CI13" s="615">
        <f>CI12-CI11</f>
        <v>1.9046250000000002</v>
      </c>
      <c r="CJ13" s="615">
        <f>CJ12-CJ11</f>
        <v>6.4145000000000003</v>
      </c>
      <c r="CK13" s="615">
        <f>CK12-CK11</f>
        <v>7.0681249999999993</v>
      </c>
      <c r="CL13" s="547"/>
      <c r="CM13" s="546">
        <f ca="1">CM12-CM11</f>
        <v>0</v>
      </c>
      <c r="CN13" s="615">
        <f ca="1">CN12-CN11</f>
        <v>0</v>
      </c>
      <c r="CO13" s="615">
        <f ca="1">CO12-CO11</f>
        <v>0</v>
      </c>
      <c r="CP13" s="615">
        <f ca="1">CP12-CP11</f>
        <v>0</v>
      </c>
      <c r="CQ13" s="547"/>
      <c r="CR13" s="546"/>
      <c r="CS13" s="615"/>
      <c r="CT13" s="615"/>
      <c r="CU13" s="615"/>
      <c r="CV13" s="547"/>
      <c r="CW13" s="546"/>
      <c r="CX13" s="615"/>
      <c r="CY13" s="615"/>
      <c r="CZ13" s="615"/>
      <c r="DA13" s="547"/>
      <c r="DB13" s="546"/>
      <c r="DC13" s="615"/>
      <c r="DD13" s="615"/>
      <c r="DE13" s="615"/>
      <c r="DF13" s="547"/>
    </row>
    <row r="14" spans="1:110" s="527" customFormat="1" ht="12" collapsed="1" thickBot="1" x14ac:dyDescent="0.25">
      <c r="B14" s="548"/>
      <c r="C14" s="205"/>
      <c r="D14" s="205"/>
      <c r="E14" s="205"/>
      <c r="F14" s="205"/>
      <c r="G14" s="205"/>
      <c r="H14" s="205"/>
      <c r="I14" s="205"/>
      <c r="J14" s="205"/>
      <c r="K14" s="205"/>
      <c r="L14" s="205"/>
      <c r="M14" s="205"/>
      <c r="N14" s="205"/>
      <c r="O14" s="205"/>
      <c r="P14" s="205"/>
      <c r="Q14" s="205"/>
      <c r="R14" s="205"/>
      <c r="S14" s="549"/>
      <c r="T14" s="550"/>
      <c r="U14" s="549"/>
      <c r="V14" s="549"/>
      <c r="W14" s="549"/>
      <c r="X14" s="551"/>
      <c r="Y14" s="552"/>
      <c r="Z14" s="551"/>
      <c r="AA14" s="551"/>
      <c r="AB14" s="551"/>
      <c r="AC14" s="551"/>
      <c r="AD14" s="552"/>
      <c r="AE14" s="551"/>
      <c r="AF14" s="551"/>
      <c r="AG14" s="551"/>
      <c r="AH14" s="551"/>
      <c r="AI14" s="552"/>
      <c r="AJ14" s="551"/>
      <c r="AK14" s="551"/>
      <c r="AL14" s="551"/>
      <c r="AM14" s="551"/>
      <c r="AN14" s="552"/>
      <c r="AO14" s="551"/>
      <c r="AP14" s="551"/>
      <c r="AQ14" s="551"/>
      <c r="AR14" s="551"/>
      <c r="AS14" s="552"/>
      <c r="AT14" s="551"/>
      <c r="AU14" s="551"/>
      <c r="AV14" s="551"/>
      <c r="AW14" s="551"/>
      <c r="AX14" s="552"/>
      <c r="AY14" s="551"/>
      <c r="AZ14" s="551"/>
      <c r="BA14" s="551"/>
      <c r="BB14" s="551"/>
      <c r="BC14" s="552"/>
      <c r="BD14" s="551"/>
      <c r="BE14" s="551"/>
      <c r="BF14" s="551"/>
      <c r="BG14" s="551"/>
      <c r="BH14" s="552"/>
      <c r="BI14" s="551"/>
      <c r="BJ14" s="551"/>
      <c r="BK14" s="551"/>
      <c r="BL14" s="551"/>
      <c r="BM14" s="552"/>
      <c r="BN14" s="551"/>
      <c r="BO14" s="551"/>
      <c r="BP14" s="551"/>
      <c r="BQ14" s="551"/>
      <c r="BR14" s="552"/>
      <c r="BS14" s="551"/>
      <c r="BT14" s="551"/>
      <c r="BU14" s="551"/>
      <c r="BV14" s="551"/>
      <c r="BW14" s="552"/>
      <c r="BX14" s="551"/>
      <c r="BY14" s="551"/>
      <c r="BZ14" s="551"/>
      <c r="CA14" s="551"/>
      <c r="CB14" s="553"/>
      <c r="CC14" s="551"/>
      <c r="CD14" s="551"/>
      <c r="CE14" s="551"/>
      <c r="CF14" s="551"/>
      <c r="CG14" s="553"/>
      <c r="CH14" s="551"/>
      <c r="CI14" s="551"/>
      <c r="CJ14" s="551"/>
      <c r="CK14" s="551"/>
      <c r="CL14" s="553"/>
      <c r="CM14" s="551"/>
      <c r="CN14" s="551"/>
      <c r="CO14" s="551"/>
      <c r="CP14" s="551"/>
      <c r="CQ14" s="553"/>
      <c r="CR14" s="551"/>
      <c r="CS14" s="551"/>
      <c r="CT14" s="551"/>
      <c r="CU14" s="551"/>
      <c r="CV14" s="553"/>
      <c r="CW14" s="551"/>
      <c r="CX14" s="551"/>
      <c r="CY14" s="551"/>
      <c r="CZ14" s="551"/>
      <c r="DA14" s="553"/>
      <c r="DB14" s="551"/>
      <c r="DC14" s="551"/>
      <c r="DD14" s="551"/>
      <c r="DE14" s="551"/>
      <c r="DF14" s="553"/>
    </row>
    <row r="15" spans="1:110" s="528" customFormat="1" ht="12" thickBot="1" x14ac:dyDescent="0.25">
      <c r="B15" s="355"/>
      <c r="C15" s="145"/>
      <c r="D15" s="145"/>
      <c r="E15" s="145"/>
      <c r="F15" s="145"/>
      <c r="G15" s="145"/>
      <c r="H15" s="145"/>
      <c r="I15" s="145"/>
      <c r="J15" s="145"/>
      <c r="K15" s="145"/>
      <c r="L15" s="145"/>
      <c r="M15" s="145"/>
      <c r="N15" s="145"/>
      <c r="O15" s="145"/>
      <c r="P15" s="145"/>
      <c r="Q15" s="145"/>
      <c r="R15" s="145"/>
      <c r="S15" s="346"/>
      <c r="T15" s="346"/>
      <c r="U15" s="346"/>
      <c r="V15" s="346"/>
      <c r="W15" s="346"/>
      <c r="X15" s="560"/>
      <c r="Y15" s="560"/>
      <c r="Z15" s="560"/>
      <c r="AA15" s="560"/>
      <c r="AB15" s="560"/>
      <c r="AC15" s="560"/>
      <c r="AD15" s="560"/>
      <c r="AE15" s="560"/>
      <c r="AF15" s="560"/>
      <c r="AG15" s="560"/>
      <c r="AH15" s="560"/>
      <c r="AI15" s="560"/>
      <c r="AJ15" s="560"/>
      <c r="AK15" s="560"/>
      <c r="AL15" s="560"/>
      <c r="AM15" s="560"/>
      <c r="AN15" s="560"/>
      <c r="AO15" s="560"/>
      <c r="AP15" s="560"/>
      <c r="AQ15" s="560"/>
      <c r="AR15" s="560"/>
      <c r="AS15" s="560"/>
      <c r="AT15" s="560"/>
      <c r="AU15" s="560"/>
      <c r="AV15" s="560"/>
      <c r="AW15" s="560"/>
      <c r="AX15" s="560"/>
      <c r="AY15" s="560"/>
      <c r="AZ15" s="560"/>
      <c r="BA15" s="560"/>
      <c r="BB15" s="560"/>
      <c r="BC15" s="560"/>
      <c r="BD15" s="560"/>
      <c r="BE15" s="560"/>
      <c r="BF15" s="560"/>
      <c r="BG15" s="560"/>
      <c r="BH15" s="560"/>
      <c r="BI15" s="560"/>
      <c r="BJ15" s="560"/>
      <c r="BK15" s="560"/>
      <c r="BL15" s="560"/>
      <c r="BM15" s="560"/>
      <c r="BN15" s="560"/>
      <c r="BO15" s="560"/>
      <c r="BP15" s="560"/>
      <c r="BQ15" s="560"/>
      <c r="BR15" s="560"/>
      <c r="BS15" s="560"/>
      <c r="BT15" s="560"/>
      <c r="BU15" s="560"/>
      <c r="BV15" s="560"/>
      <c r="BW15" s="560"/>
      <c r="BX15" s="560"/>
      <c r="BY15" s="560"/>
      <c r="BZ15" s="560"/>
      <c r="CA15" s="560"/>
      <c r="CB15" s="560"/>
      <c r="CC15" s="560"/>
      <c r="CD15" s="560"/>
      <c r="CE15" s="560"/>
      <c r="CF15" s="560"/>
      <c r="CG15" s="560"/>
      <c r="CH15" s="560"/>
      <c r="CI15" s="560"/>
      <c r="CJ15" s="560"/>
      <c r="CK15" s="560"/>
      <c r="CL15" s="560"/>
      <c r="CM15" s="560"/>
      <c r="CN15" s="560"/>
      <c r="CO15" s="560"/>
      <c r="CP15" s="560"/>
      <c r="CQ15" s="560"/>
      <c r="CR15" s="560"/>
      <c r="CS15" s="560"/>
      <c r="CT15" s="560"/>
      <c r="CU15" s="560"/>
      <c r="CV15" s="560"/>
      <c r="CW15" s="560"/>
      <c r="CX15" s="560"/>
      <c r="CY15" s="560"/>
      <c r="CZ15" s="560"/>
      <c r="DA15" s="560"/>
      <c r="DB15" s="560"/>
      <c r="DC15" s="560"/>
      <c r="DD15" s="560"/>
      <c r="DE15" s="560"/>
      <c r="DF15" s="560"/>
    </row>
    <row r="16" spans="1:110" s="326" customFormat="1" ht="12" thickBot="1" x14ac:dyDescent="0.25">
      <c r="B16" s="970" t="s">
        <v>147</v>
      </c>
      <c r="C16" s="968"/>
      <c r="D16" s="969"/>
      <c r="E16" s="969"/>
      <c r="F16" s="810"/>
      <c r="G16" s="810"/>
      <c r="H16" s="810"/>
      <c r="I16" s="810"/>
      <c r="J16" s="969"/>
      <c r="K16" s="810"/>
      <c r="L16" s="810"/>
      <c r="M16" s="810"/>
      <c r="N16" s="810"/>
      <c r="O16" s="969"/>
      <c r="P16" s="810"/>
      <c r="Q16" s="810"/>
      <c r="R16" s="810"/>
      <c r="S16" s="969"/>
      <c r="T16" s="969"/>
      <c r="U16" s="969"/>
      <c r="V16" s="969"/>
      <c r="W16" s="969"/>
      <c r="X16" s="969"/>
      <c r="Y16" s="969"/>
      <c r="Z16" s="969"/>
      <c r="AA16" s="969"/>
      <c r="AB16" s="969"/>
      <c r="AC16" s="969"/>
      <c r="AD16" s="969"/>
      <c r="AE16" s="969"/>
      <c r="AF16" s="969"/>
      <c r="AG16" s="969"/>
      <c r="AH16" s="969"/>
      <c r="AI16" s="969"/>
      <c r="AJ16" s="969"/>
      <c r="AK16" s="969"/>
      <c r="AL16" s="969"/>
      <c r="AM16" s="969"/>
      <c r="AN16" s="969"/>
      <c r="AO16" s="969"/>
      <c r="AP16" s="969"/>
      <c r="AQ16" s="969"/>
      <c r="AR16" s="969"/>
      <c r="AS16" s="969"/>
      <c r="AT16" s="969"/>
      <c r="AU16" s="969"/>
      <c r="AV16" s="969"/>
      <c r="AW16" s="969"/>
      <c r="AX16" s="969"/>
      <c r="AY16" s="969"/>
      <c r="AZ16" s="969"/>
      <c r="BA16" s="969"/>
      <c r="BB16" s="969"/>
      <c r="BC16" s="969"/>
      <c r="BD16" s="969"/>
      <c r="BE16" s="969"/>
      <c r="BF16" s="969"/>
      <c r="BG16" s="969"/>
      <c r="BH16" s="969"/>
      <c r="BI16" s="969"/>
      <c r="BJ16" s="969"/>
      <c r="BK16" s="969"/>
      <c r="BL16" s="969"/>
      <c r="BM16" s="969"/>
      <c r="BN16" s="969"/>
      <c r="BO16" s="969"/>
      <c r="BP16" s="969"/>
      <c r="BQ16" s="969"/>
      <c r="BR16" s="969"/>
      <c r="BS16" s="969"/>
      <c r="BT16" s="969"/>
      <c r="BU16" s="969"/>
      <c r="BV16" s="969"/>
      <c r="BW16" s="969"/>
      <c r="BX16" s="969"/>
      <c r="BY16" s="969"/>
      <c r="BZ16" s="969"/>
      <c r="CA16" s="969"/>
      <c r="CB16" s="827"/>
      <c r="CC16" s="969"/>
      <c r="CD16" s="969"/>
      <c r="CE16" s="969"/>
      <c r="CF16" s="969"/>
      <c r="CG16" s="827"/>
      <c r="CH16" s="969"/>
      <c r="CI16" s="969"/>
      <c r="CJ16" s="969"/>
      <c r="CK16" s="969"/>
      <c r="CL16" s="827"/>
      <c r="CM16" s="969"/>
      <c r="CN16" s="969"/>
      <c r="CO16" s="969"/>
      <c r="CP16" s="969"/>
      <c r="CQ16" s="827"/>
      <c r="CR16" s="969"/>
      <c r="CS16" s="969"/>
      <c r="CT16" s="969"/>
      <c r="CU16" s="969"/>
      <c r="CV16" s="827"/>
      <c r="CW16" s="969"/>
      <c r="CX16" s="969"/>
      <c r="CY16" s="969"/>
      <c r="CZ16" s="969"/>
      <c r="DA16" s="827"/>
      <c r="DB16" s="969"/>
      <c r="DC16" s="969"/>
      <c r="DD16" s="969"/>
      <c r="DE16" s="969"/>
      <c r="DF16" s="827"/>
    </row>
    <row r="17" spans="2:110" x14ac:dyDescent="0.2">
      <c r="B17" s="530" t="s">
        <v>253</v>
      </c>
      <c r="C17" s="561"/>
      <c r="D17" s="561"/>
      <c r="E17" s="561"/>
      <c r="F17" s="561"/>
      <c r="G17" s="561"/>
      <c r="H17" s="561"/>
      <c r="I17" s="561"/>
      <c r="J17" s="561"/>
      <c r="K17" s="561"/>
      <c r="L17" s="561"/>
      <c r="M17" s="561"/>
      <c r="N17" s="561"/>
      <c r="O17" s="561"/>
      <c r="P17" s="561"/>
      <c r="Q17" s="561"/>
      <c r="R17" s="561"/>
      <c r="S17" s="531"/>
      <c r="T17" s="532"/>
      <c r="U17" s="531"/>
      <c r="V17" s="531"/>
      <c r="W17" s="531"/>
      <c r="X17" s="531">
        <f>X53+X54+X64+X65+X42+X43+X75+X76+X86+X87+X213+X214</f>
        <v>-1.8587500000000001</v>
      </c>
      <c r="Y17" s="532"/>
      <c r="Z17" s="531">
        <f>Z53+Z54+Z64+Z65+Z42+Z43+Z75+Z76+Z86+Z87+Z213+Z214</f>
        <v>-1.3356250000000001</v>
      </c>
      <c r="AA17" s="531">
        <f>AA53+AA54+AA64+AA65+AA42+AA43+AA75+AA76+AA86+AA87+AA213+AA214</f>
        <v>-0.75</v>
      </c>
      <c r="AB17" s="531">
        <f>AB53+AB54+AB64+AB65+AB42+AB43+AB75+AB76+AB86+AB87+AB213+AB214</f>
        <v>-0.75</v>
      </c>
      <c r="AC17" s="531">
        <f>AC53+AC54+AC64+AC65+AC42+AC43+AC75+AC76+AC86+AC87+AC213+AC214</f>
        <v>-17.865625000000001</v>
      </c>
      <c r="AD17" s="532"/>
      <c r="AE17" s="531">
        <f>AE53+AE54+AE64+AE65+AE42+AE43+AE75+AE76+AE86+AE87+AE213+AE214</f>
        <v>-20.4669375</v>
      </c>
      <c r="AF17" s="531">
        <f>AF53+AF54+AF64+AF65+AF42+AF43+AF75+AF76+AF86+AF87+AF213+AF214</f>
        <v>-23.394323749999998</v>
      </c>
      <c r="AG17" s="531">
        <f>AG53+AG54+AG64+AG65+AG42+AG43+AG75+AG76+AG86+AG87+AG213+AG214</f>
        <v>-25.423922500000003</v>
      </c>
      <c r="AH17" s="531">
        <f>AH53+AH54+AH64+AH65+AH42+AH43+AH75+AH76+AH86+AH87+AH213+AH214</f>
        <v>-23.452999999999999</v>
      </c>
      <c r="AI17" s="532"/>
      <c r="AJ17" s="531">
        <f>AJ53+AJ54+AJ64+AJ65+AJ42+AJ43+AJ75+AJ76+AJ86+AJ87+AJ213+AJ214</f>
        <v>-21.467312500000002</v>
      </c>
      <c r="AK17" s="531">
        <f>AK53+AK54+AK64+AK65+AK42+AK43+AK75+AK76+AK86+AK87+AK213+AK214</f>
        <v>-24.383437499999999</v>
      </c>
      <c r="AL17" s="531">
        <f>AL53+AL54+AL64+AL65+AL42+AL43+AL75+AL76+AL86+AL87+AL213+AL214</f>
        <v>-28.720937499999998</v>
      </c>
      <c r="AM17" s="531">
        <f>AM53+AM54+AM64+AM65+AM42+AM43+AM75+AM76+AM86+AM87+AM213+AM214</f>
        <v>-28.252187499999998</v>
      </c>
      <c r="AN17" s="532">
        <f>SUM(AJ17:AM17)</f>
        <v>-102.82387499999999</v>
      </c>
      <c r="AO17" s="531">
        <f>AO53+AO54+AO64+AO65+AO42+AO43+AO75+AO76+AO86+AO87+AO213+AO214</f>
        <v>-23.299999999999997</v>
      </c>
      <c r="AP17" s="531">
        <f>AP53+AP54+AP64+AP65+AP42+AP43+AP75+AP76+AP86+AP87+AP213+AP214</f>
        <v>-17</v>
      </c>
      <c r="AQ17" s="531">
        <f>AQ53+AQ54+AQ64+AQ65+AQ42+AQ43+AQ75+AQ76+AQ86+AQ87+AQ213+AQ214</f>
        <v>-15.7</v>
      </c>
      <c r="AR17" s="531">
        <f>AR53+AR54+AR64+AR65+AR42+AR43+AR75+AR76+AR86+AR87+AR213+AR214</f>
        <v>-21.600000999999999</v>
      </c>
      <c r="AS17" s="532">
        <f>SUM(AO17:AR17)</f>
        <v>-77.600000999999992</v>
      </c>
      <c r="AT17" s="644">
        <f>AT53+AT54+AT64+AT65+AT42+AT43+AT75+AT76+AT86+AT87+AT213+AT214</f>
        <v>-17.100000000000001</v>
      </c>
      <c r="AU17" s="644">
        <f>AU53+AU54+AU64+AU65+AU42+AU43+AU75+AU76+AU86+AU87+AU213+AU214</f>
        <v>-19.199999999999996</v>
      </c>
      <c r="AV17" s="644">
        <f>AV53+AV54+AV64+AV65+AV42+AV43+AV75+AV76+AV86+AV87+AV213+AV214</f>
        <v>-48.000000999999997</v>
      </c>
      <c r="AW17" s="644">
        <f>AW53+AW54+AW64+AW65+AW42+AW43+AW75+AW76+AW86+AW87+AW213+AW214</f>
        <v>-41.7</v>
      </c>
      <c r="AX17" s="532">
        <f>SUM(AT17:AW17)</f>
        <v>-126.000001</v>
      </c>
      <c r="AY17" s="531">
        <f>AY53+AY54+AY64+AY65+AY42+AY43+AY75+AY76+AY86+AY87+AY213+AY214</f>
        <v>-42.800000999999995</v>
      </c>
      <c r="AZ17" s="531">
        <f>AZ53+AZ54+AZ64+AZ65+AZ42+AZ43+AZ75+AZ76+AZ86+AZ87+AZ213+AZ214</f>
        <v>-41.999999000000003</v>
      </c>
      <c r="BA17" s="531">
        <f>BA53+BA54+BA64+BA65+BA42+BA43+BA75+BA76+BA86+BA87+BA213+BA214</f>
        <v>-42.199999999999996</v>
      </c>
      <c r="BB17" s="531">
        <f>BB53+BB54+BB64+BB65+BB42+BB43+BB75+BB76+BB86+BB87+BB213+BB214</f>
        <v>-38.173187500000004</v>
      </c>
      <c r="BC17" s="532">
        <f>SUM(AY17:BB17)</f>
        <v>-165.17318750000001</v>
      </c>
      <c r="BD17" s="531">
        <f>BD53+BD54+BD64+BD65+BD42+BD43+BD75+BD76+BD86+BD87+BD213+BD214</f>
        <v>-38.177875000000007</v>
      </c>
      <c r="BE17" s="531">
        <f>BE53+BE54+BE64+BE65+BE42+BE43+BE75+BE76+BE86+BE87+BE213+BE214+BE150+BE151</f>
        <v>-47.276177083333337</v>
      </c>
      <c r="BF17" s="531">
        <f>BF53+BF54+BF64+BF65+BF42+BF43+BF75+BF76+BF86+BF87+BF213+BF214+BF150+BF151</f>
        <v>-50.54870312500001</v>
      </c>
      <c r="BG17" s="531">
        <f>BG53+BG54+BG64+BG65+BG42+BG43+BG75+BG76+BG86+BG87+BG213+BG214+BG150+BG151</f>
        <v>-49.869546874999997</v>
      </c>
      <c r="BH17" s="532">
        <f>SUM(BD17:BG17)</f>
        <v>-185.87230208333335</v>
      </c>
      <c r="BI17" s="531">
        <f>BI53+BI54+BI64+BI65+BI42+BI43+BI75+BI76+BI86+BI87+BI213+BI214+BI150+BI151+BI345+BI98+BI106+BI111+BI129+BI222+BI285+BI192+BI336+BI352+BI359+BI120+BI161+BI232+BI295+BI139+BI183+BI254</f>
        <v>-104.7192</v>
      </c>
      <c r="BJ17" s="531">
        <f>BJ53+BJ54+BJ64+BJ65+BJ42+BJ43+BJ75+BJ76+BJ86+BJ87+BJ213+BJ214+BJ150+BJ151+BJ345+BJ98+BJ106+BJ111+BJ129+BJ222+BJ285+BJ192+BJ336+BJ352+BJ359+BJ120+BJ161+BJ232+BJ295+BJ139+BJ183+BJ254</f>
        <v>-168.67628750000003</v>
      </c>
      <c r="BK17" s="531">
        <f>BK53+BK54+BK64+BK65+BK42+BK43+BK75+BK76+BK86+BK87+BK213+BK214+BK150+BK151+BK345+BK98+BK106+BK111+BK129+BK222+BK285+BK192+BK336+BK352+BK359+BK120+BK161+BK232+BK295+BK139+BK183+BK254</f>
        <v>-167.09856250000004</v>
      </c>
      <c r="BL17" s="531">
        <f>BL53+BL54+BL64+BL65+BL42+BL43+BL75+BL76+BL86+BL87+BL213+BL214+BL150+BL151+BL345+BL98+BL106+BL111+BL129+BL222+BL285+BL192+BL336+BL352+BL359+BL120+BL161+BL232+BL295+BL139+BL183+BL254</f>
        <v>-152.48075312500004</v>
      </c>
      <c r="BM17" s="532">
        <f>SUM(BI17:BL17)</f>
        <v>-592.97480312500011</v>
      </c>
      <c r="BN17" s="531">
        <f>BN53+BN54+BN64+BN65+BN42+BN43+BN75+BN76+BN86+BN87+BN213+BN214+BN150+BN151+BN345+BN98+BN106+BN111+BN129+BN222+BN285+BN192+BN336+BN352+BN359+BN120+BN161+BN232+BN295+BN139+BN183+BN254</f>
        <v>-142.46220874999997</v>
      </c>
      <c r="BO17" s="531">
        <f>BO53+BO54+BO64+BO65+BO42+BO43+BO75+BO76+BO86+BO87+BO213+BO214+BO150+BO151+BO345+BO98+BO106+BO111+BO129+BO222+BO285+BO192+BO336+BO352+BO359+BO120+BO161+BO232+BO295+BO139+BO183+BO254</f>
        <v>-133.78347500000001</v>
      </c>
      <c r="BP17" s="531">
        <f>BP53+BP54+BP64+BP65+BP42+BP43+BP75+BP76+BP86+BP87+BP213+BP214+BP150+BP151+BP345+BP98+BP106+BP111+BP129+BP222+BP285+BP192+BP336+BP352+BP359+BP120+BP161+BP232+BP295+BP139+BP183+BP254</f>
        <v>-133.12928457499999</v>
      </c>
      <c r="BQ17" s="531">
        <f>BQ53+BQ54+BQ64+BQ65+BQ42+BQ43+BQ75+BQ76+BQ86+BQ87+BQ213+BQ214+BQ150+BQ151+BQ345+BQ98+BQ106+BQ111+BQ129+BQ222+BQ285+BQ192+BQ336+BQ352+BQ359+BQ120+BQ161+BQ232+BQ295+BQ139+BQ183+BQ254</f>
        <v>-126.97813062500001</v>
      </c>
      <c r="BR17" s="532">
        <f>SUM(BN17:BQ17)</f>
        <v>-536.35309895</v>
      </c>
      <c r="BS17" s="531">
        <f ca="1">BS53+BS54+BS64+BS65+BS42+BS43+BS75+BS76+BS86+BS87+BS213+BS214+BS150+BS151+BS345+BS98+BS106+BS111+BS129+BS222+BS285+BS192+BS336+BS352+BS359+BS120+BS161+BS232+BS295+BS139+BS183+BS254</f>
        <v>-121.6164402</v>
      </c>
      <c r="BT17" s="531">
        <f ca="1">BT120+BT129+BT139+BT150+BT161+BT172+BT183+BT192+BT202+BT213+BT222+BT232+BT254+BT265+BT295+BT345</f>
        <v>-128.83318350000002</v>
      </c>
      <c r="BU17" s="531">
        <f>BU120+BU129+BU139+BU150+BU161+BU172+BU183+BU192+BU202+BU213+BU222+BU232+BU254+BU265+BU295+BU345</f>
        <v>-125.580686425</v>
      </c>
      <c r="BV17" s="531">
        <f>BV120+BV129+BV139+BV150+BV161+BV172+BV183+BV192+BV202+BV213+BV222+BV232+BV254+BV265+BV295+BV345</f>
        <v>-122.31930005</v>
      </c>
      <c r="BW17" s="532">
        <f ca="1">SUM(BS17:BV17)</f>
        <v>-498.34961017500001</v>
      </c>
      <c r="BX17" s="531">
        <f>BX120+BX129+BX139+BX150+BX161+BX172+BX183+BX192+BX202+BX213+BX222+BX232+BX254+BX265+BX295+BX345</f>
        <v>-116.50739999999999</v>
      </c>
      <c r="BY17" s="531">
        <f>BY120+BY129+BY139+BY150+BY161+BY172+BY183+BY192+BY202+BY213+BY222+BY232+BY254+BY265+BY295+BY345+BY359</f>
        <v>-131.590309375</v>
      </c>
      <c r="BZ17" s="531">
        <f>BZ120+BZ129+BZ139+BZ150+BZ161+BZ172+BZ183+BZ192+BZ202+BZ213+BZ222+BZ232+BZ254+BZ265+BZ295+BZ345+BZ359</f>
        <v>-131.59294062500001</v>
      </c>
      <c r="CA17" s="531">
        <f>CA120+CA129+CA139+CA150+CA161+CA172+CA183+CA192+CA202+CA213+CA222+CA232+CA254+CA265+CA295+CA345+CA359</f>
        <v>-127.9729</v>
      </c>
      <c r="CB17" s="562">
        <f>SUM(BX17:CA17)</f>
        <v>-507.66354999999999</v>
      </c>
      <c r="CC17" s="531">
        <f>CC120+CC129+CC139+CC150+CC161+CC172+CC183+CC192+CC202+CC213+CC222+CC232+CC254+CC265+CC295+CC345+CC359+CC243+CC276</f>
        <v>-134.57207484999998</v>
      </c>
      <c r="CD17" s="531">
        <f>CD120+CD129+CD139+CD150+CD161+CD172+CD183+CD192+CD202+CD213+CD222+CD232+CD254+CD265+CD295+CD345+CD359+CD243+CD276</f>
        <v>-139.043714475</v>
      </c>
      <c r="CE17" s="531">
        <f>CE120+CE129+CE139+CE150+CE161+CE172+CE183+CE192+CE202+CE213+CE222+CE232+CE254+CE265+CE295+CE345+CE359+CE243+CE276+CE306+CE317+CE328</f>
        <v>-140.5360530625</v>
      </c>
      <c r="CF17" s="531">
        <f>CF120+CF129+CF139+CF150+CF161+CF172+CF183+CF192+CF202+CF213+CF222+CF232+CF254+CF265+CF295+CF345+CF359+CF243+CF276+CF306+CF317+CF328</f>
        <v>-143.38953913750004</v>
      </c>
      <c r="CG17" s="562">
        <f>SUM(CC17:CF17)</f>
        <v>-557.54138152500002</v>
      </c>
      <c r="CH17" s="531">
        <f t="shared" ref="CH17:CK17" si="0">CH120+CH129+CH139+CH150+CH161+CH172+CH183+CH192+CH202+CH213+CH222+CH232+CH254+CH265+CH295+CH345+CH359+CH243+CH276+CH306+CH317+CH328</f>
        <v>-146.17115437500001</v>
      </c>
      <c r="CI17" s="531">
        <f t="shared" si="0"/>
        <v>-145.39099812500001</v>
      </c>
      <c r="CJ17" s="531">
        <f t="shared" si="0"/>
        <v>-144.61084187500001</v>
      </c>
      <c r="CK17" s="531">
        <f t="shared" si="0"/>
        <v>-144.61084187500001</v>
      </c>
      <c r="CL17" s="562">
        <f>SUM(CH17:CK17)</f>
        <v>-580.78383625000004</v>
      </c>
      <c r="CM17" s="531">
        <f t="shared" ref="CM17:CP17" si="1">CM120+CM129+CM139+CM150+CM161+CM172+CM183+CM192+CM202+CM213+CM222+CM232+CM254+CM265+CM295+CM345+CM359+CM243+CM276+CM306+CM317+CM328</f>
        <v>-136.873091875</v>
      </c>
      <c r="CN17" s="531">
        <f t="shared" si="1"/>
        <v>-129.13534187500002</v>
      </c>
      <c r="CO17" s="531">
        <f t="shared" si="1"/>
        <v>-129.13534187500002</v>
      </c>
      <c r="CP17" s="531">
        <f t="shared" si="1"/>
        <v>-129.13534187500002</v>
      </c>
      <c r="CQ17" s="562">
        <f>SUM(CM17:CP17)</f>
        <v>-524.27911749999998</v>
      </c>
      <c r="CR17" s="531">
        <f t="shared" ref="CR17:CU17" si="2">CR120+CR129+CR139+CR150+CR161+CR172+CR183+CR192+CR202+CR213+CR222+CR232+CR254+CR265+CR295+CR345+CR359+CR243+CR276+CR306+CR317+CR328</f>
        <v>-129.13534187500002</v>
      </c>
      <c r="CS17" s="531">
        <f t="shared" si="2"/>
        <v>-123.28978343750001</v>
      </c>
      <c r="CT17" s="531">
        <f t="shared" si="2"/>
        <v>-117.44422500000002</v>
      </c>
      <c r="CU17" s="531">
        <f t="shared" si="2"/>
        <v>-117.44422500000002</v>
      </c>
      <c r="CV17" s="562">
        <f>SUM(CR17:CU17)</f>
        <v>-487.31357531250006</v>
      </c>
      <c r="CW17" s="531">
        <f t="shared" ref="CW17:CZ17" si="3">CW120+CW129+CW139+CW150+CW161+CW172+CW183+CW192+CW202+CW213+CW222+CW232+CW254+CW265+CW295+CW345+CW359+CW243+CW276+CW306+CW317+CW328</f>
        <v>-117.44422500000002</v>
      </c>
      <c r="CX17" s="531">
        <f t="shared" si="3"/>
        <v>-111.5986665625</v>
      </c>
      <c r="CY17" s="531">
        <f t="shared" si="3"/>
        <v>-105.75310812500001</v>
      </c>
      <c r="CZ17" s="531">
        <f t="shared" si="3"/>
        <v>-105.75310812500001</v>
      </c>
      <c r="DA17" s="562">
        <f>SUM(CW17:CZ17)</f>
        <v>-440.5491078125001</v>
      </c>
      <c r="DB17" s="531">
        <f t="shared" ref="DB17:DE17" si="4">DB120+DB129+DB139+DB150+DB161+DB172+DB183+DB192+DB202+DB213+DB222+DB232+DB254+DB265+DB295+DB345+DB359+DB243+DB276+DB306+DB317+DB328</f>
        <v>-105.75310812500001</v>
      </c>
      <c r="DC17" s="531">
        <f t="shared" si="4"/>
        <v>-99.907549687499994</v>
      </c>
      <c r="DD17" s="531">
        <f t="shared" si="4"/>
        <v>-94.061991250000005</v>
      </c>
      <c r="DE17" s="531">
        <f t="shared" si="4"/>
        <v>-94.061991250000005</v>
      </c>
      <c r="DF17" s="562">
        <f>SUM(DB17:DE17)</f>
        <v>-393.78464031250002</v>
      </c>
    </row>
    <row r="18" spans="2:110" x14ac:dyDescent="0.2">
      <c r="B18" s="544" t="s">
        <v>213</v>
      </c>
      <c r="C18" s="145"/>
      <c r="D18" s="145"/>
      <c r="E18" s="145"/>
      <c r="F18" s="145"/>
      <c r="G18" s="145"/>
      <c r="H18" s="145"/>
      <c r="I18" s="145"/>
      <c r="J18" s="145"/>
      <c r="K18" s="145"/>
      <c r="L18" s="145"/>
      <c r="M18" s="145"/>
      <c r="N18" s="145"/>
      <c r="O18" s="145"/>
      <c r="P18" s="145"/>
      <c r="Q18" s="145"/>
      <c r="R18" s="145"/>
      <c r="S18" s="346"/>
      <c r="T18" s="340"/>
      <c r="U18" s="346"/>
      <c r="V18" s="346"/>
      <c r="W18" s="346"/>
      <c r="X18" s="346">
        <f>Model!X20</f>
        <v>-4.782</v>
      </c>
      <c r="Y18" s="340"/>
      <c r="Z18" s="346">
        <f>Model!Z20</f>
        <v>-4.7469999999999999</v>
      </c>
      <c r="AA18" s="346">
        <f>Model!AA20</f>
        <v>-4.6829999999999998</v>
      </c>
      <c r="AB18" s="346">
        <f>Model!AB20</f>
        <v>-5.0999999999999996</v>
      </c>
      <c r="AC18" s="346">
        <f>Model!AC20+4</f>
        <v>-14.870000000000005</v>
      </c>
      <c r="AD18" s="340"/>
      <c r="AE18" s="346">
        <f>Model!AE20</f>
        <v>-20.5</v>
      </c>
      <c r="AF18" s="346">
        <f>Model!AF20</f>
        <v>-23.7</v>
      </c>
      <c r="AG18" s="346">
        <f>Model!AG20</f>
        <v>-26.4</v>
      </c>
      <c r="AH18" s="346">
        <f>Model!AH20</f>
        <v>-25.100000000000009</v>
      </c>
      <c r="AI18" s="340"/>
      <c r="AJ18" s="346">
        <f>Model!AJ20</f>
        <v>-22.2</v>
      </c>
      <c r="AK18" s="346">
        <f>Model!AK20</f>
        <v>-25.6</v>
      </c>
      <c r="AL18" s="346">
        <f>Model!AL20</f>
        <v>-31.3</v>
      </c>
      <c r="AM18" s="346">
        <f>Model!AM20</f>
        <v>-29.3</v>
      </c>
      <c r="AN18" s="340">
        <f>SUM(AJ18:AM18)</f>
        <v>-108.39999999999999</v>
      </c>
      <c r="AO18" s="346">
        <f>Model!AO20</f>
        <v>-23.3</v>
      </c>
      <c r="AP18" s="346">
        <f>Model!AP20</f>
        <v>-17</v>
      </c>
      <c r="AQ18" s="346">
        <f>Model!AQ20</f>
        <v>-15.7</v>
      </c>
      <c r="AR18" s="346">
        <f>Model!AR20</f>
        <v>-21.6</v>
      </c>
      <c r="AS18" s="340">
        <f>SUM(AO18:AR18)</f>
        <v>-77.599999999999994</v>
      </c>
      <c r="AT18" s="658">
        <f>Model!AT20</f>
        <v>-17.100000000000001</v>
      </c>
      <c r="AU18" s="658">
        <f>Model!AU20</f>
        <v>-19.199999999999996</v>
      </c>
      <c r="AV18" s="658">
        <f>Model!AV20</f>
        <v>-48</v>
      </c>
      <c r="AW18" s="658">
        <f>Model!AW20</f>
        <v>-41.7</v>
      </c>
      <c r="AX18" s="340">
        <f>SUM(AT18:AW18)</f>
        <v>-126</v>
      </c>
      <c r="AY18" s="346">
        <f>Model!AY20</f>
        <v>-42.8</v>
      </c>
      <c r="AZ18" s="346">
        <f>Model!AZ20</f>
        <v>-42</v>
      </c>
      <c r="BA18" s="346">
        <f>Model!BA20</f>
        <v>-42.2</v>
      </c>
      <c r="BB18" s="346">
        <f>Model!BB20</f>
        <v>-40.1</v>
      </c>
      <c r="BC18" s="340">
        <f>SUM(AY18:BB18)</f>
        <v>-167.1</v>
      </c>
      <c r="BD18" s="346">
        <f>Model!BD20</f>
        <v>-39.700000000000003</v>
      </c>
      <c r="BE18" s="346">
        <f>Model!BE20</f>
        <v>-50.3</v>
      </c>
      <c r="BF18" s="346">
        <f>Model!BF20</f>
        <v>-52.3</v>
      </c>
      <c r="BG18" s="346">
        <f>Model!BG20</f>
        <v>-52.300000000000004</v>
      </c>
      <c r="BH18" s="340">
        <f>SUM(BD18:BG18)</f>
        <v>-194.60000000000002</v>
      </c>
      <c r="BI18" s="346">
        <f>Model!BI20</f>
        <v>-52.5</v>
      </c>
      <c r="BJ18" s="346">
        <f>Model!BJ20</f>
        <v>-168.7</v>
      </c>
      <c r="BK18" s="346">
        <f>Model!BK20</f>
        <v>-155.20000000000002</v>
      </c>
      <c r="BL18" s="346">
        <f>Model!BL20</f>
        <v>-157.4</v>
      </c>
      <c r="BM18" s="340">
        <f>SUM(BI18:BL18)</f>
        <v>-533.79999999999995</v>
      </c>
      <c r="BN18" s="346">
        <f>Model!BN20</f>
        <v>-146.9</v>
      </c>
      <c r="BO18" s="346">
        <f>Model!BO20</f>
        <v>-127.6</v>
      </c>
      <c r="BP18" s="346">
        <f>Model!BP20</f>
        <v>-127.4</v>
      </c>
      <c r="BQ18" s="346">
        <f>Model!BQ20</f>
        <v>-125.7</v>
      </c>
      <c r="BR18" s="340">
        <f>SUM(BN18:BQ18)</f>
        <v>-527.6</v>
      </c>
      <c r="BS18" s="346">
        <f>Model!BS20</f>
        <v>-124.5</v>
      </c>
      <c r="BT18" s="346">
        <f>Model!BT20</f>
        <v>-134.69999999999999</v>
      </c>
      <c r="BU18" s="346">
        <f>Model!BU20</f>
        <v>-201.6</v>
      </c>
      <c r="BV18" s="346">
        <f>Model!BV20</f>
        <v>-122.1</v>
      </c>
      <c r="BW18" s="340">
        <f>SUM(BS18:BV18)</f>
        <v>-582.9</v>
      </c>
      <c r="BX18" s="346">
        <f>Model!BX20</f>
        <v>-122.1</v>
      </c>
      <c r="BY18" s="346">
        <f>Model!BY20</f>
        <v>-132.30000000000001</v>
      </c>
      <c r="BZ18" s="346">
        <f>Model!BZ20</f>
        <v>-128.4</v>
      </c>
      <c r="CA18" s="346">
        <f>Model!CA20</f>
        <v>-123.2</v>
      </c>
      <c r="CB18" s="563">
        <f>SUM(BX18:CA18)</f>
        <v>-506</v>
      </c>
      <c r="CC18" s="346">
        <f>Model!CC20</f>
        <v>-138.6</v>
      </c>
      <c r="CD18" s="346">
        <f>Model!CD20</f>
        <v>-136.80000000000001</v>
      </c>
      <c r="CE18" s="346">
        <f>Model!CE20</f>
        <v>-147.5</v>
      </c>
      <c r="CF18" s="346">
        <f>Model!CF20</f>
        <v>-146</v>
      </c>
      <c r="CG18" s="563">
        <f>SUM(CC18:CF18)</f>
        <v>-568.9</v>
      </c>
      <c r="CH18" s="346">
        <f>Model!CH20</f>
        <v>-145.69999999999999</v>
      </c>
      <c r="CI18" s="346">
        <f>Model!CI20</f>
        <v>-146.5</v>
      </c>
      <c r="CJ18" s="346">
        <f>Model!CJ20</f>
        <v>-147.69999999999999</v>
      </c>
      <c r="CK18" s="346">
        <f>Model!CK20</f>
        <v>-150.30000000000001</v>
      </c>
      <c r="CL18" s="563">
        <f>SUM(CH18:CK18)</f>
        <v>-590.20000000000005</v>
      </c>
      <c r="CM18" s="346">
        <f>Model!CM20</f>
        <v>-136.873091875</v>
      </c>
      <c r="CN18" s="346">
        <f>Model!CN20</f>
        <v>-129.13534187500002</v>
      </c>
      <c r="CO18" s="346">
        <f>Model!CO20</f>
        <v>-129.13534187500002</v>
      </c>
      <c r="CP18" s="346">
        <f>Model!CP20</f>
        <v>-129.13534187500002</v>
      </c>
      <c r="CQ18" s="563">
        <f>SUM(CM18:CP18)</f>
        <v>-524.27911749999998</v>
      </c>
      <c r="CR18" s="346">
        <f>Model!CR20</f>
        <v>-129.13534187500002</v>
      </c>
      <c r="CS18" s="346">
        <f>Model!CS20</f>
        <v>-123.28978343750001</v>
      </c>
      <c r="CT18" s="346">
        <f>Model!CT20</f>
        <v>-117.44422500000002</v>
      </c>
      <c r="CU18" s="346">
        <f>Model!CU20</f>
        <v>-117.44422500000002</v>
      </c>
      <c r="CV18" s="563">
        <f>SUM(CR18:CU18)</f>
        <v>-487.31357531250006</v>
      </c>
      <c r="CW18" s="346">
        <f>Model!CW20</f>
        <v>-117.44422500000002</v>
      </c>
      <c r="CX18" s="346">
        <f>Model!CX20</f>
        <v>-111.5986665625</v>
      </c>
      <c r="CY18" s="346">
        <f>Model!CY20</f>
        <v>-105.75310812500001</v>
      </c>
      <c r="CZ18" s="346">
        <f>Model!CZ20</f>
        <v>-105.75310812500001</v>
      </c>
      <c r="DA18" s="563">
        <f>SUM(CW18:CZ18)</f>
        <v>-440.5491078125001</v>
      </c>
      <c r="DB18" s="346">
        <f>Model!DB20</f>
        <v>-105.75310812500001</v>
      </c>
      <c r="DC18" s="346">
        <f>Model!DC20</f>
        <v>-99.907549687499994</v>
      </c>
      <c r="DD18" s="346">
        <f>Model!DD20</f>
        <v>-94.061991250000005</v>
      </c>
      <c r="DE18" s="346">
        <f>Model!DE20</f>
        <v>-94.061991250000005</v>
      </c>
      <c r="DF18" s="563">
        <f>SUM(DB18:DE18)</f>
        <v>-393.78464031250002</v>
      </c>
    </row>
    <row r="19" spans="2:110" hidden="1" outlineLevel="1" x14ac:dyDescent="0.2">
      <c r="B19" s="545" t="s">
        <v>168</v>
      </c>
      <c r="C19" s="356"/>
      <c r="D19" s="356"/>
      <c r="E19" s="356"/>
      <c r="F19" s="356"/>
      <c r="G19" s="356"/>
      <c r="H19" s="356"/>
      <c r="I19" s="356"/>
      <c r="J19" s="356"/>
      <c r="K19" s="356"/>
      <c r="L19" s="356"/>
      <c r="M19" s="356"/>
      <c r="N19" s="356"/>
      <c r="O19" s="356"/>
      <c r="P19" s="356"/>
      <c r="Q19" s="356"/>
      <c r="R19" s="356"/>
      <c r="S19" s="357"/>
      <c r="T19" s="358"/>
      <c r="U19" s="357"/>
      <c r="V19" s="357"/>
      <c r="W19" s="357"/>
      <c r="X19" s="357">
        <f>X18-X17</f>
        <v>-2.9232499999999999</v>
      </c>
      <c r="Y19" s="358"/>
      <c r="Z19" s="357">
        <f>Z18-Z17</f>
        <v>-3.4113749999999996</v>
      </c>
      <c r="AA19" s="357">
        <f>AA18-AA17</f>
        <v>-3.9329999999999998</v>
      </c>
      <c r="AB19" s="357">
        <f>AB18-AB17</f>
        <v>-4.3499999999999996</v>
      </c>
      <c r="AC19" s="357">
        <f>AC18-AC17</f>
        <v>2.9956249999999969</v>
      </c>
      <c r="AD19" s="358"/>
      <c r="AE19" s="357">
        <f>AE18-AE17</f>
        <v>-3.3062499999999773E-2</v>
      </c>
      <c r="AF19" s="357">
        <f>AF18-AF17</f>
        <v>-0.3056762500000012</v>
      </c>
      <c r="AG19" s="357">
        <f>AG18-AG17</f>
        <v>-0.97607749999999527</v>
      </c>
      <c r="AH19" s="357">
        <f>AH18-AH17</f>
        <v>-1.6470000000000091</v>
      </c>
      <c r="AI19" s="358"/>
      <c r="AJ19" s="357">
        <f>AJ18-AJ17</f>
        <v>-0.73268749999999727</v>
      </c>
      <c r="AK19" s="357">
        <f>AK18-AK17</f>
        <v>-1.216562500000002</v>
      </c>
      <c r="AL19" s="357">
        <f>AL18-AL17</f>
        <v>-2.5790625000000027</v>
      </c>
      <c r="AM19" s="357">
        <f>AM18-AM17</f>
        <v>-1.0478125000000027</v>
      </c>
      <c r="AN19" s="358"/>
      <c r="AO19" s="657">
        <f>AO18-AO17</f>
        <v>0</v>
      </c>
      <c r="AP19" s="357">
        <f>AP18-AP17</f>
        <v>0</v>
      </c>
      <c r="AQ19" s="357">
        <f>AQ18-AQ17</f>
        <v>0</v>
      </c>
      <c r="AR19" s="357">
        <f>AR18-AR17</f>
        <v>9.9999999747524271E-7</v>
      </c>
      <c r="AS19" s="358"/>
      <c r="AT19" s="357">
        <f>AT18-AT17</f>
        <v>0</v>
      </c>
      <c r="AU19" s="357">
        <f>AU18-AU17</f>
        <v>0</v>
      </c>
      <c r="AV19" s="357">
        <f>AV18-AV17</f>
        <v>9.9999999747524271E-7</v>
      </c>
      <c r="AW19" s="357">
        <f>AW18-AW17</f>
        <v>0</v>
      </c>
      <c r="AX19" s="358"/>
      <c r="AY19" s="357">
        <f>AY18-AY17</f>
        <v>9.9999999747524271E-7</v>
      </c>
      <c r="AZ19" s="357">
        <f>AZ18-AZ17</f>
        <v>-9.9999999747524271E-7</v>
      </c>
      <c r="BA19" s="357">
        <f>BA18-BA17</f>
        <v>0</v>
      </c>
      <c r="BB19" s="357"/>
      <c r="BC19" s="358"/>
      <c r="BD19" s="357"/>
      <c r="BE19" s="357"/>
      <c r="BF19" s="357"/>
      <c r="BG19" s="357">
        <f>BG18-BG17</f>
        <v>-2.4304531250000068</v>
      </c>
      <c r="BH19" s="358"/>
      <c r="BI19" s="357">
        <f>BI18-BI17</f>
        <v>52.219200000000001</v>
      </c>
      <c r="BJ19" s="357">
        <f>BJ18-BJ17</f>
        <v>-2.3712499999959391E-2</v>
      </c>
      <c r="BK19" s="357">
        <f>BK18-BK17</f>
        <v>11.898562500000025</v>
      </c>
      <c r="BL19" s="357">
        <f>BL18-BL17</f>
        <v>-4.9192468749999705</v>
      </c>
      <c r="BM19" s="358"/>
      <c r="BN19" s="357">
        <f>BN18-BN17</f>
        <v>-4.4377912500000321</v>
      </c>
      <c r="BO19" s="357">
        <f>BO18-BO17</f>
        <v>6.1834750000000156</v>
      </c>
      <c r="BP19" s="357">
        <f>BP18-BP17</f>
        <v>5.7292845749999799</v>
      </c>
      <c r="BQ19" s="357">
        <f>BQ18-BQ17</f>
        <v>1.2781306250000029</v>
      </c>
      <c r="BR19" s="358"/>
      <c r="BS19" s="357">
        <f ca="1">BS18-BS17</f>
        <v>-2.8835598000000005</v>
      </c>
      <c r="BT19" s="357">
        <f ca="1">BT18-BT17</f>
        <v>-5.8668164999999703</v>
      </c>
      <c r="BU19" s="357">
        <f>BU18-BU17</f>
        <v>-76.019313574999998</v>
      </c>
      <c r="BV19" s="357">
        <f>BV18-BV17</f>
        <v>0.21930005000000108</v>
      </c>
      <c r="BW19" s="358"/>
      <c r="BX19" s="357">
        <f>BX18-BX17</f>
        <v>-5.5926000000000045</v>
      </c>
      <c r="BY19" s="357">
        <f>BY18-BY17</f>
        <v>-0.70969062500000746</v>
      </c>
      <c r="BZ19" s="357">
        <f>BZ18-BZ17</f>
        <v>3.1929406250000056</v>
      </c>
      <c r="CA19" s="357">
        <f>CA18-CA17</f>
        <v>4.7728999999999928</v>
      </c>
      <c r="CB19" s="564"/>
      <c r="CC19" s="357">
        <f>CC18-CC17</f>
        <v>-4.0279251500000157</v>
      </c>
      <c r="CD19" s="357">
        <f>CD18-CD17</f>
        <v>2.2437144749999902</v>
      </c>
      <c r="CE19" s="357">
        <f>CE18-CE17</f>
        <v>-6.9639469374999976</v>
      </c>
      <c r="CF19" s="357">
        <f>CF18-CF17</f>
        <v>-2.6104608624999628</v>
      </c>
      <c r="CG19" s="564"/>
      <c r="CH19" s="357">
        <f>CH18-CH17</f>
        <v>0.47115437500002599</v>
      </c>
      <c r="CI19" s="357">
        <f>CI18-CI17</f>
        <v>-1.1090018749999899</v>
      </c>
      <c r="CJ19" s="357">
        <f>CJ18-CJ17</f>
        <v>-3.0891581249999831</v>
      </c>
      <c r="CK19" s="357">
        <f>CK18-CK17</f>
        <v>-5.6891581250000058</v>
      </c>
      <c r="CL19" s="564"/>
      <c r="CM19" s="357">
        <f>CM18-CM17</f>
        <v>0</v>
      </c>
      <c r="CN19" s="357">
        <f>CN18-CN17</f>
        <v>0</v>
      </c>
      <c r="CO19" s="357">
        <f>CO18-CO17</f>
        <v>0</v>
      </c>
      <c r="CP19" s="357">
        <f>CP18-CP17</f>
        <v>0</v>
      </c>
      <c r="CQ19" s="564"/>
      <c r="CR19" s="357"/>
      <c r="CS19" s="357"/>
      <c r="CT19" s="357"/>
      <c r="CU19" s="357"/>
      <c r="CV19" s="564"/>
      <c r="CW19" s="357"/>
      <c r="CX19" s="357"/>
      <c r="CY19" s="357"/>
      <c r="CZ19" s="357"/>
      <c r="DA19" s="564"/>
      <c r="DB19" s="357"/>
      <c r="DC19" s="357"/>
      <c r="DD19" s="357"/>
      <c r="DE19" s="357"/>
      <c r="DF19" s="564"/>
    </row>
    <row r="20" spans="2:110" ht="12" collapsed="1" thickBot="1" x14ac:dyDescent="0.25">
      <c r="B20" s="548"/>
      <c r="C20" s="205"/>
      <c r="D20" s="205"/>
      <c r="E20" s="205"/>
      <c r="F20" s="205"/>
      <c r="G20" s="205"/>
      <c r="H20" s="205"/>
      <c r="I20" s="205"/>
      <c r="J20" s="205"/>
      <c r="K20" s="205"/>
      <c r="L20" s="205"/>
      <c r="M20" s="205"/>
      <c r="N20" s="205"/>
      <c r="O20" s="205"/>
      <c r="P20" s="205"/>
      <c r="Q20" s="205"/>
      <c r="R20" s="205"/>
      <c r="S20" s="549"/>
      <c r="T20" s="550"/>
      <c r="U20" s="549"/>
      <c r="V20" s="549"/>
      <c r="W20" s="549"/>
      <c r="X20" s="549"/>
      <c r="Y20" s="550"/>
      <c r="Z20" s="549"/>
      <c r="AA20" s="549"/>
      <c r="AB20" s="549"/>
      <c r="AC20" s="549"/>
      <c r="AD20" s="550"/>
      <c r="AE20" s="549"/>
      <c r="AF20" s="549"/>
      <c r="AG20" s="549"/>
      <c r="AH20" s="549"/>
      <c r="AI20" s="550"/>
      <c r="AJ20" s="549"/>
      <c r="AK20" s="549"/>
      <c r="AL20" s="549"/>
      <c r="AM20" s="549"/>
      <c r="AN20" s="550"/>
      <c r="AO20" s="549"/>
      <c r="AP20" s="549"/>
      <c r="AQ20" s="549"/>
      <c r="AR20" s="549"/>
      <c r="AS20" s="550"/>
      <c r="AT20" s="549"/>
      <c r="AU20" s="549"/>
      <c r="AV20" s="549"/>
      <c r="AW20" s="549"/>
      <c r="AX20" s="550"/>
      <c r="AY20" s="549"/>
      <c r="AZ20" s="549"/>
      <c r="BA20" s="549"/>
      <c r="BB20" s="549"/>
      <c r="BC20" s="550"/>
      <c r="BD20" s="549"/>
      <c r="BE20" s="549"/>
      <c r="BF20" s="549"/>
      <c r="BG20" s="549"/>
      <c r="BH20" s="550"/>
      <c r="BI20" s="549"/>
      <c r="BJ20" s="549"/>
      <c r="BK20" s="549"/>
      <c r="BL20" s="549"/>
      <c r="BM20" s="550"/>
      <c r="BN20" s="549"/>
      <c r="BO20" s="549"/>
      <c r="BP20" s="549"/>
      <c r="BQ20" s="549"/>
      <c r="BR20" s="550"/>
      <c r="BS20" s="549"/>
      <c r="BT20" s="549"/>
      <c r="BU20" s="549"/>
      <c r="BV20" s="549"/>
      <c r="BW20" s="550"/>
      <c r="BX20" s="549"/>
      <c r="BY20" s="549"/>
      <c r="BZ20" s="549"/>
      <c r="CA20" s="549"/>
      <c r="CB20" s="565"/>
      <c r="CC20" s="549"/>
      <c r="CD20" s="549"/>
      <c r="CE20" s="549"/>
      <c r="CF20" s="549"/>
      <c r="CG20" s="565"/>
      <c r="CH20" s="549"/>
      <c r="CI20" s="549"/>
      <c r="CJ20" s="549"/>
      <c r="CK20" s="549"/>
      <c r="CL20" s="565"/>
      <c r="CM20" s="549"/>
      <c r="CN20" s="549"/>
      <c r="CO20" s="549"/>
      <c r="CP20" s="549"/>
      <c r="CQ20" s="565"/>
      <c r="CR20" s="549"/>
      <c r="CS20" s="549"/>
      <c r="CT20" s="549"/>
      <c r="CU20" s="549"/>
      <c r="CV20" s="565"/>
      <c r="CW20" s="549"/>
      <c r="CX20" s="549"/>
      <c r="CY20" s="549"/>
      <c r="CZ20" s="549"/>
      <c r="DA20" s="565"/>
      <c r="DB20" s="549"/>
      <c r="DC20" s="549"/>
      <c r="DD20" s="549"/>
      <c r="DE20" s="549"/>
      <c r="DF20" s="565"/>
    </row>
    <row r="21" spans="2:110" s="326" customFormat="1" ht="12" thickBot="1" x14ac:dyDescent="0.25">
      <c r="B21" s="355"/>
      <c r="C21" s="145"/>
      <c r="D21" s="145"/>
      <c r="E21" s="145"/>
      <c r="F21" s="145"/>
      <c r="G21" s="145"/>
      <c r="H21" s="145"/>
      <c r="I21" s="145"/>
      <c r="J21" s="145"/>
      <c r="K21" s="145"/>
      <c r="L21" s="145"/>
      <c r="M21" s="145"/>
      <c r="N21" s="145"/>
      <c r="O21" s="145"/>
      <c r="P21" s="145"/>
      <c r="Q21" s="145"/>
      <c r="R21" s="145"/>
      <c r="S21" s="346"/>
      <c r="T21" s="346"/>
      <c r="U21" s="346"/>
      <c r="V21" s="346"/>
      <c r="W21" s="346"/>
      <c r="X21" s="346"/>
      <c r="Y21" s="346"/>
      <c r="Z21" s="346"/>
      <c r="AA21" s="346"/>
      <c r="AB21" s="346"/>
      <c r="AC21" s="346"/>
      <c r="AD21" s="346"/>
      <c r="AE21" s="346"/>
      <c r="AF21" s="346"/>
      <c r="AG21" s="346"/>
      <c r="AH21" s="346"/>
      <c r="AI21" s="346"/>
      <c r="AJ21" s="346"/>
      <c r="AK21" s="346"/>
      <c r="AL21" s="346"/>
      <c r="AM21" s="346"/>
      <c r="AN21" s="346"/>
      <c r="AO21" s="346"/>
      <c r="AP21" s="346"/>
      <c r="AQ21" s="346"/>
      <c r="AR21" s="346"/>
      <c r="AS21" s="346"/>
      <c r="AT21" s="346"/>
      <c r="AU21" s="346"/>
      <c r="AV21" s="346"/>
      <c r="AW21" s="346"/>
      <c r="AX21" s="346"/>
      <c r="AY21" s="346"/>
      <c r="AZ21" s="346"/>
      <c r="BA21" s="346"/>
      <c r="BB21" s="346"/>
      <c r="BC21" s="346"/>
      <c r="BD21" s="346"/>
      <c r="BE21" s="346"/>
      <c r="BF21" s="346"/>
      <c r="BG21" s="346"/>
      <c r="BH21" s="346"/>
      <c r="BI21" s="346"/>
      <c r="BJ21" s="346"/>
      <c r="BK21" s="346"/>
      <c r="BL21" s="346"/>
      <c r="BM21" s="346"/>
      <c r="BN21" s="346"/>
      <c r="BO21" s="346"/>
      <c r="BP21" s="346"/>
      <c r="BQ21" s="346"/>
      <c r="BR21" s="346"/>
      <c r="BS21" s="346"/>
      <c r="BT21" s="346"/>
      <c r="BU21" s="346"/>
      <c r="BV21" s="346"/>
      <c r="BW21" s="346"/>
      <c r="BX21" s="346"/>
      <c r="BY21" s="346"/>
      <c r="BZ21" s="346"/>
      <c r="CA21" s="346"/>
      <c r="CB21" s="346"/>
      <c r="CC21" s="346"/>
      <c r="CD21" s="346"/>
      <c r="CE21" s="346"/>
      <c r="CF21" s="346"/>
      <c r="CG21" s="346"/>
      <c r="CH21" s="346"/>
      <c r="CI21" s="346"/>
      <c r="CJ21" s="346"/>
      <c r="CK21" s="346"/>
      <c r="CL21" s="346"/>
      <c r="CM21" s="346"/>
      <c r="CN21" s="346"/>
      <c r="CO21" s="346"/>
      <c r="CP21" s="346"/>
      <c r="CQ21" s="346"/>
      <c r="CR21" s="346"/>
      <c r="CS21" s="346"/>
      <c r="CT21" s="346"/>
      <c r="CU21" s="346"/>
      <c r="CV21" s="346"/>
      <c r="CW21" s="346"/>
      <c r="CX21" s="346"/>
      <c r="CY21" s="346"/>
      <c r="CZ21" s="346"/>
      <c r="DA21" s="346"/>
      <c r="DB21" s="346"/>
      <c r="DC21" s="346"/>
      <c r="DD21" s="346"/>
      <c r="DE21" s="346"/>
      <c r="DF21" s="346"/>
    </row>
    <row r="22" spans="2:110" s="326" customFormat="1" ht="12" thickBot="1" x14ac:dyDescent="0.25">
      <c r="B22" s="855" t="s">
        <v>322</v>
      </c>
      <c r="C22" s="816"/>
      <c r="D22" s="816"/>
      <c r="E22" s="816"/>
      <c r="F22" s="816"/>
      <c r="G22" s="816"/>
      <c r="H22" s="816"/>
      <c r="I22" s="816"/>
      <c r="J22" s="816"/>
      <c r="K22" s="816"/>
      <c r="L22" s="816"/>
      <c r="M22" s="816"/>
      <c r="N22" s="816"/>
      <c r="O22" s="816"/>
      <c r="P22" s="816"/>
      <c r="Q22" s="816"/>
      <c r="R22" s="816"/>
      <c r="S22" s="971"/>
      <c r="T22" s="971"/>
      <c r="U22" s="971"/>
      <c r="V22" s="971"/>
      <c r="W22" s="971"/>
      <c r="X22" s="971"/>
      <c r="Y22" s="971"/>
      <c r="Z22" s="971"/>
      <c r="AA22" s="971"/>
      <c r="AB22" s="971"/>
      <c r="AC22" s="971"/>
      <c r="AD22" s="971"/>
      <c r="AE22" s="971"/>
      <c r="AF22" s="971"/>
      <c r="AG22" s="971"/>
      <c r="AH22" s="971"/>
      <c r="AI22" s="971"/>
      <c r="AJ22" s="971"/>
      <c r="AK22" s="971"/>
      <c r="AL22" s="971"/>
      <c r="AM22" s="971"/>
      <c r="AN22" s="971"/>
      <c r="AO22" s="971"/>
      <c r="AP22" s="971"/>
      <c r="AQ22" s="971"/>
      <c r="AR22" s="971"/>
      <c r="AS22" s="971"/>
      <c r="AT22" s="971"/>
      <c r="AU22" s="971"/>
      <c r="AV22" s="971"/>
      <c r="AW22" s="971"/>
      <c r="AX22" s="1051"/>
      <c r="AY22" s="971"/>
      <c r="AZ22" s="971"/>
      <c r="BA22" s="971"/>
      <c r="BB22" s="971"/>
      <c r="BC22" s="971"/>
      <c r="BD22" s="971"/>
      <c r="BE22" s="971"/>
      <c r="BF22" s="971"/>
      <c r="BG22" s="971"/>
      <c r="BH22" s="971"/>
      <c r="BI22" s="971"/>
      <c r="BJ22" s="971"/>
      <c r="BK22" s="971"/>
      <c r="BL22" s="971"/>
      <c r="BM22" s="971"/>
      <c r="BN22" s="971"/>
      <c r="BO22" s="971"/>
      <c r="BP22" s="971"/>
      <c r="BQ22" s="971"/>
      <c r="BR22" s="971"/>
      <c r="BS22" s="971"/>
      <c r="BT22" s="971"/>
      <c r="BU22" s="971"/>
      <c r="BV22" s="971"/>
      <c r="BW22" s="971"/>
      <c r="BX22" s="971"/>
      <c r="BY22" s="971"/>
      <c r="BZ22" s="971"/>
      <c r="CA22" s="971"/>
      <c r="CB22" s="972"/>
      <c r="CC22" s="971"/>
      <c r="CD22" s="971"/>
      <c r="CE22" s="971"/>
      <c r="CF22" s="971"/>
      <c r="CG22" s="972"/>
      <c r="CH22" s="971"/>
      <c r="CI22" s="971"/>
      <c r="CJ22" s="971"/>
      <c r="CK22" s="971"/>
      <c r="CL22" s="972"/>
      <c r="CM22" s="971"/>
      <c r="CN22" s="971"/>
      <c r="CO22" s="971"/>
      <c r="CP22" s="971"/>
      <c r="CQ22" s="972"/>
      <c r="CR22" s="971"/>
      <c r="CS22" s="971"/>
      <c r="CT22" s="971"/>
      <c r="CU22" s="971"/>
      <c r="CV22" s="972"/>
      <c r="CW22" s="971"/>
      <c r="CX22" s="971"/>
      <c r="CY22" s="971"/>
      <c r="CZ22" s="971"/>
      <c r="DA22" s="972"/>
      <c r="DB22" s="971"/>
      <c r="DC22" s="971"/>
      <c r="DD22" s="971"/>
      <c r="DE22" s="971"/>
      <c r="DF22" s="972"/>
    </row>
    <row r="23" spans="2:110" s="326" customFormat="1" x14ac:dyDescent="0.2">
      <c r="B23" s="530" t="s">
        <v>209</v>
      </c>
      <c r="C23" s="561"/>
      <c r="D23" s="561"/>
      <c r="E23" s="561"/>
      <c r="F23" s="561"/>
      <c r="G23" s="561"/>
      <c r="H23" s="561"/>
      <c r="I23" s="561"/>
      <c r="J23" s="561"/>
      <c r="K23" s="561"/>
      <c r="L23" s="561"/>
      <c r="M23" s="561"/>
      <c r="N23" s="561"/>
      <c r="O23" s="561"/>
      <c r="P23" s="561"/>
      <c r="Q23" s="561"/>
      <c r="R23" s="561"/>
      <c r="S23" s="531">
        <f>+S49</f>
        <v>0</v>
      </c>
      <c r="T23" s="531">
        <f>+T49</f>
        <v>0</v>
      </c>
      <c r="U23" s="531">
        <f>U49</f>
        <v>0</v>
      </c>
      <c r="V23" s="531">
        <f>V49</f>
        <v>50</v>
      </c>
      <c r="W23" s="531">
        <f>W49</f>
        <v>50</v>
      </c>
      <c r="X23" s="531">
        <f>X49</f>
        <v>50</v>
      </c>
      <c r="Y23" s="532">
        <f>X23</f>
        <v>50</v>
      </c>
      <c r="Z23" s="531">
        <f>Z51</f>
        <v>0</v>
      </c>
      <c r="AA23" s="531">
        <f>AA49</f>
        <v>0</v>
      </c>
      <c r="AB23" s="531">
        <f>AB51+AB62</f>
        <v>0</v>
      </c>
      <c r="AC23" s="531">
        <f>AC51+AC62</f>
        <v>1510</v>
      </c>
      <c r="AD23" s="532">
        <f>AC23</f>
        <v>1510</v>
      </c>
      <c r="AE23" s="531">
        <f>AE51+AE62</f>
        <v>1470.5</v>
      </c>
      <c r="AF23" s="531">
        <f>AF51+AF62</f>
        <v>1715.4</v>
      </c>
      <c r="AG23" s="531">
        <f>AG51+AG62</f>
        <v>1630.4</v>
      </c>
      <c r="AH23" s="531">
        <f>AH51+AH343+AH62</f>
        <v>1450.5</v>
      </c>
      <c r="AI23" s="532">
        <f>AH23</f>
        <v>1450.5</v>
      </c>
      <c r="AJ23" s="531">
        <f>AJ51+AJ343+AJ62+AJ40</f>
        <v>1360.5</v>
      </c>
      <c r="AK23" s="531">
        <f>+AK51+AK343+AK62+AK40</f>
        <v>1920.4</v>
      </c>
      <c r="AL23" s="531">
        <f>AL51+AL343+AL62+AL40</f>
        <v>1980.4</v>
      </c>
      <c r="AM23" s="531">
        <f>AM51+AM343+AM62+AM40</f>
        <v>2020.4</v>
      </c>
      <c r="AN23" s="532">
        <f>AM23</f>
        <v>2020.4</v>
      </c>
      <c r="AO23" s="531">
        <f>AO51+AO343+AO62+AO40</f>
        <v>1960.4</v>
      </c>
      <c r="AP23" s="531">
        <f>+AP51+AP343+AP62+AP40</f>
        <v>1900.4</v>
      </c>
      <c r="AQ23" s="531">
        <f>+AQ51+AQ343+AQ62+AQ40</f>
        <v>1840.4</v>
      </c>
      <c r="AR23" s="531">
        <f>+AR51+AR343+AR62+AR40</f>
        <v>1760.3</v>
      </c>
      <c r="AS23" s="532">
        <f>AR23</f>
        <v>1760.3</v>
      </c>
      <c r="AT23" s="531">
        <f>+AT51+AT343+AT62+AT40</f>
        <v>1680.4</v>
      </c>
      <c r="AU23" s="531">
        <f>AU51+AU343+AU62+AU40+AU73+AU84+AU211</f>
        <v>4091.8999999999996</v>
      </c>
      <c r="AV23" s="531">
        <f>AV51+AV343+AV62+AV40+AV73+AV84+AV211</f>
        <v>4012.2999999999997</v>
      </c>
      <c r="AW23" s="531">
        <f>AW51+AW343+AW62+AW40+AW73+AW84+AW211</f>
        <v>3832.6</v>
      </c>
      <c r="AX23" s="1052">
        <f>AW23</f>
        <v>3832.6</v>
      </c>
      <c r="AY23" s="531">
        <f>AY51+AY343+AY62+AY40+AY73+AY84+AY211</f>
        <v>3652.9</v>
      </c>
      <c r="AZ23" s="531">
        <f>AZ51+AZ343+AZ62+AZ40+AZ73+AZ84+AZ211</f>
        <v>3473.2000000000003</v>
      </c>
      <c r="BA23" s="531">
        <f>BA51+BA343+BA62+BA40+BA73+BA84+BA211</f>
        <v>2493.5000000000005</v>
      </c>
      <c r="BB23" s="531">
        <f>BB51+BB343+BB62+BB40+BB73+BB84+BB211</f>
        <v>2493.8000000000002</v>
      </c>
      <c r="BC23" s="532">
        <f>BB23</f>
        <v>2493.8000000000002</v>
      </c>
      <c r="BD23" s="531">
        <f>BD51+BD343+BD62+BD40+BD73+BD84+BD211</f>
        <v>2494.1000000000004</v>
      </c>
      <c r="BE23" s="531">
        <f>BE51+BE343+BE62+BE40+BE73+BE84+BE211+BE148</f>
        <v>4088.5000000000005</v>
      </c>
      <c r="BF23" s="531">
        <f>BF51+BF343+BF62+BF40+BF73+BF84+BF211+BF148</f>
        <v>3989.2000000000007</v>
      </c>
      <c r="BG23" s="531">
        <f>BG51+BG343+BG62+BG40+BG73+BG84+BG211+BG148</f>
        <v>3989.9000000000005</v>
      </c>
      <c r="BH23" s="532">
        <f>BG23</f>
        <v>3989.9000000000005</v>
      </c>
      <c r="BI23" s="531">
        <f>BI51+BI343+BI62+BI40+BI73+BI84+BI211+BI148+BI118+BI159+BI230+BI293+BI137+BI181+BI252</f>
        <v>11538.750000000002</v>
      </c>
      <c r="BJ23" s="531">
        <f>BJ51+BJ343+BJ62+BJ40+BJ73+BJ84+BJ211+BJ148+BJ97+BJ105+BJ128+BJ221+BJ284+BJ191+BJ335+BJ351+BJ358+BJ118+BJ159+BJ230+BJ293+BJ137+BJ181+BJ252</f>
        <v>18241.599999999999</v>
      </c>
      <c r="BK23" s="531">
        <f>BK51+BK343+BK62+BK40+BK73+BK84+BK211+BK148+BK97+BK105+BK128+BK221+BK284+BK191+BK335+BK351+BK358+BK118+BK159+BK230+BK293+BK137+BK181+BK252</f>
        <v>18124.399999999998</v>
      </c>
      <c r="BL23" s="531">
        <f>BL51+BL343+BL62+BL40+BL73+BL84+BL211+BL148+BL97+BL105+BL128+BL221+BL284+BL191+BL335+BL351+BL358+BL118+BL159+BL230+BL293+BL137+BL181+BL252</f>
        <v>15914.999999999998</v>
      </c>
      <c r="BM23" s="532">
        <f>BL23</f>
        <v>15914.999999999998</v>
      </c>
      <c r="BN23" s="531">
        <f>BN51+BN343+BN62+BN40+BN73+BN84+BN211+BN148+BN97+BN105+BN128+BN221+BN284+BN191+BN335+BN351+BN358+BN118+BN159+BN230+BN293+BN137+BN181+BN252</f>
        <v>14446.599999999999</v>
      </c>
      <c r="BO23" s="531">
        <f>BO51+BO343+BO62+BO40+BO73+BO84+BO211+BO148+BO97+BO105+BO128+BO221+BO284+BO191+BO335+BO351+BO358+BO118+BO159+BO230+BO293+BO137+BO181+BO252</f>
        <v>14280.099999999997</v>
      </c>
      <c r="BP23" s="531">
        <f>BP51+BP343+BP62+BP40+BP73+BP84+BP211+BP148+BP97+BP105+BP128+BP221+BP284+BP191+BP335+BP351+BP358+BP118+BP159+BP230+BP293+BP137+BP181+BP252</f>
        <v>14113.4</v>
      </c>
      <c r="BQ23" s="531">
        <f>BQ51+BQ343+BQ62+BQ40+BQ73+BQ84+BQ211+BQ148+BQ97+BQ105+BQ128+BQ221+BQ284+BQ191+BQ335+BQ351+BQ358+BQ118+BQ159+BQ230+BQ293+BQ137+BQ181+BQ252</f>
        <v>13947.000000000002</v>
      </c>
      <c r="BR23" s="532">
        <f>BQ23</f>
        <v>13947.000000000002</v>
      </c>
      <c r="BS23" s="531">
        <f ca="1">BS51+BS343+BS62+BS40+BS73+BS84+BS211+BS148+BS97+BS105+BS128+BS221+BS284+BS191+BS335+BS351+BS358+BS118+BS159+BS230+BS293+BS137+BS181+BS252</f>
        <v>13780.4</v>
      </c>
      <c r="BT23" s="531">
        <f>BT51+BT343+BT62+BT40+BT73+BT84+BT211+BT148+BT97+BT105+BT128+BT221+BT284+BT191+BT335+BT351+BT358+BT118+BT159+BT230+BT293+BT137+BT181+BT252+BT170+BT200+BT263</f>
        <v>16053.9</v>
      </c>
      <c r="BU23" s="531">
        <f>BU51+BU343+BU62+BU40+BU73+BU84+BU211+BU148+BU97+BU105+BU128+BU221+BU284+BU191+BU335+BU351+BU358+BU118+BU159+BU230+BU293+BU137+BU181+BU252+BU170+BU200+BU263</f>
        <v>14637.399999999998</v>
      </c>
      <c r="BV23" s="531">
        <f>BV51+BV343+BV62+BV40+BV73+BV84+BV211+BV148+BV97+BV105+BV128+BV221+BV284+BV191+BV335+BV351+BV358+BV118+BV159+BV230+BV293+BV137+BV181+BV252+BV170+BV200+BV263</f>
        <v>13570.8</v>
      </c>
      <c r="BW23" s="532">
        <f>BV23</f>
        <v>13570.8</v>
      </c>
      <c r="BX23" s="531">
        <f>BX51+BX343+BX62+BX40+BX73+BX84+BX211+BX148+BX97+BX105+BX128+BX221+BX284+BX191+BX335+BX351+BX358+BX118+BX159+BX230+BX293+BX137+BX181+BX252+BX170+BX200+BX263</f>
        <v>12453.599999999999</v>
      </c>
      <c r="BY23" s="531">
        <f>BY51+BY343+BY62+BY40+BY73+BY84+BY211+BY148+BY97+BY105+BY128+BY221+BY284+BY191+BY335+BY351+BY358+BY118+BY159+BY230+BY293+BY137+BY181+BY252+BY170+BY200+BY263</f>
        <v>16145.1</v>
      </c>
      <c r="BZ23" s="531">
        <f>BZ51+BZ343+BZ62+BZ40+BZ73+BZ84+BZ211+BZ148+BZ97+BZ105+BZ128+BZ221+BZ284+BZ191+BZ335+BZ351+BZ358+BZ118+BZ159+BZ230+BZ293+BZ137+BZ181+BZ252+BZ170+BZ200+BZ263</f>
        <v>16197.199999999999</v>
      </c>
      <c r="CA23" s="531">
        <f>CA51+CA343+CA62+CA40+CA73+CA84+CA211+CA148+CA97+CA105+CA128+CA221+CA284+CA191+CA335+CA351+CA358+CA118+CA159+CA230+CA293+CA137+CA181+CA252+CA170+CA200+CA263</f>
        <v>15625.099999999999</v>
      </c>
      <c r="CB23" s="562">
        <f>CA23</f>
        <v>15625.099999999999</v>
      </c>
      <c r="CC23" s="531">
        <f t="shared" ref="CC23:CD23" si="5">CC51+CC343+CC62+CC40+CC73+CC84+CC211+CC148+CC97+CC105+CC128+CC221+CC284+CC191+CC335+CC351+CC358+CC118+CC159+CC230+CC293+CC137+CC181+CC252+CC170+CC200+CC263+CC241+CC274+CC304+CC315+CC326</f>
        <v>16692</v>
      </c>
      <c r="CD23" s="531">
        <f t="shared" si="5"/>
        <v>16108.099999999999</v>
      </c>
      <c r="CE23" s="531">
        <f>CE51+CE343+CE62+CE40+CE73+CE84+CE211+CE148+CE97+CE105+CE128+CE221+CE284+CE191+CE335+CE351+CE358+CE118+CE159+CE230+CE293+CE137+CE181+CE252+CE170+CE200+CE263+CE241+CE274+CE304+CE315+CE326</f>
        <v>16108.643000000002</v>
      </c>
      <c r="CF23" s="531">
        <f>CF51+CF343+CF62+CF40+CF73+CF84+CF211+CF148+CF97+CF105+CF128+CF221+CF284+CF191+CF335+CF351+CF358+CF118+CF159+CF230+CF293+CF137+CF181+CF252+CF170+CF200+CF263+CF241+CF274+CF304+CF315+CF326</f>
        <v>15568.303000000002</v>
      </c>
      <c r="CG23" s="562">
        <f>CF23</f>
        <v>15568.303000000002</v>
      </c>
      <c r="CH23" s="531">
        <f t="shared" ref="CH23:CP23" si="6">CH51+CH343+CH62+CH40+CH73+CH84+CH211+CH148+CH97+CH105+CH128+CH221+CH284+CH191+CH335+CH351+CH358+CH118+CH159+CH230+CH293+CH137+CH181+CH252+CH170+CH200+CH263+CH241+CH274+CH304+CH315+CH326</f>
        <v>15568.303000000002</v>
      </c>
      <c r="CI23" s="531">
        <f t="shared" si="6"/>
        <v>15069.003000000002</v>
      </c>
      <c r="CJ23" s="531">
        <f t="shared" si="6"/>
        <v>15069.003000000002</v>
      </c>
      <c r="CK23" s="531">
        <f t="shared" si="6"/>
        <v>15069.003000000002</v>
      </c>
      <c r="CL23" s="562">
        <f>CK23</f>
        <v>15069.003000000002</v>
      </c>
      <c r="CM23" s="531">
        <f t="shared" si="6"/>
        <v>14200.203000000003</v>
      </c>
      <c r="CN23" s="531">
        <f t="shared" si="6"/>
        <v>14200.203000000003</v>
      </c>
      <c r="CO23" s="531">
        <f t="shared" si="6"/>
        <v>14200.203000000003</v>
      </c>
      <c r="CP23" s="531">
        <f t="shared" si="6"/>
        <v>14200.203000000003</v>
      </c>
      <c r="CQ23" s="562">
        <f>CP23</f>
        <v>14200.203000000003</v>
      </c>
      <c r="CR23" s="531">
        <f t="shared" ref="CR23:CU23" si="7">CR51+CR343+CR62+CR40+CR73+CR84+CR211+CR148+CR97+CR105+CR128+CR221+CR284+CR191+CR335+CR351+CR358+CR118+CR159+CR230+CR293+CR137+CR181+CR252+CR170+CR200+CR263+CR241+CR274+CR304+CR315+CR326</f>
        <v>14200.203000000003</v>
      </c>
      <c r="CS23" s="531">
        <f t="shared" si="7"/>
        <v>12868.900000000003</v>
      </c>
      <c r="CT23" s="531">
        <f t="shared" si="7"/>
        <v>12868.900000000003</v>
      </c>
      <c r="CU23" s="531">
        <f t="shared" si="7"/>
        <v>12868.900000000003</v>
      </c>
      <c r="CV23" s="562">
        <f>CU23</f>
        <v>12868.900000000003</v>
      </c>
      <c r="CW23" s="531">
        <f t="shared" ref="CW23:CZ23" si="8">CW51+CW343+CW62+CW40+CW73+CW84+CW211+CW148+CW97+CW105+CW128+CW221+CW284+CW191+CW335+CW351+CW358+CW118+CW159+CW230+CW293+CW137+CW181+CW252+CW170+CW200+CW263+CW241+CW274+CW304+CW315+CW326</f>
        <v>12868.900000000003</v>
      </c>
      <c r="CX23" s="531">
        <f t="shared" si="8"/>
        <v>11537.597000000002</v>
      </c>
      <c r="CY23" s="531">
        <f t="shared" si="8"/>
        <v>11537.597000000002</v>
      </c>
      <c r="CZ23" s="531">
        <f t="shared" si="8"/>
        <v>11537.597000000002</v>
      </c>
      <c r="DA23" s="562">
        <f>CZ23</f>
        <v>11537.597000000002</v>
      </c>
      <c r="DB23" s="531">
        <f t="shared" ref="DB23:DE23" si="9">DB51+DB343+DB62+DB40+DB73+DB84+DB211+DB148+DB97+DB105+DB128+DB221+DB284+DB191+DB335+DB351+DB358+DB118+DB159+DB230+DB293+DB137+DB181+DB252+DB170+DB200+DB263+DB241+DB274+DB304+DB315+DB326</f>
        <v>11537.597000000002</v>
      </c>
      <c r="DC23" s="531">
        <f t="shared" si="9"/>
        <v>10206.294000000002</v>
      </c>
      <c r="DD23" s="531">
        <f t="shared" si="9"/>
        <v>10206.294000000002</v>
      </c>
      <c r="DE23" s="531">
        <f t="shared" si="9"/>
        <v>10206.294000000002</v>
      </c>
      <c r="DF23" s="562">
        <f>DE23</f>
        <v>10206.294000000002</v>
      </c>
    </row>
    <row r="24" spans="2:110" s="326" customFormat="1" x14ac:dyDescent="0.2">
      <c r="B24" s="544" t="s">
        <v>210</v>
      </c>
      <c r="C24" s="145"/>
      <c r="D24" s="145"/>
      <c r="E24" s="145"/>
      <c r="F24" s="145"/>
      <c r="G24" s="145"/>
      <c r="H24" s="145"/>
      <c r="I24" s="145"/>
      <c r="J24" s="145"/>
      <c r="K24" s="145"/>
      <c r="L24" s="145"/>
      <c r="M24" s="145"/>
      <c r="N24" s="145"/>
      <c r="O24" s="145"/>
      <c r="P24" s="145"/>
      <c r="Q24" s="145"/>
      <c r="R24" s="145"/>
      <c r="S24" s="346"/>
      <c r="T24" s="340">
        <f>S24</f>
        <v>0</v>
      </c>
      <c r="U24" s="346">
        <v>22.084</v>
      </c>
      <c r="V24" s="346">
        <v>22</v>
      </c>
      <c r="W24" s="346">
        <v>22.056000000000001</v>
      </c>
      <c r="X24" s="346">
        <v>22.056000000000001</v>
      </c>
      <c r="Y24" s="340">
        <f>X24</f>
        <v>22.056000000000001</v>
      </c>
      <c r="Z24" s="354">
        <v>22.056000000000001</v>
      </c>
      <c r="AA24" s="354">
        <v>22.056000000000001</v>
      </c>
      <c r="AB24" s="354">
        <v>22.056000000000001</v>
      </c>
      <c r="AC24" s="354">
        <v>110</v>
      </c>
      <c r="AD24" s="340">
        <f>AC24</f>
        <v>110</v>
      </c>
      <c r="AE24" s="346">
        <f>AC24</f>
        <v>110</v>
      </c>
      <c r="AF24" s="346">
        <f>AE24</f>
        <v>110</v>
      </c>
      <c r="AG24" s="354">
        <v>150</v>
      </c>
      <c r="AH24" s="354">
        <v>180.1</v>
      </c>
      <c r="AI24" s="340">
        <f>AH24</f>
        <v>180.1</v>
      </c>
      <c r="AJ24" s="354">
        <f>Model!AJ112</f>
        <v>200.1</v>
      </c>
      <c r="AK24" s="354">
        <f>Model!AK112</f>
        <v>220.1</v>
      </c>
      <c r="AL24" s="354">
        <f>Model!AL112</f>
        <v>240.1</v>
      </c>
      <c r="AM24" s="354">
        <f>Model!AM112</f>
        <v>260.10000000000002</v>
      </c>
      <c r="AN24" s="340">
        <f>AM24</f>
        <v>260.10000000000002</v>
      </c>
      <c r="AO24" s="354">
        <v>280.10000000000002</v>
      </c>
      <c r="AP24" s="354">
        <v>300.10000000000002</v>
      </c>
      <c r="AQ24" s="354">
        <v>320.10000000000002</v>
      </c>
      <c r="AR24" s="354">
        <v>420</v>
      </c>
      <c r="AS24" s="340">
        <f>AR24</f>
        <v>420</v>
      </c>
      <c r="AT24" s="354">
        <v>520.1</v>
      </c>
      <c r="AU24" s="354">
        <v>620</v>
      </c>
      <c r="AV24" s="354">
        <v>540.1</v>
      </c>
      <c r="AW24" s="354">
        <v>1340.1</v>
      </c>
      <c r="AX24" s="340">
        <f>AW24</f>
        <v>1340.1</v>
      </c>
      <c r="AY24" s="354">
        <v>1160.0999999999999</v>
      </c>
      <c r="AZ24" s="354">
        <v>980.1</v>
      </c>
      <c r="BA24" s="346">
        <f>Model!BA112</f>
        <v>0.1</v>
      </c>
      <c r="BB24" s="346">
        <f>Model!BB112</f>
        <v>0.1</v>
      </c>
      <c r="BC24" s="340">
        <f>BB24</f>
        <v>0.1</v>
      </c>
      <c r="BD24" s="346">
        <f>Model!BD112</f>
        <v>0.1</v>
      </c>
      <c r="BE24" s="346">
        <f>Model!BE112</f>
        <v>999.8</v>
      </c>
      <c r="BF24" s="346">
        <f>Model!BF112</f>
        <v>999.9</v>
      </c>
      <c r="BG24" s="346">
        <f>Model!BG112</f>
        <v>999.9</v>
      </c>
      <c r="BH24" s="340">
        <f>BG24</f>
        <v>999.9</v>
      </c>
      <c r="BI24" s="346">
        <f>Model!BI112</f>
        <v>1000</v>
      </c>
      <c r="BJ24" s="346">
        <f>Model!BJ112</f>
        <v>1929.3</v>
      </c>
      <c r="BK24" s="346">
        <f>Model!BK112</f>
        <v>978.6</v>
      </c>
      <c r="BL24" s="346">
        <f>Model!BL112</f>
        <v>934.9</v>
      </c>
      <c r="BM24" s="340">
        <f>Model!BM112</f>
        <v>934.9</v>
      </c>
      <c r="BN24" s="346">
        <f>Model!BN112</f>
        <v>631.6</v>
      </c>
      <c r="BO24" s="346">
        <f>Model!BO112</f>
        <v>631.6</v>
      </c>
      <c r="BP24" s="346">
        <f>Model!BP112</f>
        <v>631.6</v>
      </c>
      <c r="BQ24" s="346">
        <f>Model!BQ112</f>
        <v>1584</v>
      </c>
      <c r="BR24" s="340">
        <f>BQ24</f>
        <v>1584</v>
      </c>
      <c r="BS24" s="346">
        <f>Model!BS112</f>
        <v>2635.2</v>
      </c>
      <c r="BT24" s="346">
        <f>Model!BT112</f>
        <v>3938.3</v>
      </c>
      <c r="BU24" s="346">
        <f>Model!BU112</f>
        <v>3245.4</v>
      </c>
      <c r="BV24" s="346">
        <f>Model!BV112</f>
        <v>2555.3000000000002</v>
      </c>
      <c r="BW24" s="340">
        <f>BV24</f>
        <v>2555.3000000000002</v>
      </c>
      <c r="BX24" s="346">
        <f>Model!BX112</f>
        <v>1607.1</v>
      </c>
      <c r="BY24" s="346">
        <f>Model!BY112</f>
        <v>2149.6999999999998</v>
      </c>
      <c r="BZ24" s="346">
        <f>Model!BZ112</f>
        <v>1649.2</v>
      </c>
      <c r="CA24" s="346">
        <f>Model!CA112</f>
        <v>1646.4</v>
      </c>
      <c r="CB24" s="563">
        <f>CA24</f>
        <v>1646.4</v>
      </c>
      <c r="CC24" s="346">
        <f>CC148</f>
        <v>564.59999999999991</v>
      </c>
      <c r="CD24" s="346">
        <v>0</v>
      </c>
      <c r="CE24" s="346">
        <v>1184</v>
      </c>
      <c r="CF24" s="346">
        <v>722.3</v>
      </c>
      <c r="CG24" s="563">
        <f>CF24</f>
        <v>722.3</v>
      </c>
      <c r="CH24" s="346">
        <f>+CI25+CJ25+CK25+CM25</f>
        <v>1368.1000000000001</v>
      </c>
      <c r="CI24" s="346">
        <f>+CJ25+CK25+CM25+CN25</f>
        <v>868.80000000000007</v>
      </c>
      <c r="CJ24" s="346">
        <f>+CK25+CM25+CN25+CO25</f>
        <v>868.80000000000007</v>
      </c>
      <c r="CK24" s="346">
        <f>+CM25+CN25+CO25+CP25</f>
        <v>868.80000000000007</v>
      </c>
      <c r="CL24" s="563">
        <f>CK24</f>
        <v>868.80000000000007</v>
      </c>
      <c r="CM24" s="346">
        <f>+CN25+CO25+CP25+CR25</f>
        <v>0</v>
      </c>
      <c r="CN24" s="346">
        <f>+CO25+CP25+CR25+CS25</f>
        <v>1331.3029999999999</v>
      </c>
      <c r="CO24" s="346">
        <f>+CP25+CR25+CS25+CT25</f>
        <v>1331.3029999999999</v>
      </c>
      <c r="CP24" s="346">
        <f>+CR25+CS25+CT25+CU25</f>
        <v>1331.3029999999999</v>
      </c>
      <c r="CQ24" s="563">
        <f>CP24</f>
        <v>1331.3029999999999</v>
      </c>
      <c r="CR24" s="346">
        <f>+CS25+CT25+CU25+CW25</f>
        <v>1331.3029999999999</v>
      </c>
      <c r="CS24" s="346">
        <f>+CT25+CU25+CW25+CX25</f>
        <v>1331.3029999999999</v>
      </c>
      <c r="CT24" s="346">
        <f>+CU25+CW25+CX25+CY25</f>
        <v>1331.3029999999999</v>
      </c>
      <c r="CU24" s="346">
        <f>+CW25+CX25+CY25+CZ25</f>
        <v>1331.3029999999999</v>
      </c>
      <c r="CV24" s="563">
        <f>CU24</f>
        <v>1331.3029999999999</v>
      </c>
      <c r="CW24" s="346">
        <f>+CX25+CY25+CZ25+DB25</f>
        <v>1331.3029999999999</v>
      </c>
      <c r="CX24" s="346">
        <f>+CY25+CZ25+DB25+DC25</f>
        <v>1331.3029999999999</v>
      </c>
      <c r="CY24" s="346">
        <f>+CZ25+DB25+DC25+DD25</f>
        <v>1331.3029999999999</v>
      </c>
      <c r="CZ24" s="346">
        <f>+DB25+DC25+DD25+DE25</f>
        <v>1331.3029999999999</v>
      </c>
      <c r="DA24" s="563">
        <f>CZ24</f>
        <v>1331.3029999999999</v>
      </c>
      <c r="DB24" s="346">
        <f>+DC25+DD25+DE25+DG25</f>
        <v>1331.3029999999999</v>
      </c>
      <c r="DC24" s="346">
        <f>+DD25+DE25+DG25+DH25</f>
        <v>0</v>
      </c>
      <c r="DD24" s="346">
        <f>+DE25+DG25+DH25+DI25</f>
        <v>0</v>
      </c>
      <c r="DE24" s="346">
        <f>+DG25+DH25+DI25+DJ25</f>
        <v>0</v>
      </c>
      <c r="DF24" s="563">
        <f>DE24</f>
        <v>0</v>
      </c>
    </row>
    <row r="25" spans="2:110" s="326" customFormat="1" x14ac:dyDescent="0.2">
      <c r="B25" s="544" t="s">
        <v>723</v>
      </c>
      <c r="C25" s="145"/>
      <c r="D25" s="145"/>
      <c r="E25" s="145"/>
      <c r="F25" s="145"/>
      <c r="G25" s="145"/>
      <c r="H25" s="145"/>
      <c r="I25" s="145"/>
      <c r="J25" s="145"/>
      <c r="K25" s="145"/>
      <c r="L25" s="145"/>
      <c r="M25" s="145"/>
      <c r="N25" s="145"/>
      <c r="O25" s="145"/>
      <c r="P25" s="145"/>
      <c r="Q25" s="145"/>
      <c r="R25" s="145"/>
      <c r="S25" s="346"/>
      <c r="T25" s="346"/>
      <c r="U25" s="346"/>
      <c r="V25" s="346"/>
      <c r="W25" s="346"/>
      <c r="X25" s="346"/>
      <c r="Y25" s="340"/>
      <c r="Z25" s="354"/>
      <c r="AA25" s="354"/>
      <c r="AB25" s="354"/>
      <c r="AC25" s="354"/>
      <c r="AD25" s="340"/>
      <c r="AE25" s="346"/>
      <c r="AF25" s="346"/>
      <c r="AG25" s="354"/>
      <c r="AH25" s="354"/>
      <c r="AI25" s="340"/>
      <c r="AJ25" s="354"/>
      <c r="AK25" s="354"/>
      <c r="AL25" s="354"/>
      <c r="AM25" s="354"/>
      <c r="AN25" s="340"/>
      <c r="AO25" s="354"/>
      <c r="AP25" s="354"/>
      <c r="AQ25" s="354"/>
      <c r="AR25" s="354"/>
      <c r="AS25" s="340"/>
      <c r="AT25" s="354"/>
      <c r="AU25" s="354"/>
      <c r="AV25" s="354"/>
      <c r="AW25" s="354"/>
      <c r="AX25" s="340"/>
      <c r="AY25" s="354"/>
      <c r="AZ25" s="354"/>
      <c r="BA25" s="346"/>
      <c r="BB25" s="346"/>
      <c r="BC25" s="340"/>
      <c r="BD25" s="346"/>
      <c r="BE25" s="346"/>
      <c r="BF25" s="346"/>
      <c r="BG25" s="346"/>
      <c r="BH25" s="340"/>
      <c r="BI25" s="346"/>
      <c r="BJ25" s="346"/>
      <c r="BK25" s="346"/>
      <c r="BL25" s="346"/>
      <c r="BM25" s="340"/>
      <c r="BN25" s="346"/>
      <c r="BO25" s="346"/>
      <c r="BP25" s="346"/>
      <c r="BQ25" s="346"/>
      <c r="BR25" s="340"/>
      <c r="BS25" s="346">
        <f ca="1">-BS169-BS180-BS190-BS199-BS210-BS220-BS229-BS240-BS262-BS273-BS251-BS283--BS292-BS303-BS314-BS325-BS334-BS342-BS350-BS357</f>
        <v>166.70000000000016</v>
      </c>
      <c r="BT25" s="346">
        <f ca="1">-BT169-BT180-BT190-BT199-BT210-BT220-BT229-BT240-BT262-BT273-BT251-BT283--BT292-BT303-BT314-BT325-BT334-BT342-BT350-BT357</f>
        <v>-2273.6</v>
      </c>
      <c r="BU25" s="346">
        <f>-BU169-BU180-BU190-BU199-BU210-BU220-BU229-BU240-BU262-BU273-BU251-BU283--BU292-BU303-BU314-BU325-BU334-BU342-BU350-BU357</f>
        <v>166.49999999999983</v>
      </c>
      <c r="BV25" s="346">
        <f>-BV169-BV180-BV190-BV199-BV210-BV220-BV229-BV240-BV262-BV273-BV251-BV283--BV292-BV303-BV314-BV325-BV334-BV342-BV350-BV357</f>
        <v>166.3</v>
      </c>
      <c r="BW25" s="340"/>
      <c r="BX25" s="346">
        <f>-BX169-BX180-BX190-BX199-BX210-BX220-BX229-BX240-BX262-BX273-BX251-BX283--BX292-BX303-BX314-BX325-BX334-BX342-BX350-BX357</f>
        <v>116.60000000000019</v>
      </c>
      <c r="BY25" s="346">
        <f>-BY169-BY180-BY190-BY199-BY210-BY220-BY229-BY240-BY262-BY273-BY251-BY283--BY292-BY303-BY314-BY325-BY334-BY342-BY350-BY357</f>
        <v>8.9000000000003645</v>
      </c>
      <c r="BZ25" s="346">
        <f>-BZ169-BZ180-BZ190-BZ199-BZ210-BZ220-BZ229-BZ240-BZ262-BZ273-BZ251-BZ283--BZ292-BZ303-BZ314-BZ325-BZ334-BZ342-BZ350-BZ357</f>
        <v>-51.799999999999898</v>
      </c>
      <c r="CA25" s="346">
        <f>-CA169-CA180-CA190-CA199-CA210-CA220-CA229-CA240-CA262-CA273-CA251-CA283--CA292-CA303-CA314-CA325-CA334-CA342-CA350-CA357</f>
        <v>70.599999999999909</v>
      </c>
      <c r="CB25" s="563"/>
      <c r="CC25" s="346"/>
      <c r="CD25" s="346"/>
      <c r="CE25" s="346"/>
      <c r="CF25" s="346"/>
      <c r="CG25" s="563"/>
      <c r="CH25" s="346"/>
      <c r="CI25" s="346">
        <f>-CI169-CI180-CI190-CI199-CI210-CI220-CI229-CI240-CI262-CI273-CI251-CI283--CI292-CI303-CI314-CI325-CI334-CI342-CI350-CI357</f>
        <v>499.3</v>
      </c>
      <c r="CJ25" s="346">
        <f>-CJ169-CJ180-CJ190-CJ199-CJ210-CJ220-CJ229-CJ240-CJ262-CJ273-CJ251-CJ283--CJ292-CJ303-CJ314-CJ325-CJ334-CJ342-CJ350-CJ357</f>
        <v>0</v>
      </c>
      <c r="CK25" s="346">
        <f>-CK169-CK180-CK190-CK199-CK210-CK220-CK229-CK240-CK262-CK273-CK251-CK283--CK292-CK303-CK314-CK325-CK334-CK342-CK350-CK357</f>
        <v>0</v>
      </c>
      <c r="CL25" s="563"/>
      <c r="CM25" s="346">
        <f t="shared" ref="CM25:CP25" si="10">-CM169-CM180-CM190-CM199-CM210-CM220-CM229-CM240-CM262-CM273-CM251-CM283--CM292-CM303-CM314-CM325-CM334-CM342-CM350-CM357</f>
        <v>868.80000000000007</v>
      </c>
      <c r="CN25" s="346">
        <f t="shared" si="10"/>
        <v>0</v>
      </c>
      <c r="CO25" s="346">
        <f t="shared" si="10"/>
        <v>0</v>
      </c>
      <c r="CP25" s="346">
        <f t="shared" si="10"/>
        <v>0</v>
      </c>
      <c r="CQ25" s="563"/>
      <c r="CR25" s="346">
        <f t="shared" ref="CR25:CU25" si="11">-CR169-CR180-CR190-CR199-CR210-CR220-CR229-CR240-CR262-CR273-CR251-CR283--CR292-CR303-CR314-CR325-CR334-CR342-CR350-CR357</f>
        <v>0</v>
      </c>
      <c r="CS25" s="346">
        <f t="shared" si="11"/>
        <v>1331.3029999999999</v>
      </c>
      <c r="CT25" s="346">
        <f t="shared" si="11"/>
        <v>0</v>
      </c>
      <c r="CU25" s="346">
        <f t="shared" si="11"/>
        <v>0</v>
      </c>
      <c r="CV25" s="563"/>
      <c r="CW25" s="346">
        <f t="shared" ref="CW25:CZ25" si="12">-CW169-CW180-CW190-CW199-CW210-CW220-CW229-CW240-CW262-CW273-CW251-CW283--CW292-CW303-CW314-CW325-CW334-CW342-CW350-CW357</f>
        <v>0</v>
      </c>
      <c r="CX25" s="346">
        <f t="shared" si="12"/>
        <v>1331.3029999999999</v>
      </c>
      <c r="CY25" s="346">
        <f t="shared" si="12"/>
        <v>0</v>
      </c>
      <c r="CZ25" s="346">
        <f t="shared" si="12"/>
        <v>0</v>
      </c>
      <c r="DA25" s="563"/>
      <c r="DB25" s="346">
        <f t="shared" ref="DB25:DE25" si="13">-DB169-DB180-DB190-DB199-DB210-DB220-DB229-DB240-DB262-DB273-DB251-DB283--DB292-DB303-DB314-DB325-DB334-DB342-DB350-DB357</f>
        <v>0</v>
      </c>
      <c r="DC25" s="346">
        <f t="shared" si="13"/>
        <v>1331.3029999999999</v>
      </c>
      <c r="DD25" s="346">
        <f t="shared" si="13"/>
        <v>0</v>
      </c>
      <c r="DE25" s="346">
        <f t="shared" si="13"/>
        <v>0</v>
      </c>
      <c r="DF25" s="563"/>
    </row>
    <row r="26" spans="2:110" s="326" customFormat="1" x14ac:dyDescent="0.2">
      <c r="B26" s="544" t="s">
        <v>325</v>
      </c>
      <c r="C26" s="145"/>
      <c r="D26" s="145"/>
      <c r="E26" s="145"/>
      <c r="F26" s="145"/>
      <c r="G26" s="145"/>
      <c r="H26" s="145"/>
      <c r="I26" s="145"/>
      <c r="J26" s="145"/>
      <c r="K26" s="145"/>
      <c r="L26" s="145"/>
      <c r="M26" s="145"/>
      <c r="N26" s="145"/>
      <c r="O26" s="145"/>
      <c r="P26" s="145"/>
      <c r="Q26" s="145"/>
      <c r="R26" s="145"/>
      <c r="S26" s="346"/>
      <c r="T26" s="346"/>
      <c r="U26" s="346">
        <f>U23-U24</f>
        <v>-22.084</v>
      </c>
      <c r="V26" s="346">
        <f>V23-V24</f>
        <v>28</v>
      </c>
      <c r="W26" s="346">
        <f>W23-W24</f>
        <v>27.943999999999999</v>
      </c>
      <c r="X26" s="346">
        <f>X23-X24</f>
        <v>27.943999999999999</v>
      </c>
      <c r="Y26" s="340">
        <f>X26</f>
        <v>27.943999999999999</v>
      </c>
      <c r="Z26" s="346">
        <f>Z23-Z24</f>
        <v>-22.056000000000001</v>
      </c>
      <c r="AA26" s="346">
        <f>AA23-AA24</f>
        <v>-22.056000000000001</v>
      </c>
      <c r="AB26" s="346">
        <f>AB23-AB24</f>
        <v>-22.056000000000001</v>
      </c>
      <c r="AC26" s="346">
        <f>AC23-AC24</f>
        <v>1400</v>
      </c>
      <c r="AD26" s="340">
        <f>AC26</f>
        <v>1400</v>
      </c>
      <c r="AE26" s="346">
        <f>AE23-AE24</f>
        <v>1360.5</v>
      </c>
      <c r="AF26" s="346">
        <f>AF23-AF24</f>
        <v>1605.4</v>
      </c>
      <c r="AG26" s="346">
        <f>AG23-AG24</f>
        <v>1480.4</v>
      </c>
      <c r="AH26" s="346">
        <f>AH23-AH24</f>
        <v>1270.4000000000001</v>
      </c>
      <c r="AI26" s="340">
        <f>AH26</f>
        <v>1270.4000000000001</v>
      </c>
      <c r="AJ26" s="346">
        <f>AJ23-AJ24</f>
        <v>1160.4000000000001</v>
      </c>
      <c r="AK26" s="346">
        <f>AK23-AK24</f>
        <v>1700.3000000000002</v>
      </c>
      <c r="AL26" s="346">
        <f>AL23-AL24</f>
        <v>1740.3000000000002</v>
      </c>
      <c r="AM26" s="346">
        <f>AM23-AM24</f>
        <v>1760.3000000000002</v>
      </c>
      <c r="AN26" s="340">
        <f>AM26</f>
        <v>1760.3000000000002</v>
      </c>
      <c r="AO26" s="346">
        <f>AO23-AO24</f>
        <v>1680.3000000000002</v>
      </c>
      <c r="AP26" s="346">
        <f>AP23-AP24</f>
        <v>1600.3000000000002</v>
      </c>
      <c r="AQ26" s="346">
        <f>AQ23-AQ24</f>
        <v>1520.3000000000002</v>
      </c>
      <c r="AR26" s="346">
        <f>AR23-AR24</f>
        <v>1340.3</v>
      </c>
      <c r="AS26" s="340">
        <f>AR26</f>
        <v>1340.3</v>
      </c>
      <c r="AT26" s="346">
        <f>AT23-AT24</f>
        <v>1160.3000000000002</v>
      </c>
      <c r="AU26" s="346">
        <f>AU23-AU24</f>
        <v>3471.8999999999996</v>
      </c>
      <c r="AV26" s="346">
        <f>AV23-AV24</f>
        <v>3472.2</v>
      </c>
      <c r="AW26" s="346">
        <f>AW23-AW24</f>
        <v>2492.5</v>
      </c>
      <c r="AX26" s="340">
        <f>AW26</f>
        <v>2492.5</v>
      </c>
      <c r="AY26" s="346">
        <f>AY23-AY24</f>
        <v>2492.8000000000002</v>
      </c>
      <c r="AZ26" s="346">
        <f>AZ23-AZ24</f>
        <v>2493.1000000000004</v>
      </c>
      <c r="BA26" s="346">
        <f>BA23-BA24</f>
        <v>2493.4000000000005</v>
      </c>
      <c r="BB26" s="346">
        <f>BB23-BB24</f>
        <v>2493.7000000000003</v>
      </c>
      <c r="BC26" s="340">
        <f>BB26</f>
        <v>2493.7000000000003</v>
      </c>
      <c r="BD26" s="346">
        <f>BD23-BD24</f>
        <v>2494.0000000000005</v>
      </c>
      <c r="BE26" s="346">
        <f>BE23-BE24</f>
        <v>3088.7000000000007</v>
      </c>
      <c r="BF26" s="346">
        <f>BF23-BF24</f>
        <v>2989.3000000000006</v>
      </c>
      <c r="BG26" s="346">
        <f>BG23-BG24</f>
        <v>2990.0000000000005</v>
      </c>
      <c r="BH26" s="340">
        <f>BG26</f>
        <v>2990.0000000000005</v>
      </c>
      <c r="BI26" s="346">
        <f>BI23-BI24</f>
        <v>10538.750000000002</v>
      </c>
      <c r="BJ26" s="346">
        <f>BJ23-BJ24</f>
        <v>16312.3</v>
      </c>
      <c r="BK26" s="346">
        <f>BK23-BK24</f>
        <v>17145.8</v>
      </c>
      <c r="BL26" s="346">
        <f>BL23-BL24</f>
        <v>14980.099999999999</v>
      </c>
      <c r="BM26" s="340">
        <f>BL26</f>
        <v>14980.099999999999</v>
      </c>
      <c r="BN26" s="346">
        <f>BN23-BN24</f>
        <v>13814.999999999998</v>
      </c>
      <c r="BO26" s="346">
        <f>BO23-BO24</f>
        <v>13648.499999999996</v>
      </c>
      <c r="BP26" s="346">
        <f>BP23-BP24</f>
        <v>13481.8</v>
      </c>
      <c r="BQ26" s="346">
        <f>BQ23-BQ24</f>
        <v>12363.000000000002</v>
      </c>
      <c r="BR26" s="340">
        <f>BQ26</f>
        <v>12363.000000000002</v>
      </c>
      <c r="BS26" s="346">
        <f ca="1">BS23-BS24</f>
        <v>11145.2</v>
      </c>
      <c r="BT26" s="346">
        <f>BT23-BT24</f>
        <v>12115.599999999999</v>
      </c>
      <c r="BU26" s="346">
        <f>BU23-BU24</f>
        <v>11391.999999999998</v>
      </c>
      <c r="BV26" s="346">
        <f>BV23-BV24</f>
        <v>11015.5</v>
      </c>
      <c r="BW26" s="340">
        <f>BV26</f>
        <v>11015.5</v>
      </c>
      <c r="BX26" s="346">
        <f>BX23-BX24</f>
        <v>10846.499999999998</v>
      </c>
      <c r="BY26" s="346">
        <f>BY23-BY24</f>
        <v>13995.400000000001</v>
      </c>
      <c r="BZ26" s="346">
        <f>BZ23-BZ24</f>
        <v>14547.999999999998</v>
      </c>
      <c r="CA26" s="346">
        <f>CA23-CA24</f>
        <v>13978.699999999999</v>
      </c>
      <c r="CB26" s="563">
        <f>CA26</f>
        <v>13978.699999999999</v>
      </c>
      <c r="CC26" s="346">
        <f>CC23-CC24</f>
        <v>16127.4</v>
      </c>
      <c r="CD26" s="346">
        <f>CD23-CD24</f>
        <v>16108.099999999999</v>
      </c>
      <c r="CE26" s="346">
        <f>CE23-CE24</f>
        <v>14924.643000000002</v>
      </c>
      <c r="CF26" s="346">
        <f>CF23-CF24</f>
        <v>14846.003000000002</v>
      </c>
      <c r="CG26" s="563">
        <f>CF26</f>
        <v>14846.003000000002</v>
      </c>
      <c r="CH26" s="346">
        <f>CH23-CH24</f>
        <v>14200.203000000001</v>
      </c>
      <c r="CI26" s="346">
        <f>CI23-CI24</f>
        <v>14200.203000000003</v>
      </c>
      <c r="CJ26" s="346">
        <f>CJ23-CJ24</f>
        <v>14200.203000000003</v>
      </c>
      <c r="CK26" s="346">
        <f>CK23-CK24</f>
        <v>14200.203000000003</v>
      </c>
      <c r="CL26" s="563">
        <f>CK26</f>
        <v>14200.203000000003</v>
      </c>
      <c r="CM26" s="346">
        <f>CM23-CM24</f>
        <v>14200.203000000003</v>
      </c>
      <c r="CN26" s="346">
        <f>CN23-CN24</f>
        <v>12868.900000000003</v>
      </c>
      <c r="CO26" s="346">
        <f>CO23-CO24</f>
        <v>12868.900000000003</v>
      </c>
      <c r="CP26" s="346">
        <f>CP23-CP24</f>
        <v>12868.900000000003</v>
      </c>
      <c r="CQ26" s="563">
        <f>CP26</f>
        <v>12868.900000000003</v>
      </c>
      <c r="CR26" s="346">
        <f>CR23-CR24</f>
        <v>12868.900000000003</v>
      </c>
      <c r="CS26" s="346">
        <f>CS23-CS24</f>
        <v>11537.597000000003</v>
      </c>
      <c r="CT26" s="346">
        <f>CT23-CT24</f>
        <v>11537.597000000003</v>
      </c>
      <c r="CU26" s="346">
        <f>CU23-CU24</f>
        <v>11537.597000000003</v>
      </c>
      <c r="CV26" s="563">
        <f>CU26</f>
        <v>11537.597000000003</v>
      </c>
      <c r="CW26" s="346">
        <f>CW23-CW24</f>
        <v>11537.597000000003</v>
      </c>
      <c r="CX26" s="346">
        <f>CX23-CX24</f>
        <v>10206.294000000002</v>
      </c>
      <c r="CY26" s="346">
        <f>CY23-CY24</f>
        <v>10206.294000000002</v>
      </c>
      <c r="CZ26" s="346">
        <f>CZ23-CZ24</f>
        <v>10206.294000000002</v>
      </c>
      <c r="DA26" s="563">
        <f>CZ26</f>
        <v>10206.294000000002</v>
      </c>
      <c r="DB26" s="346">
        <f>DB23-DB24</f>
        <v>10206.294000000002</v>
      </c>
      <c r="DC26" s="346">
        <f>DC23-DC24</f>
        <v>10206.294000000002</v>
      </c>
      <c r="DD26" s="346">
        <f>DD23-DD24</f>
        <v>10206.294000000002</v>
      </c>
      <c r="DE26" s="346">
        <f>DE23-DE24</f>
        <v>10206.294000000002</v>
      </c>
      <c r="DF26" s="563">
        <f>DE26</f>
        <v>10206.294000000002</v>
      </c>
    </row>
    <row r="27" spans="2:110" s="326" customFormat="1" ht="12" thickBot="1" x14ac:dyDescent="0.25">
      <c r="B27" s="548" t="s">
        <v>212</v>
      </c>
      <c r="C27" s="205"/>
      <c r="D27" s="205"/>
      <c r="E27" s="205"/>
      <c r="F27" s="205"/>
      <c r="G27" s="205"/>
      <c r="H27" s="205"/>
      <c r="I27" s="205"/>
      <c r="J27" s="205"/>
      <c r="K27" s="205"/>
      <c r="L27" s="205"/>
      <c r="M27" s="205"/>
      <c r="N27" s="205"/>
      <c r="O27" s="205"/>
      <c r="P27" s="205"/>
      <c r="Q27" s="205"/>
      <c r="R27" s="205"/>
      <c r="S27" s="549"/>
      <c r="T27" s="549"/>
      <c r="U27" s="549"/>
      <c r="V27" s="549"/>
      <c r="W27" s="549"/>
      <c r="X27" s="549">
        <f>Model!X115</f>
        <v>412</v>
      </c>
      <c r="Y27" s="550"/>
      <c r="Z27" s="549">
        <f>Model!Z115</f>
        <v>356.50799999999998</v>
      </c>
      <c r="AA27" s="549">
        <f>Model!AA115</f>
        <v>350.95100000000002</v>
      </c>
      <c r="AB27" s="549">
        <f>Model!AB115</f>
        <v>345.45100000000002</v>
      </c>
      <c r="AC27" s="549">
        <f>Model!AC115</f>
        <v>1400.5</v>
      </c>
      <c r="AD27" s="550"/>
      <c r="AE27" s="549">
        <f>Model!AE115</f>
        <v>1360.5</v>
      </c>
      <c r="AF27" s="549">
        <f>Model!AF115</f>
        <v>1605.4</v>
      </c>
      <c r="AG27" s="549">
        <f>Model!AG115</f>
        <v>1480.4</v>
      </c>
      <c r="AH27" s="549">
        <f>Model!AH115</f>
        <v>1270.4000000000001</v>
      </c>
      <c r="AI27" s="550"/>
      <c r="AJ27" s="549">
        <f>Model!AJ115</f>
        <v>1160.4000000000001</v>
      </c>
      <c r="AK27" s="549">
        <f>Model!AK115</f>
        <v>1700.3</v>
      </c>
      <c r="AL27" s="549">
        <f>Model!AL115</f>
        <v>1740.3</v>
      </c>
      <c r="AM27" s="549">
        <f>Model!AM115</f>
        <v>1760.3</v>
      </c>
      <c r="AN27" s="550"/>
      <c r="AO27" s="549">
        <f>Model!AO115</f>
        <v>1680.3</v>
      </c>
      <c r="AP27" s="549">
        <f>Model!AP115</f>
        <v>1600.3</v>
      </c>
      <c r="AQ27" s="549">
        <f>Model!AQ115</f>
        <v>1520.3</v>
      </c>
      <c r="AR27" s="549">
        <f>Model!AR115</f>
        <v>1340.3</v>
      </c>
      <c r="AS27" s="550"/>
      <c r="AT27" s="549">
        <f>Model!AT115</f>
        <v>1160.3</v>
      </c>
      <c r="AU27" s="549">
        <f>Model!AU115</f>
        <v>3471.9</v>
      </c>
      <c r="AV27" s="549">
        <f>Model!AV115</f>
        <v>3472.2</v>
      </c>
      <c r="AW27" s="549">
        <f>Model!AW115</f>
        <v>2492.5</v>
      </c>
      <c r="AX27" s="550"/>
      <c r="AY27" s="549">
        <f>Model!AY115</f>
        <v>2492.8000000000002</v>
      </c>
      <c r="AZ27" s="549">
        <f>Model!AZ115</f>
        <v>2493.1</v>
      </c>
      <c r="BA27" s="549">
        <f>Model!BA115</f>
        <v>2493.4</v>
      </c>
      <c r="BB27" s="549">
        <f>Model!BB115</f>
        <v>2493.6999999999998</v>
      </c>
      <c r="BC27" s="550"/>
      <c r="BD27" s="549">
        <f>Model!BD115</f>
        <v>2494</v>
      </c>
      <c r="BE27" s="549">
        <f>Model!BE115</f>
        <v>3088.7</v>
      </c>
      <c r="BF27" s="549">
        <f>Model!BF115</f>
        <v>2989.3</v>
      </c>
      <c r="BG27" s="549">
        <f>Model!BG115</f>
        <v>7076.4</v>
      </c>
      <c r="BH27" s="550"/>
      <c r="BI27" s="549">
        <f>Model!BI115</f>
        <v>10537.1</v>
      </c>
      <c r="BJ27" s="549">
        <f>Model!BJ115</f>
        <v>16312.3</v>
      </c>
      <c r="BK27" s="549">
        <f>Model!BK115</f>
        <v>16146.3</v>
      </c>
      <c r="BL27" s="549">
        <f>Model!BL115</f>
        <v>14980.1</v>
      </c>
      <c r="BM27" s="550"/>
      <c r="BN27" s="549">
        <f>Model!BN115</f>
        <v>13815.1</v>
      </c>
      <c r="BO27" s="549">
        <f>Model!BO115</f>
        <v>13648.5</v>
      </c>
      <c r="BP27" s="549">
        <f>Model!BP115</f>
        <v>13482</v>
      </c>
      <c r="BQ27" s="549">
        <f>Model!BQ115</f>
        <v>12363</v>
      </c>
      <c r="BR27" s="550"/>
      <c r="BS27" s="549">
        <f>Model!BS115</f>
        <v>11145.1</v>
      </c>
      <c r="BT27" s="549">
        <f>Model!BT115</f>
        <v>12165.5</v>
      </c>
      <c r="BU27" s="549">
        <f>Model!BU115</f>
        <v>11442</v>
      </c>
      <c r="BV27" s="549">
        <f>Model!BV115</f>
        <v>11012.7</v>
      </c>
      <c r="BW27" s="550"/>
      <c r="BX27" s="549">
        <f>Model!BX115</f>
        <v>10741.2</v>
      </c>
      <c r="BY27" s="549">
        <f>Model!BY115</f>
        <v>14583.9</v>
      </c>
      <c r="BZ27" s="549">
        <f>Model!BZ115</f>
        <v>14037.7</v>
      </c>
      <c r="CA27" s="549">
        <f>Model!CA115</f>
        <v>13946.3</v>
      </c>
      <c r="CB27" s="565"/>
      <c r="CC27" s="549">
        <f>Model!CC112+Model!CC115</f>
        <v>16591.3</v>
      </c>
      <c r="CD27" s="549">
        <f>Model!CD112+Model!CD115</f>
        <v>15983.5</v>
      </c>
      <c r="CE27" s="549">
        <f>Model!CE115</f>
        <v>14924.5</v>
      </c>
      <c r="CF27" s="549">
        <f>Model!CF115</f>
        <v>14846</v>
      </c>
      <c r="CG27" s="565"/>
      <c r="CH27" s="549">
        <f>Model!CH115</f>
        <v>13906.2</v>
      </c>
      <c r="CI27" s="549">
        <f>Model!CI115</f>
        <v>13835.2</v>
      </c>
      <c r="CJ27" s="549">
        <f>Model!CJ115</f>
        <v>13726.7</v>
      </c>
      <c r="CK27" s="549">
        <f>Model!CK115</f>
        <v>14981.5</v>
      </c>
      <c r="CL27" s="565"/>
      <c r="CM27" s="549">
        <f>Model!CM115</f>
        <v>14200.203000000003</v>
      </c>
      <c r="CN27" s="549">
        <f>Model!CN115</f>
        <v>12868.900000000003</v>
      </c>
      <c r="CO27" s="549">
        <f>Model!CO115</f>
        <v>12868.900000000003</v>
      </c>
      <c r="CP27" s="549">
        <f>Model!CP115</f>
        <v>12868.900000000003</v>
      </c>
      <c r="CQ27" s="565"/>
      <c r="CR27" s="549">
        <f>Model!CR115</f>
        <v>12868.900000000003</v>
      </c>
      <c r="CS27" s="549">
        <f>Model!CS115</f>
        <v>11537.597000000003</v>
      </c>
      <c r="CT27" s="549">
        <f>Model!CT115</f>
        <v>11537.597000000003</v>
      </c>
      <c r="CU27" s="549">
        <f>Model!CU115</f>
        <v>11537.597000000003</v>
      </c>
      <c r="CV27" s="565"/>
      <c r="CW27" s="549">
        <f>Model!CW115</f>
        <v>11537.597000000003</v>
      </c>
      <c r="CX27" s="549">
        <f>Model!CX115</f>
        <v>10206.294000000002</v>
      </c>
      <c r="CY27" s="549">
        <f>Model!CY115</f>
        <v>10206.294000000002</v>
      </c>
      <c r="CZ27" s="549">
        <f>Model!CZ115</f>
        <v>10206.294000000002</v>
      </c>
      <c r="DA27" s="565"/>
      <c r="DB27" s="549">
        <f>Model!DB115</f>
        <v>10206.294000000002</v>
      </c>
      <c r="DC27" s="549">
        <f>Model!DC115</f>
        <v>10206.294000000002</v>
      </c>
      <c r="DD27" s="549">
        <f>Model!DD115</f>
        <v>10206.294000000002</v>
      </c>
      <c r="DE27" s="549">
        <f>Model!DE115</f>
        <v>10206.294000000002</v>
      </c>
      <c r="DF27" s="565"/>
    </row>
    <row r="28" spans="2:110" s="326" customFormat="1" ht="12" hidden="1" outlineLevel="1" thickBot="1" x14ac:dyDescent="0.25">
      <c r="B28" s="566" t="s">
        <v>168</v>
      </c>
      <c r="C28" s="567"/>
      <c r="D28" s="567"/>
      <c r="E28" s="567"/>
      <c r="F28" s="567"/>
      <c r="G28" s="567"/>
      <c r="H28" s="567"/>
      <c r="I28" s="567"/>
      <c r="J28" s="567"/>
      <c r="K28" s="567"/>
      <c r="L28" s="567"/>
      <c r="M28" s="567"/>
      <c r="N28" s="567"/>
      <c r="O28" s="567"/>
      <c r="P28" s="567"/>
      <c r="Q28" s="567"/>
      <c r="R28" s="567"/>
      <c r="S28" s="568"/>
      <c r="T28" s="568"/>
      <c r="U28" s="568"/>
      <c r="V28" s="568"/>
      <c r="W28" s="568"/>
      <c r="X28" s="568">
        <f>X27-X26</f>
        <v>384.05599999999998</v>
      </c>
      <c r="Y28" s="569"/>
      <c r="Z28" s="568">
        <f>Z27-Z26</f>
        <v>378.56399999999996</v>
      </c>
      <c r="AA28" s="568">
        <f>AA27-AA26</f>
        <v>373.00700000000001</v>
      </c>
      <c r="AB28" s="568">
        <f>AB27-AB26</f>
        <v>367.50700000000001</v>
      </c>
      <c r="AC28" s="568">
        <f>AC27-AC26</f>
        <v>0.5</v>
      </c>
      <c r="AD28" s="569"/>
      <c r="AE28" s="568">
        <f>AE27-AE26</f>
        <v>0</v>
      </c>
      <c r="AF28" s="568">
        <f>AF27-AF26</f>
        <v>0</v>
      </c>
      <c r="AG28" s="568">
        <f>AG27-AG26</f>
        <v>0</v>
      </c>
      <c r="AH28" s="568">
        <f>AH27-AH26</f>
        <v>0</v>
      </c>
      <c r="AI28" s="569"/>
      <c r="AJ28" s="568">
        <f>AJ27-AJ26</f>
        <v>0</v>
      </c>
      <c r="AK28" s="568">
        <f>AK27-AK26</f>
        <v>0</v>
      </c>
      <c r="AL28" s="568">
        <f>AL27-AL26</f>
        <v>0</v>
      </c>
      <c r="AM28" s="568">
        <f>AM27-AM26</f>
        <v>0</v>
      </c>
      <c r="AN28" s="569"/>
      <c r="AO28" s="568">
        <f>AO27-AO26</f>
        <v>0</v>
      </c>
      <c r="AP28" s="568">
        <f>AP27-AP26</f>
        <v>0</v>
      </c>
      <c r="AQ28" s="568">
        <f>AQ27-AQ26</f>
        <v>0</v>
      </c>
      <c r="AR28" s="568">
        <f>AR27-AR26</f>
        <v>0</v>
      </c>
      <c r="AS28" s="569"/>
      <c r="AT28" s="568">
        <f>AT27-AT26</f>
        <v>0</v>
      </c>
      <c r="AU28" s="568">
        <f>AU27-AU26</f>
        <v>0</v>
      </c>
      <c r="AV28" s="568">
        <f>AV27-AV26</f>
        <v>0</v>
      </c>
      <c r="AW28" s="1142">
        <f>AW27-AW26</f>
        <v>0</v>
      </c>
      <c r="AX28" s="1143"/>
      <c r="AY28" s="1142">
        <f>AY27-AY26</f>
        <v>0</v>
      </c>
      <c r="AZ28" s="568">
        <f>AZ27-AZ26</f>
        <v>0</v>
      </c>
      <c r="BA28" s="568">
        <f>BA27-BA26</f>
        <v>0</v>
      </c>
      <c r="BB28" s="568">
        <f>BB27-BB26</f>
        <v>0</v>
      </c>
      <c r="BC28" s="569"/>
      <c r="BD28" s="568">
        <f>BD27-BD26</f>
        <v>0</v>
      </c>
      <c r="BE28" s="568">
        <f>BE27-BE26</f>
        <v>0</v>
      </c>
      <c r="BF28" s="568">
        <f>BF27-BF26</f>
        <v>0</v>
      </c>
      <c r="BG28" s="568">
        <f>BG27-BG26</f>
        <v>4086.3999999999992</v>
      </c>
      <c r="BH28" s="569"/>
      <c r="BI28" s="568"/>
      <c r="BJ28" s="568">
        <f>BJ27-BJ26</f>
        <v>0</v>
      </c>
      <c r="BK28" s="568">
        <f>BK27-BK26</f>
        <v>-999.5</v>
      </c>
      <c r="BL28" s="568">
        <f>BL27-BL26</f>
        <v>0</v>
      </c>
      <c r="BM28" s="569"/>
      <c r="BN28" s="568">
        <f>BN27-BN26</f>
        <v>0.10000000000218279</v>
      </c>
      <c r="BO28" s="568">
        <f>BO27-BO26</f>
        <v>0</v>
      </c>
      <c r="BP28" s="568">
        <f>BP27-BP26</f>
        <v>0.2000000000007276</v>
      </c>
      <c r="BQ28" s="568">
        <f>BQ27-BQ26</f>
        <v>0</v>
      </c>
      <c r="BR28" s="569"/>
      <c r="BS28" s="568">
        <f ca="1">BS27-BS26</f>
        <v>-0.1000000000003638</v>
      </c>
      <c r="BT28" s="568">
        <f>BT27-BT26</f>
        <v>49.900000000001455</v>
      </c>
      <c r="BU28" s="568">
        <f>BU27-BU26</f>
        <v>50.000000000001819</v>
      </c>
      <c r="BV28" s="568">
        <f>BV27-BV26</f>
        <v>-2.7999999999992724</v>
      </c>
      <c r="BW28" s="569"/>
      <c r="BX28" s="568">
        <f>BX27-BX26</f>
        <v>-105.29999999999745</v>
      </c>
      <c r="BY28" s="568">
        <f>BY27-BY26</f>
        <v>588.49999999999818</v>
      </c>
      <c r="BZ28" s="568">
        <f>BZ27-BZ26</f>
        <v>-510.29999999999745</v>
      </c>
      <c r="CA28" s="568">
        <f>CA27-CA26</f>
        <v>-32.399999999999636</v>
      </c>
      <c r="CB28" s="570"/>
      <c r="CC28" s="568">
        <f>CC27-CC23</f>
        <v>-100.70000000000073</v>
      </c>
      <c r="CD28" s="568">
        <f>CD27-CD23</f>
        <v>-124.59999999999854</v>
      </c>
      <c r="CE28" s="568">
        <f>CE27-CE26</f>
        <v>-0.14300000000184809</v>
      </c>
      <c r="CF28" s="568">
        <f>CF27-CF26</f>
        <v>-3.0000000024301698E-3</v>
      </c>
      <c r="CG28" s="570"/>
      <c r="CH28" s="568">
        <f>CH27-CH26</f>
        <v>-294.00300000000061</v>
      </c>
      <c r="CI28" s="568">
        <f>CI27-CI26</f>
        <v>-365.00300000000243</v>
      </c>
      <c r="CJ28" s="568">
        <f>CJ27-CJ26</f>
        <v>-473.50300000000243</v>
      </c>
      <c r="CK28" s="568">
        <f>CK27-CK26</f>
        <v>781.29699999999684</v>
      </c>
      <c r="CL28" s="570"/>
      <c r="CM28" s="568">
        <f>CM27-CM26</f>
        <v>0</v>
      </c>
      <c r="CN28" s="568">
        <f>CN27-CN26</f>
        <v>0</v>
      </c>
      <c r="CO28" s="568">
        <f>CO27-CO26</f>
        <v>0</v>
      </c>
      <c r="CP28" s="568">
        <f>CP27-CP26</f>
        <v>0</v>
      </c>
      <c r="CQ28" s="570"/>
      <c r="CR28" s="568"/>
      <c r="CS28" s="568"/>
      <c r="CT28" s="568"/>
      <c r="CU28" s="568"/>
      <c r="CV28" s="570"/>
      <c r="CW28" s="568"/>
      <c r="CX28" s="568"/>
      <c r="CY28" s="568"/>
      <c r="CZ28" s="568"/>
      <c r="DA28" s="570"/>
      <c r="DB28" s="568"/>
      <c r="DC28" s="568"/>
      <c r="DD28" s="568"/>
      <c r="DE28" s="568"/>
      <c r="DF28" s="570"/>
    </row>
    <row r="29" spans="2:110" s="355" customFormat="1" collapsed="1" x14ac:dyDescent="0.2">
      <c r="C29" s="145"/>
      <c r="D29" s="145"/>
      <c r="E29" s="145"/>
      <c r="F29" s="145"/>
      <c r="G29" s="145"/>
      <c r="H29" s="145"/>
      <c r="I29" s="145"/>
      <c r="J29" s="145"/>
      <c r="K29" s="145"/>
      <c r="L29" s="145"/>
      <c r="M29" s="145"/>
      <c r="N29" s="145"/>
      <c r="O29" s="145"/>
      <c r="P29" s="145"/>
      <c r="Q29" s="145"/>
      <c r="R29" s="145"/>
      <c r="S29" s="346"/>
      <c r="T29" s="346"/>
      <c r="U29" s="346"/>
      <c r="V29" s="346"/>
      <c r="W29" s="346"/>
      <c r="X29" s="346"/>
      <c r="Y29" s="346"/>
      <c r="Z29" s="346"/>
      <c r="AA29" s="346"/>
      <c r="AB29" s="346"/>
      <c r="AC29" s="346"/>
      <c r="AD29" s="346"/>
      <c r="AE29" s="346"/>
      <c r="AF29" s="346"/>
      <c r="AG29" s="346"/>
      <c r="AH29" s="346"/>
      <c r="AI29" s="346"/>
      <c r="AJ29" s="346"/>
      <c r="AK29" s="346"/>
      <c r="AL29" s="346"/>
      <c r="AM29" s="346"/>
      <c r="AN29" s="346"/>
      <c r="AO29" s="346"/>
      <c r="AP29" s="346"/>
      <c r="AQ29" s="346"/>
      <c r="AR29" s="346"/>
      <c r="AS29" s="346"/>
      <c r="AT29" s="346"/>
      <c r="AU29" s="346"/>
      <c r="AV29" s="346"/>
      <c r="AW29" s="346"/>
      <c r="AX29" s="346"/>
      <c r="AY29" s="346"/>
      <c r="AZ29" s="346"/>
      <c r="BA29" s="346"/>
      <c r="BB29" s="346"/>
      <c r="BC29" s="346"/>
      <c r="BD29" s="346"/>
      <c r="BE29" s="346"/>
      <c r="BF29" s="346"/>
      <c r="BG29" s="346"/>
      <c r="BH29" s="346"/>
      <c r="BI29" s="346"/>
      <c r="BJ29" s="346"/>
      <c r="BK29" s="346"/>
      <c r="BL29" s="346"/>
      <c r="BM29" s="346"/>
      <c r="BN29" s="346"/>
      <c r="BO29" s="346"/>
      <c r="BP29" s="346"/>
      <c r="BQ29" s="346"/>
      <c r="BR29" s="346"/>
      <c r="BS29" s="346"/>
      <c r="BT29" s="346"/>
      <c r="BU29" s="346"/>
      <c r="BV29" s="346"/>
      <c r="BW29" s="346"/>
      <c r="BX29" s="346"/>
      <c r="BY29" s="346"/>
      <c r="BZ29" s="346"/>
      <c r="CA29" s="346"/>
      <c r="CB29" s="346"/>
      <c r="CC29" s="346"/>
      <c r="CD29" s="346"/>
      <c r="CE29" s="346"/>
      <c r="CF29" s="346"/>
      <c r="CG29" s="346"/>
      <c r="CH29" s="346"/>
      <c r="CI29" s="346"/>
      <c r="CJ29" s="346"/>
      <c r="CK29" s="346"/>
      <c r="CL29" s="346"/>
      <c r="CM29" s="346"/>
      <c r="CN29" s="346"/>
      <c r="CO29" s="346"/>
      <c r="CP29" s="346"/>
      <c r="CQ29" s="346"/>
      <c r="CR29" s="346"/>
      <c r="CS29" s="346"/>
      <c r="CT29" s="346"/>
      <c r="CU29" s="346"/>
      <c r="CV29" s="346"/>
      <c r="CW29" s="346"/>
      <c r="CX29" s="346"/>
      <c r="CY29" s="346"/>
      <c r="CZ29" s="346"/>
      <c r="DA29" s="346"/>
      <c r="DB29" s="346"/>
      <c r="DC29" s="346"/>
      <c r="DD29" s="346"/>
      <c r="DE29" s="346"/>
      <c r="DF29" s="346"/>
    </row>
    <row r="30" spans="2:110" s="326" customFormat="1" ht="12" thickBot="1" x14ac:dyDescent="0.25">
      <c r="D30" s="355"/>
      <c r="E30" s="355"/>
      <c r="F30" s="355"/>
      <c r="G30" s="355"/>
      <c r="H30" s="355"/>
      <c r="I30" s="355"/>
      <c r="J30" s="355"/>
      <c r="K30" s="355"/>
      <c r="L30" s="355"/>
      <c r="M30" s="355"/>
      <c r="N30" s="355"/>
      <c r="O30" s="355"/>
      <c r="P30" s="355"/>
      <c r="Q30" s="355"/>
      <c r="R30" s="355"/>
    </row>
    <row r="31" spans="2:110" s="528" customFormat="1" ht="13.5" thickBot="1" x14ac:dyDescent="0.25">
      <c r="B31" s="973" t="s">
        <v>326</v>
      </c>
      <c r="C31" s="816"/>
      <c r="D31" s="816"/>
      <c r="E31" s="816"/>
      <c r="F31" s="816"/>
      <c r="G31" s="816"/>
      <c r="H31" s="816"/>
      <c r="I31" s="816"/>
      <c r="J31" s="816"/>
      <c r="K31" s="816"/>
      <c r="L31" s="816"/>
      <c r="M31" s="816"/>
      <c r="N31" s="816"/>
      <c r="O31" s="816"/>
      <c r="P31" s="816"/>
      <c r="Q31" s="816"/>
      <c r="R31" s="816"/>
      <c r="S31" s="971"/>
      <c r="T31" s="971"/>
      <c r="U31" s="971"/>
      <c r="V31" s="971"/>
      <c r="W31" s="971"/>
      <c r="X31" s="974"/>
      <c r="Y31" s="974"/>
      <c r="Z31" s="974"/>
      <c r="AA31" s="974"/>
      <c r="AB31" s="974"/>
      <c r="AC31" s="974"/>
      <c r="AD31" s="974"/>
      <c r="AE31" s="974"/>
      <c r="AF31" s="974"/>
      <c r="AG31" s="974"/>
      <c r="AH31" s="974"/>
      <c r="AI31" s="974"/>
      <c r="AJ31" s="974"/>
      <c r="AK31" s="974"/>
      <c r="AL31" s="974"/>
      <c r="AM31" s="974"/>
      <c r="AN31" s="974"/>
      <c r="AO31" s="974"/>
      <c r="AP31" s="974"/>
      <c r="AQ31" s="974"/>
      <c r="AR31" s="974"/>
      <c r="AS31" s="974"/>
      <c r="AT31" s="974"/>
      <c r="AU31" s="974"/>
      <c r="AV31" s="974"/>
      <c r="AW31" s="974"/>
      <c r="AX31" s="974"/>
      <c r="AY31" s="974"/>
      <c r="AZ31" s="974"/>
      <c r="BA31" s="974"/>
      <c r="BB31" s="974"/>
      <c r="BC31" s="974"/>
      <c r="BD31" s="974"/>
      <c r="BE31" s="974"/>
      <c r="BF31" s="974"/>
      <c r="BG31" s="974"/>
      <c r="BH31" s="974"/>
      <c r="BI31" s="974"/>
      <c r="BJ31" s="974"/>
      <c r="BK31" s="974"/>
      <c r="BL31" s="974"/>
      <c r="BM31" s="974"/>
      <c r="BN31" s="974"/>
      <c r="BO31" s="974"/>
      <c r="BP31" s="974"/>
      <c r="BQ31" s="974"/>
      <c r="BR31" s="974"/>
      <c r="BS31" s="974"/>
      <c r="BT31" s="974"/>
      <c r="BU31" s="974"/>
      <c r="BV31" s="974"/>
      <c r="BW31" s="974"/>
      <c r="BX31" s="974"/>
      <c r="BY31" s="974"/>
      <c r="BZ31" s="974"/>
      <c r="CA31" s="974"/>
      <c r="CB31" s="975"/>
      <c r="CC31" s="974"/>
      <c r="CD31" s="974"/>
      <c r="CE31" s="974"/>
      <c r="CF31" s="974"/>
      <c r="CG31" s="975"/>
      <c r="CH31" s="974"/>
      <c r="CI31" s="974"/>
      <c r="CJ31" s="974"/>
      <c r="CK31" s="974"/>
      <c r="CL31" s="975"/>
      <c r="CM31" s="974"/>
      <c r="CN31" s="974"/>
      <c r="CO31" s="974"/>
      <c r="CP31" s="974"/>
      <c r="CQ31" s="975"/>
      <c r="CR31" s="974"/>
      <c r="CS31" s="974"/>
      <c r="CT31" s="974"/>
      <c r="CU31" s="974"/>
      <c r="CV31" s="975"/>
      <c r="CW31" s="974"/>
      <c r="CX31" s="974"/>
      <c r="CY31" s="974"/>
      <c r="CZ31" s="974"/>
      <c r="DA31" s="975"/>
      <c r="DB31" s="974"/>
      <c r="DC31" s="974"/>
      <c r="DD31" s="974"/>
      <c r="DE31" s="974"/>
      <c r="DF31" s="975"/>
    </row>
    <row r="32" spans="2:110" s="466" customFormat="1" ht="13.5" thickBot="1" x14ac:dyDescent="0.25">
      <c r="B32" s="614" t="s">
        <v>252</v>
      </c>
      <c r="C32" s="571"/>
      <c r="D32" s="572"/>
      <c r="E32" s="572"/>
      <c r="F32" s="572"/>
      <c r="G32" s="572"/>
      <c r="H32" s="572"/>
      <c r="I32" s="572"/>
      <c r="J32" s="572"/>
      <c r="K32" s="572"/>
      <c r="L32" s="572"/>
      <c r="M32" s="572"/>
      <c r="N32" s="572"/>
      <c r="O32" s="572"/>
      <c r="P32" s="572"/>
      <c r="Q32" s="572"/>
      <c r="R32" s="572"/>
      <c r="S32" s="573">
        <v>1.1599999999999999E-2</v>
      </c>
      <c r="T32" s="574"/>
      <c r="U32" s="573">
        <v>0.02</v>
      </c>
      <c r="V32" s="573">
        <v>0.02</v>
      </c>
      <c r="W32" s="573">
        <v>0.04</v>
      </c>
      <c r="X32" s="573">
        <v>0.04</v>
      </c>
      <c r="Y32" s="574"/>
      <c r="Z32" s="573">
        <v>0.04</v>
      </c>
      <c r="AA32" s="573">
        <v>0.04</v>
      </c>
      <c r="AB32" s="573">
        <v>4.2599999999999999E-2</v>
      </c>
      <c r="AC32" s="573">
        <v>4.1799999999999997E-2</v>
      </c>
      <c r="AD32" s="574"/>
      <c r="AE32" s="573">
        <v>4.1799999999999997E-2</v>
      </c>
      <c r="AF32" s="573">
        <f>AE32</f>
        <v>4.1799999999999997E-2</v>
      </c>
      <c r="AG32" s="573">
        <f>AF32</f>
        <v>4.1799999999999997E-2</v>
      </c>
      <c r="AH32" s="573">
        <f>AG32</f>
        <v>4.1799999999999997E-2</v>
      </c>
      <c r="AI32" s="574"/>
      <c r="AJ32" s="573">
        <v>4.2500000000000003E-2</v>
      </c>
      <c r="AK32" s="573">
        <f>AJ32</f>
        <v>4.2500000000000003E-2</v>
      </c>
      <c r="AL32" s="573">
        <v>5.5E-2</v>
      </c>
      <c r="AM32" s="573">
        <v>0.05</v>
      </c>
      <c r="AN32" s="574"/>
      <c r="AO32" s="573">
        <v>3.5000000000000003E-2</v>
      </c>
      <c r="AP32" s="573">
        <v>3.5000000000000003E-2</v>
      </c>
      <c r="AQ32" s="573">
        <v>3.15E-2</v>
      </c>
      <c r="AR32" s="573">
        <v>4.0524999999999999E-2</v>
      </c>
      <c r="AS32" s="575"/>
      <c r="AT32" s="573">
        <v>1.18438E-2</v>
      </c>
      <c r="AU32" s="573">
        <v>1.01625E-2</v>
      </c>
      <c r="AV32" s="573">
        <v>2.0505130769230769E-2</v>
      </c>
      <c r="AW32" s="573">
        <v>5.1864510489510575E-3</v>
      </c>
      <c r="AX32" s="575"/>
      <c r="AY32" s="573">
        <v>1.0157903199999976E-2</v>
      </c>
      <c r="AZ32" s="573">
        <v>9.699645794392522E-3</v>
      </c>
      <c r="BA32" s="573">
        <v>1.1461479591836727E-2</v>
      </c>
      <c r="BB32" s="573">
        <v>1.1461479591836727E-2</v>
      </c>
      <c r="BC32" s="575"/>
      <c r="BD32" s="1106">
        <f>BB32</f>
        <v>1.1461479591836727E-2</v>
      </c>
      <c r="BE32" s="1107">
        <v>0.05</v>
      </c>
      <c r="BF32" s="1107">
        <v>1.1461479591836727E-2</v>
      </c>
      <c r="BG32" s="1108">
        <f>BF32</f>
        <v>1.1461479591836727E-2</v>
      </c>
      <c r="BH32" s="575"/>
      <c r="BI32" s="1109">
        <v>0.02</v>
      </c>
      <c r="BJ32" s="1109">
        <v>0.02</v>
      </c>
      <c r="BK32" s="1109">
        <v>0.02</v>
      </c>
      <c r="BL32" s="1109">
        <v>0.02</v>
      </c>
      <c r="BM32" s="1111"/>
      <c r="BN32" s="1110">
        <v>2.1499999999999998E-2</v>
      </c>
      <c r="BO32" s="1110">
        <v>2.1499999999999998E-2</v>
      </c>
      <c r="BP32" s="1110">
        <v>2.3758000000000001E-2</v>
      </c>
      <c r="BQ32" s="1110">
        <v>2.5600000000000001E-2</v>
      </c>
      <c r="BR32" s="1111"/>
      <c r="BS32" s="1110">
        <v>2.7358E-2</v>
      </c>
      <c r="BT32" s="1110">
        <v>2.9090000000000001E-2</v>
      </c>
      <c r="BU32" s="1110">
        <v>3.0956999999999998E-2</v>
      </c>
      <c r="BV32" s="1110">
        <v>3.2627000000000003E-2</v>
      </c>
      <c r="BW32" s="1111"/>
      <c r="BX32" s="1110">
        <v>0.02</v>
      </c>
      <c r="BY32" s="1110">
        <f>BX32</f>
        <v>0.02</v>
      </c>
      <c r="BZ32" s="1110">
        <f>BY32</f>
        <v>0.02</v>
      </c>
      <c r="CA32" s="1110">
        <f>BZ32</f>
        <v>0.02</v>
      </c>
      <c r="CB32" s="1111"/>
      <c r="CC32" s="1110">
        <v>3.4243999999999997E-2</v>
      </c>
      <c r="CD32" s="1110">
        <v>3.5829E-2</v>
      </c>
      <c r="CE32" s="1110">
        <v>3.5659999999999997E-2</v>
      </c>
      <c r="CF32" s="1110">
        <v>3.7031000000000001E-2</v>
      </c>
      <c r="CG32" s="1111"/>
      <c r="CH32" s="1110">
        <v>3.4243999999999997E-2</v>
      </c>
      <c r="CI32" s="1110">
        <v>3.5829E-2</v>
      </c>
      <c r="CJ32" s="1110">
        <v>3.5659999999999997E-2</v>
      </c>
      <c r="CK32" s="1110">
        <v>3.7031000000000001E-2</v>
      </c>
      <c r="CL32" s="1111"/>
      <c r="CM32" s="1110">
        <v>3.4243999999999997E-2</v>
      </c>
      <c r="CN32" s="1110">
        <v>3.5829E-2</v>
      </c>
      <c r="CO32" s="1110">
        <v>3.5659999999999997E-2</v>
      </c>
      <c r="CP32" s="1110">
        <v>3.7031000000000001E-2</v>
      </c>
      <c r="CQ32" s="1111"/>
      <c r="CR32" s="1110">
        <v>3.4243999999999997E-2</v>
      </c>
      <c r="CS32" s="1110">
        <v>3.5829E-2</v>
      </c>
      <c r="CT32" s="1110">
        <v>3.5659999999999997E-2</v>
      </c>
      <c r="CU32" s="1110">
        <v>3.7031000000000001E-2</v>
      </c>
      <c r="CV32" s="1111"/>
      <c r="CW32" s="1110">
        <v>3.4243999999999997E-2</v>
      </c>
      <c r="CX32" s="1110">
        <v>3.5829E-2</v>
      </c>
      <c r="CY32" s="1110">
        <v>3.5659999999999997E-2</v>
      </c>
      <c r="CZ32" s="1110">
        <v>3.7031000000000001E-2</v>
      </c>
      <c r="DA32" s="1111"/>
      <c r="DB32" s="1110">
        <v>3.4243999999999997E-2</v>
      </c>
      <c r="DC32" s="1110">
        <v>3.5829E-2</v>
      </c>
      <c r="DD32" s="1110">
        <v>3.5659999999999997E-2</v>
      </c>
      <c r="DE32" s="1110">
        <v>3.7031000000000001E-2</v>
      </c>
      <c r="DF32" s="1111"/>
    </row>
    <row r="33" spans="2:110" s="326" customFormat="1" ht="12" thickBot="1" x14ac:dyDescent="0.25">
      <c r="B33" s="602"/>
      <c r="C33" s="328"/>
      <c r="D33" s="329"/>
      <c r="E33" s="329"/>
      <c r="F33" s="329"/>
      <c r="G33" s="329"/>
      <c r="H33" s="329"/>
      <c r="I33" s="329"/>
      <c r="J33" s="329"/>
      <c r="K33" s="329"/>
      <c r="L33" s="329"/>
      <c r="M33" s="329"/>
      <c r="N33" s="329"/>
      <c r="O33" s="329"/>
      <c r="P33" s="329"/>
      <c r="Q33" s="329"/>
      <c r="R33" s="329"/>
      <c r="S33" s="330"/>
      <c r="T33" s="330"/>
      <c r="U33" s="330"/>
      <c r="V33" s="330"/>
      <c r="W33" s="330"/>
      <c r="X33" s="330"/>
      <c r="Y33" s="330"/>
      <c r="Z33" s="330"/>
      <c r="AA33" s="330"/>
      <c r="AB33" s="330"/>
      <c r="AC33" s="330"/>
      <c r="AD33" s="330"/>
      <c r="AE33" s="330"/>
      <c r="AF33" s="330"/>
      <c r="AG33" s="330"/>
      <c r="AH33" s="330"/>
      <c r="AI33" s="330"/>
      <c r="AJ33" s="330"/>
      <c r="AK33" s="330"/>
      <c r="AL33" s="330"/>
      <c r="AM33" s="330"/>
      <c r="AN33" s="330"/>
      <c r="AO33" s="330"/>
      <c r="AP33" s="330"/>
      <c r="AQ33" s="330"/>
      <c r="AR33" s="330"/>
      <c r="AS33" s="330"/>
      <c r="AT33" s="330"/>
      <c r="AU33" s="330"/>
      <c r="AV33" s="330"/>
      <c r="AW33" s="330"/>
      <c r="AX33" s="330"/>
      <c r="AY33" s="330"/>
      <c r="AZ33" s="330"/>
      <c r="BA33" s="330"/>
      <c r="BB33" s="330"/>
      <c r="BC33" s="330"/>
      <c r="BD33" s="330"/>
      <c r="BE33" s="330"/>
      <c r="BF33" s="330"/>
      <c r="BG33" s="330"/>
      <c r="BH33" s="330"/>
      <c r="BI33" s="330"/>
      <c r="BJ33" s="330"/>
      <c r="BK33" s="330"/>
      <c r="BL33" s="330"/>
      <c r="BM33" s="330"/>
      <c r="BN33" s="330"/>
      <c r="BO33" s="330"/>
      <c r="BP33" s="330"/>
      <c r="BQ33" s="330"/>
      <c r="BR33" s="330"/>
      <c r="BS33" s="330"/>
      <c r="BT33" s="330"/>
      <c r="BU33" s="330"/>
      <c r="BV33" s="330"/>
      <c r="BW33" s="330"/>
      <c r="BX33" s="330"/>
      <c r="BY33" s="330"/>
      <c r="BZ33" s="330"/>
      <c r="CA33" s="330"/>
      <c r="CB33" s="330"/>
      <c r="CC33" s="330"/>
      <c r="CD33" s="330"/>
      <c r="CE33" s="330"/>
      <c r="CF33" s="330"/>
      <c r="CG33" s="330"/>
      <c r="CH33" s="330"/>
      <c r="CI33" s="330"/>
      <c r="CJ33" s="330"/>
      <c r="CK33" s="330"/>
      <c r="CL33" s="330"/>
      <c r="CM33" s="330"/>
      <c r="CN33" s="330"/>
      <c r="CO33" s="330"/>
      <c r="CP33" s="330"/>
      <c r="CQ33" s="330"/>
      <c r="CR33" s="330"/>
      <c r="CS33" s="330"/>
      <c r="CT33" s="330"/>
      <c r="CU33" s="330"/>
      <c r="CV33" s="330"/>
      <c r="CW33" s="330"/>
      <c r="CX33" s="330"/>
      <c r="CY33" s="330"/>
      <c r="CZ33" s="330"/>
      <c r="DA33" s="330"/>
      <c r="DB33" s="330"/>
      <c r="DC33" s="330"/>
      <c r="DD33" s="330"/>
      <c r="DE33" s="330"/>
      <c r="DF33" s="330"/>
    </row>
    <row r="34" spans="2:110" ht="12" thickBot="1" x14ac:dyDescent="0.25">
      <c r="B34" s="814" t="s">
        <v>202</v>
      </c>
      <c r="C34" s="976"/>
      <c r="D34" s="976"/>
      <c r="E34" s="976"/>
      <c r="F34" s="976"/>
      <c r="G34" s="976"/>
      <c r="H34" s="976"/>
      <c r="I34" s="976"/>
      <c r="J34" s="976"/>
      <c r="K34" s="976"/>
      <c r="L34" s="976"/>
      <c r="M34" s="976"/>
      <c r="N34" s="976"/>
      <c r="O34" s="976"/>
      <c r="P34" s="976"/>
      <c r="Q34" s="976"/>
      <c r="R34" s="976"/>
      <c r="S34" s="977"/>
      <c r="T34" s="977"/>
      <c r="U34" s="977"/>
      <c r="V34" s="977"/>
      <c r="W34" s="977"/>
      <c r="X34" s="977"/>
      <c r="Y34" s="977"/>
      <c r="Z34" s="977"/>
      <c r="AA34" s="977"/>
      <c r="AB34" s="977"/>
      <c r="AC34" s="977"/>
      <c r="AD34" s="977"/>
      <c r="AE34" s="977"/>
      <c r="AF34" s="977"/>
      <c r="AG34" s="977"/>
      <c r="AH34" s="977"/>
      <c r="AI34" s="977"/>
      <c r="AJ34" s="977"/>
      <c r="AK34" s="977"/>
      <c r="AL34" s="977"/>
      <c r="AM34" s="977"/>
      <c r="AN34" s="977"/>
      <c r="AO34" s="977"/>
      <c r="AP34" s="977"/>
      <c r="AQ34" s="977"/>
      <c r="AR34" s="977"/>
      <c r="AS34" s="977"/>
      <c r="AT34" s="977"/>
      <c r="AU34" s="977"/>
      <c r="AV34" s="977"/>
      <c r="AW34" s="977"/>
      <c r="AX34" s="977"/>
      <c r="AY34" s="977"/>
      <c r="AZ34" s="977"/>
      <c r="BA34" s="977"/>
      <c r="BB34" s="977"/>
      <c r="BC34" s="977"/>
      <c r="BD34" s="977"/>
      <c r="BE34" s="977"/>
      <c r="BF34" s="977"/>
      <c r="BG34" s="977"/>
      <c r="BH34" s="977"/>
      <c r="BI34" s="977"/>
      <c r="BJ34" s="977"/>
      <c r="BK34" s="977"/>
      <c r="BL34" s="977"/>
      <c r="BM34" s="977"/>
      <c r="BN34" s="977"/>
      <c r="BO34" s="977"/>
      <c r="BP34" s="977"/>
      <c r="BQ34" s="977"/>
      <c r="BR34" s="977"/>
      <c r="BS34" s="977"/>
      <c r="BT34" s="977"/>
      <c r="BU34" s="977"/>
      <c r="BV34" s="977"/>
      <c r="BW34" s="977"/>
      <c r="BX34" s="977"/>
      <c r="BY34" s="977"/>
      <c r="BZ34" s="977"/>
      <c r="CA34" s="977"/>
      <c r="CB34" s="978"/>
      <c r="CC34" s="977"/>
      <c r="CD34" s="977"/>
      <c r="CE34" s="977"/>
      <c r="CF34" s="977"/>
      <c r="CG34" s="978"/>
      <c r="CH34" s="977"/>
      <c r="CI34" s="977"/>
      <c r="CJ34" s="977"/>
      <c r="CK34" s="977"/>
      <c r="CL34" s="978"/>
      <c r="CM34" s="977"/>
      <c r="CN34" s="977"/>
      <c r="CO34" s="977"/>
      <c r="CP34" s="977"/>
      <c r="CQ34" s="978"/>
      <c r="CR34" s="977"/>
      <c r="CS34" s="977"/>
      <c r="CT34" s="977"/>
      <c r="CU34" s="977"/>
      <c r="CV34" s="978"/>
      <c r="CW34" s="977"/>
      <c r="CX34" s="977"/>
      <c r="CY34" s="977"/>
      <c r="CZ34" s="977"/>
      <c r="DA34" s="978"/>
      <c r="DB34" s="977"/>
      <c r="DC34" s="977"/>
      <c r="DD34" s="977"/>
      <c r="DE34" s="977"/>
      <c r="DF34" s="978"/>
    </row>
    <row r="35" spans="2:110" x14ac:dyDescent="0.2">
      <c r="B35" s="578" t="s">
        <v>203</v>
      </c>
      <c r="C35" s="537"/>
      <c r="D35" s="537"/>
      <c r="E35" s="537"/>
      <c r="F35" s="537"/>
      <c r="G35" s="537"/>
      <c r="H35" s="537"/>
      <c r="I35" s="537"/>
      <c r="J35" s="537"/>
      <c r="K35" s="537"/>
      <c r="L35" s="537"/>
      <c r="M35" s="537"/>
      <c r="N35" s="537"/>
      <c r="O35" s="537"/>
      <c r="P35" s="537"/>
      <c r="Q35" s="537"/>
      <c r="R35" s="537"/>
      <c r="S35" s="342"/>
      <c r="T35" s="341"/>
      <c r="U35" s="342"/>
      <c r="V35" s="342"/>
      <c r="W35" s="342"/>
      <c r="X35" s="579"/>
      <c r="Y35" s="340"/>
      <c r="Z35" s="580">
        <f>X35</f>
        <v>0</v>
      </c>
      <c r="AA35" s="580">
        <f t="shared" ref="AA35:AC37" si="14">Z35</f>
        <v>0</v>
      </c>
      <c r="AB35" s="580">
        <f t="shared" si="14"/>
        <v>0</v>
      </c>
      <c r="AC35" s="580">
        <f t="shared" si="14"/>
        <v>0</v>
      </c>
      <c r="AD35" s="340"/>
      <c r="AE35" s="267">
        <v>0</v>
      </c>
      <c r="AF35" s="580">
        <f>AE35</f>
        <v>0</v>
      </c>
      <c r="AG35" s="580">
        <f>AF35</f>
        <v>0</v>
      </c>
      <c r="AH35" s="580">
        <f>AG35</f>
        <v>0</v>
      </c>
      <c r="AI35" s="340"/>
      <c r="AJ35" s="580">
        <f>AH35</f>
        <v>0</v>
      </c>
      <c r="AK35" s="580">
        <f>AJ35</f>
        <v>0</v>
      </c>
      <c r="AL35" s="580">
        <f>AK35</f>
        <v>0</v>
      </c>
      <c r="AM35" s="580">
        <f>AL35</f>
        <v>0</v>
      </c>
      <c r="AN35" s="340"/>
      <c r="AO35" s="580">
        <f>AM35</f>
        <v>0</v>
      </c>
      <c r="AP35" s="580">
        <f>AO35</f>
        <v>0</v>
      </c>
      <c r="AQ35" s="580">
        <f>AP35</f>
        <v>0</v>
      </c>
      <c r="AR35" s="580">
        <f>AQ35</f>
        <v>0</v>
      </c>
      <c r="AS35" s="340"/>
      <c r="AT35" s="580">
        <f>AR35</f>
        <v>0</v>
      </c>
      <c r="AU35" s="580">
        <f>AT35</f>
        <v>0</v>
      </c>
      <c r="AV35" s="580">
        <f>AU35</f>
        <v>0</v>
      </c>
      <c r="AW35" s="580">
        <f>AV35</f>
        <v>0</v>
      </c>
      <c r="AX35" s="340"/>
      <c r="AY35" s="580">
        <f>AW35</f>
        <v>0</v>
      </c>
      <c r="AZ35" s="580">
        <f t="shared" ref="AZ35:BB37" si="15">AY35</f>
        <v>0</v>
      </c>
      <c r="BA35" s="580">
        <f t="shared" si="15"/>
        <v>0</v>
      </c>
      <c r="BB35" s="580">
        <f t="shared" si="15"/>
        <v>0</v>
      </c>
      <c r="BC35" s="340"/>
      <c r="BD35" s="580">
        <f>BB35</f>
        <v>0</v>
      </c>
      <c r="BE35" s="580">
        <f t="shared" ref="BE35:BG37" si="16">BD35</f>
        <v>0</v>
      </c>
      <c r="BF35" s="580">
        <f t="shared" si="16"/>
        <v>0</v>
      </c>
      <c r="BG35" s="580">
        <f t="shared" si="16"/>
        <v>0</v>
      </c>
      <c r="BH35" s="340"/>
      <c r="BI35" s="580">
        <f>BG35</f>
        <v>0</v>
      </c>
      <c r="BJ35" s="580">
        <f t="shared" ref="BJ35:BL37" si="17">BI35</f>
        <v>0</v>
      </c>
      <c r="BK35" s="580">
        <f t="shared" si="17"/>
        <v>0</v>
      </c>
      <c r="BL35" s="580">
        <f t="shared" si="17"/>
        <v>0</v>
      </c>
      <c r="BM35" s="532"/>
      <c r="BN35" s="580">
        <f>BL35</f>
        <v>0</v>
      </c>
      <c r="BO35" s="580">
        <f t="shared" ref="BO35:BQ37" si="18">BN35</f>
        <v>0</v>
      </c>
      <c r="BP35" s="580">
        <f t="shared" si="18"/>
        <v>0</v>
      </c>
      <c r="BQ35" s="580">
        <f t="shared" si="18"/>
        <v>0</v>
      </c>
      <c r="BR35" s="532"/>
      <c r="BS35" s="580">
        <f>BQ35</f>
        <v>0</v>
      </c>
      <c r="BT35" s="580">
        <f t="shared" ref="BT35:BV37" si="19">BS35</f>
        <v>0</v>
      </c>
      <c r="BU35" s="580">
        <f t="shared" si="19"/>
        <v>0</v>
      </c>
      <c r="BV35" s="580">
        <f t="shared" si="19"/>
        <v>0</v>
      </c>
      <c r="BW35" s="532"/>
      <c r="BX35" s="580">
        <f>BV35</f>
        <v>0</v>
      </c>
      <c r="BY35" s="580">
        <f t="shared" ref="BY35:CA37" si="20">BX35</f>
        <v>0</v>
      </c>
      <c r="BZ35" s="580">
        <f t="shared" si="20"/>
        <v>0</v>
      </c>
      <c r="CA35" s="580">
        <f t="shared" si="20"/>
        <v>0</v>
      </c>
      <c r="CB35" s="563"/>
      <c r="CC35" s="580">
        <f>CA35</f>
        <v>0</v>
      </c>
      <c r="CD35" s="580">
        <f t="shared" ref="CD35:CF37" si="21">CC35</f>
        <v>0</v>
      </c>
      <c r="CE35" s="580">
        <f t="shared" si="21"/>
        <v>0</v>
      </c>
      <c r="CF35" s="580">
        <f t="shared" si="21"/>
        <v>0</v>
      </c>
      <c r="CG35" s="563"/>
      <c r="CH35" s="580">
        <f>CF35</f>
        <v>0</v>
      </c>
      <c r="CI35" s="580">
        <f t="shared" ref="CI35:CK37" si="22">CH35</f>
        <v>0</v>
      </c>
      <c r="CJ35" s="580">
        <f t="shared" si="22"/>
        <v>0</v>
      </c>
      <c r="CK35" s="580">
        <f t="shared" si="22"/>
        <v>0</v>
      </c>
      <c r="CL35" s="563"/>
      <c r="CM35" s="580">
        <f>CK35</f>
        <v>0</v>
      </c>
      <c r="CN35" s="580">
        <f t="shared" ref="CN35:CP37" si="23">CM35</f>
        <v>0</v>
      </c>
      <c r="CO35" s="580">
        <f t="shared" si="23"/>
        <v>0</v>
      </c>
      <c r="CP35" s="580">
        <f t="shared" si="23"/>
        <v>0</v>
      </c>
      <c r="CQ35" s="563"/>
      <c r="CR35" s="580">
        <f>CP35</f>
        <v>0</v>
      </c>
      <c r="CS35" s="580">
        <f t="shared" ref="CS35:CS37" si="24">CR35</f>
        <v>0</v>
      </c>
      <c r="CT35" s="580">
        <f t="shared" ref="CT35:CT37" si="25">CS35</f>
        <v>0</v>
      </c>
      <c r="CU35" s="580">
        <f t="shared" ref="CU35:CU37" si="26">CT35</f>
        <v>0</v>
      </c>
      <c r="CV35" s="563"/>
      <c r="CW35" s="580">
        <f>CU35</f>
        <v>0</v>
      </c>
      <c r="CX35" s="580">
        <f t="shared" ref="CX35:CX37" si="27">CW35</f>
        <v>0</v>
      </c>
      <c r="CY35" s="580">
        <f t="shared" ref="CY35:CY37" si="28">CX35</f>
        <v>0</v>
      </c>
      <c r="CZ35" s="580">
        <f t="shared" ref="CZ35:CZ37" si="29">CY35</f>
        <v>0</v>
      </c>
      <c r="DA35" s="563"/>
      <c r="DB35" s="580">
        <f>CZ35</f>
        <v>0</v>
      </c>
      <c r="DC35" s="580">
        <f t="shared" ref="DC35:DC37" si="30">DB35</f>
        <v>0</v>
      </c>
      <c r="DD35" s="580">
        <f t="shared" ref="DD35:DD37" si="31">DC35</f>
        <v>0</v>
      </c>
      <c r="DE35" s="580">
        <f t="shared" ref="DE35:DE37" si="32">DD35</f>
        <v>0</v>
      </c>
      <c r="DF35" s="563"/>
    </row>
    <row r="36" spans="2:110" x14ac:dyDescent="0.2">
      <c r="B36" s="578" t="s">
        <v>204</v>
      </c>
      <c r="C36" s="537"/>
      <c r="D36" s="537"/>
      <c r="E36" s="537"/>
      <c r="F36" s="537"/>
      <c r="G36" s="537"/>
      <c r="H36" s="537"/>
      <c r="I36" s="537"/>
      <c r="J36" s="537"/>
      <c r="K36" s="537"/>
      <c r="L36" s="537"/>
      <c r="M36" s="537"/>
      <c r="N36" s="537"/>
      <c r="O36" s="537"/>
      <c r="P36" s="537"/>
      <c r="Q36" s="537"/>
      <c r="R36" s="537"/>
      <c r="S36" s="342"/>
      <c r="T36" s="341"/>
      <c r="U36" s="342"/>
      <c r="V36" s="342"/>
      <c r="W36" s="342"/>
      <c r="X36" s="581">
        <v>5.7000000000000002E-2</v>
      </c>
      <c r="Y36" s="341"/>
      <c r="Z36" s="344">
        <f>X36</f>
        <v>5.7000000000000002E-2</v>
      </c>
      <c r="AA36" s="580">
        <f t="shared" si="14"/>
        <v>5.7000000000000002E-2</v>
      </c>
      <c r="AB36" s="580">
        <f t="shared" si="14"/>
        <v>5.7000000000000002E-2</v>
      </c>
      <c r="AC36" s="580">
        <f t="shared" si="14"/>
        <v>5.7000000000000002E-2</v>
      </c>
      <c r="AD36" s="341"/>
      <c r="AE36" s="344">
        <f>AC36</f>
        <v>5.7000000000000002E-2</v>
      </c>
      <c r="AF36" s="580">
        <f>AE36</f>
        <v>5.7000000000000002E-2</v>
      </c>
      <c r="AG36" s="580">
        <f>AF36</f>
        <v>5.7000000000000002E-2</v>
      </c>
      <c r="AH36" s="344">
        <f>AF36</f>
        <v>5.7000000000000002E-2</v>
      </c>
      <c r="AI36" s="341"/>
      <c r="AJ36" s="345">
        <v>5.7000000000000002E-2</v>
      </c>
      <c r="AK36" s="267">
        <v>5.7000000000000002E-2</v>
      </c>
      <c r="AL36" s="267">
        <v>5.7000000000000002E-2</v>
      </c>
      <c r="AM36" s="267">
        <v>5.7000000000000002E-2</v>
      </c>
      <c r="AN36" s="341"/>
      <c r="AO36" s="345">
        <v>4.4325136597938138E-2</v>
      </c>
      <c r="AP36" s="267">
        <v>3.4466787227979273E-2</v>
      </c>
      <c r="AQ36" s="267">
        <v>3.2791337085561492E-2</v>
      </c>
      <c r="AR36" s="267">
        <v>4.7175661944444447E-2</v>
      </c>
      <c r="AS36" s="341"/>
      <c r="AT36" s="345">
        <v>3.8904007267441851E-2</v>
      </c>
      <c r="AU36" s="267">
        <v>1.5178692499999986E-2</v>
      </c>
      <c r="AV36" s="267">
        <f>AV$32+0.5%</f>
        <v>2.550513076923077E-2</v>
      </c>
      <c r="AW36" s="267">
        <f>AW$32+0.5%</f>
        <v>1.0186451048951058E-2</v>
      </c>
      <c r="AX36" s="341"/>
      <c r="AY36" s="267">
        <f>AY$32+0.5%</f>
        <v>1.5157903199999975E-2</v>
      </c>
      <c r="AZ36" s="267">
        <f>AZ$32+0.5%</f>
        <v>1.4699645794392521E-2</v>
      </c>
      <c r="BA36" s="267">
        <f>BA$32+0.5%</f>
        <v>1.6461479591836727E-2</v>
      </c>
      <c r="BB36" s="267">
        <f>BB$32+0.5%</f>
        <v>1.6461479591836727E-2</v>
      </c>
      <c r="BC36" s="341"/>
      <c r="BD36" s="345">
        <f>BG$32+0.5%</f>
        <v>1.6461479591836727E-2</v>
      </c>
      <c r="BE36" s="580">
        <f t="shared" si="16"/>
        <v>1.6461479591836727E-2</v>
      </c>
      <c r="BF36" s="580">
        <f t="shared" si="16"/>
        <v>1.6461479591836727E-2</v>
      </c>
      <c r="BG36" s="580">
        <f t="shared" si="16"/>
        <v>1.6461479591836727E-2</v>
      </c>
      <c r="BH36" s="341"/>
      <c r="BI36" s="345">
        <f>3.75%+0.5%</f>
        <v>4.2499999999999996E-2</v>
      </c>
      <c r="BJ36" s="580">
        <f t="shared" si="17"/>
        <v>4.2499999999999996E-2</v>
      </c>
      <c r="BK36" s="580">
        <f t="shared" si="17"/>
        <v>4.2499999999999996E-2</v>
      </c>
      <c r="BL36" s="580">
        <f t="shared" si="17"/>
        <v>4.2499999999999996E-2</v>
      </c>
      <c r="BM36" s="341"/>
      <c r="BN36" s="345">
        <f>3.75%+0.5%</f>
        <v>4.2499999999999996E-2</v>
      </c>
      <c r="BO36" s="580">
        <f t="shared" si="18"/>
        <v>4.2499999999999996E-2</v>
      </c>
      <c r="BP36" s="580">
        <f t="shared" si="18"/>
        <v>4.2499999999999996E-2</v>
      </c>
      <c r="BQ36" s="580">
        <f t="shared" si="18"/>
        <v>4.2499999999999996E-2</v>
      </c>
      <c r="BR36" s="341"/>
      <c r="BS36" s="345">
        <f>3.75%+0.5%</f>
        <v>4.2499999999999996E-2</v>
      </c>
      <c r="BT36" s="580">
        <f t="shared" si="19"/>
        <v>4.2499999999999996E-2</v>
      </c>
      <c r="BU36" s="580">
        <f t="shared" si="19"/>
        <v>4.2499999999999996E-2</v>
      </c>
      <c r="BV36" s="580">
        <f t="shared" si="19"/>
        <v>4.2499999999999996E-2</v>
      </c>
      <c r="BW36" s="341"/>
      <c r="BX36" s="345">
        <f>3.75%+0.5%</f>
        <v>4.2499999999999996E-2</v>
      </c>
      <c r="BY36" s="580">
        <f t="shared" si="20"/>
        <v>4.2499999999999996E-2</v>
      </c>
      <c r="BZ36" s="580">
        <f t="shared" si="20"/>
        <v>4.2499999999999996E-2</v>
      </c>
      <c r="CA36" s="580">
        <f t="shared" si="20"/>
        <v>4.2499999999999996E-2</v>
      </c>
      <c r="CB36" s="582"/>
      <c r="CC36" s="345">
        <f>3.75%+0.5%</f>
        <v>4.2499999999999996E-2</v>
      </c>
      <c r="CD36" s="580">
        <f t="shared" si="21"/>
        <v>4.2499999999999996E-2</v>
      </c>
      <c r="CE36" s="580">
        <f t="shared" si="21"/>
        <v>4.2499999999999996E-2</v>
      </c>
      <c r="CF36" s="580">
        <f t="shared" si="21"/>
        <v>4.2499999999999996E-2</v>
      </c>
      <c r="CG36" s="582"/>
      <c r="CH36" s="345">
        <f>3.75%+0.5%</f>
        <v>4.2499999999999996E-2</v>
      </c>
      <c r="CI36" s="580">
        <f t="shared" si="22"/>
        <v>4.2499999999999996E-2</v>
      </c>
      <c r="CJ36" s="580">
        <f t="shared" si="22"/>
        <v>4.2499999999999996E-2</v>
      </c>
      <c r="CK36" s="580">
        <f t="shared" si="22"/>
        <v>4.2499999999999996E-2</v>
      </c>
      <c r="CL36" s="582"/>
      <c r="CM36" s="345">
        <f>3.75%+0.5%</f>
        <v>4.2499999999999996E-2</v>
      </c>
      <c r="CN36" s="580">
        <f t="shared" si="23"/>
        <v>4.2499999999999996E-2</v>
      </c>
      <c r="CO36" s="580">
        <f t="shared" si="23"/>
        <v>4.2499999999999996E-2</v>
      </c>
      <c r="CP36" s="580">
        <f t="shared" si="23"/>
        <v>4.2499999999999996E-2</v>
      </c>
      <c r="CQ36" s="582"/>
      <c r="CR36" s="345">
        <f>3.75%+0.5%</f>
        <v>4.2499999999999996E-2</v>
      </c>
      <c r="CS36" s="580">
        <f t="shared" si="24"/>
        <v>4.2499999999999996E-2</v>
      </c>
      <c r="CT36" s="580">
        <f t="shared" si="25"/>
        <v>4.2499999999999996E-2</v>
      </c>
      <c r="CU36" s="580">
        <f t="shared" si="26"/>
        <v>4.2499999999999996E-2</v>
      </c>
      <c r="CV36" s="582"/>
      <c r="CW36" s="345">
        <f>3.75%+0.5%</f>
        <v>4.2499999999999996E-2</v>
      </c>
      <c r="CX36" s="580">
        <f t="shared" si="27"/>
        <v>4.2499999999999996E-2</v>
      </c>
      <c r="CY36" s="580">
        <f t="shared" si="28"/>
        <v>4.2499999999999996E-2</v>
      </c>
      <c r="CZ36" s="580">
        <f t="shared" si="29"/>
        <v>4.2499999999999996E-2</v>
      </c>
      <c r="DA36" s="582"/>
      <c r="DB36" s="345">
        <f>3.75%+0.5%</f>
        <v>4.2499999999999996E-2</v>
      </c>
      <c r="DC36" s="580">
        <f t="shared" si="30"/>
        <v>4.2499999999999996E-2</v>
      </c>
      <c r="DD36" s="580">
        <f t="shared" si="31"/>
        <v>4.2499999999999996E-2</v>
      </c>
      <c r="DE36" s="580">
        <f t="shared" si="32"/>
        <v>4.2499999999999996E-2</v>
      </c>
      <c r="DF36" s="582"/>
    </row>
    <row r="37" spans="2:110" x14ac:dyDescent="0.2">
      <c r="B37" s="536" t="s">
        <v>197</v>
      </c>
      <c r="C37" s="583"/>
      <c r="D37" s="537"/>
      <c r="E37" s="537"/>
      <c r="F37" s="537"/>
      <c r="G37" s="537"/>
      <c r="H37" s="537"/>
      <c r="I37" s="537"/>
      <c r="J37" s="537"/>
      <c r="K37" s="537"/>
      <c r="L37" s="537"/>
      <c r="M37" s="537"/>
      <c r="N37" s="537"/>
      <c r="O37" s="537"/>
      <c r="P37" s="537"/>
      <c r="Q37" s="537"/>
      <c r="R37" s="537"/>
      <c r="S37" s="331"/>
      <c r="T37" s="332"/>
      <c r="U37" s="331"/>
      <c r="V37" s="331"/>
      <c r="W37" s="331"/>
      <c r="X37" s="584">
        <v>600</v>
      </c>
      <c r="Y37" s="341"/>
      <c r="Z37" s="346"/>
      <c r="AA37" s="346">
        <f t="shared" si="14"/>
        <v>0</v>
      </c>
      <c r="AB37" s="346">
        <f t="shared" si="14"/>
        <v>0</v>
      </c>
      <c r="AC37" s="346">
        <f t="shared" si="14"/>
        <v>0</v>
      </c>
      <c r="AD37" s="341"/>
      <c r="AE37" s="346">
        <f>AC37</f>
        <v>0</v>
      </c>
      <c r="AF37" s="346">
        <f>AE37</f>
        <v>0</v>
      </c>
      <c r="AG37" s="346">
        <f>AF37</f>
        <v>0</v>
      </c>
      <c r="AH37" s="346">
        <f>AG37</f>
        <v>0</v>
      </c>
      <c r="AI37" s="341"/>
      <c r="AJ37" s="346">
        <f>AH37</f>
        <v>0</v>
      </c>
      <c r="AK37" s="346">
        <f>AJ37+800</f>
        <v>800</v>
      </c>
      <c r="AL37" s="346">
        <f>AK37</f>
        <v>800</v>
      </c>
      <c r="AM37" s="346">
        <f>AL37</f>
        <v>800</v>
      </c>
      <c r="AN37" s="341"/>
      <c r="AO37" s="346">
        <f>AM37</f>
        <v>800</v>
      </c>
      <c r="AP37" s="346">
        <f>AO37</f>
        <v>800</v>
      </c>
      <c r="AQ37" s="346">
        <f>AP37</f>
        <v>800</v>
      </c>
      <c r="AR37" s="346">
        <f>AQ37</f>
        <v>800</v>
      </c>
      <c r="AS37" s="341"/>
      <c r="AT37" s="346">
        <f>AR37</f>
        <v>800</v>
      </c>
      <c r="AU37" s="346">
        <f>AT37</f>
        <v>800</v>
      </c>
      <c r="AV37" s="346">
        <f>AU37</f>
        <v>800</v>
      </c>
      <c r="AW37" s="346">
        <f>AV37</f>
        <v>800</v>
      </c>
      <c r="AX37" s="341"/>
      <c r="AY37" s="346">
        <f>AW37</f>
        <v>800</v>
      </c>
      <c r="AZ37" s="346">
        <f t="shared" si="15"/>
        <v>800</v>
      </c>
      <c r="BA37" s="346">
        <f t="shared" si="15"/>
        <v>800</v>
      </c>
      <c r="BB37" s="346">
        <f t="shared" si="15"/>
        <v>800</v>
      </c>
      <c r="BC37" s="341"/>
      <c r="BD37" s="346"/>
      <c r="BE37" s="346">
        <f t="shared" si="16"/>
        <v>0</v>
      </c>
      <c r="BF37" s="346">
        <f t="shared" si="16"/>
        <v>0</v>
      </c>
      <c r="BG37" s="346">
        <f t="shared" si="16"/>
        <v>0</v>
      </c>
      <c r="BH37" s="341"/>
      <c r="BI37" s="346">
        <f>BG37</f>
        <v>0</v>
      </c>
      <c r="BJ37" s="346">
        <f t="shared" si="17"/>
        <v>0</v>
      </c>
      <c r="BK37" s="346">
        <f t="shared" si="17"/>
        <v>0</v>
      </c>
      <c r="BL37" s="346">
        <f t="shared" si="17"/>
        <v>0</v>
      </c>
      <c r="BM37" s="341"/>
      <c r="BN37" s="346">
        <f>BL37</f>
        <v>0</v>
      </c>
      <c r="BO37" s="346">
        <f t="shared" si="18"/>
        <v>0</v>
      </c>
      <c r="BP37" s="346">
        <f t="shared" si="18"/>
        <v>0</v>
      </c>
      <c r="BQ37" s="346">
        <f t="shared" si="18"/>
        <v>0</v>
      </c>
      <c r="BR37" s="341"/>
      <c r="BS37" s="346">
        <f>BQ37</f>
        <v>0</v>
      </c>
      <c r="BT37" s="346">
        <f t="shared" si="19"/>
        <v>0</v>
      </c>
      <c r="BU37" s="346">
        <f t="shared" si="19"/>
        <v>0</v>
      </c>
      <c r="BV37" s="346">
        <f t="shared" si="19"/>
        <v>0</v>
      </c>
      <c r="BW37" s="341"/>
      <c r="BX37" s="346">
        <f>BV37</f>
        <v>0</v>
      </c>
      <c r="BY37" s="346">
        <f t="shared" si="20"/>
        <v>0</v>
      </c>
      <c r="BZ37" s="346">
        <f t="shared" si="20"/>
        <v>0</v>
      </c>
      <c r="CA37" s="346">
        <f t="shared" si="20"/>
        <v>0</v>
      </c>
      <c r="CB37" s="582"/>
      <c r="CC37" s="346">
        <f>CA37</f>
        <v>0</v>
      </c>
      <c r="CD37" s="346">
        <f t="shared" si="21"/>
        <v>0</v>
      </c>
      <c r="CE37" s="346">
        <f t="shared" si="21"/>
        <v>0</v>
      </c>
      <c r="CF37" s="346">
        <f t="shared" si="21"/>
        <v>0</v>
      </c>
      <c r="CG37" s="582"/>
      <c r="CH37" s="346">
        <f>CF37</f>
        <v>0</v>
      </c>
      <c r="CI37" s="346">
        <f t="shared" si="22"/>
        <v>0</v>
      </c>
      <c r="CJ37" s="346">
        <f t="shared" si="22"/>
        <v>0</v>
      </c>
      <c r="CK37" s="346">
        <f t="shared" si="22"/>
        <v>0</v>
      </c>
      <c r="CL37" s="582"/>
      <c r="CM37" s="346">
        <f>CK37</f>
        <v>0</v>
      </c>
      <c r="CN37" s="346">
        <f t="shared" si="23"/>
        <v>0</v>
      </c>
      <c r="CO37" s="346">
        <f t="shared" si="23"/>
        <v>0</v>
      </c>
      <c r="CP37" s="346">
        <f t="shared" si="23"/>
        <v>0</v>
      </c>
      <c r="CQ37" s="582"/>
      <c r="CR37" s="346">
        <f>CP37</f>
        <v>0</v>
      </c>
      <c r="CS37" s="346">
        <f t="shared" si="24"/>
        <v>0</v>
      </c>
      <c r="CT37" s="346">
        <f t="shared" si="25"/>
        <v>0</v>
      </c>
      <c r="CU37" s="346">
        <f t="shared" si="26"/>
        <v>0</v>
      </c>
      <c r="CV37" s="582"/>
      <c r="CW37" s="346">
        <f>CU37</f>
        <v>0</v>
      </c>
      <c r="CX37" s="346">
        <f t="shared" si="27"/>
        <v>0</v>
      </c>
      <c r="CY37" s="346">
        <f t="shared" si="28"/>
        <v>0</v>
      </c>
      <c r="CZ37" s="346">
        <f t="shared" si="29"/>
        <v>0</v>
      </c>
      <c r="DA37" s="582"/>
      <c r="DB37" s="346">
        <f>CZ37</f>
        <v>0</v>
      </c>
      <c r="DC37" s="346">
        <f t="shared" si="30"/>
        <v>0</v>
      </c>
      <c r="DD37" s="346">
        <f t="shared" si="31"/>
        <v>0</v>
      </c>
      <c r="DE37" s="346">
        <f t="shared" si="32"/>
        <v>0</v>
      </c>
      <c r="DF37" s="582"/>
    </row>
    <row r="38" spans="2:110" x14ac:dyDescent="0.2">
      <c r="B38" s="544" t="s">
        <v>205</v>
      </c>
      <c r="C38" s="326"/>
      <c r="D38" s="579"/>
      <c r="E38" s="579"/>
      <c r="F38" s="579"/>
      <c r="G38" s="579"/>
      <c r="H38" s="579"/>
      <c r="I38" s="579"/>
      <c r="J38" s="579"/>
      <c r="K38" s="579"/>
      <c r="L38" s="579"/>
      <c r="M38" s="579"/>
      <c r="N38" s="579"/>
      <c r="O38" s="579"/>
      <c r="P38" s="579"/>
      <c r="Q38" s="579"/>
      <c r="R38" s="579"/>
      <c r="S38" s="346"/>
      <c r="T38" s="340"/>
      <c r="U38" s="346">
        <f>+T40</f>
        <v>0</v>
      </c>
      <c r="V38" s="346">
        <f>+U40</f>
        <v>50</v>
      </c>
      <c r="W38" s="346">
        <f>V40</f>
        <v>50</v>
      </c>
      <c r="X38" s="346">
        <f>+W40</f>
        <v>50</v>
      </c>
      <c r="Y38" s="340">
        <v>0</v>
      </c>
      <c r="Z38" s="346">
        <f>+Y40</f>
        <v>50</v>
      </c>
      <c r="AA38" s="346">
        <f>+Z40</f>
        <v>0</v>
      </c>
      <c r="AB38" s="346">
        <f>+AA40</f>
        <v>0</v>
      </c>
      <c r="AC38" s="346">
        <f>+AB40</f>
        <v>0</v>
      </c>
      <c r="AD38" s="340">
        <f>Y40</f>
        <v>50</v>
      </c>
      <c r="AE38" s="346">
        <f>+AD40</f>
        <v>0</v>
      </c>
      <c r="AF38" s="346">
        <f>+AE40</f>
        <v>0</v>
      </c>
      <c r="AG38" s="346">
        <f>+AF40</f>
        <v>0</v>
      </c>
      <c r="AH38" s="346">
        <f>+AG40</f>
        <v>0</v>
      </c>
      <c r="AI38" s="340">
        <f>AD40</f>
        <v>0</v>
      </c>
      <c r="AJ38" s="346">
        <f>+AI40</f>
        <v>0</v>
      </c>
      <c r="AK38" s="346">
        <f>+AJ40</f>
        <v>0</v>
      </c>
      <c r="AL38" s="346">
        <f>+AK40</f>
        <v>600</v>
      </c>
      <c r="AM38" s="346">
        <f>+AL40</f>
        <v>700</v>
      </c>
      <c r="AN38" s="340">
        <f>AI40</f>
        <v>0</v>
      </c>
      <c r="AO38" s="346">
        <f>+AM40</f>
        <v>800</v>
      </c>
      <c r="AP38" s="346">
        <f>+AO40</f>
        <v>800</v>
      </c>
      <c r="AQ38" s="346">
        <f>+AP40</f>
        <v>800</v>
      </c>
      <c r="AR38" s="346">
        <f>+AQ40</f>
        <v>800</v>
      </c>
      <c r="AS38" s="340">
        <f>AN40</f>
        <v>800</v>
      </c>
      <c r="AT38" s="346">
        <f>+AR38</f>
        <v>800</v>
      </c>
      <c r="AU38" s="346">
        <f>+AT40</f>
        <v>800</v>
      </c>
      <c r="AV38" s="346">
        <f>+AU40</f>
        <v>800</v>
      </c>
      <c r="AW38" s="346">
        <f>+AV40</f>
        <v>800</v>
      </c>
      <c r="AX38" s="340">
        <f>AS40</f>
        <v>800</v>
      </c>
      <c r="AY38" s="346">
        <f>+AW38</f>
        <v>800</v>
      </c>
      <c r="AZ38" s="346">
        <f>+AY40</f>
        <v>800</v>
      </c>
      <c r="BA38" s="346">
        <f>+AZ40</f>
        <v>800</v>
      </c>
      <c r="BB38" s="346">
        <f>+BA40</f>
        <v>0</v>
      </c>
      <c r="BC38" s="340">
        <f>AX40</f>
        <v>800</v>
      </c>
      <c r="BD38" s="346">
        <f>+BB40</f>
        <v>0</v>
      </c>
      <c r="BE38" s="346">
        <f>+BD40</f>
        <v>0</v>
      </c>
      <c r="BF38" s="346">
        <f>+BE40</f>
        <v>0</v>
      </c>
      <c r="BG38" s="346">
        <f>+BF40</f>
        <v>0</v>
      </c>
      <c r="BH38" s="340">
        <f>BC40</f>
        <v>0</v>
      </c>
      <c r="BI38" s="346">
        <f>+BG38</f>
        <v>0</v>
      </c>
      <c r="BJ38" s="346">
        <f>+BI40</f>
        <v>0</v>
      </c>
      <c r="BK38" s="346">
        <f>+BJ40</f>
        <v>0</v>
      </c>
      <c r="BL38" s="346">
        <f>+BK40</f>
        <v>0</v>
      </c>
      <c r="BM38" s="340">
        <f>BH40</f>
        <v>0</v>
      </c>
      <c r="BN38" s="346">
        <f>BL40</f>
        <v>0</v>
      </c>
      <c r="BO38" s="346">
        <f>+BN40</f>
        <v>0</v>
      </c>
      <c r="BP38" s="346">
        <f>+BO40</f>
        <v>0</v>
      </c>
      <c r="BQ38" s="346">
        <f>+BP40</f>
        <v>0</v>
      </c>
      <c r="BR38" s="340">
        <f>BM40</f>
        <v>0</v>
      </c>
      <c r="BS38" s="346">
        <f>BQ40</f>
        <v>0</v>
      </c>
      <c r="BT38" s="346">
        <f>+BS40</f>
        <v>0</v>
      </c>
      <c r="BU38" s="346">
        <f>+BT40</f>
        <v>0</v>
      </c>
      <c r="BV38" s="346">
        <f>+BU40</f>
        <v>0</v>
      </c>
      <c r="BW38" s="340">
        <f>BR40</f>
        <v>0</v>
      </c>
      <c r="BX38" s="346">
        <f>BV40</f>
        <v>0</v>
      </c>
      <c r="BY38" s="346">
        <f>+BX40</f>
        <v>0</v>
      </c>
      <c r="BZ38" s="346">
        <f>+BY40</f>
        <v>0</v>
      </c>
      <c r="CA38" s="346">
        <f>+BZ40</f>
        <v>0</v>
      </c>
      <c r="CB38" s="563">
        <f>BW40</f>
        <v>0</v>
      </c>
      <c r="CC38" s="346">
        <f>CA40</f>
        <v>0</v>
      </c>
      <c r="CD38" s="346">
        <f>+CC40</f>
        <v>0</v>
      </c>
      <c r="CE38" s="346">
        <f>+CD40</f>
        <v>0</v>
      </c>
      <c r="CF38" s="346">
        <f>+CE40</f>
        <v>0</v>
      </c>
      <c r="CG38" s="563">
        <f>CB40</f>
        <v>0</v>
      </c>
      <c r="CH38" s="346">
        <f>CF40</f>
        <v>0</v>
      </c>
      <c r="CI38" s="346">
        <f>+CH40</f>
        <v>0</v>
      </c>
      <c r="CJ38" s="346">
        <f>+CI40</f>
        <v>0</v>
      </c>
      <c r="CK38" s="346">
        <f>+CJ40</f>
        <v>0</v>
      </c>
      <c r="CL38" s="563">
        <f>CG40</f>
        <v>0</v>
      </c>
      <c r="CM38" s="346">
        <f>CK40</f>
        <v>0</v>
      </c>
      <c r="CN38" s="346">
        <f>+CM40</f>
        <v>0</v>
      </c>
      <c r="CO38" s="346">
        <f>+CN40</f>
        <v>0</v>
      </c>
      <c r="CP38" s="346">
        <f>+CO40</f>
        <v>0</v>
      </c>
      <c r="CQ38" s="563">
        <f>CL40</f>
        <v>0</v>
      </c>
      <c r="CR38" s="346">
        <f>CP40</f>
        <v>0</v>
      </c>
      <c r="CS38" s="346">
        <f>+CR40</f>
        <v>0</v>
      </c>
      <c r="CT38" s="346">
        <f>+CS40</f>
        <v>0</v>
      </c>
      <c r="CU38" s="346">
        <f>+CT40</f>
        <v>0</v>
      </c>
      <c r="CV38" s="563">
        <f>CQ40</f>
        <v>0</v>
      </c>
      <c r="CW38" s="346">
        <f>CU40</f>
        <v>0</v>
      </c>
      <c r="CX38" s="346">
        <f>+CW40</f>
        <v>0</v>
      </c>
      <c r="CY38" s="346">
        <f>+CX40</f>
        <v>0</v>
      </c>
      <c r="CZ38" s="346">
        <f>+CY40</f>
        <v>0</v>
      </c>
      <c r="DA38" s="563">
        <f>CV40</f>
        <v>0</v>
      </c>
      <c r="DB38" s="346">
        <f>CZ40</f>
        <v>0</v>
      </c>
      <c r="DC38" s="346">
        <f>+DB40</f>
        <v>0</v>
      </c>
      <c r="DD38" s="346">
        <f>+DC40</f>
        <v>0</v>
      </c>
      <c r="DE38" s="346">
        <f>+DD40</f>
        <v>0</v>
      </c>
      <c r="DF38" s="563">
        <f>DA40</f>
        <v>0</v>
      </c>
    </row>
    <row r="39" spans="2:110" x14ac:dyDescent="0.2">
      <c r="B39" s="544" t="s">
        <v>199</v>
      </c>
      <c r="C39" s="145"/>
      <c r="D39" s="145"/>
      <c r="E39" s="145"/>
      <c r="F39" s="145"/>
      <c r="G39" s="145"/>
      <c r="H39" s="145"/>
      <c r="I39" s="145"/>
      <c r="J39" s="145"/>
      <c r="K39" s="145"/>
      <c r="L39" s="145"/>
      <c r="M39" s="145"/>
      <c r="N39" s="145"/>
      <c r="O39" s="145"/>
      <c r="P39" s="145"/>
      <c r="Q39" s="145"/>
      <c r="R39" s="145"/>
      <c r="S39" s="347"/>
      <c r="T39" s="343"/>
      <c r="U39" s="347">
        <v>50</v>
      </c>
      <c r="V39" s="347"/>
      <c r="W39" s="347"/>
      <c r="X39" s="347"/>
      <c r="Y39" s="343">
        <f>SUM(U39:X39)</f>
        <v>50</v>
      </c>
      <c r="Z39" s="348">
        <f>-50</f>
        <v>-50</v>
      </c>
      <c r="AA39" s="349"/>
      <c r="AB39" s="349"/>
      <c r="AC39" s="348">
        <v>0</v>
      </c>
      <c r="AD39" s="350">
        <f>SUM(Z39:AC39)</f>
        <v>-50</v>
      </c>
      <c r="AE39" s="348">
        <v>0</v>
      </c>
      <c r="AF39" s="348">
        <v>0</v>
      </c>
      <c r="AG39" s="348">
        <v>0</v>
      </c>
      <c r="AH39" s="348">
        <v>0</v>
      </c>
      <c r="AI39" s="343">
        <f>+SUM(AE39:AH39)</f>
        <v>0</v>
      </c>
      <c r="AJ39" s="348">
        <v>0</v>
      </c>
      <c r="AK39" s="351">
        <v>600</v>
      </c>
      <c r="AL39" s="351">
        <v>100</v>
      </c>
      <c r="AM39" s="351">
        <v>100</v>
      </c>
      <c r="AN39" s="343">
        <f>+SUM(AJ39:AM39)</f>
        <v>800</v>
      </c>
      <c r="AO39" s="351"/>
      <c r="AP39" s="352">
        <v>0</v>
      </c>
      <c r="AQ39" s="352">
        <v>0</v>
      </c>
      <c r="AR39" s="352">
        <v>0</v>
      </c>
      <c r="AS39" s="343">
        <f>+SUM(AO39:AR39)</f>
        <v>0</v>
      </c>
      <c r="AT39" s="351">
        <v>0</v>
      </c>
      <c r="AU39" s="351">
        <f>+AT39</f>
        <v>0</v>
      </c>
      <c r="AV39" s="351">
        <f>+AU39</f>
        <v>0</v>
      </c>
      <c r="AW39" s="351">
        <f>+AV39</f>
        <v>0</v>
      </c>
      <c r="AX39" s="343">
        <f>+SUM(AT39:AW39)</f>
        <v>0</v>
      </c>
      <c r="AY39" s="351">
        <f>+AT39</f>
        <v>0</v>
      </c>
      <c r="AZ39" s="351">
        <f>+AU39</f>
        <v>0</v>
      </c>
      <c r="BA39" s="351">
        <v>-800</v>
      </c>
      <c r="BB39" s="351">
        <v>0</v>
      </c>
      <c r="BC39" s="343">
        <f>+SUM(AY39:BB39)</f>
        <v>-800</v>
      </c>
      <c r="BD39" s="351">
        <f>+AY39</f>
        <v>0</v>
      </c>
      <c r="BE39" s="351">
        <f>+AZ39</f>
        <v>0</v>
      </c>
      <c r="BF39" s="351"/>
      <c r="BG39" s="351"/>
      <c r="BH39" s="343">
        <f>+SUM(BD39:BG39)</f>
        <v>0</v>
      </c>
      <c r="BI39" s="351"/>
      <c r="BJ39" s="351"/>
      <c r="BK39" s="351"/>
      <c r="BL39" s="351"/>
      <c r="BM39" s="343">
        <f>+SUM(BI39:BL39)</f>
        <v>0</v>
      </c>
      <c r="BN39" s="351"/>
      <c r="BO39" s="351"/>
      <c r="BP39" s="351"/>
      <c r="BQ39" s="351"/>
      <c r="BR39" s="343">
        <f>+SUM(BN39:BQ39)</f>
        <v>0</v>
      </c>
      <c r="BS39" s="351">
        <v>0</v>
      </c>
      <c r="BT39" s="351">
        <v>0</v>
      </c>
      <c r="BU39" s="351">
        <v>0</v>
      </c>
      <c r="BV39" s="351">
        <v>0</v>
      </c>
      <c r="BW39" s="343">
        <f>+SUM(BS39:BV39)</f>
        <v>0</v>
      </c>
      <c r="BX39" s="351">
        <v>0</v>
      </c>
      <c r="BY39" s="351">
        <v>0</v>
      </c>
      <c r="BZ39" s="351">
        <v>0</v>
      </c>
      <c r="CA39" s="351">
        <v>0</v>
      </c>
      <c r="CB39" s="585">
        <f>+SUM(BX39:CA39)</f>
        <v>0</v>
      </c>
      <c r="CC39" s="351">
        <v>0</v>
      </c>
      <c r="CD39" s="351">
        <v>0</v>
      </c>
      <c r="CE39" s="351">
        <v>0</v>
      </c>
      <c r="CF39" s="351">
        <v>0</v>
      </c>
      <c r="CG39" s="585">
        <f>+SUM(CC39:CF39)</f>
        <v>0</v>
      </c>
      <c r="CH39" s="351">
        <v>0</v>
      </c>
      <c r="CI39" s="351">
        <v>0</v>
      </c>
      <c r="CJ39" s="351">
        <v>0</v>
      </c>
      <c r="CK39" s="351">
        <v>0</v>
      </c>
      <c r="CL39" s="585">
        <f>+SUM(CH39:CK39)</f>
        <v>0</v>
      </c>
      <c r="CM39" s="351">
        <v>0</v>
      </c>
      <c r="CN39" s="351">
        <v>0</v>
      </c>
      <c r="CO39" s="351">
        <v>0</v>
      </c>
      <c r="CP39" s="351">
        <v>0</v>
      </c>
      <c r="CQ39" s="585">
        <f>+SUM(CM39:CP39)</f>
        <v>0</v>
      </c>
      <c r="CR39" s="351">
        <v>0</v>
      </c>
      <c r="CS39" s="351">
        <v>0</v>
      </c>
      <c r="CT39" s="351">
        <v>0</v>
      </c>
      <c r="CU39" s="351">
        <v>0</v>
      </c>
      <c r="CV39" s="585">
        <f>+SUM(CR39:CU39)</f>
        <v>0</v>
      </c>
      <c r="CW39" s="351">
        <v>0</v>
      </c>
      <c r="CX39" s="351">
        <v>0</v>
      </c>
      <c r="CY39" s="351">
        <v>0</v>
      </c>
      <c r="CZ39" s="351">
        <v>0</v>
      </c>
      <c r="DA39" s="585">
        <f>+SUM(CW39:CZ39)</f>
        <v>0</v>
      </c>
      <c r="DB39" s="351">
        <v>0</v>
      </c>
      <c r="DC39" s="351">
        <v>0</v>
      </c>
      <c r="DD39" s="351">
        <v>0</v>
      </c>
      <c r="DE39" s="351">
        <v>0</v>
      </c>
      <c r="DF39" s="585">
        <f>+SUM(DB39:DE39)</f>
        <v>0</v>
      </c>
    </row>
    <row r="40" spans="2:110" x14ac:dyDescent="0.2">
      <c r="B40" s="544" t="s">
        <v>200</v>
      </c>
      <c r="C40" s="145"/>
      <c r="D40" s="145"/>
      <c r="E40" s="145"/>
      <c r="F40" s="145"/>
      <c r="G40" s="145"/>
      <c r="H40" s="145"/>
      <c r="I40" s="145"/>
      <c r="J40" s="145"/>
      <c r="K40" s="145"/>
      <c r="L40" s="145"/>
      <c r="M40" s="145"/>
      <c r="N40" s="145"/>
      <c r="O40" s="145"/>
      <c r="P40" s="145"/>
      <c r="Q40" s="145"/>
      <c r="R40" s="145"/>
      <c r="S40" s="346">
        <v>0</v>
      </c>
      <c r="T40" s="346">
        <f>+S40</f>
        <v>0</v>
      </c>
      <c r="U40" s="346">
        <f t="shared" ref="U40:BM40" si="33">U38+U39</f>
        <v>50</v>
      </c>
      <c r="V40" s="346">
        <f t="shared" si="33"/>
        <v>50</v>
      </c>
      <c r="W40" s="346">
        <f t="shared" si="33"/>
        <v>50</v>
      </c>
      <c r="X40" s="346">
        <f t="shared" si="33"/>
        <v>50</v>
      </c>
      <c r="Y40" s="340">
        <f t="shared" si="33"/>
        <v>50</v>
      </c>
      <c r="Z40" s="346">
        <f t="shared" si="33"/>
        <v>0</v>
      </c>
      <c r="AA40" s="346">
        <f t="shared" si="33"/>
        <v>0</v>
      </c>
      <c r="AB40" s="346">
        <f t="shared" si="33"/>
        <v>0</v>
      </c>
      <c r="AC40" s="346">
        <f t="shared" si="33"/>
        <v>0</v>
      </c>
      <c r="AD40" s="340">
        <f t="shared" si="33"/>
        <v>0</v>
      </c>
      <c r="AE40" s="346">
        <f t="shared" si="33"/>
        <v>0</v>
      </c>
      <c r="AF40" s="346">
        <f t="shared" si="33"/>
        <v>0</v>
      </c>
      <c r="AG40" s="346">
        <f t="shared" si="33"/>
        <v>0</v>
      </c>
      <c r="AH40" s="346">
        <f t="shared" si="33"/>
        <v>0</v>
      </c>
      <c r="AI40" s="340">
        <f t="shared" si="33"/>
        <v>0</v>
      </c>
      <c r="AJ40" s="346">
        <f t="shared" si="33"/>
        <v>0</v>
      </c>
      <c r="AK40" s="346">
        <f t="shared" si="33"/>
        <v>600</v>
      </c>
      <c r="AL40" s="346">
        <f t="shared" si="33"/>
        <v>700</v>
      </c>
      <c r="AM40" s="346">
        <f t="shared" si="33"/>
        <v>800</v>
      </c>
      <c r="AN40" s="340">
        <f t="shared" si="33"/>
        <v>800</v>
      </c>
      <c r="AO40" s="346">
        <f t="shared" si="33"/>
        <v>800</v>
      </c>
      <c r="AP40" s="346">
        <f t="shared" si="33"/>
        <v>800</v>
      </c>
      <c r="AQ40" s="346">
        <f t="shared" si="33"/>
        <v>800</v>
      </c>
      <c r="AR40" s="346">
        <f t="shared" si="33"/>
        <v>800</v>
      </c>
      <c r="AS40" s="340">
        <f t="shared" si="33"/>
        <v>800</v>
      </c>
      <c r="AT40" s="346">
        <f t="shared" si="33"/>
        <v>800</v>
      </c>
      <c r="AU40" s="346">
        <f t="shared" si="33"/>
        <v>800</v>
      </c>
      <c r="AV40" s="346">
        <f t="shared" si="33"/>
        <v>800</v>
      </c>
      <c r="AW40" s="346">
        <f t="shared" si="33"/>
        <v>800</v>
      </c>
      <c r="AX40" s="340">
        <f t="shared" si="33"/>
        <v>800</v>
      </c>
      <c r="AY40" s="346">
        <f t="shared" si="33"/>
        <v>800</v>
      </c>
      <c r="AZ40" s="346">
        <f t="shared" si="33"/>
        <v>800</v>
      </c>
      <c r="BA40" s="346">
        <f t="shared" si="33"/>
        <v>0</v>
      </c>
      <c r="BB40" s="346">
        <f t="shared" si="33"/>
        <v>0</v>
      </c>
      <c r="BC40" s="340">
        <f t="shared" si="33"/>
        <v>0</v>
      </c>
      <c r="BD40" s="346">
        <f t="shared" si="33"/>
        <v>0</v>
      </c>
      <c r="BE40" s="346">
        <f t="shared" si="33"/>
        <v>0</v>
      </c>
      <c r="BF40" s="346">
        <f t="shared" si="33"/>
        <v>0</v>
      </c>
      <c r="BG40" s="346">
        <f t="shared" si="33"/>
        <v>0</v>
      </c>
      <c r="BH40" s="340">
        <f t="shared" si="33"/>
        <v>0</v>
      </c>
      <c r="BI40" s="346">
        <f t="shared" si="33"/>
        <v>0</v>
      </c>
      <c r="BJ40" s="346">
        <f t="shared" si="33"/>
        <v>0</v>
      </c>
      <c r="BK40" s="346">
        <f t="shared" si="33"/>
        <v>0</v>
      </c>
      <c r="BL40" s="346">
        <f t="shared" si="33"/>
        <v>0</v>
      </c>
      <c r="BM40" s="340">
        <f t="shared" si="33"/>
        <v>0</v>
      </c>
      <c r="BN40" s="346">
        <f t="shared" ref="BN40:BW40" si="34">BN38+BN39</f>
        <v>0</v>
      </c>
      <c r="BO40" s="346">
        <f t="shared" si="34"/>
        <v>0</v>
      </c>
      <c r="BP40" s="346">
        <f t="shared" si="34"/>
        <v>0</v>
      </c>
      <c r="BQ40" s="346">
        <f t="shared" si="34"/>
        <v>0</v>
      </c>
      <c r="BR40" s="340">
        <f t="shared" si="34"/>
        <v>0</v>
      </c>
      <c r="BS40" s="346">
        <f t="shared" si="34"/>
        <v>0</v>
      </c>
      <c r="BT40" s="346">
        <f t="shared" si="34"/>
        <v>0</v>
      </c>
      <c r="BU40" s="346">
        <f t="shared" si="34"/>
        <v>0</v>
      </c>
      <c r="BV40" s="346">
        <f t="shared" si="34"/>
        <v>0</v>
      </c>
      <c r="BW40" s="340">
        <f t="shared" si="34"/>
        <v>0</v>
      </c>
      <c r="BX40" s="346">
        <f t="shared" ref="BX40:CG40" si="35">BX38+BX39</f>
        <v>0</v>
      </c>
      <c r="BY40" s="346">
        <f t="shared" si="35"/>
        <v>0</v>
      </c>
      <c r="BZ40" s="346">
        <f t="shared" si="35"/>
        <v>0</v>
      </c>
      <c r="CA40" s="346">
        <f t="shared" si="35"/>
        <v>0</v>
      </c>
      <c r="CB40" s="563">
        <f t="shared" si="35"/>
        <v>0</v>
      </c>
      <c r="CC40" s="346">
        <f t="shared" si="35"/>
        <v>0</v>
      </c>
      <c r="CD40" s="346">
        <f t="shared" si="35"/>
        <v>0</v>
      </c>
      <c r="CE40" s="346">
        <f t="shared" si="35"/>
        <v>0</v>
      </c>
      <c r="CF40" s="346">
        <f t="shared" si="35"/>
        <v>0</v>
      </c>
      <c r="CG40" s="563">
        <f t="shared" si="35"/>
        <v>0</v>
      </c>
      <c r="CH40" s="346">
        <f t="shared" ref="CH40:CQ40" si="36">CH38+CH39</f>
        <v>0</v>
      </c>
      <c r="CI40" s="346">
        <f t="shared" si="36"/>
        <v>0</v>
      </c>
      <c r="CJ40" s="346">
        <f t="shared" si="36"/>
        <v>0</v>
      </c>
      <c r="CK40" s="346">
        <f t="shared" si="36"/>
        <v>0</v>
      </c>
      <c r="CL40" s="563">
        <f t="shared" si="36"/>
        <v>0</v>
      </c>
      <c r="CM40" s="346">
        <f t="shared" si="36"/>
        <v>0</v>
      </c>
      <c r="CN40" s="346">
        <f t="shared" si="36"/>
        <v>0</v>
      </c>
      <c r="CO40" s="346">
        <f t="shared" si="36"/>
        <v>0</v>
      </c>
      <c r="CP40" s="346">
        <f t="shared" si="36"/>
        <v>0</v>
      </c>
      <c r="CQ40" s="563">
        <f t="shared" si="36"/>
        <v>0</v>
      </c>
      <c r="CR40" s="346">
        <f t="shared" ref="CR40:CV40" si="37">CR38+CR39</f>
        <v>0</v>
      </c>
      <c r="CS40" s="346">
        <f t="shared" si="37"/>
        <v>0</v>
      </c>
      <c r="CT40" s="346">
        <f t="shared" si="37"/>
        <v>0</v>
      </c>
      <c r="CU40" s="346">
        <f t="shared" si="37"/>
        <v>0</v>
      </c>
      <c r="CV40" s="563">
        <f t="shared" si="37"/>
        <v>0</v>
      </c>
      <c r="CW40" s="346">
        <f t="shared" ref="CW40:DF40" si="38">CW38+CW39</f>
        <v>0</v>
      </c>
      <c r="CX40" s="346">
        <f t="shared" si="38"/>
        <v>0</v>
      </c>
      <c r="CY40" s="346">
        <f t="shared" si="38"/>
        <v>0</v>
      </c>
      <c r="CZ40" s="346">
        <f t="shared" si="38"/>
        <v>0</v>
      </c>
      <c r="DA40" s="563">
        <f t="shared" si="38"/>
        <v>0</v>
      </c>
      <c r="DB40" s="346">
        <f t="shared" si="38"/>
        <v>0</v>
      </c>
      <c r="DC40" s="346">
        <f t="shared" si="38"/>
        <v>0</v>
      </c>
      <c r="DD40" s="346">
        <f t="shared" si="38"/>
        <v>0</v>
      </c>
      <c r="DE40" s="346">
        <f t="shared" si="38"/>
        <v>0</v>
      </c>
      <c r="DF40" s="563">
        <f t="shared" si="38"/>
        <v>0</v>
      </c>
    </row>
    <row r="41" spans="2:110" x14ac:dyDescent="0.2">
      <c r="B41" s="536" t="s">
        <v>201</v>
      </c>
      <c r="C41" s="478"/>
      <c r="D41" s="145"/>
      <c r="E41" s="145"/>
      <c r="F41" s="145"/>
      <c r="G41" s="145"/>
      <c r="H41" s="145"/>
      <c r="I41" s="145"/>
      <c r="J41" s="145"/>
      <c r="K41" s="145"/>
      <c r="L41" s="145"/>
      <c r="M41" s="145"/>
      <c r="N41" s="145"/>
      <c r="O41" s="145"/>
      <c r="P41" s="145"/>
      <c r="Q41" s="145"/>
      <c r="R41" s="145"/>
      <c r="S41" s="586"/>
      <c r="T41" s="586"/>
      <c r="U41" s="586"/>
      <c r="V41" s="586"/>
      <c r="W41" s="586"/>
      <c r="X41" s="586">
        <f>X37-X40</f>
        <v>550</v>
      </c>
      <c r="Y41" s="334"/>
      <c r="Z41" s="586">
        <f>Z37-Z40</f>
        <v>0</v>
      </c>
      <c r="AA41" s="586">
        <f>AA37-AA40</f>
        <v>0</v>
      </c>
      <c r="AB41" s="586">
        <f>AB37-AB40</f>
        <v>0</v>
      </c>
      <c r="AC41" s="586">
        <f>AC37-AC40</f>
        <v>0</v>
      </c>
      <c r="AD41" s="334"/>
      <c r="AE41" s="586">
        <f>AE37-AE40</f>
        <v>0</v>
      </c>
      <c r="AF41" s="586">
        <f>AF37-AF40</f>
        <v>0</v>
      </c>
      <c r="AG41" s="586">
        <f>AG37-AG40</f>
        <v>0</v>
      </c>
      <c r="AH41" s="586">
        <f>AH37-AH40</f>
        <v>0</v>
      </c>
      <c r="AI41" s="334"/>
      <c r="AJ41" s="586">
        <f>AJ37-AJ40</f>
        <v>0</v>
      </c>
      <c r="AK41" s="586">
        <f>AK37-AK40</f>
        <v>200</v>
      </c>
      <c r="AL41" s="586">
        <f>AL37-AL40</f>
        <v>100</v>
      </c>
      <c r="AM41" s="586">
        <f>AM37-AM40</f>
        <v>0</v>
      </c>
      <c r="AN41" s="334"/>
      <c r="AO41" s="586">
        <f>AO37-AO40</f>
        <v>0</v>
      </c>
      <c r="AP41" s="586">
        <f>AP37-AP40</f>
        <v>0</v>
      </c>
      <c r="AQ41" s="586">
        <f>AQ37-AQ40</f>
        <v>0</v>
      </c>
      <c r="AR41" s="586">
        <f>AR37-AR40</f>
        <v>0</v>
      </c>
      <c r="AS41" s="334"/>
      <c r="AT41" s="586">
        <f>AT37-AT40</f>
        <v>0</v>
      </c>
      <c r="AU41" s="586">
        <f>AU37-AU40</f>
        <v>0</v>
      </c>
      <c r="AV41" s="586">
        <f>AV37-AV40</f>
        <v>0</v>
      </c>
      <c r="AW41" s="586">
        <f>AW37-AW40</f>
        <v>0</v>
      </c>
      <c r="AX41" s="334"/>
      <c r="AY41" s="586">
        <f>AY37-AY40</f>
        <v>0</v>
      </c>
      <c r="AZ41" s="586">
        <f>AZ37-AZ40</f>
        <v>0</v>
      </c>
      <c r="BA41" s="586">
        <f>BA37-BA40</f>
        <v>800</v>
      </c>
      <c r="BB41" s="586">
        <f>BB37-BB40</f>
        <v>800</v>
      </c>
      <c r="BC41" s="334"/>
      <c r="BD41" s="586">
        <f>BD37-BD40</f>
        <v>0</v>
      </c>
      <c r="BE41" s="586">
        <f>BE37-BE40</f>
        <v>0</v>
      </c>
      <c r="BF41" s="586">
        <f>BF37-BF40</f>
        <v>0</v>
      </c>
      <c r="BG41" s="586">
        <f>BG37-BG40</f>
        <v>0</v>
      </c>
      <c r="BH41" s="334"/>
      <c r="BI41" s="586">
        <f>BI37-BI40</f>
        <v>0</v>
      </c>
      <c r="BJ41" s="586">
        <f>BJ37-BJ40</f>
        <v>0</v>
      </c>
      <c r="BK41" s="586">
        <f>BK37-BK40</f>
        <v>0</v>
      </c>
      <c r="BL41" s="586">
        <f>BL37-BL40</f>
        <v>0</v>
      </c>
      <c r="BM41" s="334"/>
      <c r="BN41" s="586">
        <f>BN37-BN40</f>
        <v>0</v>
      </c>
      <c r="BO41" s="586">
        <f>BO37-BO40</f>
        <v>0</v>
      </c>
      <c r="BP41" s="586">
        <f>BP37-BP40</f>
        <v>0</v>
      </c>
      <c r="BQ41" s="586">
        <f>BQ37-BQ40</f>
        <v>0</v>
      </c>
      <c r="BR41" s="334"/>
      <c r="BS41" s="586">
        <f>BS37-BS40</f>
        <v>0</v>
      </c>
      <c r="BT41" s="586">
        <f>BT37-BT40</f>
        <v>0</v>
      </c>
      <c r="BU41" s="586">
        <f>BU37-BU40</f>
        <v>0</v>
      </c>
      <c r="BV41" s="586">
        <f>BV37-BV40</f>
        <v>0</v>
      </c>
      <c r="BW41" s="334"/>
      <c r="BX41" s="586">
        <f>BX37-BX40</f>
        <v>0</v>
      </c>
      <c r="BY41" s="586">
        <f>BY37-BY40</f>
        <v>0</v>
      </c>
      <c r="BZ41" s="586">
        <f>BZ37-BZ40</f>
        <v>0</v>
      </c>
      <c r="CA41" s="586">
        <f>CA37-CA40</f>
        <v>0</v>
      </c>
      <c r="CB41" s="587"/>
      <c r="CC41" s="586">
        <f>CC37-CC40</f>
        <v>0</v>
      </c>
      <c r="CD41" s="586">
        <f>CD37-CD40</f>
        <v>0</v>
      </c>
      <c r="CE41" s="586">
        <f>CE37-CE40</f>
        <v>0</v>
      </c>
      <c r="CF41" s="586">
        <f>CF37-CF40</f>
        <v>0</v>
      </c>
      <c r="CG41" s="587"/>
      <c r="CH41" s="586">
        <f>CH37-CH40</f>
        <v>0</v>
      </c>
      <c r="CI41" s="586">
        <f>CI37-CI40</f>
        <v>0</v>
      </c>
      <c r="CJ41" s="586">
        <f>CJ37-CJ40</f>
        <v>0</v>
      </c>
      <c r="CK41" s="586">
        <f>CK37-CK40</f>
        <v>0</v>
      </c>
      <c r="CL41" s="587"/>
      <c r="CM41" s="586">
        <f>CM37-CM40</f>
        <v>0</v>
      </c>
      <c r="CN41" s="586">
        <f>CN37-CN40</f>
        <v>0</v>
      </c>
      <c r="CO41" s="586">
        <f>CO37-CO40</f>
        <v>0</v>
      </c>
      <c r="CP41" s="586">
        <f>CP37-CP40</f>
        <v>0</v>
      </c>
      <c r="CQ41" s="587"/>
      <c r="CR41" s="586">
        <f>CR37-CR40</f>
        <v>0</v>
      </c>
      <c r="CS41" s="586">
        <f>CS37-CS40</f>
        <v>0</v>
      </c>
      <c r="CT41" s="586">
        <f>CT37-CT40</f>
        <v>0</v>
      </c>
      <c r="CU41" s="586">
        <f>CU37-CU40</f>
        <v>0</v>
      </c>
      <c r="CV41" s="587"/>
      <c r="CW41" s="586">
        <f>CW37-CW40</f>
        <v>0</v>
      </c>
      <c r="CX41" s="586">
        <f>CX37-CX40</f>
        <v>0</v>
      </c>
      <c r="CY41" s="586">
        <f>CY37-CY40</f>
        <v>0</v>
      </c>
      <c r="CZ41" s="586">
        <f>CZ37-CZ40</f>
        <v>0</v>
      </c>
      <c r="DA41" s="587"/>
      <c r="DB41" s="586">
        <f>DB37-DB40</f>
        <v>0</v>
      </c>
      <c r="DC41" s="586">
        <f>DC37-DC40</f>
        <v>0</v>
      </c>
      <c r="DD41" s="586">
        <f>DD37-DD40</f>
        <v>0</v>
      </c>
      <c r="DE41" s="586">
        <f>DE37-DE40</f>
        <v>0</v>
      </c>
      <c r="DF41" s="587"/>
    </row>
    <row r="42" spans="2:110" x14ac:dyDescent="0.2">
      <c r="B42" s="544" t="s">
        <v>206</v>
      </c>
      <c r="C42" s="145"/>
      <c r="D42" s="145"/>
      <c r="E42" s="145"/>
      <c r="F42" s="145"/>
      <c r="G42" s="145"/>
      <c r="H42" s="145"/>
      <c r="I42" s="145"/>
      <c r="J42" s="145"/>
      <c r="K42" s="145"/>
      <c r="L42" s="145"/>
      <c r="M42" s="145"/>
      <c r="N42" s="145"/>
      <c r="O42" s="145"/>
      <c r="P42" s="145"/>
      <c r="Q42" s="145"/>
      <c r="R42" s="145"/>
      <c r="S42" s="346"/>
      <c r="T42" s="340"/>
      <c r="U42" s="346">
        <f>-(AVERAGE(U40,U38))*($X36/4)</f>
        <v>-0.35625000000000001</v>
      </c>
      <c r="V42" s="346">
        <f>-(AVERAGE(V40,V38))*($X36/4)</f>
        <v>-0.71250000000000002</v>
      </c>
      <c r="W42" s="346">
        <f>-(AVERAGE(W40,W38))*($X36/4)</f>
        <v>-0.71250000000000002</v>
      </c>
      <c r="X42" s="346">
        <f>-(AVERAGE(X40,X38))*($X36/4)</f>
        <v>-0.71250000000000002</v>
      </c>
      <c r="Y42" s="340">
        <f>SUM(U42:X42)</f>
        <v>-2.4937499999999999</v>
      </c>
      <c r="Z42" s="346">
        <f>-(AVERAGE(Z40,Z38))*($X36/4)</f>
        <v>-0.35625000000000001</v>
      </c>
      <c r="AA42" s="346">
        <f>-(AVERAGE(AA40,AA38))*($X36/4)</f>
        <v>0</v>
      </c>
      <c r="AB42" s="346">
        <f>-(AVERAGE(AB40,AB38))*($X36/4)</f>
        <v>0</v>
      </c>
      <c r="AC42" s="346">
        <f>-(AVERAGE(AC40,AC38))*($X36/4)</f>
        <v>0</v>
      </c>
      <c r="AD42" s="340">
        <f>SUM(Z42:AC42)</f>
        <v>-0.35625000000000001</v>
      </c>
      <c r="AE42" s="346">
        <f>-(AVERAGE(AE40,AE38))*($X36/4)</f>
        <v>0</v>
      </c>
      <c r="AF42" s="346">
        <f>-(AVERAGE(AF40,AF38))*($X36/4)</f>
        <v>0</v>
      </c>
      <c r="AG42" s="346">
        <f>-(AVERAGE(AG40,AG38))*($X36/4)</f>
        <v>0</v>
      </c>
      <c r="AH42" s="346">
        <f>-(AVERAGE(AH40,AH38))*($AH36/4)</f>
        <v>0</v>
      </c>
      <c r="AI42" s="340">
        <f>SUM(AE42:AH42)</f>
        <v>0</v>
      </c>
      <c r="AJ42" s="346">
        <f>-(AVERAGE(AJ40,AJ38))*($AH36/4)</f>
        <v>0</v>
      </c>
      <c r="AK42" s="346">
        <f>-(AVERAGE(AK40,AK38))*($AK36/4)</f>
        <v>-4.2750000000000004</v>
      </c>
      <c r="AL42" s="346">
        <f>-(AVERAGE(AL40,AL38))*($AL36/4)</f>
        <v>-9.2625000000000011</v>
      </c>
      <c r="AM42" s="346">
        <f>-(AVERAGE(AM40,AM38))*($AM36/4)</f>
        <v>-10.6875</v>
      </c>
      <c r="AN42" s="340">
        <f>SUM(AJ42:AM42)</f>
        <v>-24.225000000000001</v>
      </c>
      <c r="AO42" s="346">
        <f>-(AVERAGE(AO40,AO38))*(AO$36/4)</f>
        <v>-8.865027319587627</v>
      </c>
      <c r="AP42" s="346">
        <f>-(AVERAGE(AP40,AP38))*(AP$36/4)</f>
        <v>-6.8933574455958544</v>
      </c>
      <c r="AQ42" s="346">
        <f>-(AVERAGE(AQ40,AQ38))*(AQ$36/4)</f>
        <v>-6.5582674171122983</v>
      </c>
      <c r="AR42" s="346">
        <f>-(AVERAGE(AR40,AR38))*(AR$36/4)</f>
        <v>-9.4351323888888885</v>
      </c>
      <c r="AS42" s="340">
        <f>SUM(AO42:AR42)</f>
        <v>-31.751784571184668</v>
      </c>
      <c r="AT42" s="346">
        <f>-(AVERAGE(AT40,AT38))*(AT$36/4)</f>
        <v>-7.7808014534883698</v>
      </c>
      <c r="AU42" s="346">
        <f>-(AVERAGE(AU40,AU38))*(AU$36/4)</f>
        <v>-3.0357384999999972</v>
      </c>
      <c r="AV42" s="346">
        <f>-(AVERAGE(AV40,AV38))*(AV$36/4)</f>
        <v>-5.1010261538461537</v>
      </c>
      <c r="AW42" s="346">
        <f>-(AVERAGE(AW40,AW38))*(AW$36/4)</f>
        <v>-2.0372902097902115</v>
      </c>
      <c r="AX42" s="340">
        <f>SUM(AT42:AW42)</f>
        <v>-17.95485631712473</v>
      </c>
      <c r="AY42" s="346">
        <f>-(AVERAGE(AY40,AY38))*(AY$36/4)</f>
        <v>-3.0315806399999952</v>
      </c>
      <c r="AZ42" s="346">
        <f>-(AVERAGE(AZ40,AZ38))*(AZ$36/4)</f>
        <v>-2.9399291588785044</v>
      </c>
      <c r="BA42" s="346">
        <f>-(AVERAGE(BA38,BA38))*(BA$36/4)</f>
        <v>-3.2922959183673455</v>
      </c>
      <c r="BB42" s="346">
        <f>-(AVERAGE(BB40,BB38,0))*(BB$36/4)</f>
        <v>0</v>
      </c>
      <c r="BC42" s="340">
        <f>SUM(AY42:BB42)</f>
        <v>-9.2638057172458446</v>
      </c>
      <c r="BD42" s="346">
        <f>-(AVERAGE(BD40,BD38))*(BD$36/4)</f>
        <v>0</v>
      </c>
      <c r="BE42" s="346">
        <f>-(AVERAGE(BE40,BE38))*(BE$36/4)</f>
        <v>0</v>
      </c>
      <c r="BF42" s="346">
        <f>-(AVERAGE(BF40,BF38))*(BF$36/4)</f>
        <v>0</v>
      </c>
      <c r="BG42" s="346">
        <f>-(AVERAGE(BG40,BG38))*(BB$36/4)</f>
        <v>0</v>
      </c>
      <c r="BH42" s="340">
        <f>SUM(BD42:BG42)</f>
        <v>0</v>
      </c>
      <c r="BI42" s="346">
        <f>-(AVERAGE(BI40,BI38))*(BI$36/4)</f>
        <v>0</v>
      </c>
      <c r="BJ42" s="346">
        <f>-(AVERAGE(BJ40,BJ38))*(BJ$36/4)</f>
        <v>0</v>
      </c>
      <c r="BK42" s="346">
        <f>-(AVERAGE(BK40,BK38))*(BK$36/4)</f>
        <v>0</v>
      </c>
      <c r="BL42" s="346">
        <f>-(AVERAGE(BL40,BL38))*(BG$36/4)</f>
        <v>0</v>
      </c>
      <c r="BM42" s="340">
        <f>SUM(BI42:BL42)</f>
        <v>0</v>
      </c>
      <c r="BN42" s="346">
        <f>-(AVERAGE(BN40,BN38))*(BN$36/4)</f>
        <v>0</v>
      </c>
      <c r="BO42" s="346">
        <f>-(AVERAGE(BO40,BO38))*(BO$36/4)</f>
        <v>0</v>
      </c>
      <c r="BP42" s="346">
        <f>-(AVERAGE(BP40,BP38))*(BP$36/4)</f>
        <v>0</v>
      </c>
      <c r="BQ42" s="346">
        <f>-(AVERAGE(BQ40,BQ38))*(BL$36/4)</f>
        <v>0</v>
      </c>
      <c r="BR42" s="340">
        <f>SUM(BN42:BQ42)</f>
        <v>0</v>
      </c>
      <c r="BS42" s="346">
        <f>-(AVERAGE(BS40,BS38))*(BS$36/4)</f>
        <v>0</v>
      </c>
      <c r="BT42" s="346">
        <f>-(AVERAGE(BT40,BT38))*(BT$36/4)</f>
        <v>0</v>
      </c>
      <c r="BU42" s="346">
        <f>-(AVERAGE(BU40,BU38))*(BU$36/4)</f>
        <v>0</v>
      </c>
      <c r="BV42" s="346">
        <f>-(AVERAGE(BV40,BV38))*(BQ$36/4)</f>
        <v>0</v>
      </c>
      <c r="BW42" s="340">
        <f>SUM(BS42:BV42)</f>
        <v>0</v>
      </c>
      <c r="BX42" s="346">
        <f>-(AVERAGE(BX40,BX38))*(BX$36/4)</f>
        <v>0</v>
      </c>
      <c r="BY42" s="346">
        <f>-(AVERAGE(BY40,BY38))*(BY$36/4)</f>
        <v>0</v>
      </c>
      <c r="BZ42" s="346">
        <f>-(AVERAGE(BZ40,BZ38))*(BZ$36/4)</f>
        <v>0</v>
      </c>
      <c r="CA42" s="346">
        <f>-(AVERAGE(CA40,CA38))*(BV$36/4)</f>
        <v>0</v>
      </c>
      <c r="CB42" s="563">
        <f>SUM(BX42:CA42)</f>
        <v>0</v>
      </c>
      <c r="CC42" s="346">
        <f>-(AVERAGE(CC40,CC38))*(CC$36/4)</f>
        <v>0</v>
      </c>
      <c r="CD42" s="346">
        <f>-(AVERAGE(CD40,CD38))*(CD$36/4)</f>
        <v>0</v>
      </c>
      <c r="CE42" s="346">
        <f>-(AVERAGE(CE40,CE38))*(CE$36/4)</f>
        <v>0</v>
      </c>
      <c r="CF42" s="346">
        <f>-(AVERAGE(CF40,CF38))*(CA$36/4)</f>
        <v>0</v>
      </c>
      <c r="CG42" s="563">
        <f>SUM(CC42:CF42)</f>
        <v>0</v>
      </c>
      <c r="CH42" s="346">
        <f>-(AVERAGE(CH40,CH38))*(CH$36/4)</f>
        <v>0</v>
      </c>
      <c r="CI42" s="346">
        <f>-(AVERAGE(CI40,CI38))*(CI$36/4)</f>
        <v>0</v>
      </c>
      <c r="CJ42" s="346">
        <f>-(AVERAGE(CJ40,CJ38))*(CJ$36/4)</f>
        <v>0</v>
      </c>
      <c r="CK42" s="346">
        <f>-(AVERAGE(CK40,CK38))*(CF$36/4)</f>
        <v>0</v>
      </c>
      <c r="CL42" s="563">
        <f>SUM(CH42:CK42)</f>
        <v>0</v>
      </c>
      <c r="CM42" s="346">
        <f>-(AVERAGE(CM40,CM38))*(CM$36/4)</f>
        <v>0</v>
      </c>
      <c r="CN42" s="346">
        <f>-(AVERAGE(CN40,CN38))*(CN$36/4)</f>
        <v>0</v>
      </c>
      <c r="CO42" s="346">
        <f>-(AVERAGE(CO40,CO38))*(CO$36/4)</f>
        <v>0</v>
      </c>
      <c r="CP42" s="346">
        <f>-(AVERAGE(CP40,CP38))*(CK$36/4)</f>
        <v>0</v>
      </c>
      <c r="CQ42" s="563">
        <f>SUM(CM42:CP42)</f>
        <v>0</v>
      </c>
      <c r="CR42" s="346">
        <f>-(AVERAGE(CR40,CR38))*(CR$36/4)</f>
        <v>0</v>
      </c>
      <c r="CS42" s="346">
        <f>-(AVERAGE(CS40,CS38))*(CS$36/4)</f>
        <v>0</v>
      </c>
      <c r="CT42" s="346">
        <f>-(AVERAGE(CT40,CT38))*(CT$36/4)</f>
        <v>0</v>
      </c>
      <c r="CU42" s="346">
        <f>-(AVERAGE(CU40,CU38))*(CP$36/4)</f>
        <v>0</v>
      </c>
      <c r="CV42" s="563">
        <f>SUM(CR42:CU42)</f>
        <v>0</v>
      </c>
      <c r="CW42" s="346">
        <f>-(AVERAGE(CW40,CW38))*(CW$36/4)</f>
        <v>0</v>
      </c>
      <c r="CX42" s="346">
        <f>-(AVERAGE(CX40,CX38))*(CX$36/4)</f>
        <v>0</v>
      </c>
      <c r="CY42" s="346">
        <f>-(AVERAGE(CY40,CY38))*(CY$36/4)</f>
        <v>0</v>
      </c>
      <c r="CZ42" s="346">
        <f>-(AVERAGE(CZ40,CZ38))*(CU$36/4)</f>
        <v>0</v>
      </c>
      <c r="DA42" s="563">
        <f>SUM(CW42:CZ42)</f>
        <v>0</v>
      </c>
      <c r="DB42" s="346">
        <f>-(AVERAGE(DB40,DB38))*(DB$36/4)</f>
        <v>0</v>
      </c>
      <c r="DC42" s="346">
        <f>-(AVERAGE(DC40,DC38))*(DC$36/4)</f>
        <v>0</v>
      </c>
      <c r="DD42" s="346">
        <f>-(AVERAGE(DD40,DD38))*(DD$36/4)</f>
        <v>0</v>
      </c>
      <c r="DE42" s="346">
        <f>-(AVERAGE(DE40,DE38))*(CZ$36/4)</f>
        <v>0</v>
      </c>
      <c r="DF42" s="563">
        <f>SUM(DB42:DE42)</f>
        <v>0</v>
      </c>
    </row>
    <row r="43" spans="2:110" ht="12" thickBot="1" x14ac:dyDescent="0.25">
      <c r="B43" s="548" t="s">
        <v>207</v>
      </c>
      <c r="C43" s="205"/>
      <c r="D43" s="205"/>
      <c r="E43" s="205"/>
      <c r="F43" s="205"/>
      <c r="G43" s="205"/>
      <c r="H43" s="205"/>
      <c r="I43" s="205"/>
      <c r="J43" s="205"/>
      <c r="K43" s="205"/>
      <c r="L43" s="205"/>
      <c r="M43" s="205"/>
      <c r="N43" s="205"/>
      <c r="O43" s="205"/>
      <c r="P43" s="205"/>
      <c r="Q43" s="205"/>
      <c r="R43" s="205"/>
      <c r="S43" s="549"/>
      <c r="T43" s="550"/>
      <c r="U43" s="549"/>
      <c r="V43" s="549"/>
      <c r="W43" s="549"/>
      <c r="X43" s="549">
        <f>-X35*X41/4</f>
        <v>0</v>
      </c>
      <c r="Y43" s="550"/>
      <c r="Z43" s="549">
        <f>-Z35*Z41/4</f>
        <v>0</v>
      </c>
      <c r="AA43" s="549">
        <f>-AA35*AA41/4</f>
        <v>0</v>
      </c>
      <c r="AB43" s="549">
        <f>-AB35*AB41/4</f>
        <v>0</v>
      </c>
      <c r="AC43" s="549">
        <f>-AC35*AC41/4</f>
        <v>0</v>
      </c>
      <c r="AD43" s="550"/>
      <c r="AE43" s="549">
        <f>-AE35*AE41/4</f>
        <v>0</v>
      </c>
      <c r="AF43" s="549">
        <f>-AF35*AF41/4</f>
        <v>0</v>
      </c>
      <c r="AG43" s="549">
        <f>-AG35*AG41/4</f>
        <v>0</v>
      </c>
      <c r="AH43" s="549">
        <f>-AH35*AH41/4</f>
        <v>0</v>
      </c>
      <c r="AI43" s="550"/>
      <c r="AJ43" s="549">
        <f>-AJ35*AJ41/4</f>
        <v>0</v>
      </c>
      <c r="AK43" s="549">
        <f>-AK35*AK41/4</f>
        <v>0</v>
      </c>
      <c r="AL43" s="549">
        <f>-AL35*AL41/4</f>
        <v>0</v>
      </c>
      <c r="AM43" s="549">
        <f>-AM35*AM41/4</f>
        <v>0</v>
      </c>
      <c r="AN43" s="550"/>
      <c r="AO43" s="549">
        <f>-AO35*AO41/4</f>
        <v>0</v>
      </c>
      <c r="AP43" s="549">
        <f>-AP35*AP41/4</f>
        <v>0</v>
      </c>
      <c r="AQ43" s="549">
        <f>-AQ35*AQ41/4</f>
        <v>0</v>
      </c>
      <c r="AR43" s="549">
        <f>-AR35*AR41/4</f>
        <v>0</v>
      </c>
      <c r="AS43" s="550"/>
      <c r="AT43" s="549">
        <f>-AT35*AT41/4</f>
        <v>0</v>
      </c>
      <c r="AU43" s="549">
        <f>-AU35*AU41/4</f>
        <v>0</v>
      </c>
      <c r="AV43" s="549">
        <f>-AV35*AV41/4</f>
        <v>0</v>
      </c>
      <c r="AW43" s="549">
        <f>-AW35*AW41/4</f>
        <v>0</v>
      </c>
      <c r="AX43" s="550"/>
      <c r="AY43" s="549">
        <f>-AY35*AY41/4</f>
        <v>0</v>
      </c>
      <c r="AZ43" s="549">
        <f>-AZ35*AZ41/4</f>
        <v>0</v>
      </c>
      <c r="BA43" s="549">
        <f>-BA35*BA41/4</f>
        <v>0</v>
      </c>
      <c r="BB43" s="549">
        <f>-BB35*BB41/4</f>
        <v>0</v>
      </c>
      <c r="BC43" s="550"/>
      <c r="BD43" s="549">
        <f>-BD35*BD41/4</f>
        <v>0</v>
      </c>
      <c r="BE43" s="549">
        <f>-BE35*BE41/4</f>
        <v>0</v>
      </c>
      <c r="BF43" s="549">
        <f>-BF35*BF41/4</f>
        <v>0</v>
      </c>
      <c r="BG43" s="549">
        <f>-BG35*BG41/4</f>
        <v>0</v>
      </c>
      <c r="BH43" s="550"/>
      <c r="BI43" s="549">
        <f>-BI35*BI41/4</f>
        <v>0</v>
      </c>
      <c r="BJ43" s="549">
        <f>-BJ35*BJ41/4</f>
        <v>0</v>
      </c>
      <c r="BK43" s="549">
        <f>-BK35*BK41/4</f>
        <v>0</v>
      </c>
      <c r="BL43" s="549">
        <f>-BL35*BL41/4</f>
        <v>0</v>
      </c>
      <c r="BM43" s="550"/>
      <c r="BN43" s="549">
        <f>-BN35*BN41/4</f>
        <v>0</v>
      </c>
      <c r="BO43" s="549">
        <f>-BO35*BO41/4</f>
        <v>0</v>
      </c>
      <c r="BP43" s="549">
        <f>-BP35*BP41/4</f>
        <v>0</v>
      </c>
      <c r="BQ43" s="549">
        <f>-BQ35*BQ41/4</f>
        <v>0</v>
      </c>
      <c r="BR43" s="550"/>
      <c r="BS43" s="549">
        <f>-BS35*BS41/4</f>
        <v>0</v>
      </c>
      <c r="BT43" s="549">
        <f>-BT35*BT41/4</f>
        <v>0</v>
      </c>
      <c r="BU43" s="549">
        <f>-BU35*BU41/4</f>
        <v>0</v>
      </c>
      <c r="BV43" s="549">
        <f>-BV35*BV41/4</f>
        <v>0</v>
      </c>
      <c r="BW43" s="550"/>
      <c r="BX43" s="549">
        <f>-BX35*BX41/4</f>
        <v>0</v>
      </c>
      <c r="BY43" s="549">
        <f>-BY35*BY41/4</f>
        <v>0</v>
      </c>
      <c r="BZ43" s="549">
        <f>-BZ35*BZ41/4</f>
        <v>0</v>
      </c>
      <c r="CA43" s="549">
        <f>-CA35*CA41/4</f>
        <v>0</v>
      </c>
      <c r="CB43" s="565"/>
      <c r="CC43" s="549">
        <f>-CC35*CC41/4</f>
        <v>0</v>
      </c>
      <c r="CD43" s="549">
        <f>-CD35*CD41/4</f>
        <v>0</v>
      </c>
      <c r="CE43" s="549">
        <f>-CE35*CE41/4</f>
        <v>0</v>
      </c>
      <c r="CF43" s="549">
        <f>-CF35*CF41/4</f>
        <v>0</v>
      </c>
      <c r="CG43" s="565"/>
      <c r="CH43" s="549">
        <f>-CH35*CH41/4</f>
        <v>0</v>
      </c>
      <c r="CI43" s="549">
        <f>-CI35*CI41/4</f>
        <v>0</v>
      </c>
      <c r="CJ43" s="549">
        <f>-CJ35*CJ41/4</f>
        <v>0</v>
      </c>
      <c r="CK43" s="549">
        <f>-CK35*CK41/4</f>
        <v>0</v>
      </c>
      <c r="CL43" s="565"/>
      <c r="CM43" s="549">
        <f>-CM35*CM41/4</f>
        <v>0</v>
      </c>
      <c r="CN43" s="549">
        <f>-CN35*CN41/4</f>
        <v>0</v>
      </c>
      <c r="CO43" s="549">
        <f>-CO35*CO41/4</f>
        <v>0</v>
      </c>
      <c r="CP43" s="549">
        <f>-CP35*CP41/4</f>
        <v>0</v>
      </c>
      <c r="CQ43" s="565"/>
      <c r="CR43" s="549">
        <f>-CR35*CR41/4</f>
        <v>0</v>
      </c>
      <c r="CS43" s="549">
        <f>-CS35*CS41/4</f>
        <v>0</v>
      </c>
      <c r="CT43" s="549">
        <f>-CT35*CT41/4</f>
        <v>0</v>
      </c>
      <c r="CU43" s="549">
        <f>-CU35*CU41/4</f>
        <v>0</v>
      </c>
      <c r="CV43" s="565"/>
      <c r="CW43" s="549">
        <f>-CW35*CW41/4</f>
        <v>0</v>
      </c>
      <c r="CX43" s="549">
        <f>-CX35*CX41/4</f>
        <v>0</v>
      </c>
      <c r="CY43" s="549">
        <f>-CY35*CY41/4</f>
        <v>0</v>
      </c>
      <c r="CZ43" s="549">
        <f>-CZ35*CZ41/4</f>
        <v>0</v>
      </c>
      <c r="DA43" s="565"/>
      <c r="DB43" s="549">
        <f>-DB35*DB41/4</f>
        <v>0</v>
      </c>
      <c r="DC43" s="549">
        <f>-DC35*DC41/4</f>
        <v>0</v>
      </c>
      <c r="DD43" s="549">
        <f>-DD35*DD41/4</f>
        <v>0</v>
      </c>
      <c r="DE43" s="549">
        <f>-DE35*DE41/4</f>
        <v>0</v>
      </c>
      <c r="DF43" s="565"/>
    </row>
    <row r="44" spans="2:110" s="326" customFormat="1" ht="12" thickBot="1" x14ac:dyDescent="0.25">
      <c r="B44" s="355"/>
      <c r="C44" s="145"/>
      <c r="D44" s="145"/>
      <c r="E44" s="145"/>
      <c r="F44" s="145"/>
      <c r="G44" s="145"/>
      <c r="H44" s="145"/>
      <c r="I44" s="145"/>
      <c r="J44" s="145"/>
      <c r="K44" s="145"/>
      <c r="L44" s="145"/>
      <c r="M44" s="145"/>
      <c r="N44" s="145"/>
      <c r="O44" s="145"/>
      <c r="P44" s="145"/>
      <c r="Q44" s="145"/>
      <c r="R44" s="145"/>
      <c r="S44" s="346"/>
      <c r="T44" s="346"/>
      <c r="U44" s="346"/>
      <c r="V44" s="346"/>
      <c r="W44" s="346"/>
    </row>
    <row r="45" spans="2:110" ht="12" thickBot="1" x14ac:dyDescent="0.25">
      <c r="B45" s="814" t="str">
        <f>"$750M Revolving Credit Facility - due 8/13/2013"</f>
        <v>$750M Revolving Credit Facility - due 8/13/2013</v>
      </c>
      <c r="C45" s="979"/>
      <c r="D45" s="979"/>
      <c r="E45" s="979"/>
      <c r="F45" s="979"/>
      <c r="G45" s="979"/>
      <c r="H45" s="979"/>
      <c r="I45" s="979"/>
      <c r="J45" s="979"/>
      <c r="K45" s="979"/>
      <c r="L45" s="979"/>
      <c r="M45" s="979"/>
      <c r="N45" s="979"/>
      <c r="O45" s="979"/>
      <c r="P45" s="979"/>
      <c r="Q45" s="979"/>
      <c r="R45" s="979"/>
      <c r="S45" s="980"/>
      <c r="T45" s="980"/>
      <c r="U45" s="980"/>
      <c r="V45" s="980"/>
      <c r="W45" s="980"/>
      <c r="X45" s="819"/>
      <c r="Y45" s="819"/>
      <c r="Z45" s="819"/>
      <c r="AA45" s="819"/>
      <c r="AB45" s="819"/>
      <c r="AC45" s="819"/>
      <c r="AD45" s="819"/>
      <c r="AE45" s="819"/>
      <c r="AF45" s="819"/>
      <c r="AG45" s="819"/>
      <c r="AH45" s="819"/>
      <c r="AI45" s="819"/>
      <c r="AJ45" s="819"/>
      <c r="AK45" s="819"/>
      <c r="AL45" s="819"/>
      <c r="AM45" s="819"/>
      <c r="AN45" s="819"/>
      <c r="AO45" s="819"/>
      <c r="AP45" s="819"/>
      <c r="AQ45" s="819"/>
      <c r="AR45" s="819"/>
      <c r="AS45" s="819"/>
      <c r="AT45" s="819"/>
      <c r="AU45" s="819"/>
      <c r="AV45" s="819"/>
      <c r="AW45" s="819"/>
      <c r="AX45" s="819"/>
      <c r="AY45" s="819"/>
      <c r="AZ45" s="819"/>
      <c r="BA45" s="819"/>
      <c r="BB45" s="819"/>
      <c r="BC45" s="819"/>
      <c r="BD45" s="819"/>
      <c r="BE45" s="819"/>
      <c r="BF45" s="819"/>
      <c r="BG45" s="819"/>
      <c r="BH45" s="819"/>
      <c r="BI45" s="819"/>
      <c r="BJ45" s="819"/>
      <c r="BK45" s="819"/>
      <c r="BL45" s="819"/>
      <c r="BM45" s="819"/>
      <c r="BN45" s="819"/>
      <c r="BO45" s="819"/>
      <c r="BP45" s="819"/>
      <c r="BQ45" s="819"/>
      <c r="BR45" s="819"/>
      <c r="BS45" s="819"/>
      <c r="BT45" s="819"/>
      <c r="BU45" s="819"/>
      <c r="BV45" s="819"/>
      <c r="BW45" s="819"/>
      <c r="BX45" s="819"/>
      <c r="BY45" s="819"/>
      <c r="BZ45" s="819"/>
      <c r="CA45" s="819"/>
      <c r="CB45" s="872"/>
      <c r="CC45" s="819"/>
      <c r="CD45" s="819"/>
      <c r="CE45" s="819"/>
      <c r="CF45" s="819"/>
      <c r="CG45" s="872"/>
      <c r="CH45" s="819"/>
      <c r="CI45" s="819"/>
      <c r="CJ45" s="819"/>
      <c r="CK45" s="819"/>
      <c r="CL45" s="872"/>
      <c r="CM45" s="819"/>
      <c r="CN45" s="819"/>
      <c r="CO45" s="819"/>
      <c r="CP45" s="819"/>
      <c r="CQ45" s="872"/>
      <c r="CR45" s="819"/>
      <c r="CS45" s="819"/>
      <c r="CT45" s="819"/>
      <c r="CU45" s="819"/>
      <c r="CV45" s="872"/>
      <c r="CW45" s="819"/>
      <c r="CX45" s="819"/>
      <c r="CY45" s="819"/>
      <c r="CZ45" s="819"/>
      <c r="DA45" s="872"/>
      <c r="DB45" s="819"/>
      <c r="DC45" s="819"/>
      <c r="DD45" s="819"/>
      <c r="DE45" s="819"/>
      <c r="DF45" s="872"/>
    </row>
    <row r="46" spans="2:110" x14ac:dyDescent="0.2">
      <c r="B46" s="578" t="s">
        <v>203</v>
      </c>
      <c r="C46" s="537"/>
      <c r="D46" s="537"/>
      <c r="E46" s="537"/>
      <c r="F46" s="537"/>
      <c r="G46" s="537"/>
      <c r="H46" s="537"/>
      <c r="I46" s="537"/>
      <c r="J46" s="537"/>
      <c r="K46" s="537"/>
      <c r="L46" s="537"/>
      <c r="M46" s="537"/>
      <c r="N46" s="537"/>
      <c r="O46" s="537"/>
      <c r="P46" s="537"/>
      <c r="Q46" s="537"/>
      <c r="R46" s="537"/>
      <c r="S46" s="342"/>
      <c r="T46" s="341"/>
      <c r="U46" s="342"/>
      <c r="V46" s="342"/>
      <c r="W46" s="342"/>
      <c r="X46" s="579">
        <v>5.0000000000000001E-3</v>
      </c>
      <c r="Y46" s="340"/>
      <c r="Z46" s="580">
        <f>X46</f>
        <v>5.0000000000000001E-3</v>
      </c>
      <c r="AA46" s="580">
        <f t="shared" ref="AA46:AC48" si="39">Z46</f>
        <v>5.0000000000000001E-3</v>
      </c>
      <c r="AB46" s="580">
        <f t="shared" si="39"/>
        <v>5.0000000000000001E-3</v>
      </c>
      <c r="AC46" s="580">
        <f t="shared" si="39"/>
        <v>5.0000000000000001E-3</v>
      </c>
      <c r="AD46" s="340"/>
      <c r="AE46" s="267">
        <v>2E-3</v>
      </c>
      <c r="AF46" s="580">
        <f>AE46</f>
        <v>2E-3</v>
      </c>
      <c r="AG46" s="580">
        <f>AF46</f>
        <v>2E-3</v>
      </c>
      <c r="AH46" s="580">
        <f>AG46</f>
        <v>2E-3</v>
      </c>
      <c r="AI46" s="340"/>
      <c r="AJ46" s="580">
        <f>AH46</f>
        <v>2E-3</v>
      </c>
      <c r="AK46" s="580">
        <f t="shared" ref="AK46:AM48" si="40">AJ46</f>
        <v>2E-3</v>
      </c>
      <c r="AL46" s="580">
        <f t="shared" si="40"/>
        <v>2E-3</v>
      </c>
      <c r="AM46" s="580">
        <f t="shared" si="40"/>
        <v>2E-3</v>
      </c>
      <c r="AN46" s="340"/>
      <c r="AO46" s="267">
        <v>2.5000000000000001E-3</v>
      </c>
      <c r="AP46" s="580">
        <f>AO46</f>
        <v>2.5000000000000001E-3</v>
      </c>
      <c r="AQ46" s="580">
        <f>AP46</f>
        <v>2.5000000000000001E-3</v>
      </c>
      <c r="AR46" s="580">
        <f>AQ46</f>
        <v>2.5000000000000001E-3</v>
      </c>
      <c r="AS46" s="340"/>
      <c r="AT46" s="267">
        <v>2.5000000000000001E-3</v>
      </c>
      <c r="AU46" s="580">
        <f>AT46</f>
        <v>2.5000000000000001E-3</v>
      </c>
      <c r="AV46" s="580">
        <f>AU46</f>
        <v>2.5000000000000001E-3</v>
      </c>
      <c r="AW46" s="580">
        <f>AV46</f>
        <v>2.5000000000000001E-3</v>
      </c>
      <c r="AX46" s="340"/>
      <c r="AY46" s="267">
        <f>AW46</f>
        <v>2.5000000000000001E-3</v>
      </c>
      <c r="AZ46" s="580">
        <f t="shared" ref="AZ46:BB48" si="41">AY46</f>
        <v>2.5000000000000001E-3</v>
      </c>
      <c r="BA46" s="580">
        <f t="shared" si="41"/>
        <v>2.5000000000000001E-3</v>
      </c>
      <c r="BB46" s="580">
        <f t="shared" si="41"/>
        <v>2.5000000000000001E-3</v>
      </c>
      <c r="BC46" s="340"/>
      <c r="BD46" s="580">
        <v>2.5000000000000001E-3</v>
      </c>
      <c r="BE46" s="580">
        <f t="shared" ref="BE46:BG48" si="42">BD46</f>
        <v>2.5000000000000001E-3</v>
      </c>
      <c r="BF46" s="580">
        <f t="shared" si="42"/>
        <v>2.5000000000000001E-3</v>
      </c>
      <c r="BG46" s="580">
        <f t="shared" si="42"/>
        <v>2.5000000000000001E-3</v>
      </c>
      <c r="BH46" s="340"/>
      <c r="BI46" s="580">
        <f>BG46</f>
        <v>2.5000000000000001E-3</v>
      </c>
      <c r="BJ46" s="580">
        <f t="shared" ref="BJ46:BL48" si="43">BI46</f>
        <v>2.5000000000000001E-3</v>
      </c>
      <c r="BK46" s="580">
        <f t="shared" si="43"/>
        <v>2.5000000000000001E-3</v>
      </c>
      <c r="BL46" s="580">
        <f t="shared" si="43"/>
        <v>2.5000000000000001E-3</v>
      </c>
      <c r="BM46" s="532"/>
      <c r="BN46" s="580">
        <f>BL46</f>
        <v>2.5000000000000001E-3</v>
      </c>
      <c r="BO46" s="580">
        <f t="shared" ref="BO46:BQ48" si="44">BN46</f>
        <v>2.5000000000000001E-3</v>
      </c>
      <c r="BP46" s="580">
        <f t="shared" si="44"/>
        <v>2.5000000000000001E-3</v>
      </c>
      <c r="BQ46" s="580">
        <f t="shared" si="44"/>
        <v>2.5000000000000001E-3</v>
      </c>
      <c r="BR46" s="532"/>
      <c r="BS46" s="580">
        <f>BQ46</f>
        <v>2.5000000000000001E-3</v>
      </c>
      <c r="BT46" s="580">
        <f t="shared" ref="BT46:BV48" si="45">BS46</f>
        <v>2.5000000000000001E-3</v>
      </c>
      <c r="BU46" s="580">
        <f t="shared" si="45"/>
        <v>2.5000000000000001E-3</v>
      </c>
      <c r="BV46" s="580">
        <f t="shared" si="45"/>
        <v>2.5000000000000001E-3</v>
      </c>
      <c r="BW46" s="532"/>
      <c r="BX46" s="580">
        <f>BV46</f>
        <v>2.5000000000000001E-3</v>
      </c>
      <c r="BY46" s="580">
        <f t="shared" ref="BY46:CA48" si="46">BX46</f>
        <v>2.5000000000000001E-3</v>
      </c>
      <c r="BZ46" s="580">
        <f t="shared" si="46"/>
        <v>2.5000000000000001E-3</v>
      </c>
      <c r="CA46" s="580">
        <f t="shared" si="46"/>
        <v>2.5000000000000001E-3</v>
      </c>
      <c r="CB46" s="563"/>
      <c r="CC46" s="580">
        <f>CA46</f>
        <v>2.5000000000000001E-3</v>
      </c>
      <c r="CD46" s="580">
        <f t="shared" ref="CD46:CF48" si="47">CC46</f>
        <v>2.5000000000000001E-3</v>
      </c>
      <c r="CE46" s="580">
        <f t="shared" si="47"/>
        <v>2.5000000000000001E-3</v>
      </c>
      <c r="CF46" s="580">
        <f t="shared" si="47"/>
        <v>2.5000000000000001E-3</v>
      </c>
      <c r="CG46" s="563"/>
      <c r="CH46" s="580">
        <f>CF46</f>
        <v>2.5000000000000001E-3</v>
      </c>
      <c r="CI46" s="580">
        <f t="shared" ref="CI46:CK48" si="48">CH46</f>
        <v>2.5000000000000001E-3</v>
      </c>
      <c r="CJ46" s="580">
        <f t="shared" si="48"/>
        <v>2.5000000000000001E-3</v>
      </c>
      <c r="CK46" s="580">
        <f t="shared" si="48"/>
        <v>2.5000000000000001E-3</v>
      </c>
      <c r="CL46" s="563"/>
      <c r="CM46" s="580">
        <f>CK46</f>
        <v>2.5000000000000001E-3</v>
      </c>
      <c r="CN46" s="580">
        <f t="shared" ref="CN46:CP48" si="49">CM46</f>
        <v>2.5000000000000001E-3</v>
      </c>
      <c r="CO46" s="580">
        <f t="shared" si="49"/>
        <v>2.5000000000000001E-3</v>
      </c>
      <c r="CP46" s="580">
        <f t="shared" si="49"/>
        <v>2.5000000000000001E-3</v>
      </c>
      <c r="CQ46" s="563"/>
      <c r="CR46" s="580">
        <f>CP46</f>
        <v>2.5000000000000001E-3</v>
      </c>
      <c r="CS46" s="580">
        <f t="shared" ref="CS46:CS48" si="50">CR46</f>
        <v>2.5000000000000001E-3</v>
      </c>
      <c r="CT46" s="580">
        <f t="shared" ref="CT46:CT48" si="51">CS46</f>
        <v>2.5000000000000001E-3</v>
      </c>
      <c r="CU46" s="580">
        <f t="shared" ref="CU46:CU48" si="52">CT46</f>
        <v>2.5000000000000001E-3</v>
      </c>
      <c r="CV46" s="563"/>
      <c r="CW46" s="580">
        <f>CU46</f>
        <v>2.5000000000000001E-3</v>
      </c>
      <c r="CX46" s="580">
        <f t="shared" ref="CX46:CX48" si="53">CW46</f>
        <v>2.5000000000000001E-3</v>
      </c>
      <c r="CY46" s="580">
        <f t="shared" ref="CY46:CY48" si="54">CX46</f>
        <v>2.5000000000000001E-3</v>
      </c>
      <c r="CZ46" s="580">
        <f t="shared" ref="CZ46:CZ48" si="55">CY46</f>
        <v>2.5000000000000001E-3</v>
      </c>
      <c r="DA46" s="563"/>
      <c r="DB46" s="580">
        <f>CZ46</f>
        <v>2.5000000000000001E-3</v>
      </c>
      <c r="DC46" s="580">
        <f t="shared" ref="DC46:DC48" si="56">DB46</f>
        <v>2.5000000000000001E-3</v>
      </c>
      <c r="DD46" s="580">
        <f t="shared" ref="DD46:DD48" si="57">DC46</f>
        <v>2.5000000000000001E-3</v>
      </c>
      <c r="DE46" s="580">
        <f t="shared" ref="DE46:DE48" si="58">DD46</f>
        <v>2.5000000000000001E-3</v>
      </c>
      <c r="DF46" s="563"/>
    </row>
    <row r="47" spans="2:110" x14ac:dyDescent="0.2">
      <c r="B47" s="578" t="s">
        <v>204</v>
      </c>
      <c r="C47" s="537"/>
      <c r="D47" s="537"/>
      <c r="E47" s="537"/>
      <c r="F47" s="537"/>
      <c r="G47" s="537"/>
      <c r="H47" s="537"/>
      <c r="I47" s="537"/>
      <c r="J47" s="537"/>
      <c r="K47" s="537"/>
      <c r="L47" s="537"/>
      <c r="M47" s="537"/>
      <c r="N47" s="537"/>
      <c r="O47" s="537"/>
      <c r="P47" s="537"/>
      <c r="Q47" s="537"/>
      <c r="R47" s="537"/>
      <c r="S47" s="342"/>
      <c r="T47" s="341"/>
      <c r="U47" s="342"/>
      <c r="V47" s="342"/>
      <c r="W47" s="342"/>
      <c r="X47" s="579">
        <v>3.6700000000000003E-2</v>
      </c>
      <c r="Y47" s="341"/>
      <c r="Z47" s="344">
        <f>X47</f>
        <v>3.6700000000000003E-2</v>
      </c>
      <c r="AA47" s="580">
        <f t="shared" si="39"/>
        <v>3.6700000000000003E-2</v>
      </c>
      <c r="AB47" s="580">
        <f t="shared" si="39"/>
        <v>3.6700000000000003E-2</v>
      </c>
      <c r="AC47" s="580">
        <f t="shared" si="39"/>
        <v>3.6700000000000003E-2</v>
      </c>
      <c r="AD47" s="341"/>
      <c r="AE47" s="344">
        <f>AC47</f>
        <v>3.6700000000000003E-2</v>
      </c>
      <c r="AF47" s="580">
        <f>AE47</f>
        <v>3.6700000000000003E-2</v>
      </c>
      <c r="AG47" s="580">
        <f>AF47</f>
        <v>3.6700000000000003E-2</v>
      </c>
      <c r="AH47" s="267">
        <v>0.06</v>
      </c>
      <c r="AI47" s="341"/>
      <c r="AJ47" s="345">
        <v>0.06</v>
      </c>
      <c r="AK47" s="267">
        <v>0.06</v>
      </c>
      <c r="AL47" s="267">
        <v>0.06</v>
      </c>
      <c r="AM47" s="267">
        <v>0.06</v>
      </c>
      <c r="AN47" s="341"/>
      <c r="AO47" s="345">
        <v>4.4999999999999998E-2</v>
      </c>
      <c r="AP47" s="267">
        <v>3.1E-2</v>
      </c>
      <c r="AQ47" s="267">
        <v>4.1000000000000002E-2</v>
      </c>
      <c r="AR47" s="267">
        <v>3.6999999999999998E-2</v>
      </c>
      <c r="AS47" s="341"/>
      <c r="AT47" s="345">
        <v>2.9000000000000001E-2</v>
      </c>
      <c r="AU47" s="267">
        <f>AU$32+0.5%</f>
        <v>1.5162499999999999E-2</v>
      </c>
      <c r="AV47" s="267">
        <f>AV$32+0.5%</f>
        <v>2.550513076923077E-2</v>
      </c>
      <c r="AW47" s="267">
        <f>AW$32+0.5%</f>
        <v>1.0186451048951058E-2</v>
      </c>
      <c r="AX47" s="341"/>
      <c r="AY47" s="267">
        <f>AY$32+0.5%</f>
        <v>1.5157903199999975E-2</v>
      </c>
      <c r="AZ47" s="580">
        <f t="shared" si="41"/>
        <v>1.5157903199999975E-2</v>
      </c>
      <c r="BA47" s="580">
        <f t="shared" si="41"/>
        <v>1.5157903199999975E-2</v>
      </c>
      <c r="BB47" s="580">
        <f t="shared" si="41"/>
        <v>1.5157903199999975E-2</v>
      </c>
      <c r="BC47" s="341"/>
      <c r="BD47" s="267">
        <f>BG$32+0.5%</f>
        <v>1.6461479591836727E-2</v>
      </c>
      <c r="BE47" s="267">
        <f>BE$32+0.5%</f>
        <v>5.5E-2</v>
      </c>
      <c r="BF47" s="580">
        <f t="shared" si="42"/>
        <v>5.5E-2</v>
      </c>
      <c r="BG47" s="580">
        <f t="shared" si="42"/>
        <v>5.5E-2</v>
      </c>
      <c r="BH47" s="341"/>
      <c r="BI47" s="267">
        <f>BG47</f>
        <v>5.5E-2</v>
      </c>
      <c r="BJ47" s="267">
        <v>1.6E-2</v>
      </c>
      <c r="BK47" s="267">
        <f>BJ47</f>
        <v>1.6E-2</v>
      </c>
      <c r="BL47" s="267">
        <f>BK47</f>
        <v>1.6E-2</v>
      </c>
      <c r="BM47" s="341"/>
      <c r="BN47" s="267">
        <f>BL47</f>
        <v>1.6E-2</v>
      </c>
      <c r="BO47" s="267">
        <f t="shared" si="44"/>
        <v>1.6E-2</v>
      </c>
      <c r="BP47" s="267">
        <f t="shared" si="44"/>
        <v>1.6E-2</v>
      </c>
      <c r="BQ47" s="267">
        <f t="shared" si="44"/>
        <v>1.6E-2</v>
      </c>
      <c r="BR47" s="341"/>
      <c r="BS47" s="267">
        <f>BQ47</f>
        <v>1.6E-2</v>
      </c>
      <c r="BT47" s="267">
        <f t="shared" si="45"/>
        <v>1.6E-2</v>
      </c>
      <c r="BU47" s="267">
        <f t="shared" si="45"/>
        <v>1.6E-2</v>
      </c>
      <c r="BV47" s="267">
        <f t="shared" si="45"/>
        <v>1.6E-2</v>
      </c>
      <c r="BW47" s="341"/>
      <c r="BX47" s="267">
        <f>BV47</f>
        <v>1.6E-2</v>
      </c>
      <c r="BY47" s="267">
        <f t="shared" si="46"/>
        <v>1.6E-2</v>
      </c>
      <c r="BZ47" s="267">
        <f t="shared" si="46"/>
        <v>1.6E-2</v>
      </c>
      <c r="CA47" s="267">
        <f t="shared" si="46"/>
        <v>1.6E-2</v>
      </c>
      <c r="CB47" s="582"/>
      <c r="CC47" s="267">
        <f>CA47</f>
        <v>1.6E-2</v>
      </c>
      <c r="CD47" s="267">
        <f t="shared" si="47"/>
        <v>1.6E-2</v>
      </c>
      <c r="CE47" s="267">
        <f t="shared" si="47"/>
        <v>1.6E-2</v>
      </c>
      <c r="CF47" s="267">
        <f t="shared" si="47"/>
        <v>1.6E-2</v>
      </c>
      <c r="CG47" s="582"/>
      <c r="CH47" s="267">
        <f>CF47</f>
        <v>1.6E-2</v>
      </c>
      <c r="CI47" s="267">
        <f t="shared" si="48"/>
        <v>1.6E-2</v>
      </c>
      <c r="CJ47" s="267">
        <f t="shared" si="48"/>
        <v>1.6E-2</v>
      </c>
      <c r="CK47" s="267">
        <f t="shared" si="48"/>
        <v>1.6E-2</v>
      </c>
      <c r="CL47" s="582"/>
      <c r="CM47" s="267">
        <f>CK47</f>
        <v>1.6E-2</v>
      </c>
      <c r="CN47" s="267">
        <f t="shared" si="49"/>
        <v>1.6E-2</v>
      </c>
      <c r="CO47" s="267">
        <f t="shared" si="49"/>
        <v>1.6E-2</v>
      </c>
      <c r="CP47" s="267">
        <f t="shared" si="49"/>
        <v>1.6E-2</v>
      </c>
      <c r="CQ47" s="582"/>
      <c r="CR47" s="267">
        <f>CP47</f>
        <v>1.6E-2</v>
      </c>
      <c r="CS47" s="267">
        <f t="shared" si="50"/>
        <v>1.6E-2</v>
      </c>
      <c r="CT47" s="267">
        <f t="shared" si="51"/>
        <v>1.6E-2</v>
      </c>
      <c r="CU47" s="267">
        <f t="shared" si="52"/>
        <v>1.6E-2</v>
      </c>
      <c r="CV47" s="582"/>
      <c r="CW47" s="267">
        <f>CU47</f>
        <v>1.6E-2</v>
      </c>
      <c r="CX47" s="267">
        <f t="shared" si="53"/>
        <v>1.6E-2</v>
      </c>
      <c r="CY47" s="267">
        <f t="shared" si="54"/>
        <v>1.6E-2</v>
      </c>
      <c r="CZ47" s="267">
        <f t="shared" si="55"/>
        <v>1.6E-2</v>
      </c>
      <c r="DA47" s="582"/>
      <c r="DB47" s="267">
        <f>CZ47</f>
        <v>1.6E-2</v>
      </c>
      <c r="DC47" s="267">
        <f t="shared" si="56"/>
        <v>1.6E-2</v>
      </c>
      <c r="DD47" s="267">
        <f t="shared" si="57"/>
        <v>1.6E-2</v>
      </c>
      <c r="DE47" s="267">
        <f t="shared" si="58"/>
        <v>1.6E-2</v>
      </c>
      <c r="DF47" s="582"/>
    </row>
    <row r="48" spans="2:110" x14ac:dyDescent="0.2">
      <c r="B48" s="536" t="s">
        <v>197</v>
      </c>
      <c r="C48" s="583"/>
      <c r="D48" s="537"/>
      <c r="E48" s="537"/>
      <c r="F48" s="537"/>
      <c r="G48" s="537"/>
      <c r="H48" s="537"/>
      <c r="I48" s="537"/>
      <c r="J48" s="537"/>
      <c r="K48" s="537"/>
      <c r="L48" s="537"/>
      <c r="M48" s="537"/>
      <c r="N48" s="537"/>
      <c r="O48" s="537"/>
      <c r="P48" s="537"/>
      <c r="Q48" s="537"/>
      <c r="R48" s="537"/>
      <c r="S48" s="331"/>
      <c r="T48" s="332"/>
      <c r="U48" s="331"/>
      <c r="V48" s="331"/>
      <c r="W48" s="331"/>
      <c r="X48" s="584">
        <v>600</v>
      </c>
      <c r="Y48" s="341"/>
      <c r="Z48" s="346">
        <f>X48</f>
        <v>600</v>
      </c>
      <c r="AA48" s="346">
        <f t="shared" si="39"/>
        <v>600</v>
      </c>
      <c r="AB48" s="346">
        <f t="shared" si="39"/>
        <v>600</v>
      </c>
      <c r="AC48" s="346">
        <f t="shared" si="39"/>
        <v>600</v>
      </c>
      <c r="AD48" s="341"/>
      <c r="AE48" s="346">
        <f>AC48</f>
        <v>600</v>
      </c>
      <c r="AF48" s="346">
        <f>AE48</f>
        <v>600</v>
      </c>
      <c r="AG48" s="346">
        <f>AF48</f>
        <v>600</v>
      </c>
      <c r="AH48" s="346">
        <f>AG48</f>
        <v>600</v>
      </c>
      <c r="AI48" s="341"/>
      <c r="AJ48" s="346">
        <f>AH48</f>
        <v>600</v>
      </c>
      <c r="AK48" s="346">
        <f t="shared" si="40"/>
        <v>600</v>
      </c>
      <c r="AL48" s="346">
        <f t="shared" si="40"/>
        <v>600</v>
      </c>
      <c r="AM48" s="346">
        <f t="shared" si="40"/>
        <v>600</v>
      </c>
      <c r="AN48" s="341"/>
      <c r="AO48" s="346">
        <f>AM48</f>
        <v>600</v>
      </c>
      <c r="AP48" s="346">
        <f>AO48</f>
        <v>600</v>
      </c>
      <c r="AQ48" s="346">
        <f>AP48</f>
        <v>600</v>
      </c>
      <c r="AR48" s="346">
        <f>AQ48</f>
        <v>600</v>
      </c>
      <c r="AS48" s="341"/>
      <c r="AT48" s="346">
        <f>AR48</f>
        <v>600</v>
      </c>
      <c r="AU48" s="346">
        <f>AT48</f>
        <v>600</v>
      </c>
      <c r="AV48" s="346">
        <f>AU48</f>
        <v>600</v>
      </c>
      <c r="AW48" s="346">
        <f>AV48</f>
        <v>600</v>
      </c>
      <c r="AX48" s="341"/>
      <c r="AY48" s="346">
        <f>AW48</f>
        <v>600</v>
      </c>
      <c r="AZ48" s="346">
        <f t="shared" si="41"/>
        <v>600</v>
      </c>
      <c r="BA48" s="354">
        <v>750</v>
      </c>
      <c r="BB48" s="346">
        <f t="shared" si="41"/>
        <v>750</v>
      </c>
      <c r="BC48" s="341"/>
      <c r="BD48" s="346">
        <f>BB52</f>
        <v>750</v>
      </c>
      <c r="BE48" s="346">
        <f t="shared" si="42"/>
        <v>750</v>
      </c>
      <c r="BF48" s="346">
        <f t="shared" si="42"/>
        <v>750</v>
      </c>
      <c r="BG48" s="346">
        <f t="shared" si="42"/>
        <v>750</v>
      </c>
      <c r="BH48" s="341"/>
      <c r="BI48" s="346">
        <f>BG48</f>
        <v>750</v>
      </c>
      <c r="BJ48" s="346">
        <f t="shared" si="43"/>
        <v>750</v>
      </c>
      <c r="BK48" s="346">
        <f t="shared" si="43"/>
        <v>750</v>
      </c>
      <c r="BL48" s="346">
        <f t="shared" si="43"/>
        <v>750</v>
      </c>
      <c r="BM48" s="341"/>
      <c r="BN48" s="346">
        <f>BL48</f>
        <v>750</v>
      </c>
      <c r="BO48" s="346">
        <f t="shared" si="44"/>
        <v>750</v>
      </c>
      <c r="BP48" s="346">
        <f t="shared" si="44"/>
        <v>750</v>
      </c>
      <c r="BQ48" s="346">
        <f t="shared" si="44"/>
        <v>750</v>
      </c>
      <c r="BR48" s="341"/>
      <c r="BS48" s="346">
        <f>BQ48</f>
        <v>750</v>
      </c>
      <c r="BT48" s="346">
        <f t="shared" si="45"/>
        <v>750</v>
      </c>
      <c r="BU48" s="346">
        <f t="shared" si="45"/>
        <v>750</v>
      </c>
      <c r="BV48" s="346">
        <f t="shared" si="45"/>
        <v>750</v>
      </c>
      <c r="BW48" s="341"/>
      <c r="BX48" s="346">
        <f>BV48</f>
        <v>750</v>
      </c>
      <c r="BY48" s="346">
        <f t="shared" si="46"/>
        <v>750</v>
      </c>
      <c r="BZ48" s="346">
        <f t="shared" si="46"/>
        <v>750</v>
      </c>
      <c r="CA48" s="346">
        <f t="shared" si="46"/>
        <v>750</v>
      </c>
      <c r="CB48" s="582"/>
      <c r="CC48" s="346">
        <f>CA48</f>
        <v>750</v>
      </c>
      <c r="CD48" s="346">
        <f t="shared" si="47"/>
        <v>750</v>
      </c>
      <c r="CE48" s="346">
        <f t="shared" si="47"/>
        <v>750</v>
      </c>
      <c r="CF48" s="346">
        <f t="shared" si="47"/>
        <v>750</v>
      </c>
      <c r="CG48" s="582"/>
      <c r="CH48" s="346">
        <f>CF48</f>
        <v>750</v>
      </c>
      <c r="CI48" s="346">
        <f t="shared" si="48"/>
        <v>750</v>
      </c>
      <c r="CJ48" s="346">
        <f t="shared" si="48"/>
        <v>750</v>
      </c>
      <c r="CK48" s="346">
        <f t="shared" si="48"/>
        <v>750</v>
      </c>
      <c r="CL48" s="582"/>
      <c r="CM48" s="346">
        <f>CK48</f>
        <v>750</v>
      </c>
      <c r="CN48" s="346">
        <f t="shared" si="49"/>
        <v>750</v>
      </c>
      <c r="CO48" s="346">
        <f t="shared" si="49"/>
        <v>750</v>
      </c>
      <c r="CP48" s="346">
        <f t="shared" si="49"/>
        <v>750</v>
      </c>
      <c r="CQ48" s="582"/>
      <c r="CR48" s="346">
        <f>CP48</f>
        <v>750</v>
      </c>
      <c r="CS48" s="346">
        <f t="shared" si="50"/>
        <v>750</v>
      </c>
      <c r="CT48" s="346">
        <f t="shared" si="51"/>
        <v>750</v>
      </c>
      <c r="CU48" s="346">
        <f t="shared" si="52"/>
        <v>750</v>
      </c>
      <c r="CV48" s="582"/>
      <c r="CW48" s="346">
        <f>CU48</f>
        <v>750</v>
      </c>
      <c r="CX48" s="346">
        <f t="shared" si="53"/>
        <v>750</v>
      </c>
      <c r="CY48" s="346">
        <f t="shared" si="54"/>
        <v>750</v>
      </c>
      <c r="CZ48" s="346">
        <f t="shared" si="55"/>
        <v>750</v>
      </c>
      <c r="DA48" s="582"/>
      <c r="DB48" s="346">
        <f>CZ48</f>
        <v>750</v>
      </c>
      <c r="DC48" s="346">
        <f t="shared" si="56"/>
        <v>750</v>
      </c>
      <c r="DD48" s="346">
        <f t="shared" si="57"/>
        <v>750</v>
      </c>
      <c r="DE48" s="346">
        <f t="shared" si="58"/>
        <v>750</v>
      </c>
      <c r="DF48" s="582"/>
    </row>
    <row r="49" spans="2:110" x14ac:dyDescent="0.2">
      <c r="B49" s="544" t="s">
        <v>208</v>
      </c>
      <c r="C49" s="326"/>
      <c r="D49" s="579"/>
      <c r="E49" s="579"/>
      <c r="F49" s="579"/>
      <c r="G49" s="579"/>
      <c r="H49" s="579"/>
      <c r="I49" s="579"/>
      <c r="J49" s="579"/>
      <c r="K49" s="579"/>
      <c r="L49" s="579"/>
      <c r="M49" s="579"/>
      <c r="N49" s="579"/>
      <c r="O49" s="579"/>
      <c r="P49" s="579"/>
      <c r="Q49" s="579"/>
      <c r="R49" s="579"/>
      <c r="S49" s="346"/>
      <c r="T49" s="340"/>
      <c r="U49" s="346">
        <f>+T51</f>
        <v>0</v>
      </c>
      <c r="V49" s="346">
        <f>+U51</f>
        <v>50</v>
      </c>
      <c r="W49" s="346">
        <f>V51</f>
        <v>50</v>
      </c>
      <c r="X49" s="346">
        <f>+W51</f>
        <v>50</v>
      </c>
      <c r="Y49" s="340">
        <v>0</v>
      </c>
      <c r="Z49" s="346">
        <f>+Y51</f>
        <v>50</v>
      </c>
      <c r="AA49" s="346">
        <f>+Z51</f>
        <v>0</v>
      </c>
      <c r="AB49" s="346">
        <f>+AA51</f>
        <v>0</v>
      </c>
      <c r="AC49" s="346">
        <f>+AB51</f>
        <v>0</v>
      </c>
      <c r="AD49" s="340">
        <f>Y51</f>
        <v>50</v>
      </c>
      <c r="AE49" s="346">
        <f>+AD51</f>
        <v>0</v>
      </c>
      <c r="AF49" s="346">
        <f>+AE51</f>
        <v>0</v>
      </c>
      <c r="AG49" s="346">
        <f>+AF51</f>
        <v>0</v>
      </c>
      <c r="AH49" s="346">
        <f>+AG51</f>
        <v>0</v>
      </c>
      <c r="AI49" s="340">
        <f>AD51</f>
        <v>0</v>
      </c>
      <c r="AJ49" s="346">
        <f>+AI51</f>
        <v>50</v>
      </c>
      <c r="AK49" s="346">
        <f>+AJ51</f>
        <v>10</v>
      </c>
      <c r="AL49" s="346">
        <f>+AK51</f>
        <v>0</v>
      </c>
      <c r="AM49" s="346">
        <f>+AL51</f>
        <v>0</v>
      </c>
      <c r="AN49" s="340">
        <f>AI51</f>
        <v>50</v>
      </c>
      <c r="AO49" s="346">
        <f>+AM49</f>
        <v>0</v>
      </c>
      <c r="AP49" s="346">
        <f>+AO51</f>
        <v>0</v>
      </c>
      <c r="AQ49" s="346">
        <f>+AP51</f>
        <v>0</v>
      </c>
      <c r="AR49" s="346">
        <f>+AQ51</f>
        <v>0</v>
      </c>
      <c r="AS49" s="340">
        <f>AN51</f>
        <v>0</v>
      </c>
      <c r="AT49" s="346">
        <f>+AR49</f>
        <v>0</v>
      </c>
      <c r="AU49" s="346">
        <f>+AT51</f>
        <v>0</v>
      </c>
      <c r="AV49" s="346">
        <f>+AU51</f>
        <v>0</v>
      </c>
      <c r="AW49" s="346">
        <f>+AV51</f>
        <v>0</v>
      </c>
      <c r="AX49" s="340">
        <f>AS51</f>
        <v>0</v>
      </c>
      <c r="AY49" s="346">
        <f>+AW49</f>
        <v>0</v>
      </c>
      <c r="AZ49" s="346">
        <f>+AY51</f>
        <v>0</v>
      </c>
      <c r="BA49" s="346">
        <f>+AZ51</f>
        <v>0</v>
      </c>
      <c r="BB49" s="346">
        <f>+BA51</f>
        <v>0</v>
      </c>
      <c r="BC49" s="340">
        <f>AX51</f>
        <v>0</v>
      </c>
      <c r="BD49" s="346">
        <f>+BB49</f>
        <v>0</v>
      </c>
      <c r="BE49" s="346">
        <v>100</v>
      </c>
      <c r="BF49" s="346">
        <f>+BE51</f>
        <v>100</v>
      </c>
      <c r="BG49" s="346">
        <f>+BF51</f>
        <v>0</v>
      </c>
      <c r="BH49" s="340">
        <f>BC51</f>
        <v>0</v>
      </c>
      <c r="BI49" s="346">
        <f>+BG49</f>
        <v>0</v>
      </c>
      <c r="BJ49" s="346">
        <v>400</v>
      </c>
      <c r="BK49" s="346">
        <f>+BJ51</f>
        <v>400</v>
      </c>
      <c r="BL49" s="346">
        <f>+BK51</f>
        <v>400</v>
      </c>
      <c r="BM49" s="340">
        <f>BH51</f>
        <v>0</v>
      </c>
      <c r="BN49" s="346">
        <v>0</v>
      </c>
      <c r="BO49" s="346">
        <f>+BN51</f>
        <v>0</v>
      </c>
      <c r="BP49" s="346">
        <f>+BO51</f>
        <v>0</v>
      </c>
      <c r="BQ49" s="346">
        <f>+BP51</f>
        <v>0</v>
      </c>
      <c r="BR49" s="340">
        <f>BM51</f>
        <v>0</v>
      </c>
      <c r="BS49" s="346">
        <f>+BQ49</f>
        <v>0</v>
      </c>
      <c r="BT49" s="346">
        <f>+BS51</f>
        <v>0</v>
      </c>
      <c r="BU49" s="346">
        <f>+BT51</f>
        <v>0</v>
      </c>
      <c r="BV49" s="346">
        <f>+BU51</f>
        <v>0</v>
      </c>
      <c r="BW49" s="340">
        <f>BR51</f>
        <v>0</v>
      </c>
      <c r="BX49" s="346">
        <f>+BV49</f>
        <v>0</v>
      </c>
      <c r="BY49" s="346">
        <f>+BX51</f>
        <v>0</v>
      </c>
      <c r="BZ49" s="346">
        <f>+BY51</f>
        <v>0</v>
      </c>
      <c r="CA49" s="346">
        <f>+BZ51</f>
        <v>0</v>
      </c>
      <c r="CB49" s="563">
        <f>BW51</f>
        <v>0</v>
      </c>
      <c r="CC49" s="346">
        <f>+CA49</f>
        <v>0</v>
      </c>
      <c r="CD49" s="346">
        <f>+CC51</f>
        <v>0</v>
      </c>
      <c r="CE49" s="346">
        <f>+CD51</f>
        <v>0</v>
      </c>
      <c r="CF49" s="346">
        <f>+CE51</f>
        <v>0</v>
      </c>
      <c r="CG49" s="563">
        <f>CB51</f>
        <v>0</v>
      </c>
      <c r="CH49" s="346">
        <f>+CF49</f>
        <v>0</v>
      </c>
      <c r="CI49" s="346">
        <f>+CH51</f>
        <v>0</v>
      </c>
      <c r="CJ49" s="346">
        <f>+CI51</f>
        <v>0</v>
      </c>
      <c r="CK49" s="346">
        <f>+CJ51</f>
        <v>0</v>
      </c>
      <c r="CL49" s="563">
        <f>CG51</f>
        <v>0</v>
      </c>
      <c r="CM49" s="346">
        <f>+CK49</f>
        <v>0</v>
      </c>
      <c r="CN49" s="346">
        <f>+CM51</f>
        <v>0</v>
      </c>
      <c r="CO49" s="346">
        <f>+CN51</f>
        <v>0</v>
      </c>
      <c r="CP49" s="346">
        <f>+CO51</f>
        <v>0</v>
      </c>
      <c r="CQ49" s="563">
        <f>CL51</f>
        <v>0</v>
      </c>
      <c r="CR49" s="346">
        <f>+CP49</f>
        <v>0</v>
      </c>
      <c r="CS49" s="346">
        <f>+CR51</f>
        <v>0</v>
      </c>
      <c r="CT49" s="346">
        <f>+CS51</f>
        <v>0</v>
      </c>
      <c r="CU49" s="346">
        <f>+CT51</f>
        <v>0</v>
      </c>
      <c r="CV49" s="563">
        <f>CQ51</f>
        <v>0</v>
      </c>
      <c r="CW49" s="346">
        <f>+CU49</f>
        <v>0</v>
      </c>
      <c r="CX49" s="346">
        <f>+CW51</f>
        <v>0</v>
      </c>
      <c r="CY49" s="346">
        <f>+CX51</f>
        <v>0</v>
      </c>
      <c r="CZ49" s="346">
        <f>+CY51</f>
        <v>0</v>
      </c>
      <c r="DA49" s="563">
        <f>CV51</f>
        <v>0</v>
      </c>
      <c r="DB49" s="346">
        <f>+CZ49</f>
        <v>0</v>
      </c>
      <c r="DC49" s="346">
        <f>+DB51</f>
        <v>0</v>
      </c>
      <c r="DD49" s="346">
        <f>+DC51</f>
        <v>0</v>
      </c>
      <c r="DE49" s="346">
        <f>+DD51</f>
        <v>0</v>
      </c>
      <c r="DF49" s="563">
        <f>DA51</f>
        <v>0</v>
      </c>
    </row>
    <row r="50" spans="2:110" x14ac:dyDescent="0.2">
      <c r="B50" s="544" t="s">
        <v>199</v>
      </c>
      <c r="C50" s="145"/>
      <c r="D50" s="145"/>
      <c r="E50" s="145"/>
      <c r="F50" s="145"/>
      <c r="G50" s="145"/>
      <c r="H50" s="145"/>
      <c r="I50" s="145"/>
      <c r="J50" s="145"/>
      <c r="K50" s="145"/>
      <c r="L50" s="145"/>
      <c r="M50" s="145"/>
      <c r="N50" s="145"/>
      <c r="O50" s="145"/>
      <c r="P50" s="145"/>
      <c r="Q50" s="145"/>
      <c r="R50" s="145"/>
      <c r="S50" s="347"/>
      <c r="T50" s="343"/>
      <c r="U50" s="347">
        <v>50</v>
      </c>
      <c r="V50" s="347"/>
      <c r="W50" s="347"/>
      <c r="X50" s="347"/>
      <c r="Y50" s="343">
        <f>SUM(U50:X50)</f>
        <v>50</v>
      </c>
      <c r="Z50" s="348">
        <f>-50</f>
        <v>-50</v>
      </c>
      <c r="AA50" s="349"/>
      <c r="AB50" s="349"/>
      <c r="AC50" s="348">
        <v>0</v>
      </c>
      <c r="AD50" s="350">
        <f>SUM(Z50:AC50)</f>
        <v>-50</v>
      </c>
      <c r="AE50" s="348">
        <v>0</v>
      </c>
      <c r="AF50" s="348">
        <v>0</v>
      </c>
      <c r="AG50" s="348">
        <v>0</v>
      </c>
      <c r="AH50" s="348">
        <v>50</v>
      </c>
      <c r="AI50" s="343">
        <f>+SUM(AE50:AH50)</f>
        <v>50</v>
      </c>
      <c r="AJ50" s="351">
        <v>-40</v>
      </c>
      <c r="AK50" s="351">
        <v>-10</v>
      </c>
      <c r="AL50" s="351"/>
      <c r="AM50" s="351"/>
      <c r="AN50" s="343">
        <f>+SUM(AJ50:AM50)</f>
        <v>-50</v>
      </c>
      <c r="AO50" s="353">
        <v>0</v>
      </c>
      <c r="AP50" s="352">
        <v>0</v>
      </c>
      <c r="AQ50" s="351"/>
      <c r="AR50" s="352">
        <v>0</v>
      </c>
      <c r="AS50" s="343">
        <f>+SUM(AO50:AR50)</f>
        <v>0</v>
      </c>
      <c r="AT50" s="351"/>
      <c r="AU50" s="351"/>
      <c r="AV50" s="352"/>
      <c r="AW50" s="352"/>
      <c r="AX50" s="343">
        <f>+SUM(AT50:AW50)</f>
        <v>0</v>
      </c>
      <c r="AY50" s="351">
        <f>+AT50</f>
        <v>0</v>
      </c>
      <c r="AZ50" s="353">
        <f>+AU50</f>
        <v>0</v>
      </c>
      <c r="BA50" s="353">
        <f>+AV50</f>
        <v>0</v>
      </c>
      <c r="BB50" s="685">
        <v>0</v>
      </c>
      <c r="BC50" s="343">
        <f>+SUM(AY50:BB50)</f>
        <v>0</v>
      </c>
      <c r="BD50" s="353">
        <v>0</v>
      </c>
      <c r="BE50" s="353">
        <v>0</v>
      </c>
      <c r="BF50" s="353">
        <v>-100</v>
      </c>
      <c r="BG50" s="353">
        <v>0</v>
      </c>
      <c r="BH50" s="343">
        <f>+SUM(BD50:BG50)</f>
        <v>-100</v>
      </c>
      <c r="BI50" s="353"/>
      <c r="BJ50" s="353"/>
      <c r="BK50" s="353"/>
      <c r="BL50" s="353"/>
      <c r="BM50" s="343">
        <f>+SUM(BI50:BL50)</f>
        <v>0</v>
      </c>
      <c r="BN50" s="353">
        <v>0</v>
      </c>
      <c r="BO50" s="353"/>
      <c r="BP50" s="353"/>
      <c r="BQ50" s="353"/>
      <c r="BR50" s="343">
        <f>+SUM(BN50:BQ50)</f>
        <v>0</v>
      </c>
      <c r="BS50" s="353"/>
      <c r="BT50" s="353"/>
      <c r="BU50" s="353"/>
      <c r="BV50" s="353"/>
      <c r="BW50" s="343">
        <f>+SUM(BS50:BV50)</f>
        <v>0</v>
      </c>
      <c r="BX50" s="353"/>
      <c r="BY50" s="353"/>
      <c r="BZ50" s="353"/>
      <c r="CA50" s="353"/>
      <c r="CB50" s="585">
        <f>+SUM(BX50:CA50)</f>
        <v>0</v>
      </c>
      <c r="CC50" s="353"/>
      <c r="CD50" s="353"/>
      <c r="CE50" s="353"/>
      <c r="CF50" s="353"/>
      <c r="CG50" s="585">
        <f>+SUM(CC50:CF50)</f>
        <v>0</v>
      </c>
      <c r="CH50" s="353"/>
      <c r="CI50" s="353"/>
      <c r="CJ50" s="353"/>
      <c r="CK50" s="353"/>
      <c r="CL50" s="585">
        <f>+SUM(CH50:CK50)</f>
        <v>0</v>
      </c>
      <c r="CM50" s="353"/>
      <c r="CN50" s="353"/>
      <c r="CO50" s="353"/>
      <c r="CP50" s="353"/>
      <c r="CQ50" s="585">
        <f>+SUM(CM50:CP50)</f>
        <v>0</v>
      </c>
      <c r="CR50" s="353"/>
      <c r="CS50" s="353"/>
      <c r="CT50" s="353"/>
      <c r="CU50" s="353"/>
      <c r="CV50" s="585">
        <f>+SUM(CR50:CU50)</f>
        <v>0</v>
      </c>
      <c r="CW50" s="353"/>
      <c r="CX50" s="353"/>
      <c r="CY50" s="353"/>
      <c r="CZ50" s="353"/>
      <c r="DA50" s="585">
        <f>+SUM(CW50:CZ50)</f>
        <v>0</v>
      </c>
      <c r="DB50" s="353"/>
      <c r="DC50" s="353"/>
      <c r="DD50" s="353"/>
      <c r="DE50" s="353"/>
      <c r="DF50" s="585">
        <f>+SUM(DB50:DE50)</f>
        <v>0</v>
      </c>
    </row>
    <row r="51" spans="2:110" x14ac:dyDescent="0.2">
      <c r="B51" s="544" t="s">
        <v>200</v>
      </c>
      <c r="C51" s="145"/>
      <c r="D51" s="145"/>
      <c r="E51" s="145"/>
      <c r="F51" s="145"/>
      <c r="G51" s="145"/>
      <c r="H51" s="145"/>
      <c r="I51" s="145"/>
      <c r="J51" s="145"/>
      <c r="K51" s="145"/>
      <c r="L51" s="145"/>
      <c r="M51" s="145"/>
      <c r="N51" s="145"/>
      <c r="O51" s="145"/>
      <c r="P51" s="145"/>
      <c r="Q51" s="145"/>
      <c r="R51" s="145"/>
      <c r="S51" s="346">
        <v>0</v>
      </c>
      <c r="T51" s="346">
        <f>+S51</f>
        <v>0</v>
      </c>
      <c r="U51" s="346">
        <f t="shared" ref="U51:BM51" si="59">U49+U50</f>
        <v>50</v>
      </c>
      <c r="V51" s="346">
        <f t="shared" si="59"/>
        <v>50</v>
      </c>
      <c r="W51" s="346">
        <f t="shared" si="59"/>
        <v>50</v>
      </c>
      <c r="X51" s="346">
        <f t="shared" si="59"/>
        <v>50</v>
      </c>
      <c r="Y51" s="340">
        <f t="shared" si="59"/>
        <v>50</v>
      </c>
      <c r="Z51" s="346">
        <f t="shared" si="59"/>
        <v>0</v>
      </c>
      <c r="AA51" s="346">
        <f t="shared" si="59"/>
        <v>0</v>
      </c>
      <c r="AB51" s="346">
        <f t="shared" si="59"/>
        <v>0</v>
      </c>
      <c r="AC51" s="346">
        <f t="shared" si="59"/>
        <v>0</v>
      </c>
      <c r="AD51" s="340">
        <f t="shared" si="59"/>
        <v>0</v>
      </c>
      <c r="AE51" s="346">
        <f t="shared" si="59"/>
        <v>0</v>
      </c>
      <c r="AF51" s="346">
        <f t="shared" si="59"/>
        <v>0</v>
      </c>
      <c r="AG51" s="346">
        <f t="shared" si="59"/>
        <v>0</v>
      </c>
      <c r="AH51" s="346">
        <f t="shared" si="59"/>
        <v>50</v>
      </c>
      <c r="AI51" s="340">
        <f t="shared" si="59"/>
        <v>50</v>
      </c>
      <c r="AJ51" s="346">
        <f t="shared" si="59"/>
        <v>10</v>
      </c>
      <c r="AK51" s="346">
        <f t="shared" si="59"/>
        <v>0</v>
      </c>
      <c r="AL51" s="346">
        <f t="shared" si="59"/>
        <v>0</v>
      </c>
      <c r="AM51" s="346">
        <f t="shared" si="59"/>
        <v>0</v>
      </c>
      <c r="AN51" s="340">
        <f t="shared" si="59"/>
        <v>0</v>
      </c>
      <c r="AO51" s="346">
        <f t="shared" si="59"/>
        <v>0</v>
      </c>
      <c r="AP51" s="346">
        <f t="shared" si="59"/>
        <v>0</v>
      </c>
      <c r="AQ51" s="346">
        <f t="shared" si="59"/>
        <v>0</v>
      </c>
      <c r="AR51" s="346">
        <f t="shared" si="59"/>
        <v>0</v>
      </c>
      <c r="AS51" s="340">
        <f t="shared" si="59"/>
        <v>0</v>
      </c>
      <c r="AT51" s="346">
        <f t="shared" si="59"/>
        <v>0</v>
      </c>
      <c r="AU51" s="346">
        <f t="shared" si="59"/>
        <v>0</v>
      </c>
      <c r="AV51" s="346">
        <f t="shared" si="59"/>
        <v>0</v>
      </c>
      <c r="AW51" s="346">
        <f t="shared" si="59"/>
        <v>0</v>
      </c>
      <c r="AX51" s="340">
        <f t="shared" si="59"/>
        <v>0</v>
      </c>
      <c r="AY51" s="346">
        <f t="shared" si="59"/>
        <v>0</v>
      </c>
      <c r="AZ51" s="346">
        <f t="shared" si="59"/>
        <v>0</v>
      </c>
      <c r="BA51" s="346">
        <f t="shared" si="59"/>
        <v>0</v>
      </c>
      <c r="BB51" s="346">
        <f t="shared" si="59"/>
        <v>0</v>
      </c>
      <c r="BC51" s="340">
        <f t="shared" si="59"/>
        <v>0</v>
      </c>
      <c r="BD51" s="346">
        <f t="shared" si="59"/>
        <v>0</v>
      </c>
      <c r="BE51" s="346">
        <f t="shared" si="59"/>
        <v>100</v>
      </c>
      <c r="BF51" s="346">
        <f t="shared" si="59"/>
        <v>0</v>
      </c>
      <c r="BG51" s="346">
        <f t="shared" si="59"/>
        <v>0</v>
      </c>
      <c r="BH51" s="340"/>
      <c r="BI51" s="346">
        <f t="shared" si="59"/>
        <v>0</v>
      </c>
      <c r="BJ51" s="346">
        <f t="shared" si="59"/>
        <v>400</v>
      </c>
      <c r="BK51" s="346">
        <f t="shared" si="59"/>
        <v>400</v>
      </c>
      <c r="BL51" s="346">
        <f t="shared" si="59"/>
        <v>400</v>
      </c>
      <c r="BM51" s="340">
        <f t="shared" si="59"/>
        <v>0</v>
      </c>
      <c r="BN51" s="346">
        <f t="shared" ref="BN51:BW51" si="60">BN49+BN50</f>
        <v>0</v>
      </c>
      <c r="BO51" s="346">
        <f t="shared" si="60"/>
        <v>0</v>
      </c>
      <c r="BP51" s="346">
        <f t="shared" si="60"/>
        <v>0</v>
      </c>
      <c r="BQ51" s="346">
        <f t="shared" si="60"/>
        <v>0</v>
      </c>
      <c r="BR51" s="340">
        <f t="shared" si="60"/>
        <v>0</v>
      </c>
      <c r="BS51" s="346">
        <f t="shared" si="60"/>
        <v>0</v>
      </c>
      <c r="BT51" s="346">
        <f t="shared" si="60"/>
        <v>0</v>
      </c>
      <c r="BU51" s="346">
        <f t="shared" si="60"/>
        <v>0</v>
      </c>
      <c r="BV51" s="346">
        <f t="shared" si="60"/>
        <v>0</v>
      </c>
      <c r="BW51" s="340">
        <f t="shared" si="60"/>
        <v>0</v>
      </c>
      <c r="BX51" s="346">
        <f t="shared" ref="BX51:CG51" si="61">BX49+BX50</f>
        <v>0</v>
      </c>
      <c r="BY51" s="346">
        <f t="shared" si="61"/>
        <v>0</v>
      </c>
      <c r="BZ51" s="346">
        <f t="shared" si="61"/>
        <v>0</v>
      </c>
      <c r="CA51" s="346">
        <f t="shared" si="61"/>
        <v>0</v>
      </c>
      <c r="CB51" s="563">
        <f t="shared" si="61"/>
        <v>0</v>
      </c>
      <c r="CC51" s="346">
        <f t="shared" si="61"/>
        <v>0</v>
      </c>
      <c r="CD51" s="346">
        <f t="shared" si="61"/>
        <v>0</v>
      </c>
      <c r="CE51" s="346">
        <f t="shared" si="61"/>
        <v>0</v>
      </c>
      <c r="CF51" s="346">
        <f t="shared" si="61"/>
        <v>0</v>
      </c>
      <c r="CG51" s="563">
        <f t="shared" si="61"/>
        <v>0</v>
      </c>
      <c r="CH51" s="346">
        <f t="shared" ref="CH51:CQ51" si="62">CH49+CH50</f>
        <v>0</v>
      </c>
      <c r="CI51" s="346">
        <f t="shared" si="62"/>
        <v>0</v>
      </c>
      <c r="CJ51" s="346">
        <f t="shared" si="62"/>
        <v>0</v>
      </c>
      <c r="CK51" s="346">
        <f t="shared" si="62"/>
        <v>0</v>
      </c>
      <c r="CL51" s="563">
        <f t="shared" si="62"/>
        <v>0</v>
      </c>
      <c r="CM51" s="346">
        <f t="shared" si="62"/>
        <v>0</v>
      </c>
      <c r="CN51" s="346">
        <f t="shared" si="62"/>
        <v>0</v>
      </c>
      <c r="CO51" s="346">
        <f t="shared" si="62"/>
        <v>0</v>
      </c>
      <c r="CP51" s="346">
        <f t="shared" si="62"/>
        <v>0</v>
      </c>
      <c r="CQ51" s="563">
        <f t="shared" si="62"/>
        <v>0</v>
      </c>
      <c r="CR51" s="346">
        <f t="shared" ref="CR51:CV51" si="63">CR49+CR50</f>
        <v>0</v>
      </c>
      <c r="CS51" s="346">
        <f t="shared" si="63"/>
        <v>0</v>
      </c>
      <c r="CT51" s="346">
        <f t="shared" si="63"/>
        <v>0</v>
      </c>
      <c r="CU51" s="346">
        <f t="shared" si="63"/>
        <v>0</v>
      </c>
      <c r="CV51" s="563">
        <f t="shared" si="63"/>
        <v>0</v>
      </c>
      <c r="CW51" s="346">
        <f t="shared" ref="CW51:DF51" si="64">CW49+CW50</f>
        <v>0</v>
      </c>
      <c r="CX51" s="346">
        <f t="shared" si="64"/>
        <v>0</v>
      </c>
      <c r="CY51" s="346">
        <f t="shared" si="64"/>
        <v>0</v>
      </c>
      <c r="CZ51" s="346">
        <f t="shared" si="64"/>
        <v>0</v>
      </c>
      <c r="DA51" s="563">
        <f t="shared" si="64"/>
        <v>0</v>
      </c>
      <c r="DB51" s="346">
        <f t="shared" si="64"/>
        <v>0</v>
      </c>
      <c r="DC51" s="346">
        <f t="shared" si="64"/>
        <v>0</v>
      </c>
      <c r="DD51" s="346">
        <f t="shared" si="64"/>
        <v>0</v>
      </c>
      <c r="DE51" s="346">
        <f t="shared" si="64"/>
        <v>0</v>
      </c>
      <c r="DF51" s="563">
        <f t="shared" si="64"/>
        <v>0</v>
      </c>
    </row>
    <row r="52" spans="2:110" x14ac:dyDescent="0.2">
      <c r="B52" s="536" t="s">
        <v>201</v>
      </c>
      <c r="C52" s="478"/>
      <c r="D52" s="145"/>
      <c r="E52" s="145"/>
      <c r="F52" s="145"/>
      <c r="G52" s="145"/>
      <c r="H52" s="145"/>
      <c r="I52" s="145"/>
      <c r="J52" s="145"/>
      <c r="K52" s="145"/>
      <c r="L52" s="145"/>
      <c r="M52" s="145"/>
      <c r="N52" s="145"/>
      <c r="O52" s="145"/>
      <c r="P52" s="145"/>
      <c r="Q52" s="145"/>
      <c r="R52" s="145"/>
      <c r="S52" s="586"/>
      <c r="T52" s="586"/>
      <c r="U52" s="586"/>
      <c r="V52" s="586"/>
      <c r="W52" s="586"/>
      <c r="X52" s="586">
        <f>X48-X51</f>
        <v>550</v>
      </c>
      <c r="Y52" s="334"/>
      <c r="Z52" s="586">
        <f>Z48-Z51</f>
        <v>600</v>
      </c>
      <c r="AA52" s="586">
        <f>AA48-AA51</f>
        <v>600</v>
      </c>
      <c r="AB52" s="586">
        <f>AB48-AB51</f>
        <v>600</v>
      </c>
      <c r="AC52" s="586">
        <f>AC48-AC51</f>
        <v>600</v>
      </c>
      <c r="AD52" s="334"/>
      <c r="AE52" s="586">
        <f>AE48-AE51</f>
        <v>600</v>
      </c>
      <c r="AF52" s="586">
        <f>AF48-AF51</f>
        <v>600</v>
      </c>
      <c r="AG52" s="586">
        <f>AG48-AG51</f>
        <v>600</v>
      </c>
      <c r="AH52" s="586">
        <f>AH48-AH51</f>
        <v>550</v>
      </c>
      <c r="AI52" s="334"/>
      <c r="AJ52" s="586">
        <f>AJ48-AJ51</f>
        <v>590</v>
      </c>
      <c r="AK52" s="586">
        <f>AK48-AK51</f>
        <v>600</v>
      </c>
      <c r="AL52" s="586">
        <f>AL48-AL51</f>
        <v>600</v>
      </c>
      <c r="AM52" s="586">
        <f>AM48-AM51</f>
        <v>600</v>
      </c>
      <c r="AN52" s="334"/>
      <c r="AO52" s="586">
        <f>AO48-AO51</f>
        <v>600</v>
      </c>
      <c r="AP52" s="586">
        <f>AP48-AP51</f>
        <v>600</v>
      </c>
      <c r="AQ52" s="586">
        <f>AQ48-AQ51</f>
        <v>600</v>
      </c>
      <c r="AR52" s="586">
        <f>AR48-AR51</f>
        <v>600</v>
      </c>
      <c r="AS52" s="334"/>
      <c r="AT52" s="586">
        <f>AT48-AT51</f>
        <v>600</v>
      </c>
      <c r="AU52" s="586">
        <f>AU48-AU51</f>
        <v>600</v>
      </c>
      <c r="AV52" s="586">
        <f>AV48-AV51</f>
        <v>600</v>
      </c>
      <c r="AW52" s="586">
        <f>AW48-AW51</f>
        <v>600</v>
      </c>
      <c r="AX52" s="334"/>
      <c r="AY52" s="586">
        <f>AY48-AY51</f>
        <v>600</v>
      </c>
      <c r="AZ52" s="586">
        <f>AZ48-AZ51</f>
        <v>600</v>
      </c>
      <c r="BA52" s="586">
        <f>BA48-BA51</f>
        <v>750</v>
      </c>
      <c r="BB52" s="586">
        <f>BB48-BB51</f>
        <v>750</v>
      </c>
      <c r="BC52" s="334"/>
      <c r="BD52" s="586">
        <f>BD48-BD51</f>
        <v>750</v>
      </c>
      <c r="BE52" s="586">
        <f>BE48-BE51</f>
        <v>650</v>
      </c>
      <c r="BF52" s="586">
        <f>BF48-BF51</f>
        <v>750</v>
      </c>
      <c r="BG52" s="586">
        <f>BG48-BG51</f>
        <v>750</v>
      </c>
      <c r="BH52" s="334"/>
      <c r="BI52" s="586">
        <f>BI48-BI51</f>
        <v>750</v>
      </c>
      <c r="BJ52" s="586">
        <f>BJ48-BJ51</f>
        <v>350</v>
      </c>
      <c r="BK52" s="586">
        <f>BK48-BK51</f>
        <v>350</v>
      </c>
      <c r="BL52" s="586">
        <f>BL48-BL51</f>
        <v>350</v>
      </c>
      <c r="BM52" s="334"/>
      <c r="BN52" s="586">
        <f>BN48-BN51</f>
        <v>750</v>
      </c>
      <c r="BO52" s="586">
        <f>BO48-BO51</f>
        <v>750</v>
      </c>
      <c r="BP52" s="586">
        <f>BP48-BP51</f>
        <v>750</v>
      </c>
      <c r="BQ52" s="586">
        <f>BQ48-BQ51</f>
        <v>750</v>
      </c>
      <c r="BR52" s="334"/>
      <c r="BS52" s="586">
        <f>BS48-BS51</f>
        <v>750</v>
      </c>
      <c r="BT52" s="586">
        <f>BT48-BT51</f>
        <v>750</v>
      </c>
      <c r="BU52" s="586">
        <f>BU48-BU51</f>
        <v>750</v>
      </c>
      <c r="BV52" s="586">
        <f>BV48-BV51</f>
        <v>750</v>
      </c>
      <c r="BW52" s="334"/>
      <c r="BX52" s="586">
        <f>BX48-BX51</f>
        <v>750</v>
      </c>
      <c r="BY52" s="586">
        <f>BY48-BY51</f>
        <v>750</v>
      </c>
      <c r="BZ52" s="586">
        <f>BZ48-BZ51</f>
        <v>750</v>
      </c>
      <c r="CA52" s="586">
        <f>CA48-CA51</f>
        <v>750</v>
      </c>
      <c r="CB52" s="587"/>
      <c r="CC52" s="586">
        <f>CC48-CC51</f>
        <v>750</v>
      </c>
      <c r="CD52" s="586">
        <f>CD48-CD51</f>
        <v>750</v>
      </c>
      <c r="CE52" s="586">
        <f>CE48-CE51</f>
        <v>750</v>
      </c>
      <c r="CF52" s="586">
        <f>CF48-CF51</f>
        <v>750</v>
      </c>
      <c r="CG52" s="587"/>
      <c r="CH52" s="586">
        <f>CH48-CH51</f>
        <v>750</v>
      </c>
      <c r="CI52" s="586">
        <f>CI48-CI51</f>
        <v>750</v>
      </c>
      <c r="CJ52" s="586">
        <f>CJ48-CJ51</f>
        <v>750</v>
      </c>
      <c r="CK52" s="586">
        <f>CK48-CK51</f>
        <v>750</v>
      </c>
      <c r="CL52" s="587"/>
      <c r="CM52" s="586">
        <f>CM48-CM51</f>
        <v>750</v>
      </c>
      <c r="CN52" s="586">
        <f>CN48-CN51</f>
        <v>750</v>
      </c>
      <c r="CO52" s="586">
        <f>CO48-CO51</f>
        <v>750</v>
      </c>
      <c r="CP52" s="586">
        <f>CP48-CP51</f>
        <v>750</v>
      </c>
      <c r="CQ52" s="587"/>
      <c r="CR52" s="586">
        <f>CR48-CR51</f>
        <v>750</v>
      </c>
      <c r="CS52" s="586">
        <f>CS48-CS51</f>
        <v>750</v>
      </c>
      <c r="CT52" s="586">
        <f>CT48-CT51</f>
        <v>750</v>
      </c>
      <c r="CU52" s="586">
        <f>CU48-CU51</f>
        <v>750</v>
      </c>
      <c r="CV52" s="587"/>
      <c r="CW52" s="586">
        <f>CW48-CW51</f>
        <v>750</v>
      </c>
      <c r="CX52" s="586">
        <f>CX48-CX51</f>
        <v>750</v>
      </c>
      <c r="CY52" s="586">
        <f>CY48-CY51</f>
        <v>750</v>
      </c>
      <c r="CZ52" s="586">
        <f>CZ48-CZ51</f>
        <v>750</v>
      </c>
      <c r="DA52" s="587"/>
      <c r="DB52" s="586">
        <f>DB48-DB51</f>
        <v>750</v>
      </c>
      <c r="DC52" s="586">
        <f>DC48-DC51</f>
        <v>750</v>
      </c>
      <c r="DD52" s="586">
        <f>DD48-DD51</f>
        <v>750</v>
      </c>
      <c r="DE52" s="586">
        <f>DE48-DE51</f>
        <v>750</v>
      </c>
      <c r="DF52" s="587"/>
    </row>
    <row r="53" spans="2:110" x14ac:dyDescent="0.2">
      <c r="B53" s="544" t="s">
        <v>206</v>
      </c>
      <c r="C53" s="145"/>
      <c r="D53" s="145"/>
      <c r="E53" s="145"/>
      <c r="F53" s="145"/>
      <c r="G53" s="145"/>
      <c r="H53" s="145"/>
      <c r="I53" s="145"/>
      <c r="J53" s="145"/>
      <c r="K53" s="145"/>
      <c r="L53" s="145"/>
      <c r="M53" s="145"/>
      <c r="N53" s="145"/>
      <c r="O53" s="145"/>
      <c r="P53" s="145"/>
      <c r="Q53" s="145"/>
      <c r="R53" s="145"/>
      <c r="S53" s="346"/>
      <c r="T53" s="340"/>
      <c r="U53" s="346">
        <f>-(AVERAGE(U51,U49))*($X47/4)</f>
        <v>-0.22937500000000002</v>
      </c>
      <c r="V53" s="346">
        <f>-(AVERAGE(V51,V49))*($X47/4)</f>
        <v>-0.45875000000000005</v>
      </c>
      <c r="W53" s="346">
        <f>-(AVERAGE(W51,W49))*($X47/4)</f>
        <v>-0.45875000000000005</v>
      </c>
      <c r="X53" s="346">
        <f>-(AVERAGE(X51,X49))*($X47/4)</f>
        <v>-0.45875000000000005</v>
      </c>
      <c r="Y53" s="340">
        <f>SUM(U53:X53)</f>
        <v>-1.6056250000000001</v>
      </c>
      <c r="Z53" s="346">
        <f>-(AVERAGE(Z51,Z49))*($X47/4)</f>
        <v>-0.22937500000000002</v>
      </c>
      <c r="AA53" s="346">
        <f>-(AVERAGE(AA51,AA49))*($X47/4)</f>
        <v>0</v>
      </c>
      <c r="AB53" s="346">
        <f>-(AVERAGE(AB51,AB49))*($X47/4)</f>
        <v>0</v>
      </c>
      <c r="AC53" s="346">
        <f>-(AVERAGE(AC51,AC49))*($X47/4)</f>
        <v>0</v>
      </c>
      <c r="AD53" s="340">
        <f>SUM(Z53:AC53)</f>
        <v>-0.22937500000000002</v>
      </c>
      <c r="AE53" s="346">
        <f>-(AVERAGE(AE51,AE49))*($X47/4)</f>
        <v>0</v>
      </c>
      <c r="AF53" s="346">
        <f>-(AVERAGE(AF51,AF49))*($X47/4)</f>
        <v>0</v>
      </c>
      <c r="AG53" s="346">
        <f>-(AVERAGE(AG51,AG49))*($X47/4)</f>
        <v>0</v>
      </c>
      <c r="AH53" s="346">
        <f>-(AVERAGE(AH51,AH49))*($AH47/4)</f>
        <v>-0.375</v>
      </c>
      <c r="AI53" s="340">
        <f>SUM(AE53:AH53)</f>
        <v>-0.375</v>
      </c>
      <c r="AJ53" s="346">
        <f>-(AVERAGE(AJ51,AJ49))*($AH47/4)</f>
        <v>-0.44999999999999996</v>
      </c>
      <c r="AK53" s="346">
        <f>-(AVERAGE(AK51,AK49))*($AH47/4)</f>
        <v>-7.4999999999999997E-2</v>
      </c>
      <c r="AL53" s="346">
        <f>-(AVERAGE(AL51,AL49))*($AH47/4)</f>
        <v>0</v>
      </c>
      <c r="AM53" s="346">
        <f>-(AVERAGE(AM51,AM49))*($AH47/4)</f>
        <v>0</v>
      </c>
      <c r="AN53" s="340">
        <f>SUM(AJ53:AM53)</f>
        <v>-0.52499999999999991</v>
      </c>
      <c r="AO53" s="346">
        <f>-(AVERAGE(AO51,AO49))*($AH47/4)</f>
        <v>0</v>
      </c>
      <c r="AP53" s="346">
        <f>-(AVERAGE(AP51,AP49))*($AH47/4)</f>
        <v>0</v>
      </c>
      <c r="AQ53" s="346">
        <f>-(AVERAGE(AQ51,AQ49))*($AH47/4)</f>
        <v>0</v>
      </c>
      <c r="AR53" s="346">
        <f>-(AVERAGE(AR51,AR49))*($AH47/4)</f>
        <v>0</v>
      </c>
      <c r="AS53" s="340">
        <f>SUM(AO53:AR53)</f>
        <v>0</v>
      </c>
      <c r="AT53" s="346">
        <f>-(AVERAGE(AT51,AT49))*($AH47/4)</f>
        <v>0</v>
      </c>
      <c r="AU53" s="346">
        <f>-(AVERAGE(AU51,AU49))*($AH47/4)</f>
        <v>0</v>
      </c>
      <c r="AV53" s="346">
        <f>-(AVERAGE(AV51,AV49))*($AH47/4)</f>
        <v>0</v>
      </c>
      <c r="AW53" s="346">
        <f>-(AVERAGE(AW51,AW49))*($AH47/4)</f>
        <v>0</v>
      </c>
      <c r="AX53" s="340">
        <f>SUM(AT53:AW53)</f>
        <v>0</v>
      </c>
      <c r="AY53" s="346">
        <f>-(AVERAGE(AY51,AY49))*($AH47/4)</f>
        <v>0</v>
      </c>
      <c r="AZ53" s="346">
        <f>-(AVERAGE(AZ51,AZ49))*($AH47/4)</f>
        <v>0</v>
      </c>
      <c r="BA53" s="346">
        <f>-(AVERAGE(BA51,BA49))*($AH47/4)</f>
        <v>0</v>
      </c>
      <c r="BB53" s="346">
        <f>-(AVERAGE(BB51,BB49))*($AH47/4)</f>
        <v>0</v>
      </c>
      <c r="BC53" s="340">
        <f>SUM(AY53:BB53)</f>
        <v>0</v>
      </c>
      <c r="BD53" s="346">
        <f>-(AVERAGE(BD51,BD49))*($AH47/4)</f>
        <v>0</v>
      </c>
      <c r="BE53" s="346">
        <f>-(AVERAGE(BE51,BE49))*($BE47/4)</f>
        <v>-1.375</v>
      </c>
      <c r="BF53" s="346">
        <f>-(AVERAGE(BF51,BF49))*($BE47/4)</f>
        <v>-0.6875</v>
      </c>
      <c r="BG53" s="346">
        <f>-(AVERAGE(BG51,BG49))*($BE47/4)</f>
        <v>0</v>
      </c>
      <c r="BH53" s="340">
        <f>SUM(BD53:BG53)</f>
        <v>-2.0625</v>
      </c>
      <c r="BI53" s="346">
        <f>-(AVERAGE(BI51,BI49))*($BE47/4)</f>
        <v>0</v>
      </c>
      <c r="BJ53" s="346">
        <f>-(AVERAGE(BJ51,BJ49))*($BJ47/4)</f>
        <v>-1.6</v>
      </c>
      <c r="BK53" s="346">
        <f t="shared" ref="BK53:CA53" si="65">-(AVERAGE(BK51,BK49))*($BJ47/4)</f>
        <v>-1.6</v>
      </c>
      <c r="BL53" s="346">
        <f t="shared" si="65"/>
        <v>-1.6</v>
      </c>
      <c r="BM53" s="340">
        <f>SUM(BI53:BL53)</f>
        <v>-4.8000000000000007</v>
      </c>
      <c r="BN53" s="346">
        <f t="shared" si="65"/>
        <v>0</v>
      </c>
      <c r="BO53" s="346">
        <f t="shared" si="65"/>
        <v>0</v>
      </c>
      <c r="BP53" s="346">
        <f t="shared" si="65"/>
        <v>0</v>
      </c>
      <c r="BQ53" s="346">
        <f t="shared" si="65"/>
        <v>0</v>
      </c>
      <c r="BR53" s="340">
        <f>SUM(BN53:BQ53)</f>
        <v>0</v>
      </c>
      <c r="BS53" s="346">
        <f t="shared" si="65"/>
        <v>0</v>
      </c>
      <c r="BT53" s="346">
        <f t="shared" si="65"/>
        <v>0</v>
      </c>
      <c r="BU53" s="346">
        <f t="shared" si="65"/>
        <v>0</v>
      </c>
      <c r="BV53" s="346">
        <f t="shared" si="65"/>
        <v>0</v>
      </c>
      <c r="BW53" s="340">
        <f>SUM(BS53:BV53)</f>
        <v>0</v>
      </c>
      <c r="BX53" s="346">
        <f t="shared" si="65"/>
        <v>0</v>
      </c>
      <c r="BY53" s="346">
        <f t="shared" si="65"/>
        <v>0</v>
      </c>
      <c r="BZ53" s="346">
        <f t="shared" si="65"/>
        <v>0</v>
      </c>
      <c r="CA53" s="346">
        <f t="shared" si="65"/>
        <v>0</v>
      </c>
      <c r="CB53" s="563">
        <f>SUM(BX53:CA53)</f>
        <v>0</v>
      </c>
      <c r="CC53" s="346">
        <f>-(AVERAGE(CC51,CC49))*($BJ47/4)</f>
        <v>0</v>
      </c>
      <c r="CD53" s="346">
        <f>-(AVERAGE(CD51,CD49))*($BJ47/4)</f>
        <v>0</v>
      </c>
      <c r="CE53" s="346">
        <f>-(AVERAGE(CE51,CE49))*($BJ47/4)</f>
        <v>0</v>
      </c>
      <c r="CF53" s="346">
        <f>-(AVERAGE(CF51,CF49))*($BJ47/4)</f>
        <v>0</v>
      </c>
      <c r="CG53" s="563">
        <f>SUM(CC53:CF53)</f>
        <v>0</v>
      </c>
      <c r="CH53" s="346">
        <f>-(AVERAGE(CH51,CH49))*($BJ47/4)</f>
        <v>0</v>
      </c>
      <c r="CI53" s="346">
        <f>-(AVERAGE(CI51,CI49))*($BJ47/4)</f>
        <v>0</v>
      </c>
      <c r="CJ53" s="346">
        <f>-(AVERAGE(CJ51,CJ49))*($BJ47/4)</f>
        <v>0</v>
      </c>
      <c r="CK53" s="346">
        <f>-(AVERAGE(CK51,CK49))*($BJ47/4)</f>
        <v>0</v>
      </c>
      <c r="CL53" s="563">
        <f>SUM(CH53:CK53)</f>
        <v>0</v>
      </c>
      <c r="CM53" s="346">
        <f>-(AVERAGE(CM51,CM49))*($BJ47/4)</f>
        <v>0</v>
      </c>
      <c r="CN53" s="346">
        <f>-(AVERAGE(CN51,CN49))*($BJ47/4)</f>
        <v>0</v>
      </c>
      <c r="CO53" s="346">
        <f>-(AVERAGE(CO51,CO49))*($BJ47/4)</f>
        <v>0</v>
      </c>
      <c r="CP53" s="346">
        <f>-(AVERAGE(CP51,CP49))*($BJ47/4)</f>
        <v>0</v>
      </c>
      <c r="CQ53" s="563">
        <f>SUM(CM53:CP53)</f>
        <v>0</v>
      </c>
      <c r="CR53" s="346">
        <f>-(AVERAGE(CR51,CR49))*($BJ47/4)</f>
        <v>0</v>
      </c>
      <c r="CS53" s="346">
        <f>-(AVERAGE(CS51,CS49))*($BJ47/4)</f>
        <v>0</v>
      </c>
      <c r="CT53" s="346">
        <f>-(AVERAGE(CT51,CT49))*($BJ47/4)</f>
        <v>0</v>
      </c>
      <c r="CU53" s="346">
        <f>-(AVERAGE(CU51,CU49))*($BJ47/4)</f>
        <v>0</v>
      </c>
      <c r="CV53" s="563">
        <f>SUM(CR53:CU53)</f>
        <v>0</v>
      </c>
      <c r="CW53" s="346">
        <f>-(AVERAGE(CW51,CW49))*($BJ47/4)</f>
        <v>0</v>
      </c>
      <c r="CX53" s="346">
        <f>-(AVERAGE(CX51,CX49))*($BJ47/4)</f>
        <v>0</v>
      </c>
      <c r="CY53" s="346">
        <f>-(AVERAGE(CY51,CY49))*($BJ47/4)</f>
        <v>0</v>
      </c>
      <c r="CZ53" s="346">
        <f>-(AVERAGE(CZ51,CZ49))*($BJ47/4)</f>
        <v>0</v>
      </c>
      <c r="DA53" s="563">
        <f>SUM(CW53:CZ53)</f>
        <v>0</v>
      </c>
      <c r="DB53" s="346">
        <f>-(AVERAGE(DB51,DB49))*($BJ47/4)</f>
        <v>0</v>
      </c>
      <c r="DC53" s="346">
        <f>-(AVERAGE(DC51,DC49))*($BJ47/4)</f>
        <v>0</v>
      </c>
      <c r="DD53" s="346">
        <f>-(AVERAGE(DD51,DD49))*($BJ47/4)</f>
        <v>0</v>
      </c>
      <c r="DE53" s="346">
        <f>-(AVERAGE(DE51,DE49))*($BJ47/4)</f>
        <v>0</v>
      </c>
      <c r="DF53" s="563">
        <f>SUM(DB53:DE53)</f>
        <v>0</v>
      </c>
    </row>
    <row r="54" spans="2:110" ht="12" thickBot="1" x14ac:dyDescent="0.25">
      <c r="B54" s="548" t="s">
        <v>207</v>
      </c>
      <c r="C54" s="205"/>
      <c r="D54" s="205"/>
      <c r="E54" s="205"/>
      <c r="F54" s="205"/>
      <c r="G54" s="205"/>
      <c r="H54" s="205"/>
      <c r="I54" s="205"/>
      <c r="J54" s="205"/>
      <c r="K54" s="205"/>
      <c r="L54" s="205"/>
      <c r="M54" s="205"/>
      <c r="N54" s="205"/>
      <c r="O54" s="205"/>
      <c r="P54" s="205"/>
      <c r="Q54" s="205"/>
      <c r="R54" s="205"/>
      <c r="S54" s="549"/>
      <c r="T54" s="550"/>
      <c r="U54" s="549"/>
      <c r="V54" s="549"/>
      <c r="W54" s="549"/>
      <c r="X54" s="549">
        <f>-X46*X52/4</f>
        <v>-0.6875</v>
      </c>
      <c r="Y54" s="550"/>
      <c r="Z54" s="549">
        <f>-Z46*Z52/4</f>
        <v>-0.75</v>
      </c>
      <c r="AA54" s="549">
        <f>-AA46*AA52/4</f>
        <v>-0.75</v>
      </c>
      <c r="AB54" s="549">
        <f>-AB46*AB52/4</f>
        <v>-0.75</v>
      </c>
      <c r="AC54" s="549">
        <f>-AC46*AC52/4</f>
        <v>-0.75</v>
      </c>
      <c r="AD54" s="550"/>
      <c r="AE54" s="549">
        <f>-AE46*AE52/4</f>
        <v>-0.3</v>
      </c>
      <c r="AF54" s="549">
        <f>-AF46*AF52/4</f>
        <v>-0.3</v>
      </c>
      <c r="AG54" s="549">
        <f>-AG46*AG52/4</f>
        <v>-0.3</v>
      </c>
      <c r="AH54" s="549">
        <f>-AH46*AH52/4</f>
        <v>-0.27500000000000002</v>
      </c>
      <c r="AI54" s="550"/>
      <c r="AJ54" s="549">
        <f>-AJ46*AJ52/4</f>
        <v>-0.29499999999999998</v>
      </c>
      <c r="AK54" s="549">
        <f>-AK46*AK52/4</f>
        <v>-0.3</v>
      </c>
      <c r="AL54" s="549">
        <f>-AL46*AL52/4</f>
        <v>-0.3</v>
      </c>
      <c r="AM54" s="549">
        <f>-AM46*AM52/4</f>
        <v>-0.3</v>
      </c>
      <c r="AN54" s="550"/>
      <c r="AO54" s="549">
        <f>-AO46*AO52/4</f>
        <v>-0.375</v>
      </c>
      <c r="AP54" s="549">
        <f>-AP46*AP52/4</f>
        <v>-0.375</v>
      </c>
      <c r="AQ54" s="549">
        <f>-AQ46*AQ52/4</f>
        <v>-0.375</v>
      </c>
      <c r="AR54" s="549">
        <f>-AR46*AR52/4</f>
        <v>-0.375</v>
      </c>
      <c r="AS54" s="550"/>
      <c r="AT54" s="549">
        <f>-AT46*AT52/4</f>
        <v>-0.375</v>
      </c>
      <c r="AU54" s="549">
        <f>-AU46*AU52/4</f>
        <v>-0.375</v>
      </c>
      <c r="AV54" s="549">
        <f>-AV46*AV52/4</f>
        <v>-0.375</v>
      </c>
      <c r="AW54" s="549">
        <f>-AW46*AW52/4</f>
        <v>-0.375</v>
      </c>
      <c r="AX54" s="550"/>
      <c r="AY54" s="549">
        <f>-AY46*AY52/4</f>
        <v>-0.375</v>
      </c>
      <c r="AZ54" s="549">
        <f>-AZ46*AZ52/4</f>
        <v>-0.375</v>
      </c>
      <c r="BA54" s="549">
        <f>-BA46*BA52/4</f>
        <v>-0.46875</v>
      </c>
      <c r="BB54" s="549">
        <f>-BB46*BB52/4</f>
        <v>-0.46875</v>
      </c>
      <c r="BC54" s="550"/>
      <c r="BD54" s="549">
        <f>-BD46*BD52/4</f>
        <v>-0.46875</v>
      </c>
      <c r="BE54" s="549">
        <f>-BE46*BE52/4</f>
        <v>-0.40625</v>
      </c>
      <c r="BF54" s="549">
        <f>-BF46*BF52/4</f>
        <v>-0.46875</v>
      </c>
      <c r="BG54" s="549">
        <f>-BG46*BG52/4</f>
        <v>-0.46875</v>
      </c>
      <c r="BH54" s="550"/>
      <c r="BI54" s="549">
        <f>-BI46*BI52/4</f>
        <v>-0.46875</v>
      </c>
      <c r="BJ54" s="549">
        <f>-BJ46*BJ52/4</f>
        <v>-0.21875</v>
      </c>
      <c r="BK54" s="549">
        <f>-BK46*BK52/4</f>
        <v>-0.21875</v>
      </c>
      <c r="BL54" s="549">
        <f>-BL46*BL52/4</f>
        <v>-0.21875</v>
      </c>
      <c r="BM54" s="550"/>
      <c r="BN54" s="549">
        <f>-BN46*BN52/4</f>
        <v>-0.46875</v>
      </c>
      <c r="BO54" s="549">
        <f>-BO46*BO52/4</f>
        <v>-0.46875</v>
      </c>
      <c r="BP54" s="549">
        <f>-BP46*BP52/4</f>
        <v>-0.46875</v>
      </c>
      <c r="BQ54" s="549">
        <f>-BQ46*BQ52/4</f>
        <v>-0.46875</v>
      </c>
      <c r="BR54" s="550"/>
      <c r="BS54" s="549">
        <f>-BS46*BS52/4</f>
        <v>-0.46875</v>
      </c>
      <c r="BT54" s="549">
        <f>-BT46*BT52/4</f>
        <v>-0.46875</v>
      </c>
      <c r="BU54" s="549">
        <f>-BU46*BU52/4</f>
        <v>-0.46875</v>
      </c>
      <c r="BV54" s="549">
        <f>-BV46*BV52/4</f>
        <v>-0.46875</v>
      </c>
      <c r="BW54" s="550"/>
      <c r="BX54" s="549">
        <f>-BX46*BX52/4</f>
        <v>-0.46875</v>
      </c>
      <c r="BY54" s="549">
        <f>-BY46*BY52/4</f>
        <v>-0.46875</v>
      </c>
      <c r="BZ54" s="549">
        <f>-BZ46*BZ52/4</f>
        <v>-0.46875</v>
      </c>
      <c r="CA54" s="549">
        <f>-CA46*CA52/4</f>
        <v>-0.46875</v>
      </c>
      <c r="CB54" s="565"/>
      <c r="CC54" s="549">
        <f>-CC46*CC52/4</f>
        <v>-0.46875</v>
      </c>
      <c r="CD54" s="549">
        <f>-CD46*CD52/4</f>
        <v>-0.46875</v>
      </c>
      <c r="CE54" s="549">
        <f>-CE46*CE52/4</f>
        <v>-0.46875</v>
      </c>
      <c r="CF54" s="549">
        <f>-CF46*CF52/4</f>
        <v>-0.46875</v>
      </c>
      <c r="CG54" s="565"/>
      <c r="CH54" s="549">
        <f>-CH46*CH52/4</f>
        <v>-0.46875</v>
      </c>
      <c r="CI54" s="549">
        <f>-CI46*CI52/4</f>
        <v>-0.46875</v>
      </c>
      <c r="CJ54" s="549">
        <f>-CJ46*CJ52/4</f>
        <v>-0.46875</v>
      </c>
      <c r="CK54" s="549">
        <f>-CK46*CK52/4</f>
        <v>-0.46875</v>
      </c>
      <c r="CL54" s="565"/>
      <c r="CM54" s="549">
        <f>-CM46*CM52/4</f>
        <v>-0.46875</v>
      </c>
      <c r="CN54" s="549">
        <f>-CN46*CN52/4</f>
        <v>-0.46875</v>
      </c>
      <c r="CO54" s="549">
        <f>-CO46*CO52/4</f>
        <v>-0.46875</v>
      </c>
      <c r="CP54" s="549">
        <f>-CP46*CP52/4</f>
        <v>-0.46875</v>
      </c>
      <c r="CQ54" s="565"/>
      <c r="CR54" s="549">
        <f>-CR46*CR52/4</f>
        <v>-0.46875</v>
      </c>
      <c r="CS54" s="549">
        <f>-CS46*CS52/4</f>
        <v>-0.46875</v>
      </c>
      <c r="CT54" s="549">
        <f>-CT46*CT52/4</f>
        <v>-0.46875</v>
      </c>
      <c r="CU54" s="549">
        <f>-CU46*CU52/4</f>
        <v>-0.46875</v>
      </c>
      <c r="CV54" s="565"/>
      <c r="CW54" s="549">
        <f>-CW46*CW52/4</f>
        <v>-0.46875</v>
      </c>
      <c r="CX54" s="549">
        <f>-CX46*CX52/4</f>
        <v>-0.46875</v>
      </c>
      <c r="CY54" s="549">
        <f>-CY46*CY52/4</f>
        <v>-0.46875</v>
      </c>
      <c r="CZ54" s="549">
        <f>-CZ46*CZ52/4</f>
        <v>-0.46875</v>
      </c>
      <c r="DA54" s="565"/>
      <c r="DB54" s="549">
        <f>-DB46*DB52/4</f>
        <v>-0.46875</v>
      </c>
      <c r="DC54" s="549">
        <f>-DC46*DC52/4</f>
        <v>-0.46875</v>
      </c>
      <c r="DD54" s="549">
        <f>-DD46*DD52/4</f>
        <v>-0.46875</v>
      </c>
      <c r="DE54" s="549">
        <f>-DE46*DE52/4</f>
        <v>-0.46875</v>
      </c>
      <c r="DF54" s="565"/>
    </row>
    <row r="55" spans="2:110" s="326" customFormat="1" ht="12" thickBot="1" x14ac:dyDescent="0.25">
      <c r="B55" s="603"/>
      <c r="C55" s="145"/>
      <c r="D55" s="145"/>
      <c r="E55" s="145"/>
      <c r="F55" s="145"/>
      <c r="G55" s="145"/>
      <c r="H55" s="145"/>
      <c r="I55" s="145"/>
      <c r="J55" s="145"/>
      <c r="K55" s="145"/>
      <c r="L55" s="145"/>
      <c r="M55" s="145"/>
      <c r="N55" s="145"/>
      <c r="O55" s="145"/>
      <c r="P55" s="145"/>
      <c r="Q55" s="145"/>
      <c r="R55" s="145"/>
      <c r="S55" s="346"/>
      <c r="T55" s="346"/>
      <c r="U55" s="346"/>
      <c r="Y55" s="346"/>
      <c r="Z55" s="346"/>
      <c r="AA55" s="346"/>
      <c r="AB55" s="346"/>
      <c r="AC55" s="346"/>
      <c r="AD55" s="346"/>
      <c r="AE55" s="346"/>
      <c r="AF55" s="346"/>
      <c r="AG55" s="346"/>
      <c r="AH55" s="346"/>
      <c r="AI55" s="346"/>
      <c r="AJ55" s="346"/>
      <c r="AK55" s="346"/>
      <c r="AL55" s="346"/>
      <c r="AM55" s="346"/>
      <c r="AN55" s="346"/>
      <c r="AO55" s="346"/>
      <c r="AP55" s="346"/>
      <c r="AQ55" s="346"/>
      <c r="AR55" s="346"/>
      <c r="AS55" s="346"/>
      <c r="AT55" s="346"/>
      <c r="AU55" s="346"/>
      <c r="AV55" s="346"/>
      <c r="AW55" s="346"/>
      <c r="AX55" s="346"/>
      <c r="AY55" s="346"/>
      <c r="AZ55" s="346"/>
      <c r="BA55" s="346"/>
      <c r="BB55" s="346"/>
      <c r="BC55" s="346"/>
      <c r="BD55" s="346"/>
      <c r="BE55" s="346"/>
      <c r="BF55" s="346"/>
      <c r="BG55" s="346"/>
      <c r="BH55" s="346"/>
      <c r="BI55" s="346"/>
      <c r="BJ55" s="346"/>
      <c r="BK55" s="346"/>
      <c r="BL55" s="346"/>
      <c r="BM55" s="346"/>
      <c r="BN55" s="346"/>
      <c r="BO55" s="346"/>
      <c r="BP55" s="346"/>
      <c r="BQ55" s="346"/>
      <c r="BR55" s="346"/>
      <c r="BS55" s="346"/>
      <c r="BT55" s="346"/>
      <c r="BU55" s="346"/>
      <c r="BV55" s="346"/>
      <c r="BW55" s="346"/>
      <c r="BX55" s="346"/>
      <c r="BY55" s="346"/>
      <c r="BZ55" s="346"/>
      <c r="CA55" s="346"/>
      <c r="CB55" s="346"/>
      <c r="CC55" s="346"/>
      <c r="CD55" s="346"/>
      <c r="CE55" s="346"/>
      <c r="CF55" s="346"/>
      <c r="CG55" s="346"/>
      <c r="CH55" s="346"/>
      <c r="CI55" s="346"/>
      <c r="CJ55" s="346"/>
      <c r="CK55" s="346"/>
      <c r="CL55" s="346"/>
      <c r="CM55" s="346"/>
      <c r="CN55" s="346"/>
      <c r="CO55" s="346"/>
      <c r="CP55" s="346"/>
      <c r="CQ55" s="346"/>
      <c r="CR55" s="346"/>
      <c r="CS55" s="346"/>
      <c r="CT55" s="346"/>
      <c r="CU55" s="346"/>
      <c r="CV55" s="346"/>
      <c r="CW55" s="346"/>
      <c r="CX55" s="346"/>
      <c r="CY55" s="346"/>
      <c r="CZ55" s="346"/>
      <c r="DA55" s="346"/>
      <c r="DB55" s="346"/>
      <c r="DC55" s="346"/>
      <c r="DD55" s="346"/>
      <c r="DE55" s="346"/>
      <c r="DF55" s="346"/>
    </row>
    <row r="56" spans="2:110" ht="12" thickBot="1" x14ac:dyDescent="0.25">
      <c r="B56" s="981" t="s">
        <v>323</v>
      </c>
      <c r="C56" s="982"/>
      <c r="D56" s="982"/>
      <c r="E56" s="982"/>
      <c r="F56" s="982"/>
      <c r="G56" s="982"/>
      <c r="H56" s="982"/>
      <c r="I56" s="982"/>
      <c r="J56" s="982"/>
      <c r="K56" s="982"/>
      <c r="L56" s="982"/>
      <c r="M56" s="982"/>
      <c r="N56" s="982"/>
      <c r="O56" s="982"/>
      <c r="P56" s="982"/>
      <c r="Q56" s="982"/>
      <c r="R56" s="982"/>
      <c r="S56" s="983"/>
      <c r="T56" s="983"/>
      <c r="U56" s="983"/>
      <c r="V56" s="983"/>
      <c r="W56" s="983"/>
      <c r="X56" s="984"/>
      <c r="Y56" s="983"/>
      <c r="Z56" s="985"/>
      <c r="AA56" s="986"/>
      <c r="AB56" s="986"/>
      <c r="AC56" s="987"/>
      <c r="AD56" s="983"/>
      <c r="AE56" s="985"/>
      <c r="AF56" s="986"/>
      <c r="AG56" s="986"/>
      <c r="AH56" s="986"/>
      <c r="AI56" s="983"/>
      <c r="AJ56" s="985"/>
      <c r="AK56" s="986"/>
      <c r="AL56" s="986"/>
      <c r="AM56" s="986"/>
      <c r="AN56" s="983"/>
      <c r="AO56" s="985"/>
      <c r="AP56" s="986"/>
      <c r="AQ56" s="986"/>
      <c r="AR56" s="986"/>
      <c r="AS56" s="983"/>
      <c r="AT56" s="985"/>
      <c r="AU56" s="986"/>
      <c r="AV56" s="986"/>
      <c r="AW56" s="986"/>
      <c r="AX56" s="983"/>
      <c r="AY56" s="985"/>
      <c r="AZ56" s="986"/>
      <c r="BA56" s="986"/>
      <c r="BB56" s="986"/>
      <c r="BC56" s="983"/>
      <c r="BD56" s="985"/>
      <c r="BE56" s="986"/>
      <c r="BF56" s="986"/>
      <c r="BG56" s="986"/>
      <c r="BH56" s="983"/>
      <c r="BI56" s="985"/>
      <c r="BJ56" s="986"/>
      <c r="BK56" s="986"/>
      <c r="BL56" s="986"/>
      <c r="BM56" s="983"/>
      <c r="BN56" s="985"/>
      <c r="BO56" s="986"/>
      <c r="BP56" s="986"/>
      <c r="BQ56" s="986"/>
      <c r="BR56" s="983"/>
      <c r="BS56" s="985"/>
      <c r="BT56" s="986"/>
      <c r="BU56" s="986"/>
      <c r="BV56" s="986"/>
      <c r="BW56" s="983"/>
      <c r="BX56" s="985"/>
      <c r="BY56" s="986"/>
      <c r="BZ56" s="986"/>
      <c r="CA56" s="986"/>
      <c r="CB56" s="988"/>
      <c r="CC56" s="985"/>
      <c r="CD56" s="986"/>
      <c r="CE56" s="986"/>
      <c r="CF56" s="986"/>
      <c r="CG56" s="988"/>
      <c r="CH56" s="985"/>
      <c r="CI56" s="986"/>
      <c r="CJ56" s="986"/>
      <c r="CK56" s="986"/>
      <c r="CL56" s="988"/>
      <c r="CM56" s="985"/>
      <c r="CN56" s="986"/>
      <c r="CO56" s="986"/>
      <c r="CP56" s="986"/>
      <c r="CQ56" s="988"/>
      <c r="CR56" s="985"/>
      <c r="CS56" s="986"/>
      <c r="CT56" s="986"/>
      <c r="CU56" s="986"/>
      <c r="CV56" s="988"/>
      <c r="CW56" s="985"/>
      <c r="CX56" s="986"/>
      <c r="CY56" s="986"/>
      <c r="CZ56" s="986"/>
      <c r="DA56" s="988"/>
      <c r="DB56" s="985"/>
      <c r="DC56" s="986"/>
      <c r="DD56" s="986"/>
      <c r="DE56" s="986"/>
      <c r="DF56" s="988"/>
    </row>
    <row r="57" spans="2:110" x14ac:dyDescent="0.2">
      <c r="B57" s="578" t="s">
        <v>203</v>
      </c>
      <c r="C57" s="537"/>
      <c r="D57" s="537"/>
      <c r="E57" s="537"/>
      <c r="F57" s="537"/>
      <c r="G57" s="537"/>
      <c r="H57" s="537"/>
      <c r="I57" s="537"/>
      <c r="J57" s="537"/>
      <c r="K57" s="537"/>
      <c r="L57" s="537"/>
      <c r="M57" s="537"/>
      <c r="N57" s="537"/>
      <c r="O57" s="537"/>
      <c r="P57" s="537"/>
      <c r="Q57" s="537"/>
      <c r="R57" s="537"/>
      <c r="S57" s="342"/>
      <c r="T57" s="341"/>
      <c r="U57" s="342"/>
      <c r="V57" s="342"/>
      <c r="W57" s="342"/>
      <c r="X57" s="579"/>
      <c r="Y57" s="341"/>
      <c r="Z57" s="344"/>
      <c r="AA57" s="580"/>
      <c r="AB57" s="580"/>
      <c r="AC57" s="267">
        <v>1.5E-3</v>
      </c>
      <c r="AD57" s="341"/>
      <c r="AE57" s="345">
        <f>AC57</f>
        <v>1.5E-3</v>
      </c>
      <c r="AF57" s="580">
        <f>AE57</f>
        <v>1.5E-3</v>
      </c>
      <c r="AG57" s="580">
        <f>AF57</f>
        <v>1.5E-3</v>
      </c>
      <c r="AH57" s="580">
        <f>AG57</f>
        <v>1.5E-3</v>
      </c>
      <c r="AI57" s="341"/>
      <c r="AJ57" s="344">
        <f>AH57</f>
        <v>1.5E-3</v>
      </c>
      <c r="AK57" s="580">
        <f>AJ57</f>
        <v>1.5E-3</v>
      </c>
      <c r="AL57" s="580">
        <f>AK57</f>
        <v>1.5E-3</v>
      </c>
      <c r="AM57" s="580">
        <f>AL57</f>
        <v>1.5E-3</v>
      </c>
      <c r="AN57" s="341"/>
      <c r="AO57" s="344">
        <v>0</v>
      </c>
      <c r="AP57" s="580">
        <f>AO57</f>
        <v>0</v>
      </c>
      <c r="AQ57" s="580">
        <f>AP57</f>
        <v>0</v>
      </c>
      <c r="AR57" s="580">
        <f>AQ57</f>
        <v>0</v>
      </c>
      <c r="AS57" s="341"/>
      <c r="AT57" s="344">
        <f>AR57</f>
        <v>0</v>
      </c>
      <c r="AU57" s="580">
        <f>AT57</f>
        <v>0</v>
      </c>
      <c r="AV57" s="580">
        <f>AU57</f>
        <v>0</v>
      </c>
      <c r="AW57" s="580">
        <f>AV57</f>
        <v>0</v>
      </c>
      <c r="AX57" s="341"/>
      <c r="AY57" s="344">
        <f>AW57</f>
        <v>0</v>
      </c>
      <c r="AZ57" s="580">
        <f t="shared" ref="AZ57:BB59" si="66">AY57</f>
        <v>0</v>
      </c>
      <c r="BA57" s="580">
        <f t="shared" si="66"/>
        <v>0</v>
      </c>
      <c r="BB57" s="580">
        <f t="shared" si="66"/>
        <v>0</v>
      </c>
      <c r="BC57" s="341"/>
      <c r="BD57" s="344">
        <f>BB57</f>
        <v>0</v>
      </c>
      <c r="BE57" s="580">
        <f t="shared" ref="BE57:BG59" si="67">BD57</f>
        <v>0</v>
      </c>
      <c r="BF57" s="580">
        <f t="shared" si="67"/>
        <v>0</v>
      </c>
      <c r="BG57" s="580">
        <f t="shared" si="67"/>
        <v>0</v>
      </c>
      <c r="BH57" s="341"/>
      <c r="BI57" s="344">
        <f>BG57</f>
        <v>0</v>
      </c>
      <c r="BJ57" s="580">
        <f t="shared" ref="BJ57:BL59" si="68">BI57</f>
        <v>0</v>
      </c>
      <c r="BK57" s="580">
        <f t="shared" si="68"/>
        <v>0</v>
      </c>
      <c r="BL57" s="580">
        <f t="shared" si="68"/>
        <v>0</v>
      </c>
      <c r="BM57" s="994"/>
      <c r="BN57" s="344">
        <f>BL57</f>
        <v>0</v>
      </c>
      <c r="BO57" s="580">
        <f t="shared" ref="BO57:BQ59" si="69">BN57</f>
        <v>0</v>
      </c>
      <c r="BP57" s="580">
        <f t="shared" si="69"/>
        <v>0</v>
      </c>
      <c r="BQ57" s="580">
        <f t="shared" si="69"/>
        <v>0</v>
      </c>
      <c r="BR57" s="994"/>
      <c r="BS57" s="344">
        <f>BQ57</f>
        <v>0</v>
      </c>
      <c r="BT57" s="580">
        <f t="shared" ref="BT57:BV59" si="70">BS57</f>
        <v>0</v>
      </c>
      <c r="BU57" s="580">
        <f t="shared" si="70"/>
        <v>0</v>
      </c>
      <c r="BV57" s="580">
        <f t="shared" si="70"/>
        <v>0</v>
      </c>
      <c r="BW57" s="994"/>
      <c r="BX57" s="344">
        <f>BV57</f>
        <v>0</v>
      </c>
      <c r="BY57" s="580">
        <f t="shared" ref="BY57:CA59" si="71">BX57</f>
        <v>0</v>
      </c>
      <c r="BZ57" s="580">
        <f t="shared" si="71"/>
        <v>0</v>
      </c>
      <c r="CA57" s="580">
        <f t="shared" si="71"/>
        <v>0</v>
      </c>
      <c r="CB57" s="582"/>
      <c r="CC57" s="344">
        <f>CA57</f>
        <v>0</v>
      </c>
      <c r="CD57" s="580">
        <f t="shared" ref="CD57:CF59" si="72">CC57</f>
        <v>0</v>
      </c>
      <c r="CE57" s="580">
        <f t="shared" si="72"/>
        <v>0</v>
      </c>
      <c r="CF57" s="580">
        <f t="shared" si="72"/>
        <v>0</v>
      </c>
      <c r="CG57" s="582"/>
      <c r="CH57" s="344">
        <f>CF57</f>
        <v>0</v>
      </c>
      <c r="CI57" s="580">
        <f t="shared" ref="CI57:CK59" si="73">CH57</f>
        <v>0</v>
      </c>
      <c r="CJ57" s="580">
        <f t="shared" si="73"/>
        <v>0</v>
      </c>
      <c r="CK57" s="580">
        <f t="shared" si="73"/>
        <v>0</v>
      </c>
      <c r="CL57" s="582"/>
      <c r="CM57" s="344">
        <f>CK57</f>
        <v>0</v>
      </c>
      <c r="CN57" s="580">
        <f t="shared" ref="CN57:CP59" si="74">CM57</f>
        <v>0</v>
      </c>
      <c r="CO57" s="580">
        <f t="shared" si="74"/>
        <v>0</v>
      </c>
      <c r="CP57" s="580">
        <f t="shared" si="74"/>
        <v>0</v>
      </c>
      <c r="CQ57" s="582"/>
      <c r="CR57" s="344">
        <f>CP57</f>
        <v>0</v>
      </c>
      <c r="CS57" s="580">
        <f t="shared" ref="CS57:CS59" si="75">CR57</f>
        <v>0</v>
      </c>
      <c r="CT57" s="580">
        <f t="shared" ref="CT57:CT59" si="76">CS57</f>
        <v>0</v>
      </c>
      <c r="CU57" s="580">
        <f t="shared" ref="CU57:CU59" si="77">CT57</f>
        <v>0</v>
      </c>
      <c r="CV57" s="582"/>
      <c r="CW57" s="344">
        <f>CU57</f>
        <v>0</v>
      </c>
      <c r="CX57" s="580">
        <f t="shared" ref="CX57:CX59" si="78">CW57</f>
        <v>0</v>
      </c>
      <c r="CY57" s="580">
        <f t="shared" ref="CY57:CY59" si="79">CX57</f>
        <v>0</v>
      </c>
      <c r="CZ57" s="580">
        <f t="shared" ref="CZ57:CZ59" si="80">CY57</f>
        <v>0</v>
      </c>
      <c r="DA57" s="582"/>
      <c r="DB57" s="344">
        <f>CZ57</f>
        <v>0</v>
      </c>
      <c r="DC57" s="580">
        <f t="shared" ref="DC57:DC59" si="81">DB57</f>
        <v>0</v>
      </c>
      <c r="DD57" s="580">
        <f t="shared" ref="DD57:DD59" si="82">DC57</f>
        <v>0</v>
      </c>
      <c r="DE57" s="580">
        <f t="shared" ref="DE57:DE59" si="83">DD57</f>
        <v>0</v>
      </c>
      <c r="DF57" s="582"/>
    </row>
    <row r="58" spans="2:110" x14ac:dyDescent="0.2">
      <c r="B58" s="578" t="s">
        <v>204</v>
      </c>
      <c r="C58" s="537"/>
      <c r="D58" s="537"/>
      <c r="E58" s="537"/>
      <c r="F58" s="537"/>
      <c r="G58" s="537"/>
      <c r="H58" s="537"/>
      <c r="I58" s="537"/>
      <c r="J58" s="537"/>
      <c r="K58" s="537"/>
      <c r="L58" s="537"/>
      <c r="M58" s="537"/>
      <c r="N58" s="537"/>
      <c r="O58" s="537"/>
      <c r="P58" s="537"/>
      <c r="Q58" s="537"/>
      <c r="R58" s="537"/>
      <c r="S58" s="342"/>
      <c r="T58" s="341"/>
      <c r="U58" s="342"/>
      <c r="V58" s="342"/>
      <c r="W58" s="342"/>
      <c r="X58" s="579"/>
      <c r="Y58" s="341"/>
      <c r="Z58" s="344"/>
      <c r="AA58" s="580"/>
      <c r="AB58" s="580"/>
      <c r="AC58" s="267">
        <v>4.5249999999999999E-2</v>
      </c>
      <c r="AD58" s="341"/>
      <c r="AE58" s="345">
        <v>5.3999999999999999E-2</v>
      </c>
      <c r="AF58" s="345">
        <v>5.8099999999999999E-2</v>
      </c>
      <c r="AG58" s="267">
        <v>6.0100000000000001E-2</v>
      </c>
      <c r="AH58" s="267">
        <v>0.06</v>
      </c>
      <c r="AI58" s="341"/>
      <c r="AJ58" s="345">
        <v>0.06</v>
      </c>
      <c r="AK58" s="267">
        <v>5.8999999999999997E-2</v>
      </c>
      <c r="AL58" s="267">
        <v>5.8999999999999997E-2</v>
      </c>
      <c r="AM58" s="267">
        <v>5.5E-2</v>
      </c>
      <c r="AN58" s="341"/>
      <c r="AO58" s="345">
        <v>4.7260412371134021E-2</v>
      </c>
      <c r="AP58" s="267">
        <v>3.4448292227979273E-2</v>
      </c>
      <c r="AQ58" s="267">
        <v>3.2772832085561497E-2</v>
      </c>
      <c r="AR58" s="267">
        <v>4.7159474444444446E-2</v>
      </c>
      <c r="AS58" s="341"/>
      <c r="AT58" s="345">
        <v>3.8887819767441871E-2</v>
      </c>
      <c r="AU58" s="267">
        <v>1.5385372222222202E-2</v>
      </c>
      <c r="AV58" s="267">
        <f>AV32+0.5%</f>
        <v>2.550513076923077E-2</v>
      </c>
      <c r="AW58" s="267">
        <f>AW32+0.5%</f>
        <v>1.0186451048951058E-2</v>
      </c>
      <c r="AX58" s="341"/>
      <c r="AY58" s="267">
        <f>AY$32+0.5%</f>
        <v>1.5157903199999975E-2</v>
      </c>
      <c r="AZ58" s="267">
        <f>AZ$32+0.5%</f>
        <v>1.4699645794392521E-2</v>
      </c>
      <c r="BA58" s="267">
        <f>BA$32+0.5%</f>
        <v>1.6461479591836727E-2</v>
      </c>
      <c r="BB58" s="267">
        <f>BB$32+0.5%</f>
        <v>1.6461479591836727E-2</v>
      </c>
      <c r="BC58" s="341"/>
      <c r="BD58" s="345">
        <f>BG$32+0.5%</f>
        <v>1.6461479591836727E-2</v>
      </c>
      <c r="BE58" s="580">
        <f t="shared" si="67"/>
        <v>1.6461479591836727E-2</v>
      </c>
      <c r="BF58" s="580">
        <f t="shared" si="67"/>
        <v>1.6461479591836727E-2</v>
      </c>
      <c r="BG58" s="580">
        <f t="shared" si="67"/>
        <v>1.6461479591836727E-2</v>
      </c>
      <c r="BH58" s="341"/>
      <c r="BI58" s="345">
        <f>3.75%+0.5%</f>
        <v>4.2499999999999996E-2</v>
      </c>
      <c r="BJ58" s="580">
        <f t="shared" si="68"/>
        <v>4.2499999999999996E-2</v>
      </c>
      <c r="BK58" s="580">
        <f t="shared" si="68"/>
        <v>4.2499999999999996E-2</v>
      </c>
      <c r="BL58" s="580">
        <f t="shared" si="68"/>
        <v>4.2499999999999996E-2</v>
      </c>
      <c r="BM58" s="341"/>
      <c r="BN58" s="345">
        <f>3.75%+0.5%</f>
        <v>4.2499999999999996E-2</v>
      </c>
      <c r="BO58" s="580">
        <f t="shared" si="69"/>
        <v>4.2499999999999996E-2</v>
      </c>
      <c r="BP58" s="580">
        <f t="shared" si="69"/>
        <v>4.2499999999999996E-2</v>
      </c>
      <c r="BQ58" s="580">
        <f t="shared" si="69"/>
        <v>4.2499999999999996E-2</v>
      </c>
      <c r="BR58" s="341"/>
      <c r="BS58" s="345">
        <f>3.75%+0.5%</f>
        <v>4.2499999999999996E-2</v>
      </c>
      <c r="BT58" s="580">
        <f t="shared" si="70"/>
        <v>4.2499999999999996E-2</v>
      </c>
      <c r="BU58" s="580">
        <f t="shared" si="70"/>
        <v>4.2499999999999996E-2</v>
      </c>
      <c r="BV58" s="580">
        <f t="shared" si="70"/>
        <v>4.2499999999999996E-2</v>
      </c>
      <c r="BW58" s="341"/>
      <c r="BX58" s="345">
        <f>3.75%+0.5%</f>
        <v>4.2499999999999996E-2</v>
      </c>
      <c r="BY58" s="580">
        <f t="shared" si="71"/>
        <v>4.2499999999999996E-2</v>
      </c>
      <c r="BZ58" s="580">
        <f t="shared" si="71"/>
        <v>4.2499999999999996E-2</v>
      </c>
      <c r="CA58" s="580">
        <f t="shared" si="71"/>
        <v>4.2499999999999996E-2</v>
      </c>
      <c r="CB58" s="582"/>
      <c r="CC58" s="345">
        <f>3.75%+0.5%</f>
        <v>4.2499999999999996E-2</v>
      </c>
      <c r="CD58" s="580">
        <f t="shared" si="72"/>
        <v>4.2499999999999996E-2</v>
      </c>
      <c r="CE58" s="580">
        <f t="shared" si="72"/>
        <v>4.2499999999999996E-2</v>
      </c>
      <c r="CF58" s="580">
        <f t="shared" si="72"/>
        <v>4.2499999999999996E-2</v>
      </c>
      <c r="CG58" s="582"/>
      <c r="CH58" s="345">
        <f>3.75%+0.5%</f>
        <v>4.2499999999999996E-2</v>
      </c>
      <c r="CI58" s="580">
        <f t="shared" si="73"/>
        <v>4.2499999999999996E-2</v>
      </c>
      <c r="CJ58" s="580">
        <f t="shared" si="73"/>
        <v>4.2499999999999996E-2</v>
      </c>
      <c r="CK58" s="580">
        <f t="shared" si="73"/>
        <v>4.2499999999999996E-2</v>
      </c>
      <c r="CL58" s="582"/>
      <c r="CM58" s="345">
        <f>3.75%+0.5%</f>
        <v>4.2499999999999996E-2</v>
      </c>
      <c r="CN58" s="580">
        <f t="shared" si="74"/>
        <v>4.2499999999999996E-2</v>
      </c>
      <c r="CO58" s="580">
        <f t="shared" si="74"/>
        <v>4.2499999999999996E-2</v>
      </c>
      <c r="CP58" s="580">
        <f t="shared" si="74"/>
        <v>4.2499999999999996E-2</v>
      </c>
      <c r="CQ58" s="582"/>
      <c r="CR58" s="345">
        <f>3.75%+0.5%</f>
        <v>4.2499999999999996E-2</v>
      </c>
      <c r="CS58" s="580">
        <f t="shared" si="75"/>
        <v>4.2499999999999996E-2</v>
      </c>
      <c r="CT58" s="580">
        <f t="shared" si="76"/>
        <v>4.2499999999999996E-2</v>
      </c>
      <c r="CU58" s="580">
        <f t="shared" si="77"/>
        <v>4.2499999999999996E-2</v>
      </c>
      <c r="CV58" s="582"/>
      <c r="CW58" s="345">
        <f>3.75%+0.5%</f>
        <v>4.2499999999999996E-2</v>
      </c>
      <c r="CX58" s="580">
        <f t="shared" si="78"/>
        <v>4.2499999999999996E-2</v>
      </c>
      <c r="CY58" s="580">
        <f t="shared" si="79"/>
        <v>4.2499999999999996E-2</v>
      </c>
      <c r="CZ58" s="580">
        <f t="shared" si="80"/>
        <v>4.2499999999999996E-2</v>
      </c>
      <c r="DA58" s="582"/>
      <c r="DB58" s="345">
        <f>3.75%+0.5%</f>
        <v>4.2499999999999996E-2</v>
      </c>
      <c r="DC58" s="580">
        <f t="shared" si="81"/>
        <v>4.2499999999999996E-2</v>
      </c>
      <c r="DD58" s="580">
        <f t="shared" si="82"/>
        <v>4.2499999999999996E-2</v>
      </c>
      <c r="DE58" s="580">
        <f t="shared" si="83"/>
        <v>4.2499999999999996E-2</v>
      </c>
      <c r="DF58" s="582"/>
    </row>
    <row r="59" spans="2:110" x14ac:dyDescent="0.2">
      <c r="B59" s="536" t="s">
        <v>197</v>
      </c>
      <c r="C59" s="583"/>
      <c r="D59" s="537"/>
      <c r="E59" s="537"/>
      <c r="F59" s="537"/>
      <c r="G59" s="537"/>
      <c r="H59" s="537"/>
      <c r="I59" s="537"/>
      <c r="J59" s="537"/>
      <c r="K59" s="537"/>
      <c r="L59" s="537"/>
      <c r="M59" s="537"/>
      <c r="N59" s="537"/>
      <c r="O59" s="537"/>
      <c r="P59" s="537"/>
      <c r="Q59" s="537"/>
      <c r="R59" s="537"/>
      <c r="S59" s="331"/>
      <c r="T59" s="332"/>
      <c r="U59" s="331"/>
      <c r="V59" s="331"/>
      <c r="W59" s="331"/>
      <c r="X59" s="584"/>
      <c r="Y59" s="341"/>
      <c r="Z59" s="346"/>
      <c r="AA59" s="346"/>
      <c r="AB59" s="346"/>
      <c r="AC59" s="623">
        <v>1600</v>
      </c>
      <c r="AD59" s="624"/>
      <c r="AE59" s="625">
        <f>AC59</f>
        <v>1600</v>
      </c>
      <c r="AF59" s="625">
        <f>AE59</f>
        <v>1600</v>
      </c>
      <c r="AG59" s="625">
        <f>AF59</f>
        <v>1600</v>
      </c>
      <c r="AH59" s="625">
        <f>AG59</f>
        <v>1600</v>
      </c>
      <c r="AI59" s="624"/>
      <c r="AJ59" s="625">
        <f>AH59</f>
        <v>1600</v>
      </c>
      <c r="AK59" s="625">
        <f>AJ59</f>
        <v>1600</v>
      </c>
      <c r="AL59" s="625">
        <f>AK59</f>
        <v>1600</v>
      </c>
      <c r="AM59" s="625">
        <f>AL59</f>
        <v>1600</v>
      </c>
      <c r="AN59" s="624"/>
      <c r="AO59" s="625">
        <f>AM59</f>
        <v>1600</v>
      </c>
      <c r="AP59" s="625">
        <f>AO59</f>
        <v>1600</v>
      </c>
      <c r="AQ59" s="625">
        <f>AP59</f>
        <v>1600</v>
      </c>
      <c r="AR59" s="625">
        <f>AQ59</f>
        <v>1600</v>
      </c>
      <c r="AS59" s="624"/>
      <c r="AT59" s="625">
        <f>AR59</f>
        <v>1600</v>
      </c>
      <c r="AU59" s="625">
        <f>AT59</f>
        <v>1600</v>
      </c>
      <c r="AV59" s="625">
        <f>AU59</f>
        <v>1600</v>
      </c>
      <c r="AW59" s="625">
        <f>AV59</f>
        <v>1600</v>
      </c>
      <c r="AX59" s="624"/>
      <c r="AY59" s="625">
        <f>AW59</f>
        <v>1600</v>
      </c>
      <c r="AZ59" s="625">
        <f t="shared" si="66"/>
        <v>1600</v>
      </c>
      <c r="BA59" s="625">
        <f t="shared" si="66"/>
        <v>1600</v>
      </c>
      <c r="BB59" s="625">
        <f t="shared" si="66"/>
        <v>1600</v>
      </c>
      <c r="BC59" s="624"/>
      <c r="BD59" s="625"/>
      <c r="BE59" s="625">
        <f t="shared" si="67"/>
        <v>0</v>
      </c>
      <c r="BF59" s="625">
        <f t="shared" si="67"/>
        <v>0</v>
      </c>
      <c r="BG59" s="625">
        <f t="shared" si="67"/>
        <v>0</v>
      </c>
      <c r="BH59" s="624"/>
      <c r="BI59" s="625">
        <f>BG59</f>
        <v>0</v>
      </c>
      <c r="BJ59" s="625">
        <f t="shared" si="68"/>
        <v>0</v>
      </c>
      <c r="BK59" s="625">
        <f t="shared" si="68"/>
        <v>0</v>
      </c>
      <c r="BL59" s="625">
        <f t="shared" si="68"/>
        <v>0</v>
      </c>
      <c r="BM59" s="624"/>
      <c r="BN59" s="625">
        <f>BL62</f>
        <v>0</v>
      </c>
      <c r="BO59" s="625">
        <f t="shared" si="69"/>
        <v>0</v>
      </c>
      <c r="BP59" s="625">
        <f t="shared" si="69"/>
        <v>0</v>
      </c>
      <c r="BQ59" s="625">
        <f t="shared" si="69"/>
        <v>0</v>
      </c>
      <c r="BR59" s="341"/>
      <c r="BS59" s="625">
        <f>BQ62</f>
        <v>0</v>
      </c>
      <c r="BT59" s="625">
        <f t="shared" si="70"/>
        <v>0</v>
      </c>
      <c r="BU59" s="625">
        <f t="shared" si="70"/>
        <v>0</v>
      </c>
      <c r="BV59" s="625">
        <f t="shared" si="70"/>
        <v>0</v>
      </c>
      <c r="BW59" s="341"/>
      <c r="BX59" s="625">
        <f>BV62</f>
        <v>0</v>
      </c>
      <c r="BY59" s="625">
        <f t="shared" si="71"/>
        <v>0</v>
      </c>
      <c r="BZ59" s="625">
        <f t="shared" si="71"/>
        <v>0</v>
      </c>
      <c r="CA59" s="625">
        <f t="shared" si="71"/>
        <v>0</v>
      </c>
      <c r="CB59" s="582"/>
      <c r="CC59" s="625">
        <f>CA62</f>
        <v>0</v>
      </c>
      <c r="CD59" s="625">
        <f t="shared" si="72"/>
        <v>0</v>
      </c>
      <c r="CE59" s="625">
        <f t="shared" si="72"/>
        <v>0</v>
      </c>
      <c r="CF59" s="625">
        <f t="shared" si="72"/>
        <v>0</v>
      </c>
      <c r="CG59" s="582"/>
      <c r="CH59" s="625">
        <f>CF62</f>
        <v>0</v>
      </c>
      <c r="CI59" s="625">
        <f t="shared" si="73"/>
        <v>0</v>
      </c>
      <c r="CJ59" s="625">
        <f t="shared" si="73"/>
        <v>0</v>
      </c>
      <c r="CK59" s="625">
        <f t="shared" si="73"/>
        <v>0</v>
      </c>
      <c r="CL59" s="582"/>
      <c r="CM59" s="625">
        <f>CK62</f>
        <v>0</v>
      </c>
      <c r="CN59" s="625">
        <f t="shared" si="74"/>
        <v>0</v>
      </c>
      <c r="CO59" s="625">
        <f t="shared" si="74"/>
        <v>0</v>
      </c>
      <c r="CP59" s="625">
        <f t="shared" si="74"/>
        <v>0</v>
      </c>
      <c r="CQ59" s="582"/>
      <c r="CR59" s="625">
        <f>CP62</f>
        <v>0</v>
      </c>
      <c r="CS59" s="625">
        <f t="shared" si="75"/>
        <v>0</v>
      </c>
      <c r="CT59" s="625">
        <f t="shared" si="76"/>
        <v>0</v>
      </c>
      <c r="CU59" s="625">
        <f t="shared" si="77"/>
        <v>0</v>
      </c>
      <c r="CV59" s="582"/>
      <c r="CW59" s="625">
        <f>CU62</f>
        <v>0</v>
      </c>
      <c r="CX59" s="625">
        <f t="shared" si="78"/>
        <v>0</v>
      </c>
      <c r="CY59" s="625">
        <f t="shared" si="79"/>
        <v>0</v>
      </c>
      <c r="CZ59" s="625">
        <f t="shared" si="80"/>
        <v>0</v>
      </c>
      <c r="DA59" s="582"/>
      <c r="DB59" s="625">
        <f>CZ62</f>
        <v>0</v>
      </c>
      <c r="DC59" s="625">
        <f t="shared" si="81"/>
        <v>0</v>
      </c>
      <c r="DD59" s="625">
        <f t="shared" si="82"/>
        <v>0</v>
      </c>
      <c r="DE59" s="625">
        <f t="shared" si="83"/>
        <v>0</v>
      </c>
      <c r="DF59" s="582"/>
    </row>
    <row r="60" spans="2:110" x14ac:dyDescent="0.2">
      <c r="B60" s="544" t="s">
        <v>198</v>
      </c>
      <c r="C60" s="326"/>
      <c r="D60" s="579"/>
      <c r="E60" s="579"/>
      <c r="F60" s="579"/>
      <c r="G60" s="579"/>
      <c r="H60" s="579"/>
      <c r="I60" s="579"/>
      <c r="J60" s="579"/>
      <c r="K60" s="579"/>
      <c r="L60" s="579"/>
      <c r="M60" s="579"/>
      <c r="N60" s="579"/>
      <c r="O60" s="579"/>
      <c r="P60" s="579"/>
      <c r="Q60" s="579"/>
      <c r="R60" s="579"/>
      <c r="S60" s="346"/>
      <c r="T60" s="340"/>
      <c r="U60" s="346">
        <f>+T62</f>
        <v>0</v>
      </c>
      <c r="V60" s="346">
        <f>+U62</f>
        <v>50</v>
      </c>
      <c r="W60" s="346">
        <f>V62</f>
        <v>50</v>
      </c>
      <c r="X60" s="346"/>
      <c r="Y60" s="340"/>
      <c r="Z60" s="346"/>
      <c r="AA60" s="346"/>
      <c r="AB60" s="346"/>
      <c r="AC60" s="625">
        <v>0</v>
      </c>
      <c r="AD60" s="624">
        <f>Y62</f>
        <v>0</v>
      </c>
      <c r="AE60" s="625">
        <f>+AD62</f>
        <v>1510</v>
      </c>
      <c r="AF60" s="625">
        <f>+AE62</f>
        <v>1470.5</v>
      </c>
      <c r="AG60" s="625">
        <f>+AF62</f>
        <v>1715.4</v>
      </c>
      <c r="AH60" s="625">
        <f>+AG62</f>
        <v>1630.4</v>
      </c>
      <c r="AI60" s="624">
        <f>AD62</f>
        <v>1510</v>
      </c>
      <c r="AJ60" s="625">
        <f>+AI62</f>
        <v>1400</v>
      </c>
      <c r="AK60" s="625">
        <f>+AJ62</f>
        <v>1350.5</v>
      </c>
      <c r="AL60" s="625">
        <f>+AK62</f>
        <v>1310.5</v>
      </c>
      <c r="AM60" s="625">
        <f>+AL62</f>
        <v>1270.5</v>
      </c>
      <c r="AN60" s="624">
        <f>AI62</f>
        <v>1400</v>
      </c>
      <c r="AO60" s="625">
        <f>+AN62</f>
        <v>1220</v>
      </c>
      <c r="AP60" s="625">
        <f>+AO62</f>
        <v>1160</v>
      </c>
      <c r="AQ60" s="625">
        <f>+AP62</f>
        <v>1100</v>
      </c>
      <c r="AR60" s="625">
        <f>+AQ62</f>
        <v>1040</v>
      </c>
      <c r="AS60" s="624">
        <f>AN62</f>
        <v>1220</v>
      </c>
      <c r="AT60" s="625">
        <f>+AS62</f>
        <v>960</v>
      </c>
      <c r="AU60" s="625">
        <f>+AT62</f>
        <v>880</v>
      </c>
      <c r="AV60" s="625">
        <f>+AU62</f>
        <v>800</v>
      </c>
      <c r="AW60" s="625">
        <f>+AV62</f>
        <v>720</v>
      </c>
      <c r="AX60" s="624">
        <f>AS62</f>
        <v>960</v>
      </c>
      <c r="AY60" s="625">
        <f>+AX62</f>
        <v>540</v>
      </c>
      <c r="AZ60" s="625">
        <f>+AY62</f>
        <v>360</v>
      </c>
      <c r="BA60" s="625">
        <f>+AZ62</f>
        <v>180</v>
      </c>
      <c r="BB60" s="625">
        <f>+BA62</f>
        <v>0</v>
      </c>
      <c r="BC60" s="624">
        <f>AX62</f>
        <v>540</v>
      </c>
      <c r="BD60" s="625">
        <f>+BC62</f>
        <v>0</v>
      </c>
      <c r="BE60" s="625">
        <f>+BD62</f>
        <v>0</v>
      </c>
      <c r="BF60" s="625">
        <f>+BE62</f>
        <v>0</v>
      </c>
      <c r="BG60" s="625">
        <f>+BF62</f>
        <v>0</v>
      </c>
      <c r="BH60" s="624">
        <f>BC62</f>
        <v>0</v>
      </c>
      <c r="BI60" s="625">
        <f>+BH62</f>
        <v>0</v>
      </c>
      <c r="BJ60" s="625">
        <f>+BI62</f>
        <v>0</v>
      </c>
      <c r="BK60" s="625">
        <f>+BJ62</f>
        <v>0</v>
      </c>
      <c r="BL60" s="625">
        <f>+BK62</f>
        <v>0</v>
      </c>
      <c r="BM60" s="624">
        <f>BH62</f>
        <v>0</v>
      </c>
      <c r="BN60" s="625">
        <f>+BM62</f>
        <v>0</v>
      </c>
      <c r="BO60" s="625">
        <f>+BN62</f>
        <v>0</v>
      </c>
      <c r="BP60" s="625">
        <f>+BO62</f>
        <v>0</v>
      </c>
      <c r="BQ60" s="625">
        <f>+BP62</f>
        <v>0</v>
      </c>
      <c r="BR60" s="624">
        <f>BM62</f>
        <v>0</v>
      </c>
      <c r="BS60" s="625">
        <f>+BR62</f>
        <v>0</v>
      </c>
      <c r="BT60" s="625">
        <f>+BS62</f>
        <v>0</v>
      </c>
      <c r="BU60" s="625">
        <f>+BT62</f>
        <v>0</v>
      </c>
      <c r="BV60" s="625">
        <f>+BU62</f>
        <v>0</v>
      </c>
      <c r="BW60" s="624">
        <f>BR62</f>
        <v>0</v>
      </c>
      <c r="BX60" s="625">
        <f>+BW62</f>
        <v>0</v>
      </c>
      <c r="BY60" s="625">
        <f>+BX62</f>
        <v>0</v>
      </c>
      <c r="BZ60" s="625">
        <f>+BY62</f>
        <v>0</v>
      </c>
      <c r="CA60" s="625">
        <f>+BZ62</f>
        <v>0</v>
      </c>
      <c r="CB60" s="626">
        <f>BW62</f>
        <v>0</v>
      </c>
      <c r="CC60" s="625">
        <f>+CB62</f>
        <v>0</v>
      </c>
      <c r="CD60" s="625">
        <f>+CC62</f>
        <v>0</v>
      </c>
      <c r="CE60" s="625">
        <f>+CD62</f>
        <v>0</v>
      </c>
      <c r="CF60" s="625">
        <f>+CE62</f>
        <v>0</v>
      </c>
      <c r="CG60" s="626">
        <f>CB62</f>
        <v>0</v>
      </c>
      <c r="CH60" s="625">
        <f>+CG62</f>
        <v>0</v>
      </c>
      <c r="CI60" s="625">
        <f>+CH62</f>
        <v>0</v>
      </c>
      <c r="CJ60" s="625">
        <f>+CI62</f>
        <v>0</v>
      </c>
      <c r="CK60" s="625">
        <f>+CJ62</f>
        <v>0</v>
      </c>
      <c r="CL60" s="626">
        <f>CG62</f>
        <v>0</v>
      </c>
      <c r="CM60" s="625">
        <f>+CL62</f>
        <v>0</v>
      </c>
      <c r="CN60" s="625">
        <f>+CM62</f>
        <v>0</v>
      </c>
      <c r="CO60" s="625">
        <f>+CN62</f>
        <v>0</v>
      </c>
      <c r="CP60" s="625">
        <f>+CO62</f>
        <v>0</v>
      </c>
      <c r="CQ60" s="626">
        <f>CL62</f>
        <v>0</v>
      </c>
      <c r="CR60" s="625">
        <f>+CQ62</f>
        <v>0</v>
      </c>
      <c r="CS60" s="625">
        <f>+CR62</f>
        <v>0</v>
      </c>
      <c r="CT60" s="625">
        <f>+CS62</f>
        <v>0</v>
      </c>
      <c r="CU60" s="625">
        <f>+CT62</f>
        <v>0</v>
      </c>
      <c r="CV60" s="626">
        <f>CQ62</f>
        <v>0</v>
      </c>
      <c r="CW60" s="625">
        <f>+CV62</f>
        <v>0</v>
      </c>
      <c r="CX60" s="625">
        <f>+CW62</f>
        <v>0</v>
      </c>
      <c r="CY60" s="625">
        <f>+CX62</f>
        <v>0</v>
      </c>
      <c r="CZ60" s="625">
        <f>+CY62</f>
        <v>0</v>
      </c>
      <c r="DA60" s="626">
        <f>CV62</f>
        <v>0</v>
      </c>
      <c r="DB60" s="625">
        <f>+DA62</f>
        <v>0</v>
      </c>
      <c r="DC60" s="625">
        <f>+DB62</f>
        <v>0</v>
      </c>
      <c r="DD60" s="625">
        <f>+DC62</f>
        <v>0</v>
      </c>
      <c r="DE60" s="625">
        <f>+DD62</f>
        <v>0</v>
      </c>
      <c r="DF60" s="626">
        <f>DA62</f>
        <v>0</v>
      </c>
    </row>
    <row r="61" spans="2:110" x14ac:dyDescent="0.2">
      <c r="B61" s="544" t="s">
        <v>199</v>
      </c>
      <c r="C61" s="145"/>
      <c r="D61" s="145"/>
      <c r="E61" s="145"/>
      <c r="F61" s="145"/>
      <c r="G61" s="145"/>
      <c r="H61" s="145"/>
      <c r="I61" s="145"/>
      <c r="J61" s="145"/>
      <c r="K61" s="145"/>
      <c r="L61" s="145"/>
      <c r="M61" s="145"/>
      <c r="N61" s="145"/>
      <c r="O61" s="145"/>
      <c r="P61" s="145"/>
      <c r="Q61" s="145"/>
      <c r="R61" s="145"/>
      <c r="S61" s="347"/>
      <c r="T61" s="343"/>
      <c r="U61" s="347">
        <v>50</v>
      </c>
      <c r="V61" s="347"/>
      <c r="W61" s="347"/>
      <c r="X61" s="347"/>
      <c r="Y61" s="343"/>
      <c r="Z61" s="348"/>
      <c r="AA61" s="349"/>
      <c r="AB61" s="349"/>
      <c r="AC61" s="627">
        <v>1510</v>
      </c>
      <c r="AD61" s="628">
        <f>SUM(Z61:AC61)</f>
        <v>1510</v>
      </c>
      <c r="AE61" s="629">
        <f>AE62-AE60</f>
        <v>-39.5</v>
      </c>
      <c r="AF61" s="629">
        <f>AF62-AF60</f>
        <v>244.90000000000009</v>
      </c>
      <c r="AG61" s="629">
        <v>-85</v>
      </c>
      <c r="AH61" s="629">
        <f>1400-AH60</f>
        <v>-230.40000000000009</v>
      </c>
      <c r="AI61" s="630">
        <f>+SUM(AE61:AH61)</f>
        <v>-110</v>
      </c>
      <c r="AJ61" s="631">
        <v>-49.5</v>
      </c>
      <c r="AK61" s="631">
        <f>-40</f>
        <v>-40</v>
      </c>
      <c r="AL61" s="631">
        <v>-40</v>
      </c>
      <c r="AM61" s="631">
        <v>-50.5</v>
      </c>
      <c r="AN61" s="630">
        <f>+SUM(AJ61:AM61)</f>
        <v>-180</v>
      </c>
      <c r="AO61" s="631">
        <v>-60</v>
      </c>
      <c r="AP61" s="631">
        <v>-60</v>
      </c>
      <c r="AQ61" s="631">
        <v>-60</v>
      </c>
      <c r="AR61" s="631">
        <v>-80</v>
      </c>
      <c r="AS61" s="630">
        <f>+SUM(AO61:AR61)</f>
        <v>-260</v>
      </c>
      <c r="AT61" s="631">
        <v>-80</v>
      </c>
      <c r="AU61" s="631">
        <f>+AT61</f>
        <v>-80</v>
      </c>
      <c r="AV61" s="631">
        <v>-80</v>
      </c>
      <c r="AW61" s="631">
        <f>-(720-540)</f>
        <v>-180</v>
      </c>
      <c r="AX61" s="630">
        <f>+SUM(AT61:AW61)</f>
        <v>-420</v>
      </c>
      <c r="AY61" s="631">
        <v>-180</v>
      </c>
      <c r="AZ61" s="631">
        <v>-180</v>
      </c>
      <c r="BA61" s="631">
        <v>-180</v>
      </c>
      <c r="BB61" s="631">
        <v>0</v>
      </c>
      <c r="BC61" s="630">
        <f>+SUM(AY61:BB61)</f>
        <v>-540</v>
      </c>
      <c r="BD61" s="631"/>
      <c r="BE61" s="631"/>
      <c r="BF61" s="631"/>
      <c r="BG61" s="631"/>
      <c r="BH61" s="630">
        <f>+SUM(BD61:BG61)</f>
        <v>0</v>
      </c>
      <c r="BI61" s="631">
        <f>BG61</f>
        <v>0</v>
      </c>
      <c r="BJ61" s="631">
        <f>+BI61</f>
        <v>0</v>
      </c>
      <c r="BK61" s="631">
        <f>+BJ61</f>
        <v>0</v>
      </c>
      <c r="BL61" s="631">
        <f>+BK61</f>
        <v>0</v>
      </c>
      <c r="BM61" s="630">
        <f>+SUM(BI61:BL61)</f>
        <v>0</v>
      </c>
      <c r="BN61" s="631"/>
      <c r="BO61" s="631">
        <v>0</v>
      </c>
      <c r="BP61" s="631">
        <f>+BO61</f>
        <v>0</v>
      </c>
      <c r="BQ61" s="631">
        <f>+BP61</f>
        <v>0</v>
      </c>
      <c r="BR61" s="630">
        <f>+SUM(BN61:BQ61)</f>
        <v>0</v>
      </c>
      <c r="BS61" s="631"/>
      <c r="BT61" s="631">
        <v>0</v>
      </c>
      <c r="BU61" s="631">
        <f>+BT61</f>
        <v>0</v>
      </c>
      <c r="BV61" s="631">
        <f>+BU61</f>
        <v>0</v>
      </c>
      <c r="BW61" s="630">
        <f>+SUM(BS61:BV61)</f>
        <v>0</v>
      </c>
      <c r="BX61" s="631"/>
      <c r="BY61" s="631">
        <v>0</v>
      </c>
      <c r="BZ61" s="631">
        <f>+BY61</f>
        <v>0</v>
      </c>
      <c r="CA61" s="631">
        <f>+BZ61</f>
        <v>0</v>
      </c>
      <c r="CB61" s="632">
        <f>+SUM(BX61:CA61)</f>
        <v>0</v>
      </c>
      <c r="CC61" s="631"/>
      <c r="CD61" s="631">
        <v>0</v>
      </c>
      <c r="CE61" s="631">
        <f>+CD61</f>
        <v>0</v>
      </c>
      <c r="CF61" s="631">
        <f>+CE61</f>
        <v>0</v>
      </c>
      <c r="CG61" s="632">
        <f>+SUM(CC61:CF61)</f>
        <v>0</v>
      </c>
      <c r="CH61" s="631"/>
      <c r="CI61" s="631">
        <v>0</v>
      </c>
      <c r="CJ61" s="631">
        <f>+CI61</f>
        <v>0</v>
      </c>
      <c r="CK61" s="631">
        <f>+CJ61</f>
        <v>0</v>
      </c>
      <c r="CL61" s="632">
        <f>+SUM(CH61:CK61)</f>
        <v>0</v>
      </c>
      <c r="CM61" s="631"/>
      <c r="CN61" s="631">
        <v>0</v>
      </c>
      <c r="CO61" s="631">
        <f>+CN61</f>
        <v>0</v>
      </c>
      <c r="CP61" s="631">
        <f>+CO61</f>
        <v>0</v>
      </c>
      <c r="CQ61" s="632">
        <f>+SUM(CM61:CP61)</f>
        <v>0</v>
      </c>
      <c r="CR61" s="631"/>
      <c r="CS61" s="631">
        <v>0</v>
      </c>
      <c r="CT61" s="631">
        <f>+CS61</f>
        <v>0</v>
      </c>
      <c r="CU61" s="631">
        <f>+CT61</f>
        <v>0</v>
      </c>
      <c r="CV61" s="632">
        <f>+SUM(CR61:CU61)</f>
        <v>0</v>
      </c>
      <c r="CW61" s="631"/>
      <c r="CX61" s="631">
        <v>0</v>
      </c>
      <c r="CY61" s="631">
        <f>+CX61</f>
        <v>0</v>
      </c>
      <c r="CZ61" s="631">
        <f>+CY61</f>
        <v>0</v>
      </c>
      <c r="DA61" s="632">
        <f>+SUM(CW61:CZ61)</f>
        <v>0</v>
      </c>
      <c r="DB61" s="631"/>
      <c r="DC61" s="631">
        <v>0</v>
      </c>
      <c r="DD61" s="631">
        <f>+DC61</f>
        <v>0</v>
      </c>
      <c r="DE61" s="631">
        <f>+DD61</f>
        <v>0</v>
      </c>
      <c r="DF61" s="632">
        <f>+SUM(DB61:DE61)</f>
        <v>0</v>
      </c>
    </row>
    <row r="62" spans="2:110" x14ac:dyDescent="0.2">
      <c r="B62" s="544" t="s">
        <v>200</v>
      </c>
      <c r="C62" s="145"/>
      <c r="D62" s="633"/>
      <c r="E62" s="633"/>
      <c r="F62" s="633"/>
      <c r="G62" s="633"/>
      <c r="H62" s="633"/>
      <c r="I62" s="633"/>
      <c r="J62" s="633"/>
      <c r="K62" s="633"/>
      <c r="L62" s="633"/>
      <c r="M62" s="633"/>
      <c r="N62" s="633"/>
      <c r="O62" s="633"/>
      <c r="P62" s="633"/>
      <c r="Q62" s="633"/>
      <c r="R62" s="633"/>
      <c r="S62" s="625">
        <v>0</v>
      </c>
      <c r="T62" s="625">
        <f>+S62</f>
        <v>0</v>
      </c>
      <c r="U62" s="625">
        <f>U60+U61</f>
        <v>50</v>
      </c>
      <c r="V62" s="625">
        <f>V60+V61</f>
        <v>50</v>
      </c>
      <c r="W62" s="625">
        <f>W60+W61</f>
        <v>50</v>
      </c>
      <c r="X62" s="625"/>
      <c r="Y62" s="624"/>
      <c r="Z62" s="625"/>
      <c r="AA62" s="625"/>
      <c r="AB62" s="625"/>
      <c r="AC62" s="625">
        <f>AC60+AC61</f>
        <v>1510</v>
      </c>
      <c r="AD62" s="624">
        <f>AD60+AD61</f>
        <v>1510</v>
      </c>
      <c r="AE62" s="625">
        <f>Model!AE115+Model!AE112</f>
        <v>1470.5</v>
      </c>
      <c r="AF62" s="625">
        <f>Model!AF115+Model!AF112</f>
        <v>1715.4</v>
      </c>
      <c r="AG62" s="625">
        <f>Model!AG115+Model!AG112</f>
        <v>1630.4</v>
      </c>
      <c r="AH62" s="625">
        <f t="shared" ref="AH62:BM62" si="84">AH60+AH61</f>
        <v>1400</v>
      </c>
      <c r="AI62" s="624">
        <f t="shared" si="84"/>
        <v>1400</v>
      </c>
      <c r="AJ62" s="625">
        <f t="shared" si="84"/>
        <v>1350.5</v>
      </c>
      <c r="AK62" s="625">
        <f t="shared" si="84"/>
        <v>1310.5</v>
      </c>
      <c r="AL62" s="625">
        <f t="shared" si="84"/>
        <v>1270.5</v>
      </c>
      <c r="AM62" s="625">
        <f t="shared" si="84"/>
        <v>1220</v>
      </c>
      <c r="AN62" s="624">
        <f t="shared" si="84"/>
        <v>1220</v>
      </c>
      <c r="AO62" s="625">
        <f t="shared" si="84"/>
        <v>1160</v>
      </c>
      <c r="AP62" s="625">
        <f t="shared" si="84"/>
        <v>1100</v>
      </c>
      <c r="AQ62" s="625">
        <f t="shared" si="84"/>
        <v>1040</v>
      </c>
      <c r="AR62" s="625">
        <f t="shared" si="84"/>
        <v>960</v>
      </c>
      <c r="AS62" s="624">
        <f t="shared" si="84"/>
        <v>960</v>
      </c>
      <c r="AT62" s="625">
        <f t="shared" si="84"/>
        <v>880</v>
      </c>
      <c r="AU62" s="625">
        <f t="shared" si="84"/>
        <v>800</v>
      </c>
      <c r="AV62" s="625">
        <f t="shared" si="84"/>
        <v>720</v>
      </c>
      <c r="AW62" s="625">
        <f t="shared" si="84"/>
        <v>540</v>
      </c>
      <c r="AX62" s="624">
        <f t="shared" si="84"/>
        <v>540</v>
      </c>
      <c r="AY62" s="625">
        <f t="shared" si="84"/>
        <v>360</v>
      </c>
      <c r="AZ62" s="625">
        <f t="shared" si="84"/>
        <v>180</v>
      </c>
      <c r="BA62" s="625">
        <f t="shared" si="84"/>
        <v>0</v>
      </c>
      <c r="BB62" s="625">
        <f t="shared" si="84"/>
        <v>0</v>
      </c>
      <c r="BC62" s="624">
        <f t="shared" si="84"/>
        <v>0</v>
      </c>
      <c r="BD62" s="625">
        <f t="shared" si="84"/>
        <v>0</v>
      </c>
      <c r="BE62" s="625">
        <f t="shared" si="84"/>
        <v>0</v>
      </c>
      <c r="BF62" s="625">
        <f t="shared" si="84"/>
        <v>0</v>
      </c>
      <c r="BG62" s="625">
        <f t="shared" si="84"/>
        <v>0</v>
      </c>
      <c r="BH62" s="624">
        <f t="shared" si="84"/>
        <v>0</v>
      </c>
      <c r="BI62" s="625">
        <f t="shared" si="84"/>
        <v>0</v>
      </c>
      <c r="BJ62" s="625">
        <f t="shared" si="84"/>
        <v>0</v>
      </c>
      <c r="BK62" s="625">
        <f t="shared" si="84"/>
        <v>0</v>
      </c>
      <c r="BL62" s="625">
        <f t="shared" si="84"/>
        <v>0</v>
      </c>
      <c r="BM62" s="624">
        <f t="shared" si="84"/>
        <v>0</v>
      </c>
      <c r="BN62" s="625">
        <f t="shared" ref="BN62:BW62" si="85">BN60+BN61</f>
        <v>0</v>
      </c>
      <c r="BO62" s="625">
        <f t="shared" si="85"/>
        <v>0</v>
      </c>
      <c r="BP62" s="625">
        <f t="shared" si="85"/>
        <v>0</v>
      </c>
      <c r="BQ62" s="625">
        <f t="shared" si="85"/>
        <v>0</v>
      </c>
      <c r="BR62" s="340">
        <f t="shared" si="85"/>
        <v>0</v>
      </c>
      <c r="BS62" s="625">
        <f t="shared" si="85"/>
        <v>0</v>
      </c>
      <c r="BT62" s="625">
        <f t="shared" si="85"/>
        <v>0</v>
      </c>
      <c r="BU62" s="625">
        <f t="shared" si="85"/>
        <v>0</v>
      </c>
      <c r="BV62" s="625">
        <f t="shared" si="85"/>
        <v>0</v>
      </c>
      <c r="BW62" s="340">
        <f t="shared" si="85"/>
        <v>0</v>
      </c>
      <c r="BX62" s="625">
        <f t="shared" ref="BX62:CG62" si="86">BX60+BX61</f>
        <v>0</v>
      </c>
      <c r="BY62" s="625">
        <f t="shared" si="86"/>
        <v>0</v>
      </c>
      <c r="BZ62" s="625">
        <f t="shared" si="86"/>
        <v>0</v>
      </c>
      <c r="CA62" s="625">
        <f t="shared" si="86"/>
        <v>0</v>
      </c>
      <c r="CB62" s="563">
        <f t="shared" si="86"/>
        <v>0</v>
      </c>
      <c r="CC62" s="625">
        <f t="shared" si="86"/>
        <v>0</v>
      </c>
      <c r="CD62" s="625">
        <f t="shared" si="86"/>
        <v>0</v>
      </c>
      <c r="CE62" s="625">
        <f t="shared" si="86"/>
        <v>0</v>
      </c>
      <c r="CF62" s="625">
        <f t="shared" si="86"/>
        <v>0</v>
      </c>
      <c r="CG62" s="563">
        <f t="shared" si="86"/>
        <v>0</v>
      </c>
      <c r="CH62" s="625">
        <f t="shared" ref="CH62:CQ62" si="87">CH60+CH61</f>
        <v>0</v>
      </c>
      <c r="CI62" s="625">
        <f t="shared" si="87"/>
        <v>0</v>
      </c>
      <c r="CJ62" s="625">
        <f t="shared" si="87"/>
        <v>0</v>
      </c>
      <c r="CK62" s="625">
        <f t="shared" si="87"/>
        <v>0</v>
      </c>
      <c r="CL62" s="563">
        <f t="shared" si="87"/>
        <v>0</v>
      </c>
      <c r="CM62" s="625">
        <f t="shared" si="87"/>
        <v>0</v>
      </c>
      <c r="CN62" s="625">
        <f t="shared" si="87"/>
        <v>0</v>
      </c>
      <c r="CO62" s="625">
        <f t="shared" si="87"/>
        <v>0</v>
      </c>
      <c r="CP62" s="625">
        <f t="shared" si="87"/>
        <v>0</v>
      </c>
      <c r="CQ62" s="563">
        <f t="shared" si="87"/>
        <v>0</v>
      </c>
      <c r="CR62" s="625">
        <f t="shared" ref="CR62:CV62" si="88">CR60+CR61</f>
        <v>0</v>
      </c>
      <c r="CS62" s="625">
        <f t="shared" si="88"/>
        <v>0</v>
      </c>
      <c r="CT62" s="625">
        <f t="shared" si="88"/>
        <v>0</v>
      </c>
      <c r="CU62" s="625">
        <f t="shared" si="88"/>
        <v>0</v>
      </c>
      <c r="CV62" s="563">
        <f t="shared" si="88"/>
        <v>0</v>
      </c>
      <c r="CW62" s="625">
        <f t="shared" ref="CW62:DF62" si="89">CW60+CW61</f>
        <v>0</v>
      </c>
      <c r="CX62" s="625">
        <f t="shared" si="89"/>
        <v>0</v>
      </c>
      <c r="CY62" s="625">
        <f t="shared" si="89"/>
        <v>0</v>
      </c>
      <c r="CZ62" s="625">
        <f t="shared" si="89"/>
        <v>0</v>
      </c>
      <c r="DA62" s="563">
        <f t="shared" si="89"/>
        <v>0</v>
      </c>
      <c r="DB62" s="625">
        <f t="shared" si="89"/>
        <v>0</v>
      </c>
      <c r="DC62" s="625">
        <f t="shared" si="89"/>
        <v>0</v>
      </c>
      <c r="DD62" s="625">
        <f t="shared" si="89"/>
        <v>0</v>
      </c>
      <c r="DE62" s="625">
        <f t="shared" si="89"/>
        <v>0</v>
      </c>
      <c r="DF62" s="563">
        <f t="shared" si="89"/>
        <v>0</v>
      </c>
    </row>
    <row r="63" spans="2:110" x14ac:dyDescent="0.2">
      <c r="B63" s="536" t="s">
        <v>201</v>
      </c>
      <c r="C63" s="478"/>
      <c r="D63" s="633"/>
      <c r="E63" s="633"/>
      <c r="F63" s="633"/>
      <c r="G63" s="633"/>
      <c r="H63" s="633"/>
      <c r="I63" s="633"/>
      <c r="J63" s="633"/>
      <c r="K63" s="633"/>
      <c r="L63" s="633"/>
      <c r="M63" s="633"/>
      <c r="N63" s="633"/>
      <c r="O63" s="633"/>
      <c r="P63" s="633"/>
      <c r="Q63" s="633"/>
      <c r="R63" s="633"/>
      <c r="S63" s="634"/>
      <c r="T63" s="634"/>
      <c r="U63" s="634"/>
      <c r="V63" s="634"/>
      <c r="W63" s="634"/>
      <c r="X63" s="634"/>
      <c r="Y63" s="635"/>
      <c r="Z63" s="634"/>
      <c r="AA63" s="634"/>
      <c r="AB63" s="634"/>
      <c r="AC63" s="634">
        <f>AC59-AC62</f>
        <v>90</v>
      </c>
      <c r="AD63" s="635"/>
      <c r="AE63" s="634">
        <f>AE59-AE62</f>
        <v>129.5</v>
      </c>
      <c r="AF63" s="634">
        <f>AF59-AF62</f>
        <v>-115.40000000000009</v>
      </c>
      <c r="AG63" s="634">
        <f>AG59-AG62</f>
        <v>-30.400000000000091</v>
      </c>
      <c r="AH63" s="634">
        <f>AH59-AH62</f>
        <v>200</v>
      </c>
      <c r="AI63" s="635"/>
      <c r="AJ63" s="634">
        <f>AJ59-AJ62</f>
        <v>249.5</v>
      </c>
      <c r="AK63" s="634">
        <f>AK59-AK62</f>
        <v>289.5</v>
      </c>
      <c r="AL63" s="634">
        <f>AL59-AL62</f>
        <v>329.5</v>
      </c>
      <c r="AM63" s="634">
        <f>AM59-AM62</f>
        <v>380</v>
      </c>
      <c r="AN63" s="635"/>
      <c r="AO63" s="634">
        <f>AO59-AO62</f>
        <v>440</v>
      </c>
      <c r="AP63" s="634">
        <f>AP59-AP62</f>
        <v>500</v>
      </c>
      <c r="AQ63" s="634">
        <f>AQ59-AQ62</f>
        <v>560</v>
      </c>
      <c r="AR63" s="634">
        <f>AR59-AR62</f>
        <v>640</v>
      </c>
      <c r="AS63" s="635"/>
      <c r="AT63" s="634">
        <f>AT59-AT62</f>
        <v>720</v>
      </c>
      <c r="AU63" s="634">
        <f>AU59-AU62</f>
        <v>800</v>
      </c>
      <c r="AV63" s="634">
        <f>AV59-AV62</f>
        <v>880</v>
      </c>
      <c r="AW63" s="634">
        <f>AW59-AW62</f>
        <v>1060</v>
      </c>
      <c r="AX63" s="635"/>
      <c r="AY63" s="634">
        <f>AY59-AY62</f>
        <v>1240</v>
      </c>
      <c r="AZ63" s="634">
        <f>AZ59-AZ62</f>
        <v>1420</v>
      </c>
      <c r="BA63" s="634">
        <f>BA59-BA62</f>
        <v>1600</v>
      </c>
      <c r="BB63" s="634">
        <f>BB59-BB62</f>
        <v>1600</v>
      </c>
      <c r="BC63" s="635"/>
      <c r="BD63" s="634">
        <f>BD59-BD62</f>
        <v>0</v>
      </c>
      <c r="BE63" s="634">
        <f>BE59-BE62</f>
        <v>0</v>
      </c>
      <c r="BF63" s="634">
        <f>BF59-BF62</f>
        <v>0</v>
      </c>
      <c r="BG63" s="634">
        <f>BG59-BG62</f>
        <v>0</v>
      </c>
      <c r="BH63" s="635"/>
      <c r="BI63" s="634">
        <f>BI59-BI62</f>
        <v>0</v>
      </c>
      <c r="BJ63" s="634">
        <f>BJ59-BJ62</f>
        <v>0</v>
      </c>
      <c r="BK63" s="634">
        <f>BK59-BK62</f>
        <v>0</v>
      </c>
      <c r="BL63" s="634">
        <f>BL59-BL62</f>
        <v>0</v>
      </c>
      <c r="BM63" s="635"/>
      <c r="BN63" s="634">
        <f>BN59-BN62</f>
        <v>0</v>
      </c>
      <c r="BO63" s="634">
        <f>BO59-BO62</f>
        <v>0</v>
      </c>
      <c r="BP63" s="634">
        <f>BP59-BP62</f>
        <v>0</v>
      </c>
      <c r="BQ63" s="634">
        <f>BQ59-BQ62</f>
        <v>0</v>
      </c>
      <c r="BR63" s="334"/>
      <c r="BS63" s="634">
        <f>BS59-BS62</f>
        <v>0</v>
      </c>
      <c r="BT63" s="634">
        <f>BT59-BT62</f>
        <v>0</v>
      </c>
      <c r="BU63" s="634">
        <f>BU59-BU62</f>
        <v>0</v>
      </c>
      <c r="BV63" s="634">
        <f>BV59-BV62</f>
        <v>0</v>
      </c>
      <c r="BW63" s="334"/>
      <c r="BX63" s="634">
        <f>BX59-BX62</f>
        <v>0</v>
      </c>
      <c r="BY63" s="634">
        <f>BY59-BY62</f>
        <v>0</v>
      </c>
      <c r="BZ63" s="634">
        <f>BZ59-BZ62</f>
        <v>0</v>
      </c>
      <c r="CA63" s="634">
        <f>CA59-CA62</f>
        <v>0</v>
      </c>
      <c r="CB63" s="587"/>
      <c r="CC63" s="634">
        <f>CC59-CC62</f>
        <v>0</v>
      </c>
      <c r="CD63" s="634">
        <f>CD59-CD62</f>
        <v>0</v>
      </c>
      <c r="CE63" s="634">
        <f>CE59-CE62</f>
        <v>0</v>
      </c>
      <c r="CF63" s="634">
        <f>CF59-CF62</f>
        <v>0</v>
      </c>
      <c r="CG63" s="587"/>
      <c r="CH63" s="634">
        <f>CH59-CH62</f>
        <v>0</v>
      </c>
      <c r="CI63" s="634">
        <f>CI59-CI62</f>
        <v>0</v>
      </c>
      <c r="CJ63" s="634">
        <f>CJ59-CJ62</f>
        <v>0</v>
      </c>
      <c r="CK63" s="634">
        <f>CK59-CK62</f>
        <v>0</v>
      </c>
      <c r="CL63" s="587"/>
      <c r="CM63" s="634">
        <f>CM59-CM62</f>
        <v>0</v>
      </c>
      <c r="CN63" s="634">
        <f>CN59-CN62</f>
        <v>0</v>
      </c>
      <c r="CO63" s="634">
        <f>CO59-CO62</f>
        <v>0</v>
      </c>
      <c r="CP63" s="634">
        <f>CP59-CP62</f>
        <v>0</v>
      </c>
      <c r="CQ63" s="587"/>
      <c r="CR63" s="634">
        <f>CR59-CR62</f>
        <v>0</v>
      </c>
      <c r="CS63" s="634">
        <f>CS59-CS62</f>
        <v>0</v>
      </c>
      <c r="CT63" s="634">
        <f>CT59-CT62</f>
        <v>0</v>
      </c>
      <c r="CU63" s="634">
        <f>CU59-CU62</f>
        <v>0</v>
      </c>
      <c r="CV63" s="587"/>
      <c r="CW63" s="634">
        <f>CW59-CW62</f>
        <v>0</v>
      </c>
      <c r="CX63" s="634">
        <f>CX59-CX62</f>
        <v>0</v>
      </c>
      <c r="CY63" s="634">
        <f>CY59-CY62</f>
        <v>0</v>
      </c>
      <c r="CZ63" s="634">
        <f>CZ59-CZ62</f>
        <v>0</v>
      </c>
      <c r="DA63" s="587"/>
      <c r="DB63" s="634">
        <f>DB59-DB62</f>
        <v>0</v>
      </c>
      <c r="DC63" s="634">
        <f>DC59-DC62</f>
        <v>0</v>
      </c>
      <c r="DD63" s="634">
        <f>DD59-DD62</f>
        <v>0</v>
      </c>
      <c r="DE63" s="634">
        <f>DE59-DE62</f>
        <v>0</v>
      </c>
      <c r="DF63" s="587"/>
    </row>
    <row r="64" spans="2:110" x14ac:dyDescent="0.2">
      <c r="B64" s="544" t="s">
        <v>206</v>
      </c>
      <c r="C64" s="145"/>
      <c r="D64" s="145"/>
      <c r="E64" s="145"/>
      <c r="F64" s="145"/>
      <c r="G64" s="145"/>
      <c r="H64" s="145"/>
      <c r="I64" s="145"/>
      <c r="J64" s="145"/>
      <c r="K64" s="145"/>
      <c r="L64" s="145"/>
      <c r="M64" s="145"/>
      <c r="N64" s="145"/>
      <c r="O64" s="145"/>
      <c r="P64" s="145"/>
      <c r="Q64" s="145"/>
      <c r="R64" s="145"/>
      <c r="S64" s="346"/>
      <c r="T64" s="340"/>
      <c r="U64" s="346">
        <f>-(AVERAGE(U62,U60))*($X56/4)</f>
        <v>0</v>
      </c>
      <c r="V64" s="346">
        <f>-(AVERAGE(V62,V60))*($X56/4)</f>
        <v>0</v>
      </c>
      <c r="W64" s="625">
        <f>-(AVERAGE(W62,W60))*($X56/4)</f>
        <v>0</v>
      </c>
      <c r="X64" s="625"/>
      <c r="Y64" s="624"/>
      <c r="Z64" s="625"/>
      <c r="AA64" s="625"/>
      <c r="AB64" s="625"/>
      <c r="AC64" s="625">
        <f>-(AC62)*(AC58/4)</f>
        <v>-17.081875</v>
      </c>
      <c r="AD64" s="624">
        <f>SUM(Z64:AC64)</f>
        <v>-17.081875</v>
      </c>
      <c r="AE64" s="625">
        <f>-(AVERAGE(AE62,AE60))*(AE58/4)</f>
        <v>-20.118375</v>
      </c>
      <c r="AF64" s="625">
        <f>-(AVERAGE(AF62,AF60))*(AF58/4)</f>
        <v>-23.137598749999999</v>
      </c>
      <c r="AG64" s="625">
        <f>-(AVERAGE(AG62,AG60))*(AG58/4)</f>
        <v>-25.135322500000001</v>
      </c>
      <c r="AH64" s="625">
        <f>-(AVERAGE(AH62,AH60))*(AH58/4)</f>
        <v>-22.728000000000002</v>
      </c>
      <c r="AI64" s="624">
        <f>SUM(AE64:AH64)</f>
        <v>-91.119296249999991</v>
      </c>
      <c r="AJ64" s="625">
        <f>-(AVERAGE(AJ62,AJ60))*(AJ58/4)</f>
        <v>-20.62875</v>
      </c>
      <c r="AK64" s="625">
        <f>-(AVERAGE(AK62,AK60))*(AK58/4)</f>
        <v>-19.624874999999999</v>
      </c>
      <c r="AL64" s="625">
        <f>-(AVERAGE(AL62,AL60))*(AL58/4)</f>
        <v>-19.034875</v>
      </c>
      <c r="AM64" s="625">
        <f>-(AVERAGE(AM62,AM60))*(AM58/4)</f>
        <v>-17.122187499999999</v>
      </c>
      <c r="AN64" s="624">
        <f>SUM(AJ64:AM64)</f>
        <v>-76.410687499999995</v>
      </c>
      <c r="AO64" s="625">
        <f>-(AVERAGE(AO62,AO60))*(AO58/4)</f>
        <v>-14.059972680412372</v>
      </c>
      <c r="AP64" s="625">
        <f>-(AVERAGE(AP62,AP60))*(AP58/4)</f>
        <v>-9.7316425544041447</v>
      </c>
      <c r="AQ64" s="625">
        <f>-(AVERAGE(AQ62,AQ60))*(AQ58/4)</f>
        <v>-8.7667325828877001</v>
      </c>
      <c r="AR64" s="625">
        <f>-(AVERAGE(AR62,AR60))*(AR58/4)</f>
        <v>-11.789868611111112</v>
      </c>
      <c r="AS64" s="624">
        <f>SUM(AO64:AR64)</f>
        <v>-44.348216428815327</v>
      </c>
      <c r="AT64" s="625">
        <f>-(AVERAGE(AT62,AT60))*(AT58/4)</f>
        <v>-8.9441985465116307</v>
      </c>
      <c r="AU64" s="625">
        <f>-(AVERAGE(AU62,AU60))*(AU58/4)</f>
        <v>-3.2309281666666623</v>
      </c>
      <c r="AV64" s="625">
        <f>-(AVERAGE(AV62,AV60))*(AV58/4)</f>
        <v>-4.8459748461538465</v>
      </c>
      <c r="AW64" s="625">
        <f>-(AVERAGE(AW62,AW60))*(AW58/4)</f>
        <v>-1.6043660402097917</v>
      </c>
      <c r="AX64" s="624">
        <f>SUM(AT64:AW64)</f>
        <v>-18.625467599541935</v>
      </c>
      <c r="AY64" s="625">
        <f>-(AVERAGE(AY62,AY60))*(AY58/4)</f>
        <v>-1.7052641099999972</v>
      </c>
      <c r="AZ64" s="625">
        <f>-(AVERAGE(AZ62,AZ60))*(AZ58/4)</f>
        <v>-0.99222609112149518</v>
      </c>
      <c r="BA64" s="625">
        <f>-(AVERAGE(BA60,BA60))*(BA58/4)</f>
        <v>-0.74076658163265274</v>
      </c>
      <c r="BB64" s="625">
        <f>-(AVERAGE(BB62,BB60,0))*(BB58/4)</f>
        <v>0</v>
      </c>
      <c r="BC64" s="624">
        <f>SUM(AY64:BB64)</f>
        <v>-3.438256782754145</v>
      </c>
      <c r="BD64" s="625">
        <f>-(AVERAGE(BD62,BD60))*(BD58/4)</f>
        <v>0</v>
      </c>
      <c r="BE64" s="625">
        <f>-(AVERAGE(BE62,BE60))*(BE58/4)</f>
        <v>0</v>
      </c>
      <c r="BF64" s="625">
        <f>-(AVERAGE(BF62,BF60))*(BF58/4)</f>
        <v>0</v>
      </c>
      <c r="BG64" s="625">
        <f>-(AVERAGE(BG62,BG60))*(BG58/4)</f>
        <v>0</v>
      </c>
      <c r="BH64" s="624">
        <f>SUM(BD64:BG64)</f>
        <v>0</v>
      </c>
      <c r="BI64" s="625">
        <f>-(AVERAGE(BI62,BI60))*(BI58/4)</f>
        <v>0</v>
      </c>
      <c r="BJ64" s="625">
        <f>-(AVERAGE(BJ62,BJ60))*(BJ58/4)</f>
        <v>0</v>
      </c>
      <c r="BK64" s="625">
        <f>-(AVERAGE(BK62,BK60))*(BK58/4)</f>
        <v>0</v>
      </c>
      <c r="BL64" s="625">
        <f>-(AVERAGE(BL62,BL60))*(BL58/4)</f>
        <v>0</v>
      </c>
      <c r="BM64" s="624">
        <f>SUM(BI64:BL64)</f>
        <v>0</v>
      </c>
      <c r="BN64" s="625">
        <f>-(AVERAGE(BN62,BN60))*(BN58/4)</f>
        <v>0</v>
      </c>
      <c r="BO64" s="625">
        <f>-(AVERAGE(BO62,BO60))*(BO58/4)</f>
        <v>0</v>
      </c>
      <c r="BP64" s="625">
        <f>-(AVERAGE(BP62,BP60))*(BP58/4)</f>
        <v>0</v>
      </c>
      <c r="BQ64" s="625">
        <f>-(AVERAGE(BQ62,BQ60))*(BQ58/4)</f>
        <v>0</v>
      </c>
      <c r="BR64" s="624">
        <f>SUM(BN64:BQ64)</f>
        <v>0</v>
      </c>
      <c r="BS64" s="625">
        <f>-(AVERAGE(BS62,BS60))*(BS58/4)</f>
        <v>0</v>
      </c>
      <c r="BT64" s="625">
        <f>-(AVERAGE(BT62,BT60))*(BT58/4)</f>
        <v>0</v>
      </c>
      <c r="BU64" s="625">
        <f>-(AVERAGE(BU62,BU60))*(BU58/4)</f>
        <v>0</v>
      </c>
      <c r="BV64" s="625">
        <f>-(AVERAGE(BV62,BV60))*(BV58/4)</f>
        <v>0</v>
      </c>
      <c r="BW64" s="624">
        <f>SUM(BS64:BV64)</f>
        <v>0</v>
      </c>
      <c r="BX64" s="625">
        <f>-(AVERAGE(BX62,BX60))*(BX58/4)</f>
        <v>0</v>
      </c>
      <c r="BY64" s="625">
        <f>-(AVERAGE(BY62,BY60))*(BY58/4)</f>
        <v>0</v>
      </c>
      <c r="BZ64" s="625">
        <f>-(AVERAGE(BZ62,BZ60))*(BZ58/4)</f>
        <v>0</v>
      </c>
      <c r="CA64" s="625">
        <f>-(AVERAGE(CA62,CA60))*(CA58/4)</f>
        <v>0</v>
      </c>
      <c r="CB64" s="626">
        <f>SUM(BX64:CA64)</f>
        <v>0</v>
      </c>
      <c r="CC64" s="625">
        <f>-(AVERAGE(CC62,CC60))*(CC58/4)</f>
        <v>0</v>
      </c>
      <c r="CD64" s="625">
        <f>-(AVERAGE(CD62,CD60))*(CD58/4)</f>
        <v>0</v>
      </c>
      <c r="CE64" s="625">
        <f>-(AVERAGE(CE62,CE60))*(CE58/4)</f>
        <v>0</v>
      </c>
      <c r="CF64" s="625">
        <f>-(AVERAGE(CF62,CF60))*(CF58/4)</f>
        <v>0</v>
      </c>
      <c r="CG64" s="626">
        <f>SUM(CC64:CF64)</f>
        <v>0</v>
      </c>
      <c r="CH64" s="625">
        <f>-(AVERAGE(CH62,CH60))*(CH58/4)</f>
        <v>0</v>
      </c>
      <c r="CI64" s="625">
        <f>-(AVERAGE(CI62,CI60))*(CI58/4)</f>
        <v>0</v>
      </c>
      <c r="CJ64" s="625">
        <f>-(AVERAGE(CJ62,CJ60))*(CJ58/4)</f>
        <v>0</v>
      </c>
      <c r="CK64" s="625">
        <f>-(AVERAGE(CK62,CK60))*(CK58/4)</f>
        <v>0</v>
      </c>
      <c r="CL64" s="626">
        <f>SUM(CH64:CK64)</f>
        <v>0</v>
      </c>
      <c r="CM64" s="625">
        <f>-(AVERAGE(CM62,CM60))*(CM58/4)</f>
        <v>0</v>
      </c>
      <c r="CN64" s="625">
        <f>-(AVERAGE(CN62,CN60))*(CN58/4)</f>
        <v>0</v>
      </c>
      <c r="CO64" s="625">
        <f>-(AVERAGE(CO62,CO60))*(CO58/4)</f>
        <v>0</v>
      </c>
      <c r="CP64" s="625">
        <f>-(AVERAGE(CP62,CP60))*(CP58/4)</f>
        <v>0</v>
      </c>
      <c r="CQ64" s="626">
        <f>SUM(CM64:CP64)</f>
        <v>0</v>
      </c>
      <c r="CR64" s="625">
        <f>-(AVERAGE(CR62,CR60))*(CR58/4)</f>
        <v>0</v>
      </c>
      <c r="CS64" s="625">
        <f>-(AVERAGE(CS62,CS60))*(CS58/4)</f>
        <v>0</v>
      </c>
      <c r="CT64" s="625">
        <f>-(AVERAGE(CT62,CT60))*(CT58/4)</f>
        <v>0</v>
      </c>
      <c r="CU64" s="625">
        <f>-(AVERAGE(CU62,CU60))*(CU58/4)</f>
        <v>0</v>
      </c>
      <c r="CV64" s="626">
        <f>SUM(CR64:CU64)</f>
        <v>0</v>
      </c>
      <c r="CW64" s="625">
        <f>-(AVERAGE(CW62,CW60))*(CW58/4)</f>
        <v>0</v>
      </c>
      <c r="CX64" s="625">
        <f>-(AVERAGE(CX62,CX60))*(CX58/4)</f>
        <v>0</v>
      </c>
      <c r="CY64" s="625">
        <f>-(AVERAGE(CY62,CY60))*(CY58/4)</f>
        <v>0</v>
      </c>
      <c r="CZ64" s="625">
        <f>-(AVERAGE(CZ62,CZ60))*(CZ58/4)</f>
        <v>0</v>
      </c>
      <c r="DA64" s="626">
        <f>SUM(CW64:CZ64)</f>
        <v>0</v>
      </c>
      <c r="DB64" s="625">
        <f>-(AVERAGE(DB62,DB60))*(DB58/4)</f>
        <v>0</v>
      </c>
      <c r="DC64" s="625">
        <f>-(AVERAGE(DC62,DC60))*(DC58/4)</f>
        <v>0</v>
      </c>
      <c r="DD64" s="625">
        <f>-(AVERAGE(DD62,DD60))*(DD58/4)</f>
        <v>0</v>
      </c>
      <c r="DE64" s="625">
        <f>-(AVERAGE(DE62,DE60))*(DE58/4)</f>
        <v>0</v>
      </c>
      <c r="DF64" s="626">
        <f>SUM(DB64:DE64)</f>
        <v>0</v>
      </c>
    </row>
    <row r="65" spans="1:110" ht="12" thickBot="1" x14ac:dyDescent="0.25">
      <c r="A65" s="636"/>
      <c r="B65" s="637" t="s">
        <v>207</v>
      </c>
      <c r="C65" s="638"/>
      <c r="D65" s="638"/>
      <c r="E65" s="638"/>
      <c r="F65" s="638"/>
      <c r="G65" s="638"/>
      <c r="H65" s="638"/>
      <c r="I65" s="638"/>
      <c r="J65" s="638"/>
      <c r="K65" s="638"/>
      <c r="L65" s="638"/>
      <c r="M65" s="638"/>
      <c r="N65" s="638"/>
      <c r="O65" s="638"/>
      <c r="P65" s="638"/>
      <c r="Q65" s="638"/>
      <c r="R65" s="638"/>
      <c r="S65" s="639"/>
      <c r="T65" s="640"/>
      <c r="U65" s="639"/>
      <c r="V65" s="639"/>
      <c r="W65" s="639"/>
      <c r="X65" s="639"/>
      <c r="Y65" s="640"/>
      <c r="Z65" s="639"/>
      <c r="AA65" s="639"/>
      <c r="AB65" s="639"/>
      <c r="AC65" s="639">
        <f>-AC57*AC63/4</f>
        <v>-3.3750000000000002E-2</v>
      </c>
      <c r="AD65" s="640"/>
      <c r="AE65" s="639">
        <f>-AE57*AE63/4</f>
        <v>-4.8562500000000001E-2</v>
      </c>
      <c r="AF65" s="639">
        <f>-AF57*AF63/4</f>
        <v>4.3275000000000036E-2</v>
      </c>
      <c r="AG65" s="639">
        <f>-AG57*AG63/4</f>
        <v>1.1400000000000035E-2</v>
      </c>
      <c r="AH65" s="639">
        <f>-AH57*AH63/4</f>
        <v>-7.4999999999999997E-2</v>
      </c>
      <c r="AI65" s="640"/>
      <c r="AJ65" s="639">
        <f>-AJ57*AJ63/4</f>
        <v>-9.3562500000000007E-2</v>
      </c>
      <c r="AK65" s="639">
        <f>-AK57*AK63/4</f>
        <v>-0.10856250000000001</v>
      </c>
      <c r="AL65" s="639">
        <f>-AL57*AL63/4</f>
        <v>-0.12356250000000001</v>
      </c>
      <c r="AM65" s="639">
        <f>-AM57*AM63/4</f>
        <v>-0.14250000000000002</v>
      </c>
      <c r="AN65" s="640"/>
      <c r="AO65" s="639">
        <f>-AO57*AO63/4</f>
        <v>0</v>
      </c>
      <c r="AP65" s="639">
        <f>-AP57*AP63/4</f>
        <v>0</v>
      </c>
      <c r="AQ65" s="639">
        <f>-AQ57*AQ63/4</f>
        <v>0</v>
      </c>
      <c r="AR65" s="639">
        <f>-AR57*AR63/4</f>
        <v>0</v>
      </c>
      <c r="AS65" s="640"/>
      <c r="AT65" s="639">
        <f>-AT57*AT63/4</f>
        <v>0</v>
      </c>
      <c r="AU65" s="639">
        <f>-AU57*AU63/4</f>
        <v>0</v>
      </c>
      <c r="AV65" s="639">
        <f>-AV57*AV63/4</f>
        <v>0</v>
      </c>
      <c r="AW65" s="639">
        <f>-AW57*AW63/4</f>
        <v>0</v>
      </c>
      <c r="AX65" s="640"/>
      <c r="AY65" s="639">
        <f>-AY57*AY63/4</f>
        <v>0</v>
      </c>
      <c r="AZ65" s="639">
        <f>-AZ57*AZ63/4</f>
        <v>0</v>
      </c>
      <c r="BA65" s="639">
        <f>-BA57*BA63/4</f>
        <v>0</v>
      </c>
      <c r="BB65" s="639">
        <f>-BB57*BB63/4</f>
        <v>0</v>
      </c>
      <c r="BC65" s="640"/>
      <c r="BD65" s="639">
        <f>-BD57*BD63/4</f>
        <v>0</v>
      </c>
      <c r="BE65" s="639">
        <f>-BE57*BE63/4</f>
        <v>0</v>
      </c>
      <c r="BF65" s="639">
        <f>-BF57*BF63/4</f>
        <v>0</v>
      </c>
      <c r="BG65" s="639">
        <f>-BG57*BG63/4</f>
        <v>0</v>
      </c>
      <c r="BH65" s="640"/>
      <c r="BI65" s="639">
        <f>-BI57*BI63/4</f>
        <v>0</v>
      </c>
      <c r="BJ65" s="639">
        <f>-BJ57*BJ63/4</f>
        <v>0</v>
      </c>
      <c r="BK65" s="639">
        <f>-BK57*BK63/4</f>
        <v>0</v>
      </c>
      <c r="BL65" s="639">
        <f>-BL57*BL63/4</f>
        <v>0</v>
      </c>
      <c r="BM65" s="640"/>
      <c r="BN65" s="639">
        <f>-BN57*BN63/4</f>
        <v>0</v>
      </c>
      <c r="BO65" s="639">
        <f>-BO57*BO63/4</f>
        <v>0</v>
      </c>
      <c r="BP65" s="639">
        <f>-BP57*BP63/4</f>
        <v>0</v>
      </c>
      <c r="BQ65" s="639">
        <f>-BQ57*BQ63/4</f>
        <v>0</v>
      </c>
      <c r="BR65" s="640"/>
      <c r="BS65" s="639">
        <f>-BS57*BS63/4</f>
        <v>0</v>
      </c>
      <c r="BT65" s="639">
        <f>-BT57*BT63/4</f>
        <v>0</v>
      </c>
      <c r="BU65" s="639">
        <f>-BU57*BU63/4</f>
        <v>0</v>
      </c>
      <c r="BV65" s="639">
        <f>-BV57*BV63/4</f>
        <v>0</v>
      </c>
      <c r="BW65" s="640"/>
      <c r="BX65" s="639">
        <f>-BX57*BX63/4</f>
        <v>0</v>
      </c>
      <c r="BY65" s="639">
        <f>-BY57*BY63/4</f>
        <v>0</v>
      </c>
      <c r="BZ65" s="639">
        <f>-BZ57*BZ63/4</f>
        <v>0</v>
      </c>
      <c r="CA65" s="639">
        <f>-CA57*CA63/4</f>
        <v>0</v>
      </c>
      <c r="CB65" s="641"/>
      <c r="CC65" s="639">
        <f>-CC57*CC63/4</f>
        <v>0</v>
      </c>
      <c r="CD65" s="639">
        <f>-CD57*CD63/4</f>
        <v>0</v>
      </c>
      <c r="CE65" s="639">
        <f>-CE57*CE63/4</f>
        <v>0</v>
      </c>
      <c r="CF65" s="639">
        <f>-CF57*CF63/4</f>
        <v>0</v>
      </c>
      <c r="CG65" s="641"/>
      <c r="CH65" s="639">
        <f>-CH57*CH63/4</f>
        <v>0</v>
      </c>
      <c r="CI65" s="639">
        <f>-CI57*CI63/4</f>
        <v>0</v>
      </c>
      <c r="CJ65" s="639">
        <f>-CJ57*CJ63/4</f>
        <v>0</v>
      </c>
      <c r="CK65" s="639">
        <f>-CK57*CK63/4</f>
        <v>0</v>
      </c>
      <c r="CL65" s="641"/>
      <c r="CM65" s="639">
        <f>-CM57*CM63/4</f>
        <v>0</v>
      </c>
      <c r="CN65" s="639">
        <f>-CN57*CN63/4</f>
        <v>0</v>
      </c>
      <c r="CO65" s="639">
        <f>-CO57*CO63/4</f>
        <v>0</v>
      </c>
      <c r="CP65" s="639">
        <f>-CP57*CP63/4</f>
        <v>0</v>
      </c>
      <c r="CQ65" s="641"/>
      <c r="CR65" s="639">
        <f>-CR57*CR63/4</f>
        <v>0</v>
      </c>
      <c r="CS65" s="639">
        <f>-CS57*CS63/4</f>
        <v>0</v>
      </c>
      <c r="CT65" s="639">
        <f>-CT57*CT63/4</f>
        <v>0</v>
      </c>
      <c r="CU65" s="639">
        <f>-CU57*CU63/4</f>
        <v>0</v>
      </c>
      <c r="CV65" s="641"/>
      <c r="CW65" s="639">
        <f>-CW57*CW63/4</f>
        <v>0</v>
      </c>
      <c r="CX65" s="639">
        <f>-CX57*CX63/4</f>
        <v>0</v>
      </c>
      <c r="CY65" s="639">
        <f>-CY57*CY63/4</f>
        <v>0</v>
      </c>
      <c r="CZ65" s="639">
        <f>-CZ57*CZ63/4</f>
        <v>0</v>
      </c>
      <c r="DA65" s="641"/>
      <c r="DB65" s="639">
        <f>-DB57*DB63/4</f>
        <v>0</v>
      </c>
      <c r="DC65" s="639">
        <f>-DC57*DC63/4</f>
        <v>0</v>
      </c>
      <c r="DD65" s="639">
        <f>-DD57*DD63/4</f>
        <v>0</v>
      </c>
      <c r="DE65" s="639">
        <f>-DE57*DE63/4</f>
        <v>0</v>
      </c>
      <c r="DF65" s="641"/>
    </row>
    <row r="66" spans="1:110" s="326" customFormat="1" ht="12" thickBot="1" x14ac:dyDescent="0.25">
      <c r="B66" s="603"/>
      <c r="C66" s="145"/>
      <c r="D66" s="145"/>
      <c r="E66" s="145"/>
      <c r="F66" s="145"/>
      <c r="G66" s="145"/>
      <c r="H66" s="145"/>
      <c r="I66" s="145"/>
      <c r="J66" s="145"/>
      <c r="K66" s="145"/>
      <c r="L66" s="145"/>
      <c r="M66" s="145"/>
      <c r="N66" s="145"/>
      <c r="O66" s="145"/>
      <c r="P66" s="145"/>
      <c r="Q66" s="145"/>
      <c r="R66" s="145"/>
      <c r="S66" s="346"/>
      <c r="T66" s="346"/>
      <c r="U66" s="346"/>
      <c r="Y66" s="346"/>
      <c r="Z66" s="346"/>
      <c r="AA66" s="346"/>
      <c r="AB66" s="346"/>
      <c r="AC66" s="346"/>
      <c r="AD66" s="346"/>
      <c r="AE66" s="346"/>
      <c r="AF66" s="346"/>
      <c r="AG66" s="346"/>
      <c r="AH66" s="346"/>
      <c r="AI66" s="346"/>
      <c r="AJ66" s="346"/>
      <c r="AK66" s="346"/>
      <c r="AL66" s="346"/>
      <c r="AM66" s="346"/>
      <c r="AN66" s="346"/>
      <c r="AO66" s="346"/>
      <c r="AP66" s="346"/>
      <c r="AQ66" s="346"/>
      <c r="AR66" s="346"/>
      <c r="AS66" s="346"/>
      <c r="AT66" s="346"/>
      <c r="AU66" s="346"/>
      <c r="AV66" s="346"/>
      <c r="AW66" s="346"/>
      <c r="AX66" s="346"/>
      <c r="AY66" s="346"/>
      <c r="AZ66" s="346"/>
      <c r="BA66" s="346"/>
      <c r="BB66" s="346"/>
      <c r="BC66" s="346"/>
      <c r="BD66" s="346"/>
      <c r="BE66" s="346"/>
      <c r="BF66" s="346"/>
      <c r="BG66" s="346"/>
      <c r="BH66" s="346"/>
      <c r="BI66" s="346"/>
      <c r="BJ66" s="346"/>
      <c r="BK66" s="346"/>
      <c r="BL66" s="346"/>
      <c r="BM66" s="346"/>
      <c r="BN66" s="346"/>
      <c r="BO66" s="346"/>
      <c r="BP66" s="346"/>
      <c r="BQ66" s="346"/>
      <c r="BR66" s="346"/>
      <c r="BS66" s="346"/>
      <c r="BT66" s="346"/>
      <c r="BU66" s="346"/>
      <c r="BV66" s="346"/>
      <c r="BW66" s="346"/>
      <c r="BX66" s="346"/>
      <c r="BY66" s="346"/>
      <c r="BZ66" s="346"/>
      <c r="CA66" s="346"/>
      <c r="CB66" s="346"/>
      <c r="CC66" s="346"/>
      <c r="CD66" s="346"/>
      <c r="CE66" s="346"/>
      <c r="CF66" s="346"/>
      <c r="CG66" s="346"/>
      <c r="CH66" s="346"/>
      <c r="CI66" s="346"/>
      <c r="CJ66" s="346"/>
      <c r="CK66" s="346"/>
      <c r="CL66" s="346"/>
      <c r="CM66" s="346"/>
      <c r="CN66" s="346"/>
      <c r="CO66" s="346"/>
      <c r="CP66" s="346"/>
      <c r="CQ66" s="346"/>
      <c r="CR66" s="346"/>
      <c r="CS66" s="346"/>
      <c r="CT66" s="346"/>
      <c r="CU66" s="346"/>
      <c r="CV66" s="346"/>
      <c r="CW66" s="346"/>
      <c r="CX66" s="346"/>
      <c r="CY66" s="346"/>
      <c r="CZ66" s="346"/>
      <c r="DA66" s="346"/>
      <c r="DB66" s="346"/>
      <c r="DC66" s="346"/>
      <c r="DD66" s="346"/>
      <c r="DE66" s="346"/>
      <c r="DF66" s="346"/>
    </row>
    <row r="67" spans="1:110" ht="12" thickBot="1" x14ac:dyDescent="0.25">
      <c r="B67" s="981" t="s">
        <v>229</v>
      </c>
      <c r="C67" s="989"/>
      <c r="D67" s="989"/>
      <c r="E67" s="989"/>
      <c r="F67" s="989"/>
      <c r="G67" s="989"/>
      <c r="H67" s="989"/>
      <c r="I67" s="989"/>
      <c r="J67" s="989"/>
      <c r="K67" s="989"/>
      <c r="L67" s="989"/>
      <c r="M67" s="989"/>
      <c r="N67" s="989"/>
      <c r="O67" s="989"/>
      <c r="P67" s="989"/>
      <c r="Q67" s="989"/>
      <c r="R67" s="989"/>
      <c r="S67" s="990"/>
      <c r="T67" s="990"/>
      <c r="U67" s="990"/>
      <c r="V67" s="991"/>
      <c r="W67" s="991"/>
      <c r="X67" s="991"/>
      <c r="Y67" s="990"/>
      <c r="Z67" s="990"/>
      <c r="AA67" s="990"/>
      <c r="AB67" s="990"/>
      <c r="AC67" s="990"/>
      <c r="AD67" s="990"/>
      <c r="AE67" s="990"/>
      <c r="AF67" s="990"/>
      <c r="AG67" s="990"/>
      <c r="AH67" s="990"/>
      <c r="AI67" s="990"/>
      <c r="AJ67" s="990"/>
      <c r="AK67" s="990"/>
      <c r="AL67" s="990"/>
      <c r="AM67" s="990"/>
      <c r="AN67" s="990"/>
      <c r="AO67" s="990"/>
      <c r="AP67" s="990"/>
      <c r="AQ67" s="990"/>
      <c r="AR67" s="990"/>
      <c r="AS67" s="990"/>
      <c r="AT67" s="990"/>
      <c r="AU67" s="990"/>
      <c r="AV67" s="990"/>
      <c r="AW67" s="990"/>
      <c r="AX67" s="990"/>
      <c r="AY67" s="990"/>
      <c r="AZ67" s="990"/>
      <c r="BA67" s="990"/>
      <c r="BB67" s="990"/>
      <c r="BC67" s="990"/>
      <c r="BD67" s="990"/>
      <c r="BE67" s="990"/>
      <c r="BF67" s="990"/>
      <c r="BG67" s="990"/>
      <c r="BH67" s="990"/>
      <c r="BI67" s="990"/>
      <c r="BJ67" s="990"/>
      <c r="BK67" s="990"/>
      <c r="BL67" s="990"/>
      <c r="BM67" s="990"/>
      <c r="BN67" s="990"/>
      <c r="BO67" s="990"/>
      <c r="BP67" s="990"/>
      <c r="BQ67" s="990"/>
      <c r="BR67" s="990"/>
      <c r="BS67" s="990"/>
      <c r="BT67" s="990"/>
      <c r="BU67" s="990"/>
      <c r="BV67" s="990"/>
      <c r="BW67" s="990"/>
      <c r="BX67" s="990"/>
      <c r="BY67" s="990"/>
      <c r="BZ67" s="990"/>
      <c r="CA67" s="990"/>
      <c r="CB67" s="992"/>
      <c r="CC67" s="990"/>
      <c r="CD67" s="990"/>
      <c r="CE67" s="990"/>
      <c r="CF67" s="990"/>
      <c r="CG67" s="992"/>
      <c r="CH67" s="990"/>
      <c r="CI67" s="990"/>
      <c r="CJ67" s="990"/>
      <c r="CK67" s="990"/>
      <c r="CL67" s="992"/>
      <c r="CM67" s="990"/>
      <c r="CN67" s="990"/>
      <c r="CO67" s="990"/>
      <c r="CP67" s="990"/>
      <c r="CQ67" s="992"/>
      <c r="CR67" s="990"/>
      <c r="CS67" s="990"/>
      <c r="CT67" s="990"/>
      <c r="CU67" s="990"/>
      <c r="CV67" s="992"/>
      <c r="CW67" s="990"/>
      <c r="CX67" s="990"/>
      <c r="CY67" s="990"/>
      <c r="CZ67" s="990"/>
      <c r="DA67" s="992"/>
      <c r="DB67" s="990"/>
      <c r="DC67" s="990"/>
      <c r="DD67" s="990"/>
      <c r="DE67" s="990"/>
      <c r="DF67" s="992"/>
    </row>
    <row r="68" spans="1:110" x14ac:dyDescent="0.2">
      <c r="B68" s="578" t="s">
        <v>203</v>
      </c>
      <c r="C68" s="145"/>
      <c r="D68" s="145"/>
      <c r="E68" s="145"/>
      <c r="F68" s="145"/>
      <c r="G68" s="145"/>
      <c r="H68" s="145"/>
      <c r="I68" s="145"/>
      <c r="J68" s="145"/>
      <c r="K68" s="145"/>
      <c r="L68" s="145"/>
      <c r="M68" s="145"/>
      <c r="N68" s="145"/>
      <c r="O68" s="145"/>
      <c r="P68" s="145"/>
      <c r="Q68" s="145"/>
      <c r="R68" s="145"/>
      <c r="S68" s="346"/>
      <c r="T68" s="346"/>
      <c r="U68" s="346"/>
      <c r="V68" s="326"/>
      <c r="W68" s="326"/>
      <c r="X68" s="326"/>
      <c r="Y68" s="340"/>
      <c r="Z68" s="346"/>
      <c r="AA68" s="346"/>
      <c r="AB68" s="346"/>
      <c r="AC68" s="346"/>
      <c r="AD68" s="340"/>
      <c r="AE68" s="346"/>
      <c r="AF68" s="346"/>
      <c r="AG68" s="346"/>
      <c r="AH68" s="346"/>
      <c r="AI68" s="340"/>
      <c r="AJ68" s="346"/>
      <c r="AK68" s="346"/>
      <c r="AL68" s="346"/>
      <c r="AM68" s="346"/>
      <c r="AN68" s="340"/>
      <c r="AO68" s="346"/>
      <c r="AP68" s="346"/>
      <c r="AQ68" s="346"/>
      <c r="AR68" s="346"/>
      <c r="AS68" s="340"/>
      <c r="AT68" s="346"/>
      <c r="AU68" s="267">
        <v>0</v>
      </c>
      <c r="AV68" s="146">
        <f>AU68</f>
        <v>0</v>
      </c>
      <c r="AW68" s="146">
        <f>AV68</f>
        <v>0</v>
      </c>
      <c r="AX68" s="340"/>
      <c r="AY68" s="146">
        <f>AW68</f>
        <v>0</v>
      </c>
      <c r="AZ68" s="146">
        <f t="shared" ref="AZ68:BB70" si="90">AY68</f>
        <v>0</v>
      </c>
      <c r="BA68" s="146">
        <f t="shared" si="90"/>
        <v>0</v>
      </c>
      <c r="BB68" s="146">
        <f t="shared" si="90"/>
        <v>0</v>
      </c>
      <c r="BC68" s="340"/>
      <c r="BD68" s="146">
        <f>BB68</f>
        <v>0</v>
      </c>
      <c r="BE68" s="146">
        <f t="shared" ref="BE68:BG70" si="91">BD68</f>
        <v>0</v>
      </c>
      <c r="BF68" s="146">
        <f t="shared" si="91"/>
        <v>0</v>
      </c>
      <c r="BG68" s="146">
        <f t="shared" si="91"/>
        <v>0</v>
      </c>
      <c r="BH68" s="340"/>
      <c r="BI68" s="146">
        <f>BG68</f>
        <v>0</v>
      </c>
      <c r="BJ68" s="146">
        <f t="shared" ref="BJ68:BL70" si="92">BI68</f>
        <v>0</v>
      </c>
      <c r="BK68" s="146">
        <f t="shared" si="92"/>
        <v>0</v>
      </c>
      <c r="BL68" s="146">
        <f t="shared" si="92"/>
        <v>0</v>
      </c>
      <c r="BM68" s="532"/>
      <c r="BN68" s="146">
        <f>BL68</f>
        <v>0</v>
      </c>
      <c r="BO68" s="146">
        <f t="shared" ref="BO68:BQ70" si="93">BN68</f>
        <v>0</v>
      </c>
      <c r="BP68" s="146">
        <f t="shared" si="93"/>
        <v>0</v>
      </c>
      <c r="BQ68" s="146">
        <f t="shared" si="93"/>
        <v>0</v>
      </c>
      <c r="BR68" s="532"/>
      <c r="BS68" s="146">
        <f>BQ68</f>
        <v>0</v>
      </c>
      <c r="BT68" s="146">
        <f t="shared" ref="BT68:BV70" si="94">BS68</f>
        <v>0</v>
      </c>
      <c r="BU68" s="146">
        <f t="shared" si="94"/>
        <v>0</v>
      </c>
      <c r="BV68" s="146">
        <f t="shared" si="94"/>
        <v>0</v>
      </c>
      <c r="BW68" s="532"/>
      <c r="BX68" s="146">
        <f>BV68</f>
        <v>0</v>
      </c>
      <c r="BY68" s="146">
        <f t="shared" ref="BY68:CA70" si="95">BX68</f>
        <v>0</v>
      </c>
      <c r="BZ68" s="146">
        <f t="shared" si="95"/>
        <v>0</v>
      </c>
      <c r="CA68" s="146">
        <f t="shared" si="95"/>
        <v>0</v>
      </c>
      <c r="CB68" s="563"/>
      <c r="CC68" s="146">
        <f>CA68</f>
        <v>0</v>
      </c>
      <c r="CD68" s="146">
        <f t="shared" ref="CD68:CF70" si="96">CC68</f>
        <v>0</v>
      </c>
      <c r="CE68" s="146">
        <f t="shared" si="96"/>
        <v>0</v>
      </c>
      <c r="CF68" s="146">
        <f t="shared" si="96"/>
        <v>0</v>
      </c>
      <c r="CG68" s="563"/>
      <c r="CH68" s="146">
        <f>CF68</f>
        <v>0</v>
      </c>
      <c r="CI68" s="146">
        <f t="shared" ref="CI68:CK70" si="97">CH68</f>
        <v>0</v>
      </c>
      <c r="CJ68" s="146">
        <f t="shared" si="97"/>
        <v>0</v>
      </c>
      <c r="CK68" s="146">
        <f t="shared" si="97"/>
        <v>0</v>
      </c>
      <c r="CL68" s="563"/>
      <c r="CM68" s="146">
        <f>CK68</f>
        <v>0</v>
      </c>
      <c r="CN68" s="146">
        <f t="shared" ref="CN68:CP70" si="98">CM68</f>
        <v>0</v>
      </c>
      <c r="CO68" s="146">
        <f t="shared" si="98"/>
        <v>0</v>
      </c>
      <c r="CP68" s="146">
        <f t="shared" si="98"/>
        <v>0</v>
      </c>
      <c r="CQ68" s="563"/>
      <c r="CR68" s="146">
        <f>CP68</f>
        <v>0</v>
      </c>
      <c r="CS68" s="146">
        <f t="shared" ref="CS68:CS70" si="99">CR68</f>
        <v>0</v>
      </c>
      <c r="CT68" s="146">
        <f t="shared" ref="CT68:CT70" si="100">CS68</f>
        <v>0</v>
      </c>
      <c r="CU68" s="146">
        <f t="shared" ref="CU68:CU70" si="101">CT68</f>
        <v>0</v>
      </c>
      <c r="CV68" s="563"/>
      <c r="CW68" s="146">
        <f>CU68</f>
        <v>0</v>
      </c>
      <c r="CX68" s="146">
        <f t="shared" ref="CX68:CX70" si="102">CW68</f>
        <v>0</v>
      </c>
      <c r="CY68" s="146">
        <f t="shared" ref="CY68:CY70" si="103">CX68</f>
        <v>0</v>
      </c>
      <c r="CZ68" s="146">
        <f t="shared" ref="CZ68:CZ70" si="104">CY68</f>
        <v>0</v>
      </c>
      <c r="DA68" s="563"/>
      <c r="DB68" s="146">
        <f>CZ68</f>
        <v>0</v>
      </c>
      <c r="DC68" s="146">
        <f t="shared" ref="DC68:DC70" si="105">DB68</f>
        <v>0</v>
      </c>
      <c r="DD68" s="146">
        <f t="shared" ref="DD68:DD70" si="106">DC68</f>
        <v>0</v>
      </c>
      <c r="DE68" s="146">
        <f t="shared" ref="DE68:DE70" si="107">DD68</f>
        <v>0</v>
      </c>
      <c r="DF68" s="563"/>
    </row>
    <row r="69" spans="1:110" x14ac:dyDescent="0.2">
      <c r="B69" s="578" t="s">
        <v>204</v>
      </c>
      <c r="C69" s="145"/>
      <c r="D69" s="145"/>
      <c r="E69" s="145"/>
      <c r="F69" s="145"/>
      <c r="G69" s="145"/>
      <c r="H69" s="145"/>
      <c r="I69" s="145"/>
      <c r="J69" s="145"/>
      <c r="K69" s="145"/>
      <c r="L69" s="145"/>
      <c r="M69" s="145"/>
      <c r="N69" s="145"/>
      <c r="O69" s="145"/>
      <c r="P69" s="145"/>
      <c r="Q69" s="145"/>
      <c r="R69" s="145"/>
      <c r="S69" s="346"/>
      <c r="T69" s="346"/>
      <c r="U69" s="346"/>
      <c r="V69" s="326"/>
      <c r="W69" s="326"/>
      <c r="X69" s="326"/>
      <c r="Y69" s="340"/>
      <c r="Z69" s="346"/>
      <c r="AA69" s="346"/>
      <c r="AB69" s="346"/>
      <c r="AC69" s="346"/>
      <c r="AD69" s="340"/>
      <c r="AE69" s="346"/>
      <c r="AF69" s="346"/>
      <c r="AG69" s="346"/>
      <c r="AH69" s="346"/>
      <c r="AI69" s="340"/>
      <c r="AJ69" s="346"/>
      <c r="AK69" s="346"/>
      <c r="AL69" s="346"/>
      <c r="AM69" s="346"/>
      <c r="AN69" s="340"/>
      <c r="AO69" s="346"/>
      <c r="AP69" s="346"/>
      <c r="AQ69" s="346"/>
      <c r="AR69" s="346"/>
      <c r="AS69" s="340"/>
      <c r="AT69" s="346"/>
      <c r="AU69" s="267">
        <v>5.2499999999999998E-2</v>
      </c>
      <c r="AV69" s="146">
        <f>AU69</f>
        <v>5.2499999999999998E-2</v>
      </c>
      <c r="AW69" s="146">
        <f>AV69</f>
        <v>5.2499999999999998E-2</v>
      </c>
      <c r="AX69" s="340"/>
      <c r="AY69" s="146">
        <f>AW69</f>
        <v>5.2499999999999998E-2</v>
      </c>
      <c r="AZ69" s="146">
        <f t="shared" si="90"/>
        <v>5.2499999999999998E-2</v>
      </c>
      <c r="BA69" s="146">
        <f t="shared" si="90"/>
        <v>5.2499999999999998E-2</v>
      </c>
      <c r="BB69" s="146">
        <f t="shared" si="90"/>
        <v>5.2499999999999998E-2</v>
      </c>
      <c r="BC69" s="340"/>
      <c r="BD69" s="146">
        <f>BB69</f>
        <v>5.2499999999999998E-2</v>
      </c>
      <c r="BE69" s="146">
        <f t="shared" si="91"/>
        <v>5.2499999999999998E-2</v>
      </c>
      <c r="BF69" s="146">
        <f t="shared" si="91"/>
        <v>5.2499999999999998E-2</v>
      </c>
      <c r="BG69" s="146">
        <f t="shared" si="91"/>
        <v>5.2499999999999998E-2</v>
      </c>
      <c r="BH69" s="340"/>
      <c r="BI69" s="146">
        <f>BG69</f>
        <v>5.2499999999999998E-2</v>
      </c>
      <c r="BJ69" s="146">
        <f t="shared" si="92"/>
        <v>5.2499999999999998E-2</v>
      </c>
      <c r="BK69" s="146">
        <f t="shared" si="92"/>
        <v>5.2499999999999998E-2</v>
      </c>
      <c r="BL69" s="146">
        <f t="shared" si="92"/>
        <v>5.2499999999999998E-2</v>
      </c>
      <c r="BM69" s="340"/>
      <c r="BN69" s="146">
        <f>BL69</f>
        <v>5.2499999999999998E-2</v>
      </c>
      <c r="BO69" s="146">
        <f t="shared" si="93"/>
        <v>5.2499999999999998E-2</v>
      </c>
      <c r="BP69" s="146">
        <f t="shared" si="93"/>
        <v>5.2499999999999998E-2</v>
      </c>
      <c r="BQ69" s="146">
        <f t="shared" si="93"/>
        <v>5.2499999999999998E-2</v>
      </c>
      <c r="BR69" s="340"/>
      <c r="BS69" s="146">
        <f>BQ69</f>
        <v>5.2499999999999998E-2</v>
      </c>
      <c r="BT69" s="146">
        <f t="shared" si="94"/>
        <v>5.2499999999999998E-2</v>
      </c>
      <c r="BU69" s="146">
        <f t="shared" si="94"/>
        <v>5.2499999999999998E-2</v>
      </c>
      <c r="BV69" s="146">
        <f t="shared" si="94"/>
        <v>5.2499999999999998E-2</v>
      </c>
      <c r="BW69" s="340"/>
      <c r="BX69" s="146">
        <f>BV69</f>
        <v>5.2499999999999998E-2</v>
      </c>
      <c r="BY69" s="146">
        <f t="shared" si="95"/>
        <v>5.2499999999999998E-2</v>
      </c>
      <c r="BZ69" s="146">
        <f t="shared" si="95"/>
        <v>5.2499999999999998E-2</v>
      </c>
      <c r="CA69" s="146">
        <f t="shared" si="95"/>
        <v>5.2499999999999998E-2</v>
      </c>
      <c r="CB69" s="563"/>
      <c r="CC69" s="146">
        <f>CA69</f>
        <v>5.2499999999999998E-2</v>
      </c>
      <c r="CD69" s="146">
        <f t="shared" si="96"/>
        <v>5.2499999999999998E-2</v>
      </c>
      <c r="CE69" s="146">
        <f t="shared" si="96"/>
        <v>5.2499999999999998E-2</v>
      </c>
      <c r="CF69" s="146">
        <f t="shared" si="96"/>
        <v>5.2499999999999998E-2</v>
      </c>
      <c r="CG69" s="563"/>
      <c r="CH69" s="146">
        <f>CF69</f>
        <v>5.2499999999999998E-2</v>
      </c>
      <c r="CI69" s="146">
        <f t="shared" si="97"/>
        <v>5.2499999999999998E-2</v>
      </c>
      <c r="CJ69" s="146">
        <f t="shared" si="97"/>
        <v>5.2499999999999998E-2</v>
      </c>
      <c r="CK69" s="146">
        <f t="shared" si="97"/>
        <v>5.2499999999999998E-2</v>
      </c>
      <c r="CL69" s="563"/>
      <c r="CM69" s="146">
        <f>CK69</f>
        <v>5.2499999999999998E-2</v>
      </c>
      <c r="CN69" s="146">
        <f t="shared" si="98"/>
        <v>5.2499999999999998E-2</v>
      </c>
      <c r="CO69" s="146">
        <f t="shared" si="98"/>
        <v>5.2499999999999998E-2</v>
      </c>
      <c r="CP69" s="146">
        <f t="shared" si="98"/>
        <v>5.2499999999999998E-2</v>
      </c>
      <c r="CQ69" s="563"/>
      <c r="CR69" s="146">
        <f>CP69</f>
        <v>5.2499999999999998E-2</v>
      </c>
      <c r="CS69" s="146">
        <f t="shared" si="99"/>
        <v>5.2499999999999998E-2</v>
      </c>
      <c r="CT69" s="146">
        <f t="shared" si="100"/>
        <v>5.2499999999999998E-2</v>
      </c>
      <c r="CU69" s="146">
        <f t="shared" si="101"/>
        <v>5.2499999999999998E-2</v>
      </c>
      <c r="CV69" s="563"/>
      <c r="CW69" s="146">
        <f>CU69</f>
        <v>5.2499999999999998E-2</v>
      </c>
      <c r="CX69" s="146">
        <f t="shared" si="102"/>
        <v>5.2499999999999998E-2</v>
      </c>
      <c r="CY69" s="146">
        <f t="shared" si="103"/>
        <v>5.2499999999999998E-2</v>
      </c>
      <c r="CZ69" s="146">
        <f t="shared" si="104"/>
        <v>5.2499999999999998E-2</v>
      </c>
      <c r="DA69" s="563"/>
      <c r="DB69" s="146">
        <f>CZ69</f>
        <v>5.2499999999999998E-2</v>
      </c>
      <c r="DC69" s="146">
        <f t="shared" si="105"/>
        <v>5.2499999999999998E-2</v>
      </c>
      <c r="DD69" s="146">
        <f t="shared" si="106"/>
        <v>5.2499999999999998E-2</v>
      </c>
      <c r="DE69" s="146">
        <f t="shared" si="107"/>
        <v>5.2499999999999998E-2</v>
      </c>
      <c r="DF69" s="563"/>
    </row>
    <row r="70" spans="1:110" x14ac:dyDescent="0.2">
      <c r="B70" s="536" t="s">
        <v>197</v>
      </c>
      <c r="C70" s="145"/>
      <c r="D70" s="145"/>
      <c r="E70" s="145"/>
      <c r="F70" s="145"/>
      <c r="G70" s="145"/>
      <c r="H70" s="145"/>
      <c r="I70" s="145"/>
      <c r="J70" s="145"/>
      <c r="K70" s="145"/>
      <c r="L70" s="145"/>
      <c r="M70" s="145"/>
      <c r="N70" s="145"/>
      <c r="O70" s="145"/>
      <c r="P70" s="145"/>
      <c r="Q70" s="145"/>
      <c r="R70" s="145"/>
      <c r="S70" s="346"/>
      <c r="T70" s="346"/>
      <c r="U70" s="346"/>
      <c r="V70" s="326"/>
      <c r="W70" s="326"/>
      <c r="X70" s="326"/>
      <c r="Y70" s="340"/>
      <c r="Z70" s="346"/>
      <c r="AA70" s="346"/>
      <c r="AB70" s="346"/>
      <c r="AC70" s="346"/>
      <c r="AD70" s="340"/>
      <c r="AE70" s="346"/>
      <c r="AF70" s="346"/>
      <c r="AG70" s="346"/>
      <c r="AH70" s="346"/>
      <c r="AI70" s="340"/>
      <c r="AJ70" s="346"/>
      <c r="AK70" s="346"/>
      <c r="AL70" s="346"/>
      <c r="AM70" s="346"/>
      <c r="AN70" s="340"/>
      <c r="AO70" s="346"/>
      <c r="AP70" s="346"/>
      <c r="AQ70" s="346"/>
      <c r="AR70" s="346"/>
      <c r="AS70" s="340"/>
      <c r="AT70" s="346"/>
      <c r="AU70" s="623">
        <v>999.2</v>
      </c>
      <c r="AV70" s="625">
        <f>AU70</f>
        <v>999.2</v>
      </c>
      <c r="AW70" s="625">
        <f>AU70</f>
        <v>999.2</v>
      </c>
      <c r="AX70" s="624"/>
      <c r="AY70" s="625">
        <f>AW70</f>
        <v>999.2</v>
      </c>
      <c r="AZ70" s="625">
        <f t="shared" si="90"/>
        <v>999.2</v>
      </c>
      <c r="BA70" s="625">
        <f t="shared" si="90"/>
        <v>999.2</v>
      </c>
      <c r="BB70" s="625">
        <f t="shared" si="90"/>
        <v>999.2</v>
      </c>
      <c r="BC70" s="624"/>
      <c r="BD70" s="625">
        <f>BB70</f>
        <v>999.2</v>
      </c>
      <c r="BE70" s="625">
        <f t="shared" si="91"/>
        <v>999.2</v>
      </c>
      <c r="BF70" s="625">
        <f t="shared" si="91"/>
        <v>999.2</v>
      </c>
      <c r="BG70" s="625">
        <f t="shared" si="91"/>
        <v>999.2</v>
      </c>
      <c r="BH70" s="624"/>
      <c r="BI70" s="625">
        <f>BG70</f>
        <v>999.2</v>
      </c>
      <c r="BJ70" s="625">
        <f t="shared" si="92"/>
        <v>999.2</v>
      </c>
      <c r="BK70" s="625">
        <f t="shared" si="92"/>
        <v>999.2</v>
      </c>
      <c r="BL70" s="625">
        <f t="shared" si="92"/>
        <v>999.2</v>
      </c>
      <c r="BM70" s="624"/>
      <c r="BN70" s="625">
        <f>BL73</f>
        <v>0</v>
      </c>
      <c r="BO70" s="625">
        <f t="shared" si="93"/>
        <v>0</v>
      </c>
      <c r="BP70" s="625">
        <f t="shared" si="93"/>
        <v>0</v>
      </c>
      <c r="BQ70" s="625">
        <f t="shared" si="93"/>
        <v>0</v>
      </c>
      <c r="BR70" s="340"/>
      <c r="BS70" s="625">
        <f>BQ73</f>
        <v>0</v>
      </c>
      <c r="BT70" s="625">
        <f t="shared" si="94"/>
        <v>0</v>
      </c>
      <c r="BU70" s="625">
        <f t="shared" si="94"/>
        <v>0</v>
      </c>
      <c r="BV70" s="625">
        <f t="shared" si="94"/>
        <v>0</v>
      </c>
      <c r="BW70" s="340"/>
      <c r="BX70" s="625">
        <f>BV73</f>
        <v>0</v>
      </c>
      <c r="BY70" s="625">
        <f t="shared" si="95"/>
        <v>0</v>
      </c>
      <c r="BZ70" s="625">
        <f t="shared" si="95"/>
        <v>0</v>
      </c>
      <c r="CA70" s="625">
        <f t="shared" si="95"/>
        <v>0</v>
      </c>
      <c r="CB70" s="563"/>
      <c r="CC70" s="625">
        <f>CA73</f>
        <v>0</v>
      </c>
      <c r="CD70" s="625">
        <f t="shared" si="96"/>
        <v>0</v>
      </c>
      <c r="CE70" s="625">
        <f t="shared" si="96"/>
        <v>0</v>
      </c>
      <c r="CF70" s="625">
        <f t="shared" si="96"/>
        <v>0</v>
      </c>
      <c r="CG70" s="563"/>
      <c r="CH70" s="625">
        <f>CF73</f>
        <v>0</v>
      </c>
      <c r="CI70" s="625">
        <f t="shared" si="97"/>
        <v>0</v>
      </c>
      <c r="CJ70" s="625">
        <f t="shared" si="97"/>
        <v>0</v>
      </c>
      <c r="CK70" s="625">
        <f t="shared" si="97"/>
        <v>0</v>
      </c>
      <c r="CL70" s="563"/>
      <c r="CM70" s="625">
        <f>CK73</f>
        <v>0</v>
      </c>
      <c r="CN70" s="625">
        <f t="shared" si="98"/>
        <v>0</v>
      </c>
      <c r="CO70" s="625">
        <f t="shared" si="98"/>
        <v>0</v>
      </c>
      <c r="CP70" s="625">
        <f t="shared" si="98"/>
        <v>0</v>
      </c>
      <c r="CQ70" s="563"/>
      <c r="CR70" s="625">
        <f>CP73</f>
        <v>0</v>
      </c>
      <c r="CS70" s="625">
        <f t="shared" si="99"/>
        <v>0</v>
      </c>
      <c r="CT70" s="625">
        <f t="shared" si="100"/>
        <v>0</v>
      </c>
      <c r="CU70" s="625">
        <f t="shared" si="101"/>
        <v>0</v>
      </c>
      <c r="CV70" s="563"/>
      <c r="CW70" s="625">
        <f>CU73</f>
        <v>0</v>
      </c>
      <c r="CX70" s="625">
        <f t="shared" si="102"/>
        <v>0</v>
      </c>
      <c r="CY70" s="625">
        <f t="shared" si="103"/>
        <v>0</v>
      </c>
      <c r="CZ70" s="625">
        <f t="shared" si="104"/>
        <v>0</v>
      </c>
      <c r="DA70" s="563"/>
      <c r="DB70" s="625">
        <f>CZ73</f>
        <v>0</v>
      </c>
      <c r="DC70" s="625">
        <f t="shared" si="105"/>
        <v>0</v>
      </c>
      <c r="DD70" s="625">
        <f t="shared" si="106"/>
        <v>0</v>
      </c>
      <c r="DE70" s="625">
        <f t="shared" si="107"/>
        <v>0</v>
      </c>
      <c r="DF70" s="563"/>
    </row>
    <row r="71" spans="1:110" x14ac:dyDescent="0.2">
      <c r="B71" s="544" t="s">
        <v>198</v>
      </c>
      <c r="C71" s="145"/>
      <c r="D71" s="145"/>
      <c r="E71" s="145"/>
      <c r="F71" s="145"/>
      <c r="G71" s="145"/>
      <c r="H71" s="145"/>
      <c r="I71" s="145"/>
      <c r="J71" s="145"/>
      <c r="K71" s="145"/>
      <c r="L71" s="145"/>
      <c r="M71" s="145"/>
      <c r="N71" s="145"/>
      <c r="O71" s="145"/>
      <c r="P71" s="145"/>
      <c r="Q71" s="145"/>
      <c r="R71" s="145"/>
      <c r="S71" s="346"/>
      <c r="T71" s="346"/>
      <c r="U71" s="346"/>
      <c r="V71" s="326"/>
      <c r="W71" s="326"/>
      <c r="X71" s="326"/>
      <c r="Y71" s="340"/>
      <c r="Z71" s="346"/>
      <c r="AA71" s="346"/>
      <c r="AB71" s="346"/>
      <c r="AC71" s="346"/>
      <c r="AD71" s="340"/>
      <c r="AE71" s="346"/>
      <c r="AF71" s="346"/>
      <c r="AG71" s="346"/>
      <c r="AH71" s="346"/>
      <c r="AI71" s="340"/>
      <c r="AJ71" s="346"/>
      <c r="AK71" s="346"/>
      <c r="AL71" s="346"/>
      <c r="AM71" s="346"/>
      <c r="AN71" s="340"/>
      <c r="AO71" s="346"/>
      <c r="AP71" s="346"/>
      <c r="AQ71" s="346"/>
      <c r="AR71" s="346"/>
      <c r="AS71" s="340"/>
      <c r="AT71" s="346"/>
      <c r="AU71" s="623">
        <v>0</v>
      </c>
      <c r="AV71" s="625">
        <f>AU73</f>
        <v>999.2</v>
      </c>
      <c r="AW71" s="625">
        <f>AV73</f>
        <v>999.30000000000007</v>
      </c>
      <c r="AX71" s="624"/>
      <c r="AY71" s="625">
        <f>AW73</f>
        <v>999.40000000000009</v>
      </c>
      <c r="AZ71" s="625">
        <f>AY73</f>
        <v>999.40000000000009</v>
      </c>
      <c r="BA71" s="625">
        <f>AZ73</f>
        <v>999.50000000000011</v>
      </c>
      <c r="BB71" s="625">
        <f>BA73</f>
        <v>999.60000000000014</v>
      </c>
      <c r="BC71" s="624"/>
      <c r="BD71" s="625">
        <f>BB73</f>
        <v>999.70000000000016</v>
      </c>
      <c r="BE71" s="625">
        <f>BD73</f>
        <v>999.70000000000016</v>
      </c>
      <c r="BF71" s="625">
        <f>BE73</f>
        <v>999.70000000000016</v>
      </c>
      <c r="BG71" s="625">
        <f>BF73</f>
        <v>999.80000000000018</v>
      </c>
      <c r="BH71" s="624"/>
      <c r="BI71" s="625">
        <f>BG73</f>
        <v>999.9000000000002</v>
      </c>
      <c r="BJ71" s="625">
        <f>BI73</f>
        <v>1000.0000000000002</v>
      </c>
      <c r="BK71" s="625">
        <f>BJ73</f>
        <v>0</v>
      </c>
      <c r="BL71" s="625">
        <f>BK73</f>
        <v>0</v>
      </c>
      <c r="BM71" s="624"/>
      <c r="BN71" s="625">
        <f>BL73</f>
        <v>0</v>
      </c>
      <c r="BO71" s="625">
        <f>BN73</f>
        <v>0</v>
      </c>
      <c r="BP71" s="625">
        <f>BO73</f>
        <v>0</v>
      </c>
      <c r="BQ71" s="625">
        <f>BP73</f>
        <v>0</v>
      </c>
      <c r="BR71" s="340"/>
      <c r="BS71" s="625">
        <f>BQ73</f>
        <v>0</v>
      </c>
      <c r="BT71" s="625">
        <f>BS73</f>
        <v>0</v>
      </c>
      <c r="BU71" s="625">
        <f>BT73</f>
        <v>0</v>
      </c>
      <c r="BV71" s="625">
        <f>BU73</f>
        <v>0</v>
      </c>
      <c r="BW71" s="340"/>
      <c r="BX71" s="625">
        <f>BV73</f>
        <v>0</v>
      </c>
      <c r="BY71" s="625">
        <f>BX73</f>
        <v>0</v>
      </c>
      <c r="BZ71" s="625">
        <f>BY73</f>
        <v>0</v>
      </c>
      <c r="CA71" s="625">
        <f>BZ73</f>
        <v>0</v>
      </c>
      <c r="CB71" s="563"/>
      <c r="CC71" s="625">
        <f>CA73</f>
        <v>0</v>
      </c>
      <c r="CD71" s="625">
        <f>CC73</f>
        <v>0</v>
      </c>
      <c r="CE71" s="625">
        <f>CD73</f>
        <v>0</v>
      </c>
      <c r="CF71" s="625">
        <f>CE73</f>
        <v>0</v>
      </c>
      <c r="CG71" s="563"/>
      <c r="CH71" s="625">
        <f>CF73</f>
        <v>0</v>
      </c>
      <c r="CI71" s="625">
        <f>CH73</f>
        <v>0</v>
      </c>
      <c r="CJ71" s="625">
        <f>CI73</f>
        <v>0</v>
      </c>
      <c r="CK71" s="625">
        <f>CJ73</f>
        <v>0</v>
      </c>
      <c r="CL71" s="563"/>
      <c r="CM71" s="625">
        <f>CK73</f>
        <v>0</v>
      </c>
      <c r="CN71" s="625">
        <f>CM73</f>
        <v>0</v>
      </c>
      <c r="CO71" s="625">
        <f>CN73</f>
        <v>0</v>
      </c>
      <c r="CP71" s="625">
        <f>CO73</f>
        <v>0</v>
      </c>
      <c r="CQ71" s="563"/>
      <c r="CR71" s="625">
        <f>CP73</f>
        <v>0</v>
      </c>
      <c r="CS71" s="625">
        <f>CR73</f>
        <v>0</v>
      </c>
      <c r="CT71" s="625">
        <f>CS73</f>
        <v>0</v>
      </c>
      <c r="CU71" s="625">
        <f>CT73</f>
        <v>0</v>
      </c>
      <c r="CV71" s="563"/>
      <c r="CW71" s="625">
        <f>CU73</f>
        <v>0</v>
      </c>
      <c r="CX71" s="625">
        <f>CW73</f>
        <v>0</v>
      </c>
      <c r="CY71" s="625">
        <f>CX73</f>
        <v>0</v>
      </c>
      <c r="CZ71" s="625">
        <f>CY73</f>
        <v>0</v>
      </c>
      <c r="DA71" s="563"/>
      <c r="DB71" s="625">
        <f>CZ73</f>
        <v>0</v>
      </c>
      <c r="DC71" s="625">
        <f>DB73</f>
        <v>0</v>
      </c>
      <c r="DD71" s="625">
        <f>DC73</f>
        <v>0</v>
      </c>
      <c r="DE71" s="625">
        <f>DD73</f>
        <v>0</v>
      </c>
      <c r="DF71" s="563"/>
    </row>
    <row r="72" spans="1:110" s="326" customFormat="1" x14ac:dyDescent="0.2">
      <c r="B72" s="589" t="s">
        <v>199</v>
      </c>
      <c r="C72" s="359"/>
      <c r="D72" s="359"/>
      <c r="E72" s="359"/>
      <c r="F72" s="359"/>
      <c r="G72" s="359"/>
      <c r="H72" s="359"/>
      <c r="I72" s="359"/>
      <c r="J72" s="359"/>
      <c r="K72" s="359"/>
      <c r="L72" s="359"/>
      <c r="M72" s="359"/>
      <c r="N72" s="359"/>
      <c r="O72" s="359"/>
      <c r="P72" s="359"/>
      <c r="Q72" s="359"/>
      <c r="R72" s="359"/>
      <c r="S72" s="347"/>
      <c r="T72" s="347"/>
      <c r="U72" s="347"/>
      <c r="V72" s="377"/>
      <c r="W72" s="377"/>
      <c r="X72" s="377"/>
      <c r="Y72" s="343"/>
      <c r="Z72" s="347"/>
      <c r="AA72" s="347"/>
      <c r="AB72" s="347"/>
      <c r="AC72" s="347"/>
      <c r="AD72" s="343"/>
      <c r="AE72" s="347"/>
      <c r="AF72" s="347"/>
      <c r="AG72" s="347"/>
      <c r="AH72" s="347"/>
      <c r="AI72" s="343"/>
      <c r="AJ72" s="347"/>
      <c r="AK72" s="347"/>
      <c r="AL72" s="347"/>
      <c r="AM72" s="347"/>
      <c r="AN72" s="343"/>
      <c r="AO72" s="347"/>
      <c r="AP72" s="347"/>
      <c r="AQ72" s="347"/>
      <c r="AR72" s="347"/>
      <c r="AS72" s="343"/>
      <c r="AT72" s="347"/>
      <c r="AU72" s="629">
        <v>999.2</v>
      </c>
      <c r="AV72" s="629">
        <v>0.1</v>
      </c>
      <c r="AW72" s="629">
        <v>0.1</v>
      </c>
      <c r="AX72" s="630"/>
      <c r="AY72" s="642">
        <v>0</v>
      </c>
      <c r="AZ72" s="642">
        <v>0.1</v>
      </c>
      <c r="BA72" s="642">
        <f>AZ72</f>
        <v>0.1</v>
      </c>
      <c r="BB72" s="642">
        <f>BA72</f>
        <v>0.1</v>
      </c>
      <c r="BC72" s="630"/>
      <c r="BD72" s="642">
        <v>0</v>
      </c>
      <c r="BE72" s="642">
        <v>0</v>
      </c>
      <c r="BF72" s="642">
        <v>0.1</v>
      </c>
      <c r="BG72" s="642">
        <f>BF72</f>
        <v>0.1</v>
      </c>
      <c r="BH72" s="630"/>
      <c r="BI72" s="642">
        <f>BG72</f>
        <v>0.1</v>
      </c>
      <c r="BJ72" s="642">
        <v>-1000</v>
      </c>
      <c r="BK72" s="642"/>
      <c r="BL72" s="629"/>
      <c r="BM72" s="630"/>
      <c r="BN72" s="642">
        <v>0</v>
      </c>
      <c r="BO72" s="642">
        <f>BN72</f>
        <v>0</v>
      </c>
      <c r="BP72" s="642">
        <f>BO72</f>
        <v>0</v>
      </c>
      <c r="BQ72" s="642">
        <f>BP72</f>
        <v>0</v>
      </c>
      <c r="BR72" s="343"/>
      <c r="BS72" s="642">
        <v>0</v>
      </c>
      <c r="BT72" s="642">
        <f>BS72</f>
        <v>0</v>
      </c>
      <c r="BU72" s="642">
        <f>BT72</f>
        <v>0</v>
      </c>
      <c r="BV72" s="642">
        <f>BU72</f>
        <v>0</v>
      </c>
      <c r="BW72" s="343"/>
      <c r="BX72" s="642">
        <v>0</v>
      </c>
      <c r="BY72" s="642">
        <f>BX72</f>
        <v>0</v>
      </c>
      <c r="BZ72" s="642">
        <f>BY72</f>
        <v>0</v>
      </c>
      <c r="CA72" s="642">
        <f>BZ72</f>
        <v>0</v>
      </c>
      <c r="CB72" s="585"/>
      <c r="CC72" s="642">
        <v>0</v>
      </c>
      <c r="CD72" s="642">
        <f>CC72</f>
        <v>0</v>
      </c>
      <c r="CE72" s="642">
        <f>CD72</f>
        <v>0</v>
      </c>
      <c r="CF72" s="642">
        <f>CE72</f>
        <v>0</v>
      </c>
      <c r="CG72" s="585"/>
      <c r="CH72" s="642">
        <v>0</v>
      </c>
      <c r="CI72" s="642">
        <f>CH72</f>
        <v>0</v>
      </c>
      <c r="CJ72" s="642">
        <f>CI72</f>
        <v>0</v>
      </c>
      <c r="CK72" s="642">
        <f>CJ72</f>
        <v>0</v>
      </c>
      <c r="CL72" s="585"/>
      <c r="CM72" s="642">
        <v>0</v>
      </c>
      <c r="CN72" s="642">
        <f>CM72</f>
        <v>0</v>
      </c>
      <c r="CO72" s="642">
        <f>CN72</f>
        <v>0</v>
      </c>
      <c r="CP72" s="642">
        <f>CO72</f>
        <v>0</v>
      </c>
      <c r="CQ72" s="585"/>
      <c r="CR72" s="642">
        <v>0</v>
      </c>
      <c r="CS72" s="642">
        <f>CR72</f>
        <v>0</v>
      </c>
      <c r="CT72" s="642">
        <f>CS72</f>
        <v>0</v>
      </c>
      <c r="CU72" s="642">
        <f>CT72</f>
        <v>0</v>
      </c>
      <c r="CV72" s="585"/>
      <c r="CW72" s="642">
        <v>0</v>
      </c>
      <c r="CX72" s="642">
        <f>CW72</f>
        <v>0</v>
      </c>
      <c r="CY72" s="642">
        <f>CX72</f>
        <v>0</v>
      </c>
      <c r="CZ72" s="642">
        <f>CY72</f>
        <v>0</v>
      </c>
      <c r="DA72" s="585"/>
      <c r="DB72" s="642">
        <v>0</v>
      </c>
      <c r="DC72" s="642">
        <f>DB72</f>
        <v>0</v>
      </c>
      <c r="DD72" s="642">
        <f>DC72</f>
        <v>0</v>
      </c>
      <c r="DE72" s="642">
        <f>DD72</f>
        <v>0</v>
      </c>
      <c r="DF72" s="585"/>
    </row>
    <row r="73" spans="1:110" x14ac:dyDescent="0.2">
      <c r="B73" s="544" t="s">
        <v>200</v>
      </c>
      <c r="C73" s="145"/>
      <c r="D73" s="145"/>
      <c r="E73" s="145"/>
      <c r="F73" s="145"/>
      <c r="G73" s="145"/>
      <c r="H73" s="145"/>
      <c r="I73" s="145"/>
      <c r="J73" s="145"/>
      <c r="K73" s="145"/>
      <c r="L73" s="145"/>
      <c r="M73" s="145"/>
      <c r="N73" s="145"/>
      <c r="O73" s="145"/>
      <c r="P73" s="145"/>
      <c r="Q73" s="145"/>
      <c r="R73" s="145"/>
      <c r="S73" s="346"/>
      <c r="T73" s="346"/>
      <c r="U73" s="346"/>
      <c r="V73" s="326"/>
      <c r="W73" s="326"/>
      <c r="X73" s="326"/>
      <c r="Y73" s="340"/>
      <c r="Z73" s="346"/>
      <c r="AA73" s="346"/>
      <c r="AB73" s="346"/>
      <c r="AC73" s="346"/>
      <c r="AD73" s="340"/>
      <c r="AE73" s="346"/>
      <c r="AF73" s="346"/>
      <c r="AG73" s="346"/>
      <c r="AH73" s="346"/>
      <c r="AI73" s="340"/>
      <c r="AJ73" s="346"/>
      <c r="AK73" s="346"/>
      <c r="AL73" s="346"/>
      <c r="AM73" s="346"/>
      <c r="AN73" s="340"/>
      <c r="AO73" s="346"/>
      <c r="AP73" s="346"/>
      <c r="AQ73" s="346"/>
      <c r="AR73" s="346"/>
      <c r="AS73" s="340"/>
      <c r="AT73" s="346"/>
      <c r="AU73" s="625">
        <f>AU71+AU72</f>
        <v>999.2</v>
      </c>
      <c r="AV73" s="625">
        <f>AV71+AV72</f>
        <v>999.30000000000007</v>
      </c>
      <c r="AW73" s="625">
        <f>AW71+AW72</f>
        <v>999.40000000000009</v>
      </c>
      <c r="AX73" s="624"/>
      <c r="AY73" s="625">
        <f>AY71+AY72</f>
        <v>999.40000000000009</v>
      </c>
      <c r="AZ73" s="625">
        <f>AZ71+AZ72</f>
        <v>999.50000000000011</v>
      </c>
      <c r="BA73" s="625">
        <f>BA71+BA72</f>
        <v>999.60000000000014</v>
      </c>
      <c r="BB73" s="625">
        <f>BB71+BB72</f>
        <v>999.70000000000016</v>
      </c>
      <c r="BC73" s="624"/>
      <c r="BD73" s="625">
        <f>BD71+BD72</f>
        <v>999.70000000000016</v>
      </c>
      <c r="BE73" s="625">
        <f>BE71+BE72</f>
        <v>999.70000000000016</v>
      </c>
      <c r="BF73" s="625">
        <f>BF71+BF72</f>
        <v>999.80000000000018</v>
      </c>
      <c r="BG73" s="625">
        <f>BG71+BG72</f>
        <v>999.9000000000002</v>
      </c>
      <c r="BH73" s="624"/>
      <c r="BI73" s="625">
        <f>BI71+BI72</f>
        <v>1000.0000000000002</v>
      </c>
      <c r="BJ73" s="625">
        <f>BJ71+BJ72</f>
        <v>0</v>
      </c>
      <c r="BK73" s="625">
        <f>BK71+BK72</f>
        <v>0</v>
      </c>
      <c r="BL73" s="625">
        <f>BL71+BL72</f>
        <v>0</v>
      </c>
      <c r="BM73" s="624"/>
      <c r="BN73" s="625">
        <f>BN71+BN72</f>
        <v>0</v>
      </c>
      <c r="BO73" s="625">
        <f>BO71+BO72</f>
        <v>0</v>
      </c>
      <c r="BP73" s="625">
        <f>BP71+BP72</f>
        <v>0</v>
      </c>
      <c r="BQ73" s="625">
        <f>BQ71+BQ72</f>
        <v>0</v>
      </c>
      <c r="BR73" s="340"/>
      <c r="BS73" s="625">
        <f>BS71+BS72</f>
        <v>0</v>
      </c>
      <c r="BT73" s="625">
        <f>BT71+BT72</f>
        <v>0</v>
      </c>
      <c r="BU73" s="625">
        <f>BU71+BU72</f>
        <v>0</v>
      </c>
      <c r="BV73" s="625">
        <f>BV71+BV72</f>
        <v>0</v>
      </c>
      <c r="BW73" s="340"/>
      <c r="BX73" s="625">
        <f>BX71+BX72</f>
        <v>0</v>
      </c>
      <c r="BY73" s="625">
        <f>BY71+BY72</f>
        <v>0</v>
      </c>
      <c r="BZ73" s="625">
        <f>BZ71+BZ72</f>
        <v>0</v>
      </c>
      <c r="CA73" s="625">
        <f>CA71+CA72</f>
        <v>0</v>
      </c>
      <c r="CB73" s="563"/>
      <c r="CC73" s="625">
        <f>CC71+CC72</f>
        <v>0</v>
      </c>
      <c r="CD73" s="625">
        <f>CD71+CD72</f>
        <v>0</v>
      </c>
      <c r="CE73" s="625">
        <f>CE71+CE72</f>
        <v>0</v>
      </c>
      <c r="CF73" s="625">
        <f>CF71+CF72</f>
        <v>0</v>
      </c>
      <c r="CG73" s="563"/>
      <c r="CH73" s="625">
        <f>CH71+CH72</f>
        <v>0</v>
      </c>
      <c r="CI73" s="625">
        <f>CI71+CI72</f>
        <v>0</v>
      </c>
      <c r="CJ73" s="625">
        <f>CJ71+CJ72</f>
        <v>0</v>
      </c>
      <c r="CK73" s="625">
        <f>CK71+CK72</f>
        <v>0</v>
      </c>
      <c r="CL73" s="563"/>
      <c r="CM73" s="625">
        <f>CM71+CM72</f>
        <v>0</v>
      </c>
      <c r="CN73" s="625">
        <f>CN71+CN72</f>
        <v>0</v>
      </c>
      <c r="CO73" s="625">
        <f>CO71+CO72</f>
        <v>0</v>
      </c>
      <c r="CP73" s="625">
        <f>CP71+CP72</f>
        <v>0</v>
      </c>
      <c r="CQ73" s="563"/>
      <c r="CR73" s="625">
        <f>CR71+CR72</f>
        <v>0</v>
      </c>
      <c r="CS73" s="625">
        <f>CS71+CS72</f>
        <v>0</v>
      </c>
      <c r="CT73" s="625">
        <f>CT71+CT72</f>
        <v>0</v>
      </c>
      <c r="CU73" s="625">
        <f>CU71+CU72</f>
        <v>0</v>
      </c>
      <c r="CV73" s="563"/>
      <c r="CW73" s="625">
        <f>CW71+CW72</f>
        <v>0</v>
      </c>
      <c r="CX73" s="625">
        <f>CX71+CX72</f>
        <v>0</v>
      </c>
      <c r="CY73" s="625">
        <f>CY71+CY72</f>
        <v>0</v>
      </c>
      <c r="CZ73" s="625">
        <f>CZ71+CZ72</f>
        <v>0</v>
      </c>
      <c r="DA73" s="563"/>
      <c r="DB73" s="625">
        <f>DB71+DB72</f>
        <v>0</v>
      </c>
      <c r="DC73" s="625">
        <f>DC71+DC72</f>
        <v>0</v>
      </c>
      <c r="DD73" s="625">
        <f>DD71+DD72</f>
        <v>0</v>
      </c>
      <c r="DE73" s="625">
        <f>DE71+DE72</f>
        <v>0</v>
      </c>
      <c r="DF73" s="563"/>
    </row>
    <row r="74" spans="1:110" x14ac:dyDescent="0.2">
      <c r="B74" s="536" t="s">
        <v>201</v>
      </c>
      <c r="C74" s="145"/>
      <c r="D74" s="145"/>
      <c r="E74" s="145"/>
      <c r="F74" s="145"/>
      <c r="G74" s="145"/>
      <c r="H74" s="145"/>
      <c r="I74" s="145"/>
      <c r="J74" s="145"/>
      <c r="K74" s="145"/>
      <c r="L74" s="145"/>
      <c r="M74" s="145"/>
      <c r="N74" s="145"/>
      <c r="O74" s="145"/>
      <c r="P74" s="145"/>
      <c r="Q74" s="145"/>
      <c r="R74" s="145"/>
      <c r="S74" s="346"/>
      <c r="T74" s="346"/>
      <c r="U74" s="346"/>
      <c r="V74" s="326"/>
      <c r="W74" s="326"/>
      <c r="X74" s="326"/>
      <c r="Y74" s="340"/>
      <c r="Z74" s="346"/>
      <c r="AA74" s="346"/>
      <c r="AB74" s="346"/>
      <c r="AC74" s="346"/>
      <c r="AD74" s="340"/>
      <c r="AE74" s="346"/>
      <c r="AF74" s="346"/>
      <c r="AG74" s="346"/>
      <c r="AH74" s="346"/>
      <c r="AI74" s="340"/>
      <c r="AJ74" s="346"/>
      <c r="AK74" s="346"/>
      <c r="AL74" s="346"/>
      <c r="AM74" s="346"/>
      <c r="AN74" s="340"/>
      <c r="AO74" s="346"/>
      <c r="AP74" s="346"/>
      <c r="AQ74" s="346"/>
      <c r="AR74" s="346"/>
      <c r="AS74" s="340"/>
      <c r="AT74" s="346"/>
      <c r="AU74" s="625">
        <f>AU70-AU73</f>
        <v>0</v>
      </c>
      <c r="AV74" s="625">
        <f>AV70-AV73</f>
        <v>-0.10000000000002274</v>
      </c>
      <c r="AW74" s="625">
        <f>AW70-AW73</f>
        <v>-0.20000000000004547</v>
      </c>
      <c r="AX74" s="624"/>
      <c r="AY74" s="625">
        <f>AY70-AY73</f>
        <v>-0.20000000000004547</v>
      </c>
      <c r="AZ74" s="625">
        <f>AZ70-AZ73</f>
        <v>-0.30000000000006821</v>
      </c>
      <c r="BA74" s="625">
        <f>BA70-BA73</f>
        <v>-0.40000000000009095</v>
      </c>
      <c r="BB74" s="625">
        <f>BB70-BB73</f>
        <v>-0.50000000000011369</v>
      </c>
      <c r="BC74" s="624"/>
      <c r="BD74" s="625">
        <f>BD70-BD73</f>
        <v>-0.50000000000011369</v>
      </c>
      <c r="BE74" s="625">
        <f>BE70-BE73</f>
        <v>-0.50000000000011369</v>
      </c>
      <c r="BF74" s="625">
        <f>BF70-BF73</f>
        <v>-0.60000000000013642</v>
      </c>
      <c r="BG74" s="625">
        <f>BG70-BG73</f>
        <v>-0.70000000000015916</v>
      </c>
      <c r="BH74" s="624"/>
      <c r="BI74" s="625">
        <f>BI70-BI73</f>
        <v>-0.8000000000001819</v>
      </c>
      <c r="BJ74" s="625">
        <f>BJ70-BJ73</f>
        <v>999.2</v>
      </c>
      <c r="BK74" s="625">
        <f>BK70-BK73</f>
        <v>999.2</v>
      </c>
      <c r="BL74" s="625">
        <f>BL70-BL73</f>
        <v>999.2</v>
      </c>
      <c r="BM74" s="624"/>
      <c r="BN74" s="625">
        <f>BN70-BN73</f>
        <v>0</v>
      </c>
      <c r="BO74" s="625">
        <f>BO70-BO73</f>
        <v>0</v>
      </c>
      <c r="BP74" s="625">
        <f>BP70-BP73</f>
        <v>0</v>
      </c>
      <c r="BQ74" s="625">
        <f>BQ70-BQ73</f>
        <v>0</v>
      </c>
      <c r="BR74" s="340"/>
      <c r="BS74" s="625">
        <f>BS70-BS73</f>
        <v>0</v>
      </c>
      <c r="BT74" s="625">
        <f>BT70-BT73</f>
        <v>0</v>
      </c>
      <c r="BU74" s="625">
        <f>BU70-BU73</f>
        <v>0</v>
      </c>
      <c r="BV74" s="625">
        <f>BV70-BV73</f>
        <v>0</v>
      </c>
      <c r="BW74" s="340"/>
      <c r="BX74" s="625">
        <f>BX70-BX73</f>
        <v>0</v>
      </c>
      <c r="BY74" s="625">
        <f>BY70-BY73</f>
        <v>0</v>
      </c>
      <c r="BZ74" s="625">
        <f>BZ70-BZ73</f>
        <v>0</v>
      </c>
      <c r="CA74" s="625">
        <f>CA70-CA73</f>
        <v>0</v>
      </c>
      <c r="CB74" s="563"/>
      <c r="CC74" s="625">
        <f>CC70-CC73</f>
        <v>0</v>
      </c>
      <c r="CD74" s="625">
        <f>CD70-CD73</f>
        <v>0</v>
      </c>
      <c r="CE74" s="625">
        <f>CE70-CE73</f>
        <v>0</v>
      </c>
      <c r="CF74" s="625">
        <f>CF70-CF73</f>
        <v>0</v>
      </c>
      <c r="CG74" s="563"/>
      <c r="CH74" s="625">
        <f>CH70-CH73</f>
        <v>0</v>
      </c>
      <c r="CI74" s="625">
        <f>CI70-CI73</f>
        <v>0</v>
      </c>
      <c r="CJ74" s="625">
        <f>CJ70-CJ73</f>
        <v>0</v>
      </c>
      <c r="CK74" s="625">
        <f>CK70-CK73</f>
        <v>0</v>
      </c>
      <c r="CL74" s="563"/>
      <c r="CM74" s="625">
        <f>CM70-CM73</f>
        <v>0</v>
      </c>
      <c r="CN74" s="625">
        <f>CN70-CN73</f>
        <v>0</v>
      </c>
      <c r="CO74" s="625">
        <f>CO70-CO73</f>
        <v>0</v>
      </c>
      <c r="CP74" s="625">
        <f>CP70-CP73</f>
        <v>0</v>
      </c>
      <c r="CQ74" s="563"/>
      <c r="CR74" s="625">
        <f>CR70-CR73</f>
        <v>0</v>
      </c>
      <c r="CS74" s="625">
        <f>CS70-CS73</f>
        <v>0</v>
      </c>
      <c r="CT74" s="625">
        <f>CT70-CT73</f>
        <v>0</v>
      </c>
      <c r="CU74" s="625">
        <f>CU70-CU73</f>
        <v>0</v>
      </c>
      <c r="CV74" s="563"/>
      <c r="CW74" s="625">
        <f>CW70-CW73</f>
        <v>0</v>
      </c>
      <c r="CX74" s="625">
        <f>CX70-CX73</f>
        <v>0</v>
      </c>
      <c r="CY74" s="625">
        <f>CY70-CY73</f>
        <v>0</v>
      </c>
      <c r="CZ74" s="625">
        <f>CZ70-CZ73</f>
        <v>0</v>
      </c>
      <c r="DA74" s="563"/>
      <c r="DB74" s="625">
        <f>DB70-DB73</f>
        <v>0</v>
      </c>
      <c r="DC74" s="625">
        <f>DC70-DC73</f>
        <v>0</v>
      </c>
      <c r="DD74" s="625">
        <f>DD70-DD73</f>
        <v>0</v>
      </c>
      <c r="DE74" s="625">
        <f>DE70-DE73</f>
        <v>0</v>
      </c>
      <c r="DF74" s="563"/>
    </row>
    <row r="75" spans="1:110" x14ac:dyDescent="0.2">
      <c r="B75" s="544" t="s">
        <v>206</v>
      </c>
      <c r="C75" s="145"/>
      <c r="D75" s="145"/>
      <c r="E75" s="145"/>
      <c r="F75" s="145"/>
      <c r="G75" s="145"/>
      <c r="H75" s="145"/>
      <c r="I75" s="145"/>
      <c r="J75" s="145"/>
      <c r="K75" s="145"/>
      <c r="L75" s="145"/>
      <c r="M75" s="145"/>
      <c r="N75" s="145"/>
      <c r="O75" s="145"/>
      <c r="P75" s="145"/>
      <c r="Q75" s="145"/>
      <c r="R75" s="145"/>
      <c r="S75" s="346"/>
      <c r="T75" s="346"/>
      <c r="U75" s="346"/>
      <c r="V75" s="326"/>
      <c r="W75" s="326"/>
      <c r="X75" s="326"/>
      <c r="Y75" s="340"/>
      <c r="Z75" s="346"/>
      <c r="AA75" s="346"/>
      <c r="AB75" s="346"/>
      <c r="AC75" s="346"/>
      <c r="AD75" s="340"/>
      <c r="AE75" s="346"/>
      <c r="AF75" s="346"/>
      <c r="AG75" s="346"/>
      <c r="AH75" s="346"/>
      <c r="AI75" s="340"/>
      <c r="AJ75" s="346"/>
      <c r="AK75" s="346"/>
      <c r="AL75" s="346"/>
      <c r="AM75" s="346"/>
      <c r="AN75" s="340"/>
      <c r="AO75" s="346"/>
      <c r="AP75" s="346"/>
      <c r="AQ75" s="346"/>
      <c r="AR75" s="346"/>
      <c r="AS75" s="340"/>
      <c r="AT75" s="346"/>
      <c r="AU75" s="625">
        <f>-AU73/3*(AU69/4)</f>
        <v>-4.3715000000000002</v>
      </c>
      <c r="AV75" s="625">
        <f>-(AVERAGE(AV73,AV71))*(AV69/4)</f>
        <v>-13.11515625</v>
      </c>
      <c r="AW75" s="625">
        <f>-(AVERAGE(AW73,AW71))*(AW69/4)</f>
        <v>-13.116468750000001</v>
      </c>
      <c r="AX75" s="624"/>
      <c r="AY75" s="625">
        <f>-(AVERAGE(AY73,AY71))*(AY69/4)</f>
        <v>-13.117125000000001</v>
      </c>
      <c r="AZ75" s="625">
        <f>-(AVERAGE(AZ73,AZ71))*(AZ69/4)</f>
        <v>-13.11778125</v>
      </c>
      <c r="BA75" s="625">
        <f>-(AVERAGE(BA73,BA71))*(BA69/4)</f>
        <v>-13.119093750000001</v>
      </c>
      <c r="BB75" s="625">
        <f>-(AVERAGE(BB73,BB71))*(BB69/4)</f>
        <v>-13.12040625</v>
      </c>
      <c r="BC75" s="624"/>
      <c r="BD75" s="625">
        <f>-(AVERAGE(BD73,BD71))*(BD69/4)</f>
        <v>-13.121062500000001</v>
      </c>
      <c r="BE75" s="625">
        <f>-(AVERAGE(BE73,BE71))*(BE69/4)</f>
        <v>-13.121062500000001</v>
      </c>
      <c r="BF75" s="625">
        <f>-(AVERAGE(BF73,BF71))*(BF69/4)</f>
        <v>-13.121718750000003</v>
      </c>
      <c r="BG75" s="625">
        <f>-(AVERAGE(BG73,BG71))*(BG69/4)</f>
        <v>-13.123031250000002</v>
      </c>
      <c r="BH75" s="624"/>
      <c r="BI75" s="625">
        <f>-(AVERAGE(BI73,BI71))*(BI69/4)</f>
        <v>-13.124343750000003</v>
      </c>
      <c r="BJ75" s="625">
        <v>0</v>
      </c>
      <c r="BK75" s="625">
        <f>-(AVERAGE(BK73,BK71))*(BK69/4)</f>
        <v>0</v>
      </c>
      <c r="BL75" s="625">
        <f>-(AVERAGE(BL73,BL71))*(BL69/4)</f>
        <v>0</v>
      </c>
      <c r="BM75" s="624"/>
      <c r="BN75" s="625">
        <f>-(AVERAGE(BN73,BN71))*(BN69/4)</f>
        <v>0</v>
      </c>
      <c r="BO75" s="625">
        <f>-(AVERAGE(BO73,BO71))*(BO69/4)</f>
        <v>0</v>
      </c>
      <c r="BP75" s="625">
        <f>-(AVERAGE(BP73,BP71))*(BP69/4)</f>
        <v>0</v>
      </c>
      <c r="BQ75" s="625">
        <f>-(AVERAGE(BQ73,BQ71))*(BQ69/4)</f>
        <v>0</v>
      </c>
      <c r="BR75" s="340"/>
      <c r="BS75" s="625">
        <f>-(AVERAGE(BS73,BS71))*(BS69/4)</f>
        <v>0</v>
      </c>
      <c r="BT75" s="625">
        <f>-(AVERAGE(BT73,BT71))*(BT69/4)</f>
        <v>0</v>
      </c>
      <c r="BU75" s="625">
        <f>-(AVERAGE(BU73,BU71))*(BU69/4)</f>
        <v>0</v>
      </c>
      <c r="BV75" s="625">
        <f>-(AVERAGE(BV73,BV71))*(BV69/4)</f>
        <v>0</v>
      </c>
      <c r="BW75" s="340"/>
      <c r="BX75" s="625">
        <f>-(AVERAGE(BX73,BX71))*(BX69/4)</f>
        <v>0</v>
      </c>
      <c r="BY75" s="625">
        <f>-(AVERAGE(BY73,BY71))*(BY69/4)</f>
        <v>0</v>
      </c>
      <c r="BZ75" s="625">
        <f>-(AVERAGE(BZ73,BZ71))*(BZ69/4)</f>
        <v>0</v>
      </c>
      <c r="CA75" s="625">
        <f>-(AVERAGE(CA73,CA71))*(CA69/4)</f>
        <v>0</v>
      </c>
      <c r="CB75" s="563"/>
      <c r="CC75" s="625">
        <f>-(AVERAGE(CC73,CC71))*(CC69/4)</f>
        <v>0</v>
      </c>
      <c r="CD75" s="625">
        <f>-(AVERAGE(CD73,CD71))*(CD69/4)</f>
        <v>0</v>
      </c>
      <c r="CE75" s="625">
        <f>-(AVERAGE(CE73,CE71))*(CE69/4)</f>
        <v>0</v>
      </c>
      <c r="CF75" s="625">
        <f>-(AVERAGE(CF73,CF71))*(CF69/4)</f>
        <v>0</v>
      </c>
      <c r="CG75" s="563"/>
      <c r="CH75" s="625">
        <f>-(AVERAGE(CH73,CH71))*(CH69/4)</f>
        <v>0</v>
      </c>
      <c r="CI75" s="625">
        <f>-(AVERAGE(CI73,CI71))*(CI69/4)</f>
        <v>0</v>
      </c>
      <c r="CJ75" s="625">
        <f>-(AVERAGE(CJ73,CJ71))*(CJ69/4)</f>
        <v>0</v>
      </c>
      <c r="CK75" s="625">
        <f>-(AVERAGE(CK73,CK71))*(CK69/4)</f>
        <v>0</v>
      </c>
      <c r="CL75" s="563"/>
      <c r="CM75" s="625">
        <f>-(AVERAGE(CM73,CM71))*(CM69/4)</f>
        <v>0</v>
      </c>
      <c r="CN75" s="625">
        <f>-(AVERAGE(CN73,CN71))*(CN69/4)</f>
        <v>0</v>
      </c>
      <c r="CO75" s="625">
        <f>-(AVERAGE(CO73,CO71))*(CO69/4)</f>
        <v>0</v>
      </c>
      <c r="CP75" s="625">
        <f>-(AVERAGE(CP73,CP71))*(CP69/4)</f>
        <v>0</v>
      </c>
      <c r="CQ75" s="563"/>
      <c r="CR75" s="625">
        <f>-(AVERAGE(CR73,CR71))*(CR69/4)</f>
        <v>0</v>
      </c>
      <c r="CS75" s="625">
        <f>-(AVERAGE(CS73,CS71))*(CS69/4)</f>
        <v>0</v>
      </c>
      <c r="CT75" s="625">
        <f>-(AVERAGE(CT73,CT71))*(CT69/4)</f>
        <v>0</v>
      </c>
      <c r="CU75" s="625">
        <f>-(AVERAGE(CU73,CU71))*(CU69/4)</f>
        <v>0</v>
      </c>
      <c r="CV75" s="563"/>
      <c r="CW75" s="625">
        <f>-(AVERAGE(CW73,CW71))*(CW69/4)</f>
        <v>0</v>
      </c>
      <c r="CX75" s="625">
        <f>-(AVERAGE(CX73,CX71))*(CX69/4)</f>
        <v>0</v>
      </c>
      <c r="CY75" s="625">
        <f>-(AVERAGE(CY73,CY71))*(CY69/4)</f>
        <v>0</v>
      </c>
      <c r="CZ75" s="625">
        <f>-(AVERAGE(CZ73,CZ71))*(CZ69/4)</f>
        <v>0</v>
      </c>
      <c r="DA75" s="563"/>
      <c r="DB75" s="625">
        <f>-(AVERAGE(DB73,DB71))*(DB69/4)</f>
        <v>0</v>
      </c>
      <c r="DC75" s="625">
        <f>-(AVERAGE(DC73,DC71))*(DC69/4)</f>
        <v>0</v>
      </c>
      <c r="DD75" s="625">
        <f>-(AVERAGE(DD73,DD71))*(DD69/4)</f>
        <v>0</v>
      </c>
      <c r="DE75" s="625">
        <f>-(AVERAGE(DE73,DE71))*(DE69/4)</f>
        <v>0</v>
      </c>
      <c r="DF75" s="563"/>
    </row>
    <row r="76" spans="1:110" ht="12" thickBot="1" x14ac:dyDescent="0.25">
      <c r="B76" s="548" t="s">
        <v>207</v>
      </c>
      <c r="C76" s="205"/>
      <c r="D76" s="205"/>
      <c r="E76" s="205"/>
      <c r="F76" s="205"/>
      <c r="G76" s="205"/>
      <c r="H76" s="205"/>
      <c r="I76" s="205"/>
      <c r="J76" s="205"/>
      <c r="K76" s="205"/>
      <c r="L76" s="205"/>
      <c r="M76" s="205"/>
      <c r="N76" s="205"/>
      <c r="O76" s="205"/>
      <c r="P76" s="205"/>
      <c r="Q76" s="205"/>
      <c r="R76" s="205"/>
      <c r="S76" s="549"/>
      <c r="T76" s="549"/>
      <c r="U76" s="549"/>
      <c r="V76" s="327"/>
      <c r="W76" s="327"/>
      <c r="X76" s="327"/>
      <c r="Y76" s="550"/>
      <c r="Z76" s="549"/>
      <c r="AA76" s="549"/>
      <c r="AB76" s="549"/>
      <c r="AC76" s="549"/>
      <c r="AD76" s="550"/>
      <c r="AE76" s="549"/>
      <c r="AF76" s="549"/>
      <c r="AG76" s="549"/>
      <c r="AH76" s="549"/>
      <c r="AI76" s="550"/>
      <c r="AJ76" s="549"/>
      <c r="AK76" s="549"/>
      <c r="AL76" s="549"/>
      <c r="AM76" s="549"/>
      <c r="AN76" s="550"/>
      <c r="AO76" s="549"/>
      <c r="AP76" s="549"/>
      <c r="AQ76" s="549"/>
      <c r="AR76" s="549"/>
      <c r="AS76" s="550"/>
      <c r="AT76" s="549"/>
      <c r="AU76" s="549">
        <f>-AU68*AU74/4</f>
        <v>0</v>
      </c>
      <c r="AV76" s="549">
        <f t="shared" ref="AV76:BL76" si="108">-AV68*AV74/4</f>
        <v>0</v>
      </c>
      <c r="AW76" s="549">
        <f t="shared" si="108"/>
        <v>0</v>
      </c>
      <c r="AX76" s="550"/>
      <c r="AY76" s="549">
        <f t="shared" si="108"/>
        <v>0</v>
      </c>
      <c r="AZ76" s="549">
        <f t="shared" si="108"/>
        <v>0</v>
      </c>
      <c r="BA76" s="549">
        <f t="shared" si="108"/>
        <v>0</v>
      </c>
      <c r="BB76" s="549">
        <f t="shared" si="108"/>
        <v>0</v>
      </c>
      <c r="BC76" s="550"/>
      <c r="BD76" s="549">
        <f t="shared" si="108"/>
        <v>0</v>
      </c>
      <c r="BE76" s="549">
        <f t="shared" si="108"/>
        <v>0</v>
      </c>
      <c r="BF76" s="549">
        <f t="shared" si="108"/>
        <v>0</v>
      </c>
      <c r="BG76" s="549">
        <f t="shared" si="108"/>
        <v>0</v>
      </c>
      <c r="BH76" s="550"/>
      <c r="BI76" s="549">
        <f t="shared" si="108"/>
        <v>0</v>
      </c>
      <c r="BJ76" s="549">
        <f t="shared" si="108"/>
        <v>0</v>
      </c>
      <c r="BK76" s="549">
        <f t="shared" si="108"/>
        <v>0</v>
      </c>
      <c r="BL76" s="549">
        <f t="shared" si="108"/>
        <v>0</v>
      </c>
      <c r="BM76" s="550"/>
      <c r="BN76" s="549">
        <f>-BN68*BN74/4</f>
        <v>0</v>
      </c>
      <c r="BO76" s="549">
        <f>-BO68*BO74/4</f>
        <v>0</v>
      </c>
      <c r="BP76" s="549">
        <f>-BP68*BP74/4</f>
        <v>0</v>
      </c>
      <c r="BQ76" s="549">
        <f>-BQ68*BQ74/4</f>
        <v>0</v>
      </c>
      <c r="BR76" s="550"/>
      <c r="BS76" s="549">
        <f>-BS68*BS74/4</f>
        <v>0</v>
      </c>
      <c r="BT76" s="549">
        <f>-BT68*BT74/4</f>
        <v>0</v>
      </c>
      <c r="BU76" s="549">
        <f>-BU68*BU74/4</f>
        <v>0</v>
      </c>
      <c r="BV76" s="549">
        <f>-BV68*BV74/4</f>
        <v>0</v>
      </c>
      <c r="BW76" s="550"/>
      <c r="BX76" s="549">
        <f>-BX68*BX74/4</f>
        <v>0</v>
      </c>
      <c r="BY76" s="549">
        <f>-BY68*BY74/4</f>
        <v>0</v>
      </c>
      <c r="BZ76" s="549">
        <f>-BZ68*BZ74/4</f>
        <v>0</v>
      </c>
      <c r="CA76" s="549">
        <f>-CA68*CA74/4</f>
        <v>0</v>
      </c>
      <c r="CB76" s="565"/>
      <c r="CC76" s="549">
        <f>-CC68*CC74/4</f>
        <v>0</v>
      </c>
      <c r="CD76" s="549">
        <f>-CD68*CD74/4</f>
        <v>0</v>
      </c>
      <c r="CE76" s="549">
        <f>-CE68*CE74/4</f>
        <v>0</v>
      </c>
      <c r="CF76" s="549">
        <f>-CF68*CF74/4</f>
        <v>0</v>
      </c>
      <c r="CG76" s="565"/>
      <c r="CH76" s="549">
        <f>-CH68*CH74/4</f>
        <v>0</v>
      </c>
      <c r="CI76" s="549">
        <f>-CI68*CI74/4</f>
        <v>0</v>
      </c>
      <c r="CJ76" s="549">
        <f>-CJ68*CJ74/4</f>
        <v>0</v>
      </c>
      <c r="CK76" s="549">
        <f>-CK68*CK74/4</f>
        <v>0</v>
      </c>
      <c r="CL76" s="565"/>
      <c r="CM76" s="549">
        <f>-CM68*CM74/4</f>
        <v>0</v>
      </c>
      <c r="CN76" s="549">
        <f>-CN68*CN74/4</f>
        <v>0</v>
      </c>
      <c r="CO76" s="549">
        <f>-CO68*CO74/4</f>
        <v>0</v>
      </c>
      <c r="CP76" s="549">
        <f>-CP68*CP74/4</f>
        <v>0</v>
      </c>
      <c r="CQ76" s="565"/>
      <c r="CR76" s="549">
        <f>-CR68*CR74/4</f>
        <v>0</v>
      </c>
      <c r="CS76" s="549">
        <f>-CS68*CS74/4</f>
        <v>0</v>
      </c>
      <c r="CT76" s="549">
        <f>-CT68*CT74/4</f>
        <v>0</v>
      </c>
      <c r="CU76" s="549">
        <f>-CU68*CU74/4</f>
        <v>0</v>
      </c>
      <c r="CV76" s="565"/>
      <c r="CW76" s="549">
        <f>-CW68*CW74/4</f>
        <v>0</v>
      </c>
      <c r="CX76" s="549">
        <f>-CX68*CX74/4</f>
        <v>0</v>
      </c>
      <c r="CY76" s="549">
        <f>-CY68*CY74/4</f>
        <v>0</v>
      </c>
      <c r="CZ76" s="549">
        <f>-CZ68*CZ74/4</f>
        <v>0</v>
      </c>
      <c r="DA76" s="565"/>
      <c r="DB76" s="549">
        <f>-DB68*DB74/4</f>
        <v>0</v>
      </c>
      <c r="DC76" s="549">
        <f>-DC68*DC74/4</f>
        <v>0</v>
      </c>
      <c r="DD76" s="549">
        <f>-DD68*DD74/4</f>
        <v>0</v>
      </c>
      <c r="DE76" s="549">
        <f>-DE68*DE74/4</f>
        <v>0</v>
      </c>
      <c r="DF76" s="565"/>
    </row>
    <row r="77" spans="1:110" s="326" customFormat="1" ht="12" thickBot="1" x14ac:dyDescent="0.25">
      <c r="B77" s="603"/>
      <c r="C77" s="145"/>
      <c r="D77" s="145"/>
      <c r="E77" s="145"/>
      <c r="F77" s="145"/>
      <c r="G77" s="145"/>
      <c r="H77" s="145"/>
      <c r="I77" s="145"/>
      <c r="J77" s="145"/>
      <c r="K77" s="145"/>
      <c r="L77" s="145"/>
      <c r="M77" s="145"/>
      <c r="N77" s="145"/>
      <c r="O77" s="145"/>
      <c r="P77" s="145"/>
      <c r="Q77" s="145"/>
      <c r="R77" s="145"/>
      <c r="S77" s="346"/>
      <c r="T77" s="346"/>
      <c r="U77" s="346"/>
      <c r="Y77" s="346"/>
      <c r="Z77" s="346"/>
      <c r="AA77" s="346"/>
      <c r="AB77" s="346"/>
      <c r="AC77" s="346"/>
      <c r="AD77" s="346"/>
      <c r="AE77" s="346"/>
      <c r="AF77" s="346"/>
      <c r="AG77" s="346"/>
      <c r="AH77" s="346"/>
      <c r="AI77" s="346"/>
      <c r="AJ77" s="346"/>
      <c r="AK77" s="346"/>
      <c r="AL77" s="346"/>
      <c r="AM77" s="346"/>
      <c r="AN77" s="346"/>
      <c r="AO77" s="346"/>
      <c r="AP77" s="346"/>
      <c r="AQ77" s="346"/>
      <c r="AR77" s="346"/>
      <c r="AS77" s="346"/>
      <c r="AT77" s="346"/>
      <c r="AU77" s="346"/>
      <c r="AV77" s="346"/>
      <c r="AW77" s="346"/>
      <c r="AX77" s="346"/>
      <c r="AY77" s="346"/>
      <c r="AZ77" s="346"/>
      <c r="BA77" s="346"/>
      <c r="BB77" s="346"/>
      <c r="BC77" s="346"/>
      <c r="BD77" s="346"/>
      <c r="BE77" s="346"/>
      <c r="BF77" s="346"/>
      <c r="BG77" s="346"/>
      <c r="BH77" s="346"/>
      <c r="BI77" s="346"/>
      <c r="BJ77" s="346"/>
      <c r="BK77" s="346"/>
      <c r="BL77" s="346"/>
      <c r="BM77" s="346"/>
      <c r="BN77" s="346"/>
      <c r="BO77" s="346"/>
      <c r="BP77" s="346"/>
      <c r="BQ77" s="346"/>
      <c r="BR77" s="346"/>
      <c r="BS77" s="346"/>
      <c r="BT77" s="346"/>
      <c r="BU77" s="346"/>
      <c r="BV77" s="346"/>
      <c r="BW77" s="346"/>
      <c r="BX77" s="346"/>
      <c r="BY77" s="346"/>
      <c r="BZ77" s="346"/>
      <c r="CA77" s="346"/>
      <c r="CB77" s="346"/>
      <c r="CC77" s="346"/>
      <c r="CD77" s="346"/>
      <c r="CE77" s="346"/>
      <c r="CF77" s="346"/>
      <c r="CG77" s="346"/>
      <c r="CH77" s="346"/>
      <c r="CI77" s="346"/>
      <c r="CJ77" s="346"/>
      <c r="CK77" s="346"/>
      <c r="CL77" s="346"/>
      <c r="CM77" s="346"/>
      <c r="CN77" s="346"/>
      <c r="CO77" s="346"/>
      <c r="CP77" s="346"/>
      <c r="CQ77" s="346"/>
      <c r="CR77" s="346"/>
      <c r="CS77" s="346"/>
      <c r="CT77" s="346"/>
      <c r="CU77" s="346"/>
      <c r="CV77" s="346"/>
      <c r="CW77" s="346"/>
      <c r="CX77" s="346"/>
      <c r="CY77" s="346"/>
      <c r="CZ77" s="346"/>
      <c r="DA77" s="346"/>
      <c r="DB77" s="346"/>
      <c r="DC77" s="346"/>
      <c r="DD77" s="346"/>
      <c r="DE77" s="346"/>
      <c r="DF77" s="346"/>
    </row>
    <row r="78" spans="1:110" s="326" customFormat="1" ht="12" thickBot="1" x14ac:dyDescent="0.25">
      <c r="B78" s="981" t="s">
        <v>230</v>
      </c>
      <c r="C78" s="989"/>
      <c r="D78" s="989"/>
      <c r="E78" s="989"/>
      <c r="F78" s="989"/>
      <c r="G78" s="989"/>
      <c r="H78" s="989"/>
      <c r="I78" s="989"/>
      <c r="J78" s="989"/>
      <c r="K78" s="989"/>
      <c r="L78" s="989"/>
      <c r="M78" s="989"/>
      <c r="N78" s="989"/>
      <c r="O78" s="989"/>
      <c r="P78" s="989"/>
      <c r="Q78" s="989"/>
      <c r="R78" s="989"/>
      <c r="S78" s="990"/>
      <c r="T78" s="990"/>
      <c r="U78" s="990"/>
      <c r="V78" s="991"/>
      <c r="W78" s="991"/>
      <c r="X78" s="991"/>
      <c r="Y78" s="990"/>
      <c r="Z78" s="990"/>
      <c r="AA78" s="990"/>
      <c r="AB78" s="990"/>
      <c r="AC78" s="990"/>
      <c r="AD78" s="990"/>
      <c r="AE78" s="990"/>
      <c r="AF78" s="990"/>
      <c r="AG78" s="990"/>
      <c r="AH78" s="990"/>
      <c r="AI78" s="990"/>
      <c r="AJ78" s="990"/>
      <c r="AK78" s="990"/>
      <c r="AL78" s="990"/>
      <c r="AM78" s="990"/>
      <c r="AN78" s="990"/>
      <c r="AO78" s="990"/>
      <c r="AP78" s="990"/>
      <c r="AQ78" s="990"/>
      <c r="AR78" s="990"/>
      <c r="AS78" s="990"/>
      <c r="AT78" s="990"/>
      <c r="AU78" s="987"/>
      <c r="AV78" s="990"/>
      <c r="AW78" s="990"/>
      <c r="AX78" s="990"/>
      <c r="AY78" s="990"/>
      <c r="AZ78" s="990"/>
      <c r="BA78" s="990"/>
      <c r="BB78" s="990"/>
      <c r="BC78" s="990"/>
      <c r="BD78" s="990"/>
      <c r="BE78" s="990"/>
      <c r="BF78" s="990"/>
      <c r="BG78" s="990"/>
      <c r="BH78" s="990"/>
      <c r="BI78" s="990"/>
      <c r="BJ78" s="990"/>
      <c r="BK78" s="990"/>
      <c r="BL78" s="990"/>
      <c r="BM78" s="990"/>
      <c r="BN78" s="990"/>
      <c r="BO78" s="990"/>
      <c r="BP78" s="990"/>
      <c r="BQ78" s="990"/>
      <c r="BR78" s="990"/>
      <c r="BS78" s="990"/>
      <c r="BT78" s="990"/>
      <c r="BU78" s="990"/>
      <c r="BV78" s="990"/>
      <c r="BW78" s="990"/>
      <c r="BX78" s="990"/>
      <c r="BY78" s="990"/>
      <c r="BZ78" s="990"/>
      <c r="CA78" s="990"/>
      <c r="CB78" s="992"/>
      <c r="CC78" s="990"/>
      <c r="CD78" s="990"/>
      <c r="CE78" s="990"/>
      <c r="CF78" s="990"/>
      <c r="CG78" s="992"/>
      <c r="CH78" s="990"/>
      <c r="CI78" s="990"/>
      <c r="CJ78" s="990"/>
      <c r="CK78" s="990"/>
      <c r="CL78" s="992"/>
      <c r="CM78" s="990"/>
      <c r="CN78" s="990"/>
      <c r="CO78" s="990"/>
      <c r="CP78" s="990"/>
      <c r="CQ78" s="992"/>
      <c r="CR78" s="990"/>
      <c r="CS78" s="990"/>
      <c r="CT78" s="990"/>
      <c r="CU78" s="990"/>
      <c r="CV78" s="992"/>
      <c r="CW78" s="990"/>
      <c r="CX78" s="990"/>
      <c r="CY78" s="990"/>
      <c r="CZ78" s="990"/>
      <c r="DA78" s="992"/>
      <c r="DB78" s="990"/>
      <c r="DC78" s="990"/>
      <c r="DD78" s="990"/>
      <c r="DE78" s="990"/>
      <c r="DF78" s="992"/>
    </row>
    <row r="79" spans="1:110" x14ac:dyDescent="0.2">
      <c r="B79" s="591" t="s">
        <v>203</v>
      </c>
      <c r="C79" s="561"/>
      <c r="D79" s="561"/>
      <c r="E79" s="561"/>
      <c r="F79" s="561"/>
      <c r="G79" s="561"/>
      <c r="H79" s="561"/>
      <c r="I79" s="561"/>
      <c r="J79" s="561"/>
      <c r="K79" s="561"/>
      <c r="L79" s="561"/>
      <c r="M79" s="561"/>
      <c r="N79" s="561"/>
      <c r="O79" s="561"/>
      <c r="P79" s="561"/>
      <c r="Q79" s="561"/>
      <c r="R79" s="561"/>
      <c r="S79" s="531"/>
      <c r="T79" s="531"/>
      <c r="U79" s="531"/>
      <c r="V79" s="577"/>
      <c r="W79" s="577"/>
      <c r="X79" s="577"/>
      <c r="Y79" s="532"/>
      <c r="Z79" s="531"/>
      <c r="AA79" s="531"/>
      <c r="AB79" s="531"/>
      <c r="AC79" s="531"/>
      <c r="AD79" s="532"/>
      <c r="AE79" s="531"/>
      <c r="AF79" s="531"/>
      <c r="AG79" s="531"/>
      <c r="AH79" s="531"/>
      <c r="AI79" s="532"/>
      <c r="AJ79" s="531"/>
      <c r="AK79" s="531"/>
      <c r="AL79" s="531"/>
      <c r="AM79" s="531"/>
      <c r="AN79" s="532"/>
      <c r="AO79" s="531"/>
      <c r="AP79" s="531"/>
      <c r="AQ79" s="531"/>
      <c r="AR79" s="531"/>
      <c r="AS79" s="532"/>
      <c r="AT79" s="531"/>
      <c r="AU79" s="588">
        <v>0</v>
      </c>
      <c r="AV79" s="54">
        <f t="shared" ref="AV79:AW81" si="109">AU79</f>
        <v>0</v>
      </c>
      <c r="AW79" s="54">
        <f t="shared" si="109"/>
        <v>0</v>
      </c>
      <c r="AX79" s="532"/>
      <c r="AY79" s="54">
        <f>AW79</f>
        <v>0</v>
      </c>
      <c r="AZ79" s="54">
        <f t="shared" ref="AZ79:BB81" si="110">AY79</f>
        <v>0</v>
      </c>
      <c r="BA79" s="54">
        <f t="shared" si="110"/>
        <v>0</v>
      </c>
      <c r="BB79" s="54">
        <f t="shared" si="110"/>
        <v>0</v>
      </c>
      <c r="BC79" s="532"/>
      <c r="BD79" s="54">
        <f>BB79</f>
        <v>0</v>
      </c>
      <c r="BE79" s="54">
        <f t="shared" ref="BE79:BG81" si="111">BD79</f>
        <v>0</v>
      </c>
      <c r="BF79" s="54">
        <f t="shared" si="111"/>
        <v>0</v>
      </c>
      <c r="BG79" s="54">
        <f t="shared" si="111"/>
        <v>0</v>
      </c>
      <c r="BH79" s="532"/>
      <c r="BI79" s="54">
        <f>BG79</f>
        <v>0</v>
      </c>
      <c r="BJ79" s="54">
        <f t="shared" ref="BJ79:BL81" si="112">BI79</f>
        <v>0</v>
      </c>
      <c r="BK79" s="54">
        <f t="shared" si="112"/>
        <v>0</v>
      </c>
      <c r="BL79" s="54">
        <f t="shared" si="112"/>
        <v>0</v>
      </c>
      <c r="BM79" s="532"/>
      <c r="BN79" s="54">
        <f>BL79</f>
        <v>0</v>
      </c>
      <c r="BO79" s="54">
        <f t="shared" ref="BO79:BQ81" si="113">BN79</f>
        <v>0</v>
      </c>
      <c r="BP79" s="54">
        <f t="shared" si="113"/>
        <v>0</v>
      </c>
      <c r="BQ79" s="54">
        <f t="shared" si="113"/>
        <v>0</v>
      </c>
      <c r="BR79" s="532"/>
      <c r="BS79" s="54">
        <f>BQ79</f>
        <v>0</v>
      </c>
      <c r="BT79" s="54">
        <f t="shared" ref="BT79:BV81" si="114">BS79</f>
        <v>0</v>
      </c>
      <c r="BU79" s="54">
        <f t="shared" si="114"/>
        <v>0</v>
      </c>
      <c r="BV79" s="54">
        <f t="shared" si="114"/>
        <v>0</v>
      </c>
      <c r="BW79" s="532"/>
      <c r="BX79" s="54">
        <f>BV79</f>
        <v>0</v>
      </c>
      <c r="BY79" s="54">
        <f t="shared" ref="BY79:CA81" si="115">BX79</f>
        <v>0</v>
      </c>
      <c r="BZ79" s="54">
        <f t="shared" si="115"/>
        <v>0</v>
      </c>
      <c r="CA79" s="54">
        <f t="shared" si="115"/>
        <v>0</v>
      </c>
      <c r="CB79" s="562"/>
      <c r="CC79" s="54">
        <f>CA79</f>
        <v>0</v>
      </c>
      <c r="CD79" s="54">
        <f t="shared" ref="CD79:CF81" si="116">CC79</f>
        <v>0</v>
      </c>
      <c r="CE79" s="54">
        <f t="shared" si="116"/>
        <v>0</v>
      </c>
      <c r="CF79" s="54">
        <f t="shared" si="116"/>
        <v>0</v>
      </c>
      <c r="CG79" s="562"/>
      <c r="CH79" s="54">
        <f>CF79</f>
        <v>0</v>
      </c>
      <c r="CI79" s="54">
        <f t="shared" ref="CI79:CK81" si="117">CH79</f>
        <v>0</v>
      </c>
      <c r="CJ79" s="54">
        <f t="shared" si="117"/>
        <v>0</v>
      </c>
      <c r="CK79" s="54">
        <f t="shared" si="117"/>
        <v>0</v>
      </c>
      <c r="CL79" s="562"/>
      <c r="CM79" s="54">
        <f>CK79</f>
        <v>0</v>
      </c>
      <c r="CN79" s="54">
        <f t="shared" ref="CN79:CP81" si="118">CM79</f>
        <v>0</v>
      </c>
      <c r="CO79" s="54">
        <f t="shared" si="118"/>
        <v>0</v>
      </c>
      <c r="CP79" s="54">
        <f t="shared" si="118"/>
        <v>0</v>
      </c>
      <c r="CQ79" s="562"/>
      <c r="CR79" s="54">
        <f>CP79</f>
        <v>0</v>
      </c>
      <c r="CS79" s="54">
        <f t="shared" ref="CS79:CS81" si="119">CR79</f>
        <v>0</v>
      </c>
      <c r="CT79" s="54">
        <f t="shared" ref="CT79:CT81" si="120">CS79</f>
        <v>0</v>
      </c>
      <c r="CU79" s="54">
        <f t="shared" ref="CU79:CU81" si="121">CT79</f>
        <v>0</v>
      </c>
      <c r="CV79" s="562"/>
      <c r="CW79" s="54">
        <f>CU79</f>
        <v>0</v>
      </c>
      <c r="CX79" s="54">
        <f t="shared" ref="CX79:CX81" si="122">CW79</f>
        <v>0</v>
      </c>
      <c r="CY79" s="54">
        <f t="shared" ref="CY79:CY81" si="123">CX79</f>
        <v>0</v>
      </c>
      <c r="CZ79" s="54">
        <f t="shared" ref="CZ79:CZ81" si="124">CY79</f>
        <v>0</v>
      </c>
      <c r="DA79" s="562"/>
      <c r="DB79" s="54">
        <f>CZ79</f>
        <v>0</v>
      </c>
      <c r="DC79" s="54">
        <f t="shared" ref="DC79:DC81" si="125">DB79</f>
        <v>0</v>
      </c>
      <c r="DD79" s="54">
        <f t="shared" ref="DD79:DD81" si="126">DC79</f>
        <v>0</v>
      </c>
      <c r="DE79" s="54">
        <f t="shared" ref="DE79:DE81" si="127">DD79</f>
        <v>0</v>
      </c>
      <c r="DF79" s="562"/>
    </row>
    <row r="80" spans="1:110" x14ac:dyDescent="0.2">
      <c r="B80" s="578" t="s">
        <v>204</v>
      </c>
      <c r="C80" s="145"/>
      <c r="D80" s="145"/>
      <c r="E80" s="145"/>
      <c r="F80" s="145"/>
      <c r="G80" s="145"/>
      <c r="H80" s="145"/>
      <c r="I80" s="145"/>
      <c r="J80" s="145"/>
      <c r="K80" s="145"/>
      <c r="L80" s="145"/>
      <c r="M80" s="145"/>
      <c r="N80" s="145"/>
      <c r="O80" s="145"/>
      <c r="P80" s="145"/>
      <c r="Q80" s="145"/>
      <c r="R80" s="145"/>
      <c r="S80" s="346"/>
      <c r="T80" s="346"/>
      <c r="U80" s="346"/>
      <c r="V80" s="326"/>
      <c r="W80" s="326"/>
      <c r="X80" s="326"/>
      <c r="Y80" s="340"/>
      <c r="Z80" s="346"/>
      <c r="AA80" s="346"/>
      <c r="AB80" s="346"/>
      <c r="AC80" s="346"/>
      <c r="AD80" s="340"/>
      <c r="AE80" s="346"/>
      <c r="AF80" s="346"/>
      <c r="AG80" s="346"/>
      <c r="AH80" s="346"/>
      <c r="AI80" s="340"/>
      <c r="AJ80" s="346"/>
      <c r="AK80" s="346"/>
      <c r="AL80" s="346"/>
      <c r="AM80" s="346"/>
      <c r="AN80" s="340"/>
      <c r="AO80" s="346"/>
      <c r="AP80" s="346"/>
      <c r="AQ80" s="346"/>
      <c r="AR80" s="346"/>
      <c r="AS80" s="340"/>
      <c r="AT80" s="346"/>
      <c r="AU80" s="267">
        <v>6.25E-2</v>
      </c>
      <c r="AV80" s="146">
        <f t="shared" si="109"/>
        <v>6.25E-2</v>
      </c>
      <c r="AW80" s="146">
        <f t="shared" si="109"/>
        <v>6.25E-2</v>
      </c>
      <c r="AX80" s="340"/>
      <c r="AY80" s="146">
        <f>AW80</f>
        <v>6.25E-2</v>
      </c>
      <c r="AZ80" s="146">
        <f t="shared" si="110"/>
        <v>6.25E-2</v>
      </c>
      <c r="BA80" s="146">
        <f t="shared" si="110"/>
        <v>6.25E-2</v>
      </c>
      <c r="BB80" s="146">
        <f t="shared" si="110"/>
        <v>6.25E-2</v>
      </c>
      <c r="BC80" s="340"/>
      <c r="BD80" s="146">
        <f>BB80</f>
        <v>6.25E-2</v>
      </c>
      <c r="BE80" s="146">
        <f t="shared" si="111"/>
        <v>6.25E-2</v>
      </c>
      <c r="BF80" s="146">
        <f t="shared" si="111"/>
        <v>6.25E-2</v>
      </c>
      <c r="BG80" s="146">
        <f t="shared" si="111"/>
        <v>6.25E-2</v>
      </c>
      <c r="BH80" s="340"/>
      <c r="BI80" s="146">
        <f>BG80</f>
        <v>6.25E-2</v>
      </c>
      <c r="BJ80" s="146">
        <f t="shared" si="112"/>
        <v>6.25E-2</v>
      </c>
      <c r="BK80" s="146">
        <f t="shared" si="112"/>
        <v>6.25E-2</v>
      </c>
      <c r="BL80" s="146">
        <f t="shared" si="112"/>
        <v>6.25E-2</v>
      </c>
      <c r="BM80" s="340"/>
      <c r="BN80" s="146">
        <f>BL80</f>
        <v>6.25E-2</v>
      </c>
      <c r="BO80" s="146">
        <f t="shared" si="113"/>
        <v>6.25E-2</v>
      </c>
      <c r="BP80" s="146">
        <f t="shared" si="113"/>
        <v>6.25E-2</v>
      </c>
      <c r="BQ80" s="146">
        <f t="shared" si="113"/>
        <v>6.25E-2</v>
      </c>
      <c r="BR80" s="340"/>
      <c r="BS80" s="146">
        <f>BQ80</f>
        <v>6.25E-2</v>
      </c>
      <c r="BT80" s="146">
        <f t="shared" si="114"/>
        <v>6.25E-2</v>
      </c>
      <c r="BU80" s="146">
        <f t="shared" si="114"/>
        <v>6.25E-2</v>
      </c>
      <c r="BV80" s="146">
        <f t="shared" si="114"/>
        <v>6.25E-2</v>
      </c>
      <c r="BW80" s="340"/>
      <c r="BX80" s="146">
        <f>BV80</f>
        <v>6.25E-2</v>
      </c>
      <c r="BY80" s="146">
        <f t="shared" si="115"/>
        <v>6.25E-2</v>
      </c>
      <c r="BZ80" s="146">
        <f t="shared" si="115"/>
        <v>6.25E-2</v>
      </c>
      <c r="CA80" s="146">
        <f t="shared" si="115"/>
        <v>6.25E-2</v>
      </c>
      <c r="CB80" s="563"/>
      <c r="CC80" s="146">
        <f>CA80</f>
        <v>6.25E-2</v>
      </c>
      <c r="CD80" s="146">
        <f t="shared" si="116"/>
        <v>6.25E-2</v>
      </c>
      <c r="CE80" s="146">
        <f t="shared" si="116"/>
        <v>6.25E-2</v>
      </c>
      <c r="CF80" s="146">
        <f t="shared" si="116"/>
        <v>6.25E-2</v>
      </c>
      <c r="CG80" s="563"/>
      <c r="CH80" s="146">
        <f>CF80</f>
        <v>6.25E-2</v>
      </c>
      <c r="CI80" s="146">
        <f t="shared" si="117"/>
        <v>6.25E-2</v>
      </c>
      <c r="CJ80" s="146">
        <f t="shared" si="117"/>
        <v>6.25E-2</v>
      </c>
      <c r="CK80" s="146">
        <f t="shared" si="117"/>
        <v>6.25E-2</v>
      </c>
      <c r="CL80" s="563"/>
      <c r="CM80" s="146">
        <f>CK80</f>
        <v>6.25E-2</v>
      </c>
      <c r="CN80" s="146">
        <f t="shared" si="118"/>
        <v>6.25E-2</v>
      </c>
      <c r="CO80" s="146">
        <f t="shared" si="118"/>
        <v>6.25E-2</v>
      </c>
      <c r="CP80" s="146">
        <f t="shared" si="118"/>
        <v>6.25E-2</v>
      </c>
      <c r="CQ80" s="563"/>
      <c r="CR80" s="146">
        <f>CP80</f>
        <v>6.25E-2</v>
      </c>
      <c r="CS80" s="146">
        <f t="shared" si="119"/>
        <v>6.25E-2</v>
      </c>
      <c r="CT80" s="146">
        <f t="shared" si="120"/>
        <v>6.25E-2</v>
      </c>
      <c r="CU80" s="146">
        <f t="shared" si="121"/>
        <v>6.25E-2</v>
      </c>
      <c r="CV80" s="563"/>
      <c r="CW80" s="146">
        <f>CU80</f>
        <v>6.25E-2</v>
      </c>
      <c r="CX80" s="146">
        <f t="shared" si="122"/>
        <v>6.25E-2</v>
      </c>
      <c r="CY80" s="146">
        <f t="shared" si="123"/>
        <v>6.25E-2</v>
      </c>
      <c r="CZ80" s="146">
        <f t="shared" si="124"/>
        <v>6.25E-2</v>
      </c>
      <c r="DA80" s="563"/>
      <c r="DB80" s="146">
        <f>CZ80</f>
        <v>6.25E-2</v>
      </c>
      <c r="DC80" s="146">
        <f t="shared" si="125"/>
        <v>6.25E-2</v>
      </c>
      <c r="DD80" s="146">
        <f t="shared" si="126"/>
        <v>6.25E-2</v>
      </c>
      <c r="DE80" s="146">
        <f t="shared" si="127"/>
        <v>6.25E-2</v>
      </c>
      <c r="DF80" s="563"/>
    </row>
    <row r="81" spans="1:110" x14ac:dyDescent="0.2">
      <c r="B81" s="536" t="s">
        <v>197</v>
      </c>
      <c r="C81" s="145"/>
      <c r="D81" s="145"/>
      <c r="E81" s="145"/>
      <c r="F81" s="145"/>
      <c r="G81" s="145"/>
      <c r="H81" s="145"/>
      <c r="I81" s="145"/>
      <c r="J81" s="145"/>
      <c r="K81" s="145"/>
      <c r="L81" s="145"/>
      <c r="M81" s="145"/>
      <c r="N81" s="145"/>
      <c r="O81" s="145"/>
      <c r="P81" s="145"/>
      <c r="Q81" s="145"/>
      <c r="R81" s="145"/>
      <c r="S81" s="346"/>
      <c r="T81" s="346"/>
      <c r="U81" s="346"/>
      <c r="V81" s="326"/>
      <c r="W81" s="326"/>
      <c r="X81" s="326"/>
      <c r="Y81" s="340"/>
      <c r="Z81" s="346"/>
      <c r="AA81" s="346"/>
      <c r="AB81" s="346"/>
      <c r="AC81" s="346"/>
      <c r="AD81" s="340"/>
      <c r="AE81" s="346"/>
      <c r="AF81" s="346"/>
      <c r="AG81" s="346"/>
      <c r="AH81" s="346"/>
      <c r="AI81" s="340"/>
      <c r="AJ81" s="346"/>
      <c r="AK81" s="346"/>
      <c r="AL81" s="346"/>
      <c r="AM81" s="346"/>
      <c r="AN81" s="340"/>
      <c r="AO81" s="346"/>
      <c r="AP81" s="346"/>
      <c r="AQ81" s="346"/>
      <c r="AR81" s="346"/>
      <c r="AS81" s="340"/>
      <c r="AT81" s="346"/>
      <c r="AU81" s="623">
        <v>995.7</v>
      </c>
      <c r="AV81" s="625">
        <f t="shared" si="109"/>
        <v>995.7</v>
      </c>
      <c r="AW81" s="625">
        <f t="shared" si="109"/>
        <v>995.7</v>
      </c>
      <c r="AX81" s="340"/>
      <c r="AY81" s="346">
        <f>AW81</f>
        <v>995.7</v>
      </c>
      <c r="AZ81" s="346">
        <f t="shared" si="110"/>
        <v>995.7</v>
      </c>
      <c r="BA81" s="346">
        <f t="shared" si="110"/>
        <v>995.7</v>
      </c>
      <c r="BB81" s="346">
        <f t="shared" si="110"/>
        <v>995.7</v>
      </c>
      <c r="BC81" s="340"/>
      <c r="BD81" s="346">
        <f>BB81</f>
        <v>995.7</v>
      </c>
      <c r="BE81" s="346">
        <f t="shared" si="111"/>
        <v>995.7</v>
      </c>
      <c r="BF81" s="346">
        <f t="shared" si="111"/>
        <v>995.7</v>
      </c>
      <c r="BG81" s="346">
        <f t="shared" si="111"/>
        <v>995.7</v>
      </c>
      <c r="BH81" s="340"/>
      <c r="BI81" s="346">
        <f>BG81</f>
        <v>995.7</v>
      </c>
      <c r="BJ81" s="346">
        <f t="shared" si="112"/>
        <v>995.7</v>
      </c>
      <c r="BK81" s="346">
        <f t="shared" si="112"/>
        <v>995.7</v>
      </c>
      <c r="BL81" s="346">
        <f t="shared" si="112"/>
        <v>995.7</v>
      </c>
      <c r="BM81" s="340"/>
      <c r="BN81" s="346">
        <f>BL81</f>
        <v>995.7</v>
      </c>
      <c r="BO81" s="346">
        <f t="shared" si="113"/>
        <v>995.7</v>
      </c>
      <c r="BP81" s="346">
        <f t="shared" si="113"/>
        <v>995.7</v>
      </c>
      <c r="BQ81" s="346">
        <f t="shared" si="113"/>
        <v>995.7</v>
      </c>
      <c r="BR81" s="340"/>
      <c r="BS81" s="346">
        <f>BQ81</f>
        <v>995.7</v>
      </c>
      <c r="BT81" s="346">
        <f t="shared" si="114"/>
        <v>995.7</v>
      </c>
      <c r="BU81" s="346">
        <f t="shared" si="114"/>
        <v>995.7</v>
      </c>
      <c r="BV81" s="346">
        <f t="shared" si="114"/>
        <v>995.7</v>
      </c>
      <c r="BW81" s="340"/>
      <c r="BX81" s="346">
        <f>BV81</f>
        <v>995.7</v>
      </c>
      <c r="BY81" s="346">
        <f t="shared" si="115"/>
        <v>995.7</v>
      </c>
      <c r="BZ81" s="346">
        <f t="shared" si="115"/>
        <v>995.7</v>
      </c>
      <c r="CA81" s="346">
        <f t="shared" si="115"/>
        <v>995.7</v>
      </c>
      <c r="CB81" s="563"/>
      <c r="CC81" s="346">
        <f>CA81</f>
        <v>995.7</v>
      </c>
      <c r="CD81" s="346">
        <f t="shared" si="116"/>
        <v>995.7</v>
      </c>
      <c r="CE81" s="346">
        <f t="shared" si="116"/>
        <v>995.7</v>
      </c>
      <c r="CF81" s="346">
        <f t="shared" si="116"/>
        <v>995.7</v>
      </c>
      <c r="CG81" s="563"/>
      <c r="CH81" s="346">
        <f>CF81</f>
        <v>995.7</v>
      </c>
      <c r="CI81" s="346">
        <f t="shared" si="117"/>
        <v>995.7</v>
      </c>
      <c r="CJ81" s="346">
        <f t="shared" si="117"/>
        <v>995.7</v>
      </c>
      <c r="CK81" s="346">
        <f t="shared" si="117"/>
        <v>995.7</v>
      </c>
      <c r="CL81" s="563"/>
      <c r="CM81" s="346">
        <f>CK81</f>
        <v>995.7</v>
      </c>
      <c r="CN81" s="346">
        <f t="shared" si="118"/>
        <v>995.7</v>
      </c>
      <c r="CO81" s="346">
        <f t="shared" si="118"/>
        <v>995.7</v>
      </c>
      <c r="CP81" s="346">
        <f t="shared" si="118"/>
        <v>995.7</v>
      </c>
      <c r="CQ81" s="563"/>
      <c r="CR81" s="346">
        <f>CP81</f>
        <v>995.7</v>
      </c>
      <c r="CS81" s="346">
        <f t="shared" si="119"/>
        <v>995.7</v>
      </c>
      <c r="CT81" s="346">
        <f t="shared" si="120"/>
        <v>995.7</v>
      </c>
      <c r="CU81" s="346">
        <f t="shared" si="121"/>
        <v>995.7</v>
      </c>
      <c r="CV81" s="563"/>
      <c r="CW81" s="346">
        <f>CU81</f>
        <v>995.7</v>
      </c>
      <c r="CX81" s="346">
        <f t="shared" si="122"/>
        <v>995.7</v>
      </c>
      <c r="CY81" s="346">
        <f t="shared" si="123"/>
        <v>995.7</v>
      </c>
      <c r="CZ81" s="346">
        <f t="shared" si="124"/>
        <v>995.7</v>
      </c>
      <c r="DA81" s="563"/>
      <c r="DB81" s="346">
        <f>CZ81</f>
        <v>995.7</v>
      </c>
      <c r="DC81" s="346">
        <f t="shared" si="125"/>
        <v>995.7</v>
      </c>
      <c r="DD81" s="346">
        <f t="shared" si="126"/>
        <v>995.7</v>
      </c>
      <c r="DE81" s="346">
        <f t="shared" si="127"/>
        <v>995.7</v>
      </c>
      <c r="DF81" s="563"/>
    </row>
    <row r="82" spans="1:110" x14ac:dyDescent="0.2">
      <c r="B82" s="544" t="s">
        <v>198</v>
      </c>
      <c r="C82" s="145"/>
      <c r="D82" s="145"/>
      <c r="E82" s="145"/>
      <c r="F82" s="145"/>
      <c r="G82" s="145"/>
      <c r="H82" s="145"/>
      <c r="I82" s="145"/>
      <c r="J82" s="145"/>
      <c r="K82" s="145"/>
      <c r="L82" s="145"/>
      <c r="M82" s="145"/>
      <c r="N82" s="145"/>
      <c r="O82" s="145"/>
      <c r="P82" s="145"/>
      <c r="Q82" s="145"/>
      <c r="R82" s="145"/>
      <c r="S82" s="346"/>
      <c r="T82" s="346"/>
      <c r="U82" s="346"/>
      <c r="V82" s="326"/>
      <c r="W82" s="326"/>
      <c r="X82" s="326"/>
      <c r="Y82" s="340"/>
      <c r="Z82" s="346"/>
      <c r="AA82" s="346"/>
      <c r="AB82" s="346"/>
      <c r="AC82" s="346"/>
      <c r="AD82" s="340"/>
      <c r="AE82" s="346"/>
      <c r="AF82" s="346"/>
      <c r="AG82" s="346"/>
      <c r="AH82" s="346"/>
      <c r="AI82" s="340"/>
      <c r="AJ82" s="346"/>
      <c r="AK82" s="346"/>
      <c r="AL82" s="346"/>
      <c r="AM82" s="346"/>
      <c r="AN82" s="340"/>
      <c r="AO82" s="346"/>
      <c r="AP82" s="346"/>
      <c r="AQ82" s="346"/>
      <c r="AR82" s="346"/>
      <c r="AS82" s="340"/>
      <c r="AT82" s="346"/>
      <c r="AU82" s="623">
        <v>0</v>
      </c>
      <c r="AV82" s="625">
        <f>AU84</f>
        <v>995.7</v>
      </c>
      <c r="AW82" s="625">
        <f>AV84</f>
        <v>996</v>
      </c>
      <c r="AX82" s="340"/>
      <c r="AY82" s="346">
        <f>AW84</f>
        <v>996.1</v>
      </c>
      <c r="AZ82" s="346">
        <f>AY84</f>
        <v>996.30000000000007</v>
      </c>
      <c r="BA82" s="346">
        <f>AZ84</f>
        <v>996.50000000000011</v>
      </c>
      <c r="BB82" s="346">
        <f>BA84</f>
        <v>996.70000000000016</v>
      </c>
      <c r="BC82" s="340"/>
      <c r="BD82" s="346">
        <f>BB84</f>
        <v>996.9000000000002</v>
      </c>
      <c r="BE82" s="346">
        <f>BD84</f>
        <v>997.10000000000025</v>
      </c>
      <c r="BF82" s="346">
        <f>BE84</f>
        <v>997.3000000000003</v>
      </c>
      <c r="BG82" s="346">
        <f>BF84</f>
        <v>997.60000000000025</v>
      </c>
      <c r="BH82" s="340"/>
      <c r="BI82" s="346">
        <f>BG84</f>
        <v>997.9000000000002</v>
      </c>
      <c r="BJ82" s="346">
        <f>BI84</f>
        <v>998.20000000000016</v>
      </c>
      <c r="BK82" s="346">
        <f>BJ84</f>
        <v>998.20000000000016</v>
      </c>
      <c r="BL82" s="346">
        <f>BK84</f>
        <v>998.4</v>
      </c>
      <c r="BM82" s="340"/>
      <c r="BN82" s="346">
        <f>BL84</f>
        <v>998.7</v>
      </c>
      <c r="BO82" s="346">
        <f>BN84</f>
        <v>0</v>
      </c>
      <c r="BP82" s="346">
        <f>BO84</f>
        <v>0</v>
      </c>
      <c r="BQ82" s="346">
        <f>BP84</f>
        <v>0</v>
      </c>
      <c r="BR82" s="340"/>
      <c r="BS82" s="346">
        <f>BQ84</f>
        <v>0</v>
      </c>
      <c r="BT82" s="346">
        <f>BS84</f>
        <v>0</v>
      </c>
      <c r="BU82" s="346">
        <f>BT84</f>
        <v>0</v>
      </c>
      <c r="BV82" s="346">
        <f>BU84</f>
        <v>0</v>
      </c>
      <c r="BW82" s="340"/>
      <c r="BX82" s="346">
        <f>BV84</f>
        <v>0</v>
      </c>
      <c r="BY82" s="346">
        <f>BX84</f>
        <v>0</v>
      </c>
      <c r="BZ82" s="346">
        <f>BY84</f>
        <v>0</v>
      </c>
      <c r="CA82" s="346">
        <f>BZ84</f>
        <v>0</v>
      </c>
      <c r="CB82" s="563"/>
      <c r="CC82" s="346">
        <f>CA84</f>
        <v>0</v>
      </c>
      <c r="CD82" s="346">
        <f>CC84</f>
        <v>0</v>
      </c>
      <c r="CE82" s="346">
        <f>CD84</f>
        <v>0</v>
      </c>
      <c r="CF82" s="346">
        <f>CE84</f>
        <v>0</v>
      </c>
      <c r="CG82" s="563"/>
      <c r="CH82" s="346">
        <f>CF84</f>
        <v>0</v>
      </c>
      <c r="CI82" s="346">
        <f>CH84</f>
        <v>0</v>
      </c>
      <c r="CJ82" s="346">
        <f>CI84</f>
        <v>0</v>
      </c>
      <c r="CK82" s="346">
        <f>CJ84</f>
        <v>0</v>
      </c>
      <c r="CL82" s="563"/>
      <c r="CM82" s="346">
        <f>CK84</f>
        <v>0</v>
      </c>
      <c r="CN82" s="346">
        <f>CM84</f>
        <v>0</v>
      </c>
      <c r="CO82" s="346">
        <f>CN84</f>
        <v>0</v>
      </c>
      <c r="CP82" s="346">
        <f>CO84</f>
        <v>0</v>
      </c>
      <c r="CQ82" s="563"/>
      <c r="CR82" s="346">
        <f>CP84</f>
        <v>0</v>
      </c>
      <c r="CS82" s="346">
        <f>CR84</f>
        <v>0</v>
      </c>
      <c r="CT82" s="346">
        <f>CS84</f>
        <v>0</v>
      </c>
      <c r="CU82" s="346">
        <f>CT84</f>
        <v>0</v>
      </c>
      <c r="CV82" s="563"/>
      <c r="CW82" s="346">
        <f>CU84</f>
        <v>0</v>
      </c>
      <c r="CX82" s="346">
        <f>CW84</f>
        <v>0</v>
      </c>
      <c r="CY82" s="346">
        <f>CX84</f>
        <v>0</v>
      </c>
      <c r="CZ82" s="346">
        <f>CY84</f>
        <v>0</v>
      </c>
      <c r="DA82" s="563"/>
      <c r="DB82" s="346">
        <f>CZ84</f>
        <v>0</v>
      </c>
      <c r="DC82" s="346">
        <f>DB84</f>
        <v>0</v>
      </c>
      <c r="DD82" s="346">
        <f>DC84</f>
        <v>0</v>
      </c>
      <c r="DE82" s="346">
        <f>DD84</f>
        <v>0</v>
      </c>
      <c r="DF82" s="563"/>
    </row>
    <row r="83" spans="1:110" x14ac:dyDescent="0.2">
      <c r="B83" s="589" t="s">
        <v>199</v>
      </c>
      <c r="C83" s="359"/>
      <c r="D83" s="359"/>
      <c r="E83" s="359"/>
      <c r="F83" s="359"/>
      <c r="G83" s="359"/>
      <c r="H83" s="359"/>
      <c r="I83" s="359"/>
      <c r="J83" s="359"/>
      <c r="K83" s="359"/>
      <c r="L83" s="359"/>
      <c r="M83" s="359"/>
      <c r="N83" s="359"/>
      <c r="O83" s="359"/>
      <c r="P83" s="359"/>
      <c r="Q83" s="359"/>
      <c r="R83" s="359"/>
      <c r="S83" s="347"/>
      <c r="T83" s="347"/>
      <c r="U83" s="347"/>
      <c r="V83" s="377"/>
      <c r="W83" s="377"/>
      <c r="X83" s="377"/>
      <c r="Y83" s="343"/>
      <c r="Z83" s="347"/>
      <c r="AA83" s="347"/>
      <c r="AB83" s="347"/>
      <c r="AC83" s="347"/>
      <c r="AD83" s="343"/>
      <c r="AE83" s="347"/>
      <c r="AF83" s="347"/>
      <c r="AG83" s="347"/>
      <c r="AH83" s="347"/>
      <c r="AI83" s="343"/>
      <c r="AJ83" s="347"/>
      <c r="AK83" s="347"/>
      <c r="AL83" s="347"/>
      <c r="AM83" s="347"/>
      <c r="AN83" s="343"/>
      <c r="AO83" s="347"/>
      <c r="AP83" s="347"/>
      <c r="AQ83" s="347"/>
      <c r="AR83" s="347"/>
      <c r="AS83" s="343"/>
      <c r="AT83" s="347"/>
      <c r="AU83" s="629">
        <v>995.7</v>
      </c>
      <c r="AV83" s="629">
        <v>0.3</v>
      </c>
      <c r="AW83" s="629">
        <v>0.1</v>
      </c>
      <c r="AX83" s="343"/>
      <c r="AY83" s="347">
        <v>0.2</v>
      </c>
      <c r="AZ83" s="347">
        <f>AY83</f>
        <v>0.2</v>
      </c>
      <c r="BA83" s="347">
        <f>AZ83</f>
        <v>0.2</v>
      </c>
      <c r="BB83" s="347">
        <f>BA83</f>
        <v>0.2</v>
      </c>
      <c r="BC83" s="343"/>
      <c r="BD83" s="347">
        <f>BB83</f>
        <v>0.2</v>
      </c>
      <c r="BE83" s="347">
        <f>BD83</f>
        <v>0.2</v>
      </c>
      <c r="BF83" s="347">
        <v>0.3</v>
      </c>
      <c r="BG83" s="347">
        <f>BF83</f>
        <v>0.3</v>
      </c>
      <c r="BH83" s="343"/>
      <c r="BI83" s="347">
        <f>BG83</f>
        <v>0.3</v>
      </c>
      <c r="BJ83" s="347">
        <v>0</v>
      </c>
      <c r="BK83" s="347">
        <f>998.4-BK82</f>
        <v>0.1999999999998181</v>
      </c>
      <c r="BL83" s="348">
        <f>998.7-BL82</f>
        <v>0.30000000000006821</v>
      </c>
      <c r="BM83" s="343"/>
      <c r="BN83" s="348">
        <v>-998.7</v>
      </c>
      <c r="BO83" s="347"/>
      <c r="BP83" s="347">
        <v>0</v>
      </c>
      <c r="BQ83" s="347">
        <v>0</v>
      </c>
      <c r="BR83" s="343"/>
      <c r="BS83" s="347">
        <f>BQ83</f>
        <v>0</v>
      </c>
      <c r="BT83" s="347">
        <f>BS83</f>
        <v>0</v>
      </c>
      <c r="BU83" s="347">
        <f>BT83</f>
        <v>0</v>
      </c>
      <c r="BV83" s="347">
        <f>-BV82</f>
        <v>0</v>
      </c>
      <c r="BW83" s="343"/>
      <c r="BX83" s="347">
        <v>0</v>
      </c>
      <c r="BY83" s="347">
        <v>0</v>
      </c>
      <c r="BZ83" s="347">
        <f>BY83</f>
        <v>0</v>
      </c>
      <c r="CA83" s="347">
        <f>BZ83</f>
        <v>0</v>
      </c>
      <c r="CB83" s="585"/>
      <c r="CC83" s="347">
        <v>0</v>
      </c>
      <c r="CD83" s="347">
        <v>0</v>
      </c>
      <c r="CE83" s="347">
        <f>CD83</f>
        <v>0</v>
      </c>
      <c r="CF83" s="347">
        <f>CE83</f>
        <v>0</v>
      </c>
      <c r="CG83" s="585"/>
      <c r="CH83" s="347">
        <v>0</v>
      </c>
      <c r="CI83" s="347">
        <v>0</v>
      </c>
      <c r="CJ83" s="347">
        <f>CI83</f>
        <v>0</v>
      </c>
      <c r="CK83" s="347">
        <f>CJ83</f>
        <v>0</v>
      </c>
      <c r="CL83" s="585"/>
      <c r="CM83" s="347">
        <v>0</v>
      </c>
      <c r="CN83" s="347">
        <v>0</v>
      </c>
      <c r="CO83" s="347">
        <f>CN83</f>
        <v>0</v>
      </c>
      <c r="CP83" s="347">
        <f>CO83</f>
        <v>0</v>
      </c>
      <c r="CQ83" s="585"/>
      <c r="CR83" s="347">
        <v>0</v>
      </c>
      <c r="CS83" s="347">
        <v>0</v>
      </c>
      <c r="CT83" s="347">
        <f>CS83</f>
        <v>0</v>
      </c>
      <c r="CU83" s="347">
        <f>CT83</f>
        <v>0</v>
      </c>
      <c r="CV83" s="585"/>
      <c r="CW83" s="347">
        <v>0</v>
      </c>
      <c r="CX83" s="347">
        <v>0</v>
      </c>
      <c r="CY83" s="347">
        <f>CX83</f>
        <v>0</v>
      </c>
      <c r="CZ83" s="347">
        <f>CY83</f>
        <v>0</v>
      </c>
      <c r="DA83" s="585"/>
      <c r="DB83" s="347">
        <v>0</v>
      </c>
      <c r="DC83" s="347">
        <v>0</v>
      </c>
      <c r="DD83" s="347">
        <f>DC83</f>
        <v>0</v>
      </c>
      <c r="DE83" s="347">
        <f>DD83</f>
        <v>0</v>
      </c>
      <c r="DF83" s="585"/>
    </row>
    <row r="84" spans="1:110" x14ac:dyDescent="0.2">
      <c r="B84" s="544" t="s">
        <v>200</v>
      </c>
      <c r="C84" s="145"/>
      <c r="D84" s="145"/>
      <c r="E84" s="145"/>
      <c r="F84" s="145"/>
      <c r="G84" s="145"/>
      <c r="H84" s="145"/>
      <c r="I84" s="145"/>
      <c r="J84" s="145"/>
      <c r="K84" s="145"/>
      <c r="L84" s="145"/>
      <c r="M84" s="145"/>
      <c r="N84" s="145"/>
      <c r="O84" s="145"/>
      <c r="P84" s="145"/>
      <c r="Q84" s="145"/>
      <c r="R84" s="145"/>
      <c r="S84" s="346"/>
      <c r="T84" s="346"/>
      <c r="U84" s="346"/>
      <c r="V84" s="326"/>
      <c r="W84" s="326"/>
      <c r="X84" s="326"/>
      <c r="Y84" s="340"/>
      <c r="Z84" s="346"/>
      <c r="AA84" s="346"/>
      <c r="AB84" s="346"/>
      <c r="AC84" s="346"/>
      <c r="AD84" s="340"/>
      <c r="AE84" s="346"/>
      <c r="AF84" s="346"/>
      <c r="AG84" s="346"/>
      <c r="AH84" s="346"/>
      <c r="AI84" s="340"/>
      <c r="AJ84" s="346"/>
      <c r="AK84" s="346"/>
      <c r="AL84" s="346"/>
      <c r="AM84" s="346"/>
      <c r="AN84" s="340"/>
      <c r="AO84" s="346"/>
      <c r="AP84" s="346"/>
      <c r="AQ84" s="346"/>
      <c r="AR84" s="346"/>
      <c r="AS84" s="340"/>
      <c r="AT84" s="346"/>
      <c r="AU84" s="625">
        <f>AU82+AU83</f>
        <v>995.7</v>
      </c>
      <c r="AV84" s="625">
        <f>AV82+AV83</f>
        <v>996</v>
      </c>
      <c r="AW84" s="625">
        <f>AW82+AW83</f>
        <v>996.1</v>
      </c>
      <c r="AX84" s="340"/>
      <c r="AY84" s="346">
        <f>AY82+AY83</f>
        <v>996.30000000000007</v>
      </c>
      <c r="AZ84" s="346">
        <f>AZ82+AZ83</f>
        <v>996.50000000000011</v>
      </c>
      <c r="BA84" s="346">
        <f>BA82+BA83</f>
        <v>996.70000000000016</v>
      </c>
      <c r="BB84" s="346">
        <f>BB82+BB83</f>
        <v>996.9000000000002</v>
      </c>
      <c r="BC84" s="340"/>
      <c r="BD84" s="346">
        <f>BD82+BD83</f>
        <v>997.10000000000025</v>
      </c>
      <c r="BE84" s="346">
        <f>BE82+BE83</f>
        <v>997.3000000000003</v>
      </c>
      <c r="BF84" s="346">
        <f>BF82+BF83</f>
        <v>997.60000000000025</v>
      </c>
      <c r="BG84" s="346">
        <f>BG82+BG83</f>
        <v>997.9000000000002</v>
      </c>
      <c r="BH84" s="340"/>
      <c r="BI84" s="346">
        <f>BI82+BI83</f>
        <v>998.20000000000016</v>
      </c>
      <c r="BJ84" s="346">
        <f>BJ82+BJ83</f>
        <v>998.20000000000016</v>
      </c>
      <c r="BK84" s="346">
        <f>BK82+BK83</f>
        <v>998.4</v>
      </c>
      <c r="BL84" s="346">
        <f>BL82+BL83</f>
        <v>998.7</v>
      </c>
      <c r="BM84" s="340"/>
      <c r="BN84" s="346">
        <f>BN82+BN83</f>
        <v>0</v>
      </c>
      <c r="BO84" s="346">
        <f>BO82+BO83</f>
        <v>0</v>
      </c>
      <c r="BP84" s="346">
        <f>BP82+BP83</f>
        <v>0</v>
      </c>
      <c r="BQ84" s="346">
        <f>BQ82+BQ83</f>
        <v>0</v>
      </c>
      <c r="BR84" s="340"/>
      <c r="BS84" s="346">
        <f>BS82+BS83</f>
        <v>0</v>
      </c>
      <c r="BT84" s="346">
        <f>BT82+BT83</f>
        <v>0</v>
      </c>
      <c r="BU84" s="346">
        <f>BU82+BU83</f>
        <v>0</v>
      </c>
      <c r="BV84" s="346">
        <f>BV82+BV83</f>
        <v>0</v>
      </c>
      <c r="BW84" s="340"/>
      <c r="BX84" s="346">
        <f>BX82+BX83</f>
        <v>0</v>
      </c>
      <c r="BY84" s="346">
        <f>BY82+BY83</f>
        <v>0</v>
      </c>
      <c r="BZ84" s="346">
        <f>BZ82+BZ83</f>
        <v>0</v>
      </c>
      <c r="CA84" s="346">
        <f>CA82+CA83</f>
        <v>0</v>
      </c>
      <c r="CB84" s="563"/>
      <c r="CC84" s="346">
        <f>CC82+CC83</f>
        <v>0</v>
      </c>
      <c r="CD84" s="346">
        <f>CD82+CD83</f>
        <v>0</v>
      </c>
      <c r="CE84" s="346">
        <f>CE82+CE83</f>
        <v>0</v>
      </c>
      <c r="CF84" s="346">
        <f>CF82+CF83</f>
        <v>0</v>
      </c>
      <c r="CG84" s="563"/>
      <c r="CH84" s="346">
        <f>CH82+CH83</f>
        <v>0</v>
      </c>
      <c r="CI84" s="346">
        <f>CI82+CI83</f>
        <v>0</v>
      </c>
      <c r="CJ84" s="346">
        <f>CJ82+CJ83</f>
        <v>0</v>
      </c>
      <c r="CK84" s="346">
        <f>CK82+CK83</f>
        <v>0</v>
      </c>
      <c r="CL84" s="563"/>
      <c r="CM84" s="346">
        <f>CM82+CM83</f>
        <v>0</v>
      </c>
      <c r="CN84" s="346">
        <f>CN82+CN83</f>
        <v>0</v>
      </c>
      <c r="CO84" s="346">
        <f>CO82+CO83</f>
        <v>0</v>
      </c>
      <c r="CP84" s="346">
        <f>CP82+CP83</f>
        <v>0</v>
      </c>
      <c r="CQ84" s="563"/>
      <c r="CR84" s="346">
        <f>CR82+CR83</f>
        <v>0</v>
      </c>
      <c r="CS84" s="346">
        <f>CS82+CS83</f>
        <v>0</v>
      </c>
      <c r="CT84" s="346">
        <f>CT82+CT83</f>
        <v>0</v>
      </c>
      <c r="CU84" s="346">
        <f>CU82+CU83</f>
        <v>0</v>
      </c>
      <c r="CV84" s="563"/>
      <c r="CW84" s="346">
        <f>CW82+CW83</f>
        <v>0</v>
      </c>
      <c r="CX84" s="346">
        <f>CX82+CX83</f>
        <v>0</v>
      </c>
      <c r="CY84" s="346">
        <f>CY82+CY83</f>
        <v>0</v>
      </c>
      <c r="CZ84" s="346">
        <f>CZ82+CZ83</f>
        <v>0</v>
      </c>
      <c r="DA84" s="563"/>
      <c r="DB84" s="346">
        <f>DB82+DB83</f>
        <v>0</v>
      </c>
      <c r="DC84" s="346">
        <f>DC82+DC83</f>
        <v>0</v>
      </c>
      <c r="DD84" s="346">
        <f>DD82+DD83</f>
        <v>0</v>
      </c>
      <c r="DE84" s="346">
        <f>DE82+DE83</f>
        <v>0</v>
      </c>
      <c r="DF84" s="563"/>
    </row>
    <row r="85" spans="1:110" x14ac:dyDescent="0.2">
      <c r="B85" s="536" t="s">
        <v>201</v>
      </c>
      <c r="C85" s="145"/>
      <c r="D85" s="145"/>
      <c r="E85" s="145"/>
      <c r="F85" s="145"/>
      <c r="G85" s="145"/>
      <c r="H85" s="145"/>
      <c r="I85" s="145"/>
      <c r="J85" s="145"/>
      <c r="K85" s="145"/>
      <c r="L85" s="145"/>
      <c r="M85" s="145"/>
      <c r="N85" s="145"/>
      <c r="O85" s="145"/>
      <c r="P85" s="145"/>
      <c r="Q85" s="145"/>
      <c r="R85" s="145"/>
      <c r="S85" s="346"/>
      <c r="T85" s="346"/>
      <c r="U85" s="346"/>
      <c r="V85" s="326"/>
      <c r="W85" s="326"/>
      <c r="X85" s="326"/>
      <c r="Y85" s="340"/>
      <c r="Z85" s="346"/>
      <c r="AA85" s="346"/>
      <c r="AB85" s="346"/>
      <c r="AC85" s="346"/>
      <c r="AD85" s="340"/>
      <c r="AE85" s="346"/>
      <c r="AF85" s="346"/>
      <c r="AG85" s="346"/>
      <c r="AH85" s="346"/>
      <c r="AI85" s="340"/>
      <c r="AJ85" s="346"/>
      <c r="AK85" s="346"/>
      <c r="AL85" s="346"/>
      <c r="AM85" s="346"/>
      <c r="AN85" s="340"/>
      <c r="AO85" s="346"/>
      <c r="AP85" s="346"/>
      <c r="AQ85" s="346"/>
      <c r="AR85" s="346"/>
      <c r="AS85" s="340"/>
      <c r="AT85" s="346"/>
      <c r="AU85" s="625">
        <f>AU81-AU84</f>
        <v>0</v>
      </c>
      <c r="AV85" s="625">
        <f>AV81-AV84</f>
        <v>-0.29999999999995453</v>
      </c>
      <c r="AW85" s="625">
        <f>AW81-AW84</f>
        <v>-0.39999999999997726</v>
      </c>
      <c r="AX85" s="340"/>
      <c r="AY85" s="346">
        <f>AY81-AY84</f>
        <v>-0.60000000000002274</v>
      </c>
      <c r="AZ85" s="346">
        <f>AZ81-AZ84</f>
        <v>-0.80000000000006821</v>
      </c>
      <c r="BA85" s="346">
        <f>BA81-BA84</f>
        <v>-1.0000000000001137</v>
      </c>
      <c r="BB85" s="346">
        <f>BB81-BB84</f>
        <v>-1.2000000000001592</v>
      </c>
      <c r="BC85" s="340"/>
      <c r="BD85" s="346">
        <f>BD81-BD84</f>
        <v>-1.4000000000002046</v>
      </c>
      <c r="BE85" s="346">
        <f>BE81-BE84</f>
        <v>-1.6000000000002501</v>
      </c>
      <c r="BF85" s="346">
        <f>BF81-BF84</f>
        <v>-1.9000000000002046</v>
      </c>
      <c r="BG85" s="346">
        <f>BG81-BG84</f>
        <v>-2.2000000000001592</v>
      </c>
      <c r="BH85" s="340"/>
      <c r="BI85" s="346">
        <f>BI81-BI84</f>
        <v>-2.5000000000001137</v>
      </c>
      <c r="BJ85" s="346">
        <f>BJ81-BJ84</f>
        <v>-2.5000000000001137</v>
      </c>
      <c r="BK85" s="346">
        <f>BK81-BK84</f>
        <v>-2.6999999999999318</v>
      </c>
      <c r="BL85" s="346">
        <f>BL81-BL84</f>
        <v>-3</v>
      </c>
      <c r="BM85" s="340"/>
      <c r="BN85" s="346">
        <f>BN81-BN84</f>
        <v>995.7</v>
      </c>
      <c r="BO85" s="346">
        <f>BO81-BO84</f>
        <v>995.7</v>
      </c>
      <c r="BP85" s="346">
        <f>BP81-BP84</f>
        <v>995.7</v>
      </c>
      <c r="BQ85" s="346">
        <f>BQ81-BQ84</f>
        <v>995.7</v>
      </c>
      <c r="BR85" s="340"/>
      <c r="BS85" s="346">
        <f>BS81-BS84</f>
        <v>995.7</v>
      </c>
      <c r="BT85" s="346">
        <f>BT81-BT84</f>
        <v>995.7</v>
      </c>
      <c r="BU85" s="346">
        <f>BU81-BU84</f>
        <v>995.7</v>
      </c>
      <c r="BV85" s="346">
        <f>BV81-BV84</f>
        <v>995.7</v>
      </c>
      <c r="BW85" s="340"/>
      <c r="BX85" s="346">
        <f>BX81-BX84</f>
        <v>995.7</v>
      </c>
      <c r="BY85" s="346">
        <f>BY81-BY84</f>
        <v>995.7</v>
      </c>
      <c r="BZ85" s="346">
        <f>BZ81-BZ84</f>
        <v>995.7</v>
      </c>
      <c r="CA85" s="346">
        <f>CA81-CA84</f>
        <v>995.7</v>
      </c>
      <c r="CB85" s="563"/>
      <c r="CC85" s="346">
        <f>CC81-CC84</f>
        <v>995.7</v>
      </c>
      <c r="CD85" s="346">
        <f>CD81-CD84</f>
        <v>995.7</v>
      </c>
      <c r="CE85" s="346">
        <f>CE81-CE84</f>
        <v>995.7</v>
      </c>
      <c r="CF85" s="346">
        <f>CF81-CF84</f>
        <v>995.7</v>
      </c>
      <c r="CG85" s="563"/>
      <c r="CH85" s="346">
        <f>CH81-CH84</f>
        <v>995.7</v>
      </c>
      <c r="CI85" s="346">
        <f>CI81-CI84</f>
        <v>995.7</v>
      </c>
      <c r="CJ85" s="346">
        <f>CJ81-CJ84</f>
        <v>995.7</v>
      </c>
      <c r="CK85" s="346">
        <f>CK81-CK84</f>
        <v>995.7</v>
      </c>
      <c r="CL85" s="563"/>
      <c r="CM85" s="346">
        <f>CM81-CM84</f>
        <v>995.7</v>
      </c>
      <c r="CN85" s="346">
        <f>CN81-CN84</f>
        <v>995.7</v>
      </c>
      <c r="CO85" s="346">
        <f>CO81-CO84</f>
        <v>995.7</v>
      </c>
      <c r="CP85" s="346">
        <f>CP81-CP84</f>
        <v>995.7</v>
      </c>
      <c r="CQ85" s="563"/>
      <c r="CR85" s="346">
        <f>CR81-CR84</f>
        <v>995.7</v>
      </c>
      <c r="CS85" s="346">
        <f>CS81-CS84</f>
        <v>995.7</v>
      </c>
      <c r="CT85" s="346">
        <f>CT81-CT84</f>
        <v>995.7</v>
      </c>
      <c r="CU85" s="346">
        <f>CU81-CU84</f>
        <v>995.7</v>
      </c>
      <c r="CV85" s="563"/>
      <c r="CW85" s="346">
        <f>CW81-CW84</f>
        <v>995.7</v>
      </c>
      <c r="CX85" s="346">
        <f>CX81-CX84</f>
        <v>995.7</v>
      </c>
      <c r="CY85" s="346">
        <f>CY81-CY84</f>
        <v>995.7</v>
      </c>
      <c r="CZ85" s="346">
        <f>CZ81-CZ84</f>
        <v>995.7</v>
      </c>
      <c r="DA85" s="563"/>
      <c r="DB85" s="346">
        <f>DB81-DB84</f>
        <v>995.7</v>
      </c>
      <c r="DC85" s="346">
        <f>DC81-DC84</f>
        <v>995.7</v>
      </c>
      <c r="DD85" s="346">
        <f>DD81-DD84</f>
        <v>995.7</v>
      </c>
      <c r="DE85" s="346">
        <f>DE81-DE84</f>
        <v>995.7</v>
      </c>
      <c r="DF85" s="563"/>
    </row>
    <row r="86" spans="1:110" x14ac:dyDescent="0.2">
      <c r="B86" s="544" t="s">
        <v>206</v>
      </c>
      <c r="C86" s="145"/>
      <c r="D86" s="145"/>
      <c r="E86" s="145"/>
      <c r="F86" s="145"/>
      <c r="G86" s="145"/>
      <c r="H86" s="145"/>
      <c r="I86" s="145"/>
      <c r="J86" s="145"/>
      <c r="K86" s="145"/>
      <c r="L86" s="145"/>
      <c r="M86" s="145"/>
      <c r="N86" s="145"/>
      <c r="O86" s="145"/>
      <c r="P86" s="145"/>
      <c r="Q86" s="145"/>
      <c r="R86" s="145"/>
      <c r="S86" s="346"/>
      <c r="T86" s="346"/>
      <c r="U86" s="346"/>
      <c r="V86" s="326"/>
      <c r="W86" s="326"/>
      <c r="X86" s="326"/>
      <c r="Y86" s="340"/>
      <c r="Z86" s="346"/>
      <c r="AA86" s="346"/>
      <c r="AB86" s="346"/>
      <c r="AC86" s="346"/>
      <c r="AD86" s="340"/>
      <c r="AE86" s="346"/>
      <c r="AF86" s="346"/>
      <c r="AG86" s="346"/>
      <c r="AH86" s="346"/>
      <c r="AI86" s="340"/>
      <c r="AJ86" s="346"/>
      <c r="AK86" s="346"/>
      <c r="AL86" s="346"/>
      <c r="AM86" s="346"/>
      <c r="AN86" s="340"/>
      <c r="AO86" s="346"/>
      <c r="AP86" s="346"/>
      <c r="AQ86" s="346"/>
      <c r="AR86" s="346"/>
      <c r="AS86" s="340"/>
      <c r="AT86" s="346"/>
      <c r="AU86" s="625">
        <f>-AU84/3*(AU80/4)</f>
        <v>-5.1859375000000005</v>
      </c>
      <c r="AV86" s="625">
        <f t="shared" ref="AV86:BL86" si="128">-(AVERAGE(AV84,AV82))*(AV80/4)</f>
        <v>-15.56015625</v>
      </c>
      <c r="AW86" s="625">
        <f t="shared" si="128"/>
        <v>-15.563281249999999</v>
      </c>
      <c r="AX86" s="340"/>
      <c r="AY86" s="346">
        <f t="shared" si="128"/>
        <v>-15.565625000000001</v>
      </c>
      <c r="AZ86" s="346">
        <f t="shared" si="128"/>
        <v>-15.568750000000001</v>
      </c>
      <c r="BA86" s="346">
        <f t="shared" si="128"/>
        <v>-15.571875000000002</v>
      </c>
      <c r="BB86" s="346">
        <f t="shared" si="128"/>
        <v>-15.575000000000003</v>
      </c>
      <c r="BC86" s="340"/>
      <c r="BD86" s="346">
        <f t="shared" si="128"/>
        <v>-15.578125000000004</v>
      </c>
      <c r="BE86" s="346">
        <f t="shared" si="128"/>
        <v>-15.581250000000004</v>
      </c>
      <c r="BF86" s="346">
        <f t="shared" si="128"/>
        <v>-15.585156250000004</v>
      </c>
      <c r="BG86" s="346">
        <f t="shared" si="128"/>
        <v>-15.589843750000004</v>
      </c>
      <c r="BH86" s="340"/>
      <c r="BI86" s="346">
        <f t="shared" si="128"/>
        <v>-15.594531250000003</v>
      </c>
      <c r="BJ86" s="346">
        <f t="shared" si="128"/>
        <v>-15.596875000000002</v>
      </c>
      <c r="BK86" s="346">
        <f t="shared" si="128"/>
        <v>-15.598437500000001</v>
      </c>
      <c r="BL86" s="346">
        <f t="shared" si="128"/>
        <v>-15.602343749999999</v>
      </c>
      <c r="BM86" s="340"/>
      <c r="BN86" s="346">
        <f>-(AVERAGE(BN84,BN82))*(BN80/4)</f>
        <v>-7.8023437500000004</v>
      </c>
      <c r="BO86" s="346">
        <f>-(AVERAGE(BO84,BO82))*(BO80/4)</f>
        <v>0</v>
      </c>
      <c r="BP86" s="346">
        <f>-(AVERAGE(BP84,BP82))*(BP80/4)</f>
        <v>0</v>
      </c>
      <c r="BQ86" s="346">
        <f>-(AVERAGE(BQ84,BQ82))*(BQ80/4)</f>
        <v>0</v>
      </c>
      <c r="BR86" s="340"/>
      <c r="BS86" s="346">
        <f>-(AVERAGE(BS84,BS82))*(BS80/4)</f>
        <v>0</v>
      </c>
      <c r="BT86" s="346">
        <f>-(AVERAGE(BT84,BT82))*(BT80/4)</f>
        <v>0</v>
      </c>
      <c r="BU86" s="346">
        <f>-(AVERAGE(BU84,BU82))*(BU80/4)</f>
        <v>0</v>
      </c>
      <c r="BV86" s="346">
        <f>-(AVERAGE(BV84,BV82))*(BV80/4)</f>
        <v>0</v>
      </c>
      <c r="BW86" s="340"/>
      <c r="BX86" s="346">
        <f>-(AVERAGE(BX84,BX82))*(BX80/4)</f>
        <v>0</v>
      </c>
      <c r="BY86" s="346">
        <f>-(AVERAGE(BY84,BY82))*(BY80/4)</f>
        <v>0</v>
      </c>
      <c r="BZ86" s="346">
        <f>-(AVERAGE(BZ84,BZ82))*(BZ80/4)</f>
        <v>0</v>
      </c>
      <c r="CA86" s="346">
        <f>-(AVERAGE(CA84,CA82))*(CA80/4)</f>
        <v>0</v>
      </c>
      <c r="CB86" s="563"/>
      <c r="CC86" s="346">
        <f>-(AVERAGE(CC84,CC82))*(CC80/4)</f>
        <v>0</v>
      </c>
      <c r="CD86" s="346">
        <f>-(AVERAGE(CD84,CD82))*(CD80/4)</f>
        <v>0</v>
      </c>
      <c r="CE86" s="346">
        <f>-(AVERAGE(CE84,CE82))*(CE80/4)</f>
        <v>0</v>
      </c>
      <c r="CF86" s="346">
        <f>-(AVERAGE(CF84,CF82))*(CF80/4)</f>
        <v>0</v>
      </c>
      <c r="CG86" s="563"/>
      <c r="CH86" s="346">
        <f>-(AVERAGE(CH84,CH82))*(CH80/4)</f>
        <v>0</v>
      </c>
      <c r="CI86" s="346">
        <f>-(AVERAGE(CI84,CI82))*(CI80/4)</f>
        <v>0</v>
      </c>
      <c r="CJ86" s="346">
        <f>-(AVERAGE(CJ84,CJ82))*(CJ80/4)</f>
        <v>0</v>
      </c>
      <c r="CK86" s="346">
        <f>-(AVERAGE(CK84,CK82))*(CK80/4)</f>
        <v>0</v>
      </c>
      <c r="CL86" s="563"/>
      <c r="CM86" s="346">
        <f>-(AVERAGE(CM84,CM82))*(CM80/4)</f>
        <v>0</v>
      </c>
      <c r="CN86" s="346">
        <f>-(AVERAGE(CN84,CN82))*(CN80/4)</f>
        <v>0</v>
      </c>
      <c r="CO86" s="346">
        <f>-(AVERAGE(CO84,CO82))*(CO80/4)</f>
        <v>0</v>
      </c>
      <c r="CP86" s="346">
        <f>-(AVERAGE(CP84,CP82))*(CP80/4)</f>
        <v>0</v>
      </c>
      <c r="CQ86" s="563"/>
      <c r="CR86" s="346">
        <f>-(AVERAGE(CR84,CR82))*(CR80/4)</f>
        <v>0</v>
      </c>
      <c r="CS86" s="346">
        <f>-(AVERAGE(CS84,CS82))*(CS80/4)</f>
        <v>0</v>
      </c>
      <c r="CT86" s="346">
        <f>-(AVERAGE(CT84,CT82))*(CT80/4)</f>
        <v>0</v>
      </c>
      <c r="CU86" s="346">
        <f>-(AVERAGE(CU84,CU82))*(CU80/4)</f>
        <v>0</v>
      </c>
      <c r="CV86" s="563"/>
      <c r="CW86" s="346">
        <f>-(AVERAGE(CW84,CW82))*(CW80/4)</f>
        <v>0</v>
      </c>
      <c r="CX86" s="346">
        <f>-(AVERAGE(CX84,CX82))*(CX80/4)</f>
        <v>0</v>
      </c>
      <c r="CY86" s="346">
        <f>-(AVERAGE(CY84,CY82))*(CY80/4)</f>
        <v>0</v>
      </c>
      <c r="CZ86" s="346">
        <f>-(AVERAGE(CZ84,CZ82))*(CZ80/4)</f>
        <v>0</v>
      </c>
      <c r="DA86" s="563"/>
      <c r="DB86" s="346">
        <f>-(AVERAGE(DB84,DB82))*(DB80/4)</f>
        <v>0</v>
      </c>
      <c r="DC86" s="346">
        <f>-(AVERAGE(DC84,DC82))*(DC80/4)</f>
        <v>0</v>
      </c>
      <c r="DD86" s="346">
        <f>-(AVERAGE(DD84,DD82))*(DD80/4)</f>
        <v>0</v>
      </c>
      <c r="DE86" s="346">
        <f>-(AVERAGE(DE84,DE82))*(DE80/4)</f>
        <v>0</v>
      </c>
      <c r="DF86" s="563"/>
    </row>
    <row r="87" spans="1:110" ht="12" thickBot="1" x14ac:dyDescent="0.25">
      <c r="B87" s="548" t="s">
        <v>207</v>
      </c>
      <c r="C87" s="205"/>
      <c r="D87" s="205"/>
      <c r="E87" s="205"/>
      <c r="F87" s="205"/>
      <c r="G87" s="205"/>
      <c r="H87" s="205"/>
      <c r="I87" s="205"/>
      <c r="J87" s="205"/>
      <c r="K87" s="205"/>
      <c r="L87" s="205"/>
      <c r="M87" s="205"/>
      <c r="N87" s="205"/>
      <c r="O87" s="205"/>
      <c r="P87" s="205"/>
      <c r="Q87" s="205"/>
      <c r="R87" s="205"/>
      <c r="S87" s="549"/>
      <c r="T87" s="549"/>
      <c r="U87" s="549"/>
      <c r="V87" s="327"/>
      <c r="W87" s="327"/>
      <c r="X87" s="327"/>
      <c r="Y87" s="550"/>
      <c r="Z87" s="549"/>
      <c r="AA87" s="549"/>
      <c r="AB87" s="549"/>
      <c r="AC87" s="549"/>
      <c r="AD87" s="550"/>
      <c r="AE87" s="549"/>
      <c r="AF87" s="549"/>
      <c r="AG87" s="549"/>
      <c r="AH87" s="549"/>
      <c r="AI87" s="550"/>
      <c r="AJ87" s="549"/>
      <c r="AK87" s="549"/>
      <c r="AL87" s="549"/>
      <c r="AM87" s="549"/>
      <c r="AN87" s="550"/>
      <c r="AO87" s="549"/>
      <c r="AP87" s="549"/>
      <c r="AQ87" s="549"/>
      <c r="AR87" s="549"/>
      <c r="AS87" s="550"/>
      <c r="AT87" s="549"/>
      <c r="AU87" s="549">
        <f>-AU79*AU85/4</f>
        <v>0</v>
      </c>
      <c r="AV87" s="549">
        <f t="shared" ref="AV87:BL87" si="129">-AV79*AV85/4</f>
        <v>0</v>
      </c>
      <c r="AW87" s="549">
        <f t="shared" si="129"/>
        <v>0</v>
      </c>
      <c r="AX87" s="550"/>
      <c r="AY87" s="549">
        <f t="shared" si="129"/>
        <v>0</v>
      </c>
      <c r="AZ87" s="549">
        <f t="shared" si="129"/>
        <v>0</v>
      </c>
      <c r="BA87" s="549">
        <f t="shared" si="129"/>
        <v>0</v>
      </c>
      <c r="BB87" s="549">
        <f t="shared" si="129"/>
        <v>0</v>
      </c>
      <c r="BC87" s="550"/>
      <c r="BD87" s="549">
        <f t="shared" si="129"/>
        <v>0</v>
      </c>
      <c r="BE87" s="549">
        <f t="shared" si="129"/>
        <v>0</v>
      </c>
      <c r="BF87" s="549">
        <f t="shared" si="129"/>
        <v>0</v>
      </c>
      <c r="BG87" s="549">
        <f t="shared" si="129"/>
        <v>0</v>
      </c>
      <c r="BH87" s="550"/>
      <c r="BI87" s="549">
        <f t="shared" si="129"/>
        <v>0</v>
      </c>
      <c r="BJ87" s="549">
        <f t="shared" si="129"/>
        <v>0</v>
      </c>
      <c r="BK87" s="549">
        <f t="shared" si="129"/>
        <v>0</v>
      </c>
      <c r="BL87" s="549">
        <f t="shared" si="129"/>
        <v>0</v>
      </c>
      <c r="BM87" s="550"/>
      <c r="BN87" s="549">
        <f>-BN79*BN85/4</f>
        <v>0</v>
      </c>
      <c r="BO87" s="549">
        <f>-BO79*BO85/4</f>
        <v>0</v>
      </c>
      <c r="BP87" s="549">
        <f>-BP79*BP85/4</f>
        <v>0</v>
      </c>
      <c r="BQ87" s="549">
        <f>-BQ79*BQ85/4</f>
        <v>0</v>
      </c>
      <c r="BR87" s="550"/>
      <c r="BS87" s="549">
        <f>-BS79*BS85/4</f>
        <v>0</v>
      </c>
      <c r="BT87" s="549">
        <f>-BT79*BT85/4</f>
        <v>0</v>
      </c>
      <c r="BU87" s="549">
        <f>-BU79*BU85/4</f>
        <v>0</v>
      </c>
      <c r="BV87" s="549">
        <f>-BV79*BV85/4</f>
        <v>0</v>
      </c>
      <c r="BW87" s="550"/>
      <c r="BX87" s="549">
        <f>-BX79*BX85/4</f>
        <v>0</v>
      </c>
      <c r="BY87" s="549">
        <f>-BY79*BY85/4</f>
        <v>0</v>
      </c>
      <c r="BZ87" s="549">
        <f>-BZ79*BZ85/4</f>
        <v>0</v>
      </c>
      <c r="CA87" s="549">
        <f>-CA79*CA85/4</f>
        <v>0</v>
      </c>
      <c r="CB87" s="565"/>
      <c r="CC87" s="549">
        <f>-CC79*CC85/4</f>
        <v>0</v>
      </c>
      <c r="CD87" s="549">
        <f>-CD79*CD85/4</f>
        <v>0</v>
      </c>
      <c r="CE87" s="549">
        <f>-CE79*CE85/4</f>
        <v>0</v>
      </c>
      <c r="CF87" s="549">
        <f>-CF79*CF85/4</f>
        <v>0</v>
      </c>
      <c r="CG87" s="565"/>
      <c r="CH87" s="549">
        <f>-CH79*CH85/4</f>
        <v>0</v>
      </c>
      <c r="CI87" s="549">
        <f>-CI79*CI85/4</f>
        <v>0</v>
      </c>
      <c r="CJ87" s="549">
        <f>-CJ79*CJ85/4</f>
        <v>0</v>
      </c>
      <c r="CK87" s="549">
        <f>-CK79*CK85/4</f>
        <v>0</v>
      </c>
      <c r="CL87" s="565"/>
      <c r="CM87" s="549">
        <f>-CM79*CM85/4</f>
        <v>0</v>
      </c>
      <c r="CN87" s="549">
        <f>-CN79*CN85/4</f>
        <v>0</v>
      </c>
      <c r="CO87" s="549">
        <f>-CO79*CO85/4</f>
        <v>0</v>
      </c>
      <c r="CP87" s="549">
        <f>-CP79*CP85/4</f>
        <v>0</v>
      </c>
      <c r="CQ87" s="565"/>
      <c r="CR87" s="549">
        <f>-CR79*CR85/4</f>
        <v>0</v>
      </c>
      <c r="CS87" s="549">
        <f>-CS79*CS85/4</f>
        <v>0</v>
      </c>
      <c r="CT87" s="549">
        <f>-CT79*CT85/4</f>
        <v>0</v>
      </c>
      <c r="CU87" s="549">
        <f>-CU79*CU85/4</f>
        <v>0</v>
      </c>
      <c r="CV87" s="565"/>
      <c r="CW87" s="549">
        <f>-CW79*CW85/4</f>
        <v>0</v>
      </c>
      <c r="CX87" s="549">
        <f>-CX79*CX85/4</f>
        <v>0</v>
      </c>
      <c r="CY87" s="549">
        <f>-CY79*CY85/4</f>
        <v>0</v>
      </c>
      <c r="CZ87" s="549">
        <f>-CZ79*CZ85/4</f>
        <v>0</v>
      </c>
      <c r="DA87" s="565"/>
      <c r="DB87" s="549">
        <f>-DB79*DB85/4</f>
        <v>0</v>
      </c>
      <c r="DC87" s="549">
        <f>-DC79*DC85/4</f>
        <v>0</v>
      </c>
      <c r="DD87" s="549">
        <f>-DD79*DD85/4</f>
        <v>0</v>
      </c>
      <c r="DE87" s="549">
        <f>-DE79*DE85/4</f>
        <v>0</v>
      </c>
      <c r="DF87" s="565"/>
    </row>
    <row r="88" spans="1:110" s="326" customFormat="1" x14ac:dyDescent="0.2">
      <c r="B88" s="603"/>
      <c r="C88" s="145"/>
      <c r="D88" s="145"/>
      <c r="E88" s="145"/>
      <c r="F88" s="145"/>
      <c r="G88" s="145"/>
      <c r="H88" s="145"/>
      <c r="I88" s="145"/>
      <c r="J88" s="145"/>
      <c r="K88" s="145"/>
      <c r="L88" s="145"/>
      <c r="M88" s="145"/>
      <c r="N88" s="145"/>
      <c r="O88" s="145"/>
      <c r="P88" s="145"/>
      <c r="Q88" s="145"/>
      <c r="R88" s="145"/>
      <c r="S88" s="346"/>
      <c r="T88" s="346"/>
      <c r="U88" s="346"/>
      <c r="Y88" s="346"/>
      <c r="Z88" s="346"/>
      <c r="AA88" s="346"/>
      <c r="AB88" s="346"/>
      <c r="AC88" s="346"/>
      <c r="AD88" s="346"/>
      <c r="AE88" s="346"/>
      <c r="AF88" s="346"/>
      <c r="AG88" s="346"/>
      <c r="AH88" s="346"/>
      <c r="AI88" s="346"/>
      <c r="AJ88" s="346"/>
      <c r="AK88" s="346"/>
      <c r="AL88" s="346"/>
      <c r="AM88" s="346"/>
      <c r="AN88" s="346"/>
      <c r="AO88" s="346"/>
      <c r="AP88" s="346"/>
      <c r="AQ88" s="346"/>
      <c r="AR88" s="346"/>
      <c r="AS88" s="346"/>
      <c r="AT88" s="346"/>
      <c r="AU88" s="346"/>
      <c r="AV88" s="346"/>
      <c r="AW88" s="346"/>
      <c r="AX88" s="346"/>
      <c r="AY88" s="346"/>
      <c r="AZ88" s="346"/>
      <c r="BA88" s="346"/>
      <c r="BB88" s="346"/>
      <c r="BC88" s="346"/>
      <c r="BD88" s="346"/>
      <c r="BE88" s="346"/>
      <c r="BF88" s="346"/>
      <c r="BG88" s="346"/>
      <c r="BH88" s="346"/>
      <c r="BI88" s="346"/>
      <c r="BJ88" s="346"/>
      <c r="BK88" s="346"/>
      <c r="BL88" s="346"/>
      <c r="BM88" s="346"/>
      <c r="BN88" s="346"/>
      <c r="BO88" s="346"/>
      <c r="BP88" s="346"/>
      <c r="BQ88" s="346"/>
      <c r="BR88" s="346"/>
      <c r="BS88" s="346"/>
      <c r="BT88" s="346"/>
      <c r="BU88" s="346"/>
      <c r="BV88" s="346"/>
      <c r="BW88" s="346"/>
      <c r="BX88" s="346"/>
      <c r="BY88" s="346"/>
      <c r="BZ88" s="346"/>
      <c r="CA88" s="346"/>
      <c r="CB88" s="346"/>
      <c r="CC88" s="346"/>
      <c r="CD88" s="346"/>
      <c r="CE88" s="346"/>
      <c r="CF88" s="346"/>
      <c r="CG88" s="346"/>
      <c r="CH88" s="346"/>
      <c r="CI88" s="346"/>
      <c r="CJ88" s="346"/>
      <c r="CK88" s="346"/>
      <c r="CL88" s="346"/>
      <c r="CM88" s="346"/>
      <c r="CN88" s="346"/>
      <c r="CO88" s="346"/>
      <c r="CP88" s="346"/>
      <c r="CQ88" s="346"/>
      <c r="CR88" s="346"/>
      <c r="CS88" s="346"/>
      <c r="CT88" s="346"/>
      <c r="CU88" s="346"/>
      <c r="CV88" s="346"/>
      <c r="CW88" s="346"/>
      <c r="CX88" s="346"/>
      <c r="CY88" s="346"/>
      <c r="CZ88" s="346"/>
      <c r="DA88" s="346"/>
      <c r="DB88" s="346"/>
      <c r="DC88" s="346"/>
      <c r="DD88" s="346"/>
      <c r="DE88" s="346"/>
      <c r="DF88" s="346"/>
    </row>
    <row r="89" spans="1:110" x14ac:dyDescent="0.2">
      <c r="B89" s="355"/>
      <c r="C89" s="145"/>
      <c r="D89" s="145"/>
      <c r="E89" s="145"/>
      <c r="F89" s="145"/>
      <c r="G89" s="145"/>
      <c r="H89" s="145"/>
      <c r="I89" s="145"/>
      <c r="J89" s="145"/>
      <c r="K89" s="145"/>
      <c r="L89" s="145"/>
      <c r="M89" s="145"/>
      <c r="N89" s="145"/>
      <c r="O89" s="145"/>
      <c r="P89" s="145"/>
      <c r="Q89" s="145"/>
      <c r="R89" s="145"/>
      <c r="S89" s="346"/>
      <c r="T89" s="346"/>
      <c r="U89" s="346"/>
      <c r="V89" s="326"/>
      <c r="W89" s="326"/>
      <c r="X89" s="326"/>
      <c r="Y89" s="346"/>
      <c r="Z89" s="346"/>
      <c r="AA89" s="346"/>
      <c r="AB89" s="346"/>
      <c r="AC89" s="346"/>
      <c r="AD89" s="346"/>
      <c r="AE89" s="346"/>
      <c r="AF89" s="346"/>
      <c r="AG89" s="346"/>
      <c r="AH89" s="346"/>
      <c r="AI89" s="346"/>
      <c r="AJ89" s="346"/>
      <c r="AK89" s="346"/>
      <c r="AL89" s="346"/>
      <c r="AM89" s="346"/>
      <c r="AN89" s="346"/>
      <c r="AO89" s="346"/>
      <c r="AP89" s="346"/>
      <c r="AQ89" s="346"/>
      <c r="AR89" s="346"/>
      <c r="AS89" s="346"/>
      <c r="AT89" s="346"/>
      <c r="AU89" s="346"/>
      <c r="AV89" s="346"/>
      <c r="AW89" s="346"/>
      <c r="AX89" s="346"/>
      <c r="AY89" s="346"/>
      <c r="AZ89" s="346"/>
      <c r="BA89" s="346"/>
      <c r="BB89" s="346"/>
      <c r="BC89" s="346"/>
      <c r="BD89" s="346"/>
      <c r="BE89" s="346"/>
      <c r="BF89" s="346"/>
      <c r="BG89" s="346"/>
      <c r="BH89" s="346"/>
      <c r="BI89" s="346"/>
      <c r="BJ89" s="346"/>
      <c r="BK89" s="346"/>
      <c r="BL89" s="346"/>
      <c r="BM89" s="346"/>
      <c r="BN89" s="346"/>
      <c r="BO89" s="346"/>
      <c r="BP89" s="346"/>
      <c r="BQ89" s="346"/>
      <c r="BR89" s="346"/>
      <c r="BS89" s="346"/>
      <c r="BT89" s="346"/>
      <c r="BU89" s="346"/>
      <c r="BV89" s="346"/>
      <c r="BW89" s="346"/>
      <c r="BX89" s="346"/>
      <c r="BY89" s="346"/>
      <c r="BZ89" s="346"/>
      <c r="CA89" s="346"/>
      <c r="CB89" s="346"/>
      <c r="CC89" s="346"/>
      <c r="CD89" s="346"/>
      <c r="CE89" s="346"/>
      <c r="CF89" s="346"/>
      <c r="CG89" s="346"/>
      <c r="CH89" s="346"/>
      <c r="CI89" s="346"/>
      <c r="CJ89" s="346"/>
      <c r="CK89" s="346"/>
      <c r="CL89" s="346"/>
      <c r="CM89" s="346"/>
      <c r="CN89" s="346"/>
      <c r="CO89" s="346"/>
      <c r="CP89" s="346"/>
      <c r="CQ89" s="346"/>
      <c r="CR89" s="346"/>
      <c r="CS89" s="346"/>
      <c r="CT89" s="346"/>
      <c r="CU89" s="346"/>
      <c r="CV89" s="346"/>
      <c r="CW89" s="346"/>
      <c r="CX89" s="346"/>
      <c r="CY89" s="346"/>
      <c r="CZ89" s="346"/>
      <c r="DA89" s="346"/>
      <c r="DB89" s="346"/>
      <c r="DC89" s="346"/>
      <c r="DD89" s="346"/>
      <c r="DE89" s="346"/>
      <c r="DF89" s="346"/>
    </row>
    <row r="90" spans="1:110" x14ac:dyDescent="0.2">
      <c r="B90" s="355"/>
      <c r="C90" s="145"/>
      <c r="D90" s="145"/>
      <c r="E90" s="145"/>
      <c r="F90" s="145"/>
      <c r="G90" s="145"/>
      <c r="H90" s="145"/>
      <c r="I90" s="145"/>
      <c r="J90" s="145"/>
      <c r="K90" s="145"/>
      <c r="L90" s="145"/>
      <c r="M90" s="145"/>
      <c r="N90" s="145"/>
      <c r="O90" s="145"/>
      <c r="P90" s="145"/>
      <c r="Q90" s="145"/>
      <c r="R90" s="145"/>
      <c r="S90" s="346"/>
      <c r="T90" s="346"/>
      <c r="U90" s="346"/>
      <c r="V90" s="326"/>
      <c r="W90" s="326"/>
      <c r="X90" s="326"/>
      <c r="Y90" s="346"/>
      <c r="Z90" s="346"/>
      <c r="AA90" s="346"/>
      <c r="AB90" s="346"/>
      <c r="AC90" s="346"/>
      <c r="AD90" s="346"/>
      <c r="AE90" s="346"/>
      <c r="AF90" s="346"/>
      <c r="AG90" s="346"/>
      <c r="AH90" s="346"/>
      <c r="AI90" s="346"/>
      <c r="AJ90" s="346"/>
      <c r="AK90" s="346"/>
      <c r="AL90" s="346"/>
      <c r="AM90" s="346"/>
      <c r="AN90" s="346"/>
      <c r="AO90" s="346"/>
      <c r="AP90" s="346"/>
      <c r="AQ90" s="346"/>
      <c r="AR90" s="346"/>
      <c r="AS90" s="346"/>
      <c r="AT90" s="346"/>
      <c r="AU90" s="346"/>
      <c r="AV90" s="346"/>
      <c r="AW90" s="346"/>
      <c r="AX90" s="346"/>
      <c r="AY90" s="346"/>
      <c r="AZ90" s="346"/>
      <c r="BA90" s="346"/>
      <c r="BB90" s="346"/>
      <c r="BC90" s="346"/>
      <c r="BD90" s="346"/>
      <c r="BE90" s="346"/>
      <c r="BF90" s="346"/>
      <c r="BG90" s="346"/>
      <c r="BH90" s="346"/>
      <c r="BI90" s="346"/>
      <c r="BJ90" s="346"/>
      <c r="BK90" s="346"/>
      <c r="BL90" s="346"/>
      <c r="BM90" s="346"/>
      <c r="BN90" s="346"/>
      <c r="BO90" s="346"/>
      <c r="BP90" s="346"/>
      <c r="BQ90" s="346"/>
      <c r="BR90" s="346"/>
      <c r="BS90" s="346"/>
      <c r="BT90" s="346"/>
      <c r="BU90" s="346"/>
      <c r="BV90" s="346"/>
      <c r="BW90" s="346"/>
      <c r="BX90" s="346"/>
      <c r="BY90" s="346"/>
      <c r="BZ90" s="346"/>
      <c r="CA90" s="346"/>
      <c r="CB90" s="346"/>
      <c r="CC90" s="346"/>
      <c r="CD90" s="346"/>
      <c r="CE90" s="346"/>
      <c r="CF90" s="346"/>
      <c r="CG90" s="346"/>
      <c r="CH90" s="346"/>
      <c r="CI90" s="346"/>
      <c r="CJ90" s="346"/>
      <c r="CK90" s="346"/>
      <c r="CL90" s="346"/>
      <c r="CM90" s="346"/>
      <c r="CN90" s="346"/>
      <c r="CO90" s="346"/>
      <c r="CP90" s="346"/>
      <c r="CQ90" s="346"/>
      <c r="CR90" s="346"/>
      <c r="CS90" s="346"/>
      <c r="CT90" s="346"/>
      <c r="CU90" s="346"/>
      <c r="CV90" s="346"/>
      <c r="CW90" s="346"/>
      <c r="CX90" s="346"/>
      <c r="CY90" s="346"/>
      <c r="CZ90" s="346"/>
      <c r="DA90" s="346"/>
      <c r="DB90" s="346"/>
      <c r="DC90" s="346"/>
      <c r="DD90" s="346"/>
      <c r="DE90" s="346"/>
      <c r="DF90" s="346"/>
    </row>
    <row r="91" spans="1:110" ht="12" thickBot="1" x14ac:dyDescent="0.25">
      <c r="B91" s="548"/>
      <c r="C91" s="205"/>
      <c r="D91" s="205"/>
      <c r="E91" s="205"/>
      <c r="F91" s="205"/>
      <c r="G91" s="205"/>
      <c r="H91" s="205"/>
      <c r="I91" s="205"/>
      <c r="J91" s="205"/>
      <c r="K91" s="205"/>
      <c r="L91" s="205"/>
      <c r="M91" s="205"/>
      <c r="N91" s="205"/>
      <c r="O91" s="205"/>
      <c r="P91" s="205"/>
      <c r="Q91" s="205"/>
      <c r="R91" s="205"/>
      <c r="S91" s="549"/>
      <c r="T91" s="549"/>
      <c r="U91" s="549"/>
      <c r="V91" s="327"/>
      <c r="W91" s="327"/>
      <c r="X91" s="327"/>
      <c r="Y91" s="549"/>
      <c r="Z91" s="549"/>
      <c r="AA91" s="549"/>
      <c r="AB91" s="549"/>
      <c r="AC91" s="549"/>
      <c r="AD91" s="549"/>
      <c r="AE91" s="549"/>
      <c r="AF91" s="549"/>
      <c r="AG91" s="549"/>
      <c r="AH91" s="549"/>
      <c r="AI91" s="549"/>
      <c r="AJ91" s="549"/>
      <c r="AK91" s="549"/>
      <c r="AL91" s="549"/>
      <c r="AM91" s="549"/>
      <c r="AN91" s="549"/>
      <c r="AO91" s="549"/>
      <c r="AP91" s="549"/>
      <c r="AQ91" s="549"/>
      <c r="AR91" s="549"/>
      <c r="AS91" s="549"/>
      <c r="AT91" s="549"/>
      <c r="AU91" s="549"/>
      <c r="AV91" s="549"/>
      <c r="AW91" s="549"/>
      <c r="AX91" s="549"/>
      <c r="AY91" s="549"/>
      <c r="AZ91" s="549"/>
      <c r="BA91" s="549"/>
      <c r="BB91" s="549"/>
      <c r="BC91" s="549"/>
      <c r="BD91" s="549"/>
      <c r="BE91" s="549"/>
      <c r="BF91" s="549"/>
      <c r="BG91" s="549"/>
      <c r="BH91" s="549"/>
      <c r="BI91" s="549"/>
      <c r="BJ91" s="549"/>
      <c r="BK91" s="549"/>
      <c r="BL91" s="549"/>
      <c r="BM91" s="549"/>
      <c r="BN91" s="549"/>
      <c r="BO91" s="549"/>
      <c r="BP91" s="549"/>
      <c r="BQ91" s="549"/>
      <c r="BR91" s="549"/>
      <c r="BS91" s="549"/>
      <c r="BT91" s="549"/>
      <c r="BU91" s="549"/>
      <c r="BV91" s="549"/>
      <c r="BW91" s="549"/>
      <c r="BX91" s="549"/>
      <c r="BY91" s="549"/>
      <c r="BZ91" s="549"/>
      <c r="CA91" s="549"/>
      <c r="CB91" s="1711"/>
      <c r="CC91" s="549"/>
      <c r="CD91" s="549"/>
      <c r="CE91" s="549"/>
      <c r="CF91" s="549"/>
      <c r="CG91" s="1711"/>
      <c r="CH91" s="549"/>
      <c r="CI91" s="549"/>
      <c r="CJ91" s="549"/>
      <c r="CK91" s="549"/>
      <c r="CL91" s="1711"/>
      <c r="CM91" s="549"/>
      <c r="CN91" s="549"/>
      <c r="CO91" s="549"/>
      <c r="CP91" s="549"/>
      <c r="CQ91" s="1711"/>
      <c r="CR91" s="549"/>
      <c r="CS91" s="549"/>
      <c r="CT91" s="549"/>
      <c r="CU91" s="549"/>
      <c r="CV91" s="1711"/>
      <c r="CW91" s="549"/>
      <c r="CX91" s="549"/>
      <c r="CY91" s="549"/>
      <c r="CZ91" s="549"/>
      <c r="DA91" s="1711"/>
      <c r="DB91" s="549"/>
      <c r="DC91" s="549"/>
      <c r="DD91" s="549"/>
      <c r="DE91" s="549"/>
      <c r="DF91" s="1711"/>
    </row>
    <row r="92" spans="1:110" s="1273" customFormat="1" ht="13.5" thickBot="1" x14ac:dyDescent="0.25">
      <c r="B92" s="1274" t="s">
        <v>404</v>
      </c>
      <c r="C92" s="1275"/>
      <c r="D92" s="1275"/>
      <c r="E92" s="1275"/>
      <c r="F92" s="1275"/>
      <c r="G92" s="1275"/>
      <c r="H92" s="1275"/>
      <c r="I92" s="1275"/>
      <c r="J92" s="1275"/>
      <c r="K92" s="1275"/>
      <c r="L92" s="1275"/>
      <c r="M92" s="1275"/>
      <c r="N92" s="1275"/>
      <c r="O92" s="1275"/>
      <c r="P92" s="1275"/>
      <c r="Q92" s="1275"/>
      <c r="R92" s="1275"/>
      <c r="S92" s="1276"/>
      <c r="T92" s="1277"/>
      <c r="U92" s="1276"/>
      <c r="V92" s="1276"/>
      <c r="W92" s="1276"/>
      <c r="X92" s="1276"/>
      <c r="Y92" s="1277"/>
      <c r="Z92" s="1276"/>
      <c r="AA92" s="1276"/>
      <c r="AB92" s="1278"/>
      <c r="AC92" s="1276"/>
      <c r="AD92" s="1277"/>
      <c r="AE92" s="1276"/>
      <c r="AF92" s="1276"/>
      <c r="AG92" s="1276"/>
      <c r="AH92" s="1276"/>
      <c r="AI92" s="1277"/>
      <c r="AJ92" s="1276"/>
      <c r="AK92" s="1276"/>
      <c r="AL92" s="1276"/>
      <c r="AM92" s="1276"/>
      <c r="AN92" s="1277"/>
      <c r="AO92" s="1276"/>
      <c r="AP92" s="1276"/>
      <c r="AQ92" s="1276"/>
      <c r="AR92" s="1276"/>
      <c r="AS92" s="1277"/>
      <c r="AT92" s="1276"/>
      <c r="AU92" s="1276"/>
      <c r="AV92" s="1276"/>
      <c r="AW92" s="1276"/>
      <c r="AX92" s="1277"/>
      <c r="AY92" s="1276"/>
      <c r="AZ92" s="1276"/>
      <c r="BA92" s="1276"/>
      <c r="BB92" s="1276"/>
      <c r="BC92" s="1277"/>
      <c r="BD92" s="1276"/>
      <c r="BE92" s="1276"/>
      <c r="BF92" s="1276"/>
      <c r="BG92" s="1276"/>
      <c r="BH92" s="1277"/>
      <c r="BI92" s="1276"/>
      <c r="BJ92" s="1276"/>
      <c r="BK92" s="1276"/>
      <c r="BL92" s="1276"/>
      <c r="BM92" s="1277"/>
      <c r="BN92" s="1276"/>
      <c r="BO92" s="1276"/>
      <c r="BP92" s="1276"/>
      <c r="BQ92" s="1276"/>
      <c r="BR92" s="1277"/>
      <c r="BS92" s="1276"/>
      <c r="BT92" s="1276"/>
      <c r="BU92" s="1276"/>
      <c r="BV92" s="1276"/>
      <c r="BW92" s="1277"/>
      <c r="BX92" s="1276"/>
      <c r="BY92" s="1276"/>
      <c r="BZ92" s="1276"/>
      <c r="CA92" s="1276"/>
      <c r="CB92" s="1279"/>
      <c r="CC92" s="1276"/>
      <c r="CD92" s="1276"/>
      <c r="CE92" s="1276"/>
      <c r="CF92" s="1276"/>
      <c r="CG92" s="1279"/>
      <c r="CH92" s="1276"/>
      <c r="CI92" s="1276"/>
      <c r="CJ92" s="1276"/>
      <c r="CK92" s="1276"/>
      <c r="CL92" s="1279"/>
      <c r="CM92" s="1276"/>
      <c r="CN92" s="1276"/>
      <c r="CO92" s="1276"/>
      <c r="CP92" s="1276"/>
      <c r="CQ92" s="1279"/>
      <c r="CR92" s="1276"/>
      <c r="CS92" s="1276"/>
      <c r="CT92" s="1276"/>
      <c r="CU92" s="1276"/>
      <c r="CV92" s="1279"/>
      <c r="CW92" s="1276"/>
      <c r="CX92" s="1276"/>
      <c r="CY92" s="1276"/>
      <c r="CZ92" s="1276"/>
      <c r="DA92" s="1279"/>
      <c r="DB92" s="1276"/>
      <c r="DC92" s="1276"/>
      <c r="DD92" s="1276"/>
      <c r="DE92" s="1276"/>
      <c r="DF92" s="1279"/>
    </row>
    <row r="93" spans="1:110" s="1289" customFormat="1" ht="12.75" x14ac:dyDescent="0.2">
      <c r="A93" s="1273"/>
      <c r="B93" s="1280" t="s">
        <v>327</v>
      </c>
      <c r="C93" s="1281">
        <v>5.3100000000000001E-2</v>
      </c>
      <c r="D93" s="1282"/>
      <c r="E93" s="1282"/>
      <c r="F93" s="1282"/>
      <c r="G93" s="1282"/>
      <c r="H93" s="1282"/>
      <c r="I93" s="1282"/>
      <c r="J93" s="1282"/>
      <c r="K93" s="1282"/>
      <c r="L93" s="1282"/>
      <c r="M93" s="1282"/>
      <c r="N93" s="1282"/>
      <c r="O93" s="1282"/>
      <c r="P93" s="1282"/>
      <c r="Q93" s="1282"/>
      <c r="R93" s="1282"/>
      <c r="S93" s="1283"/>
      <c r="T93" s="1284"/>
      <c r="U93" s="1285">
        <v>0</v>
      </c>
      <c r="V93" s="1285">
        <v>0</v>
      </c>
      <c r="W93" s="1285">
        <v>0</v>
      </c>
      <c r="X93" s="1285">
        <v>0</v>
      </c>
      <c r="Y93" s="1284"/>
      <c r="Z93" s="1285">
        <f>$C$35</f>
        <v>0</v>
      </c>
      <c r="AA93" s="1285">
        <f>$C$35</f>
        <v>0</v>
      </c>
      <c r="AB93" s="1285">
        <f>$C$35</f>
        <v>0</v>
      </c>
      <c r="AC93" s="1285">
        <f>$C$35</f>
        <v>0</v>
      </c>
      <c r="AD93" s="1284"/>
      <c r="AE93" s="1285">
        <f>$C$35</f>
        <v>0</v>
      </c>
      <c r="AF93" s="1285">
        <f>$C$35</f>
        <v>0</v>
      </c>
      <c r="AG93" s="1285">
        <f>$C$35</f>
        <v>0</v>
      </c>
      <c r="AH93" s="1285">
        <f>$C$35</f>
        <v>0</v>
      </c>
      <c r="AI93" s="1284"/>
      <c r="AJ93" s="1285">
        <f>$C$35</f>
        <v>0</v>
      </c>
      <c r="AK93" s="1285">
        <f>$C$35</f>
        <v>0</v>
      </c>
      <c r="AL93" s="1285">
        <f>AL345+0.0045</f>
        <v>4.4999999999999997E-3</v>
      </c>
      <c r="AM93" s="1285">
        <f>AM345+0.0045</f>
        <v>-5.9875000000000005E-2</v>
      </c>
      <c r="AN93" s="1284"/>
      <c r="AO93" s="1286">
        <f>AO345+0.0045</f>
        <v>9.9999999999999612E-4</v>
      </c>
      <c r="AP93" s="1286">
        <f>AP345+0.0045</f>
        <v>9.9999999999999612E-4</v>
      </c>
      <c r="AQ93" s="1286">
        <f>AQ345+0.0045</f>
        <v>1.349999999999997E-3</v>
      </c>
      <c r="AR93" s="1286">
        <f>AR345+0.0045</f>
        <v>9.5406249999999615E-4</v>
      </c>
      <c r="AS93" s="1287"/>
      <c r="AT93" s="1285">
        <f>AT345+0.0045</f>
        <v>1.2624999999999963E-3</v>
      </c>
      <c r="AU93" s="1285">
        <f>AU345+0.0045</f>
        <v>1.2624999999999963E-3</v>
      </c>
      <c r="AV93" s="1285">
        <f>AV345+0.0045</f>
        <v>1.7249999999999965E-3</v>
      </c>
      <c r="AW93" s="1285">
        <f>AW345+0.0045</f>
        <v>4.1110161713286695E-3</v>
      </c>
      <c r="AX93" s="1284"/>
      <c r="AY93" s="1285">
        <f>AY345+0.0045</f>
        <v>3.7381572600000005E-3</v>
      </c>
      <c r="AZ93" s="1285">
        <f>AZ345+0.0045</f>
        <v>3.7725265654205593E-3</v>
      </c>
      <c r="BA93" s="1285">
        <f>BA345+0.0045</f>
        <v>3.7836575255102032E-3</v>
      </c>
      <c r="BB93" s="1285">
        <f>BB345+0.0045</f>
        <v>4.0701945153061216E-3</v>
      </c>
      <c r="BC93" s="1287"/>
      <c r="BD93" s="1285">
        <f>BD345+0.0045</f>
        <v>4.0701945153061216E-3</v>
      </c>
      <c r="BE93" s="1285">
        <f>BE345+0.0045</f>
        <v>1.9999999999999948E-3</v>
      </c>
      <c r="BF93" s="1285">
        <f>BF345+0.0045</f>
        <v>3.926926020408162E-3</v>
      </c>
      <c r="BG93" s="1285">
        <f>BG345+0.0045</f>
        <v>3.926926020408162E-3</v>
      </c>
      <c r="BH93" s="1284"/>
      <c r="BI93" s="1285">
        <f>BI32+0.0045</f>
        <v>2.4500000000000001E-2</v>
      </c>
      <c r="BJ93" s="1285">
        <f>BJ32+0.0045</f>
        <v>2.4500000000000001E-2</v>
      </c>
      <c r="BK93" s="1285">
        <f>BK32+0.0045</f>
        <v>2.4500000000000001E-2</v>
      </c>
      <c r="BL93" s="1285">
        <f>BL32+0.0045</f>
        <v>2.4500000000000001E-2</v>
      </c>
      <c r="BM93" s="1287"/>
      <c r="BN93" s="1285">
        <f>BN32+0.0045</f>
        <v>2.5999999999999999E-2</v>
      </c>
      <c r="BO93" s="1285">
        <f>BO32+0.0045</f>
        <v>2.5999999999999999E-2</v>
      </c>
      <c r="BP93" s="1285">
        <f>BP32+0.0045</f>
        <v>2.8258000000000002E-2</v>
      </c>
      <c r="BQ93" s="1285">
        <f>BQ32+0.0045</f>
        <v>3.0100000000000002E-2</v>
      </c>
      <c r="BR93" s="1288"/>
      <c r="BS93" s="1285">
        <f>BS32+0.0045</f>
        <v>3.1857999999999997E-2</v>
      </c>
      <c r="BT93" s="1285">
        <f>BT32+0.0045</f>
        <v>3.3590000000000002E-2</v>
      </c>
      <c r="BU93" s="1285">
        <f>BU32+0.0045</f>
        <v>3.5456999999999995E-2</v>
      </c>
      <c r="BV93" s="1285">
        <f>BV32+0.0045</f>
        <v>3.7127E-2</v>
      </c>
      <c r="BW93" s="1288"/>
      <c r="BX93" s="1285">
        <f>BX32+0.0045</f>
        <v>2.4500000000000001E-2</v>
      </c>
      <c r="BY93" s="1285">
        <f>BY32+0.0045</f>
        <v>2.4500000000000001E-2</v>
      </c>
      <c r="BZ93" s="1285">
        <f>BZ32+0.0045</f>
        <v>2.4500000000000001E-2</v>
      </c>
      <c r="CA93" s="1285">
        <f>CA32+0.0045</f>
        <v>2.4500000000000001E-2</v>
      </c>
      <c r="CB93" s="1288"/>
      <c r="CC93" s="1285">
        <f>CC32+0.0045</f>
        <v>3.8743999999999994E-2</v>
      </c>
      <c r="CD93" s="1285">
        <f>CD32+0.0045</f>
        <v>4.0328999999999997E-2</v>
      </c>
      <c r="CE93" s="1285">
        <f>CE32+0.0045</f>
        <v>4.0159999999999994E-2</v>
      </c>
      <c r="CF93" s="1285">
        <f>CF32+0.0045</f>
        <v>4.1530999999999998E-2</v>
      </c>
      <c r="CG93" s="1288"/>
      <c r="CH93" s="1285">
        <f>CH32+0.0045</f>
        <v>3.8743999999999994E-2</v>
      </c>
      <c r="CI93" s="1285">
        <f>CI32+0.0045</f>
        <v>4.0328999999999997E-2</v>
      </c>
      <c r="CJ93" s="1285">
        <f>CJ32+0.0045</f>
        <v>4.0159999999999994E-2</v>
      </c>
      <c r="CK93" s="1285">
        <f>CK32+0.0045</f>
        <v>4.1530999999999998E-2</v>
      </c>
      <c r="CL93" s="1288"/>
      <c r="CM93" s="1285">
        <f>CM32+0.0045</f>
        <v>3.8743999999999994E-2</v>
      </c>
      <c r="CN93" s="1285">
        <f>CN32+0.0045</f>
        <v>4.0328999999999997E-2</v>
      </c>
      <c r="CO93" s="1285">
        <f>CO32+0.0045</f>
        <v>4.0159999999999994E-2</v>
      </c>
      <c r="CP93" s="1285">
        <f>CP32+0.0045</f>
        <v>4.1530999999999998E-2</v>
      </c>
      <c r="CQ93" s="1288"/>
      <c r="CR93" s="1285">
        <f>CR32+0.0045</f>
        <v>3.8743999999999994E-2</v>
      </c>
      <c r="CS93" s="1285">
        <f>CS32+0.0045</f>
        <v>4.0328999999999997E-2</v>
      </c>
      <c r="CT93" s="1285">
        <f>CT32+0.0045</f>
        <v>4.0159999999999994E-2</v>
      </c>
      <c r="CU93" s="1285">
        <f>CU32+0.0045</f>
        <v>4.1530999999999998E-2</v>
      </c>
      <c r="CV93" s="1288"/>
      <c r="CW93" s="1285">
        <f>CW32+0.0045</f>
        <v>3.8743999999999994E-2</v>
      </c>
      <c r="CX93" s="1285">
        <f>CX32+0.0045</f>
        <v>4.0328999999999997E-2</v>
      </c>
      <c r="CY93" s="1285">
        <f>CY32+0.0045</f>
        <v>4.0159999999999994E-2</v>
      </c>
      <c r="CZ93" s="1285">
        <f>CZ32+0.0045</f>
        <v>4.1530999999999998E-2</v>
      </c>
      <c r="DA93" s="1288"/>
      <c r="DB93" s="1285">
        <f>DB32+0.0045</f>
        <v>3.8743999999999994E-2</v>
      </c>
      <c r="DC93" s="1285">
        <f>DC32+0.0045</f>
        <v>4.0328999999999997E-2</v>
      </c>
      <c r="DD93" s="1285">
        <f>DD32+0.0045</f>
        <v>4.0159999999999994E-2</v>
      </c>
      <c r="DE93" s="1285">
        <f>DE32+0.0045</f>
        <v>4.1530999999999998E-2</v>
      </c>
      <c r="DF93" s="1288"/>
    </row>
    <row r="94" spans="1:110" s="1289" customFormat="1" ht="12.75" x14ac:dyDescent="0.2">
      <c r="A94" s="1273"/>
      <c r="B94" s="1290" t="s">
        <v>405</v>
      </c>
      <c r="C94" s="1291"/>
      <c r="D94" s="1292"/>
      <c r="E94" s="1292"/>
      <c r="F94" s="1292"/>
      <c r="G94" s="1292"/>
      <c r="H94" s="1292"/>
      <c r="I94" s="1292"/>
      <c r="J94" s="1292"/>
      <c r="K94" s="1292"/>
      <c r="L94" s="1292"/>
      <c r="M94" s="1292"/>
      <c r="N94" s="1292"/>
      <c r="O94" s="1292"/>
      <c r="P94" s="1292"/>
      <c r="Q94" s="1292"/>
      <c r="R94" s="1292"/>
      <c r="S94" s="1293"/>
      <c r="T94" s="1294"/>
      <c r="U94" s="1293"/>
      <c r="V94" s="1293"/>
      <c r="W94" s="1293"/>
      <c r="X94" s="1295"/>
      <c r="Y94" s="1296"/>
      <c r="Z94" s="1297"/>
      <c r="AA94" s="1297"/>
      <c r="AB94" s="1297"/>
      <c r="AC94" s="1297"/>
      <c r="AD94" s="1296"/>
      <c r="AE94" s="1297"/>
      <c r="AF94" s="1297"/>
      <c r="AG94" s="1297"/>
      <c r="AH94" s="1297"/>
      <c r="AI94" s="1296"/>
      <c r="AJ94" s="1297"/>
      <c r="AK94" s="1297"/>
      <c r="AL94" s="1298">
        <v>2000</v>
      </c>
      <c r="AM94" s="1297">
        <f>AL94</f>
        <v>2000</v>
      </c>
      <c r="AN94" s="1296">
        <f>AM94</f>
        <v>2000</v>
      </c>
      <c r="AO94" s="1298">
        <v>1987</v>
      </c>
      <c r="AP94" s="1298">
        <v>1987</v>
      </c>
      <c r="AQ94" s="1298">
        <v>1987</v>
      </c>
      <c r="AR94" s="1298">
        <v>1987</v>
      </c>
      <c r="AS94" s="1299">
        <f>AR94</f>
        <v>1987</v>
      </c>
      <c r="AT94" s="1298">
        <v>1987</v>
      </c>
      <c r="AU94" s="1298">
        <v>1987</v>
      </c>
      <c r="AV94" s="1297">
        <f t="shared" ref="AV94:BW94" si="130">AU94</f>
        <v>1987</v>
      </c>
      <c r="AW94" s="1297">
        <f t="shared" si="130"/>
        <v>1987</v>
      </c>
      <c r="AX94" s="1296">
        <f t="shared" si="130"/>
        <v>1987</v>
      </c>
      <c r="AY94" s="1297">
        <f t="shared" si="130"/>
        <v>1987</v>
      </c>
      <c r="AZ94" s="1297">
        <f t="shared" si="130"/>
        <v>1987</v>
      </c>
      <c r="BA94" s="1297">
        <f t="shared" si="130"/>
        <v>1987</v>
      </c>
      <c r="BB94" s="1297">
        <f t="shared" si="130"/>
        <v>1987</v>
      </c>
      <c r="BC94" s="1299">
        <f t="shared" si="130"/>
        <v>1987</v>
      </c>
      <c r="BD94" s="1297">
        <f t="shared" si="130"/>
        <v>1987</v>
      </c>
      <c r="BE94" s="1297">
        <f t="shared" si="130"/>
        <v>1987</v>
      </c>
      <c r="BF94" s="1297">
        <f t="shared" si="130"/>
        <v>1987</v>
      </c>
      <c r="BG94" s="1297">
        <f t="shared" si="130"/>
        <v>1987</v>
      </c>
      <c r="BH94" s="1296">
        <f t="shared" si="130"/>
        <v>1987</v>
      </c>
      <c r="BI94" s="1297">
        <f t="shared" si="130"/>
        <v>1987</v>
      </c>
      <c r="BJ94" s="1297">
        <f t="shared" si="130"/>
        <v>1987</v>
      </c>
      <c r="BK94" s="1297">
        <f t="shared" si="130"/>
        <v>1987</v>
      </c>
      <c r="BL94" s="1297">
        <f t="shared" si="130"/>
        <v>1987</v>
      </c>
      <c r="BM94" s="1299">
        <f t="shared" si="130"/>
        <v>1987</v>
      </c>
      <c r="BN94" s="1297">
        <f t="shared" si="130"/>
        <v>1987</v>
      </c>
      <c r="BO94" s="1297">
        <f t="shared" si="130"/>
        <v>1987</v>
      </c>
      <c r="BP94" s="1297">
        <f t="shared" si="130"/>
        <v>1987</v>
      </c>
      <c r="BQ94" s="1297">
        <f t="shared" si="130"/>
        <v>1987</v>
      </c>
      <c r="BR94" s="1300">
        <f t="shared" si="130"/>
        <v>1987</v>
      </c>
      <c r="BS94" s="1297">
        <f t="shared" si="130"/>
        <v>1987</v>
      </c>
      <c r="BT94" s="1297">
        <f t="shared" si="130"/>
        <v>1987</v>
      </c>
      <c r="BU94" s="1297">
        <f t="shared" si="130"/>
        <v>1987</v>
      </c>
      <c r="BV94" s="1297">
        <f t="shared" si="130"/>
        <v>1987</v>
      </c>
      <c r="BW94" s="1300">
        <f t="shared" si="130"/>
        <v>1987</v>
      </c>
      <c r="BX94" s="1297">
        <f t="shared" ref="BX94:CG94" si="131">BW94</f>
        <v>1987</v>
      </c>
      <c r="BY94" s="1297">
        <f t="shared" si="131"/>
        <v>1987</v>
      </c>
      <c r="BZ94" s="1297">
        <f t="shared" si="131"/>
        <v>1987</v>
      </c>
      <c r="CA94" s="1297">
        <f t="shared" si="131"/>
        <v>1987</v>
      </c>
      <c r="CB94" s="1300">
        <f t="shared" si="131"/>
        <v>1987</v>
      </c>
      <c r="CC94" s="1297">
        <f t="shared" si="131"/>
        <v>1987</v>
      </c>
      <c r="CD94" s="1297">
        <f t="shared" si="131"/>
        <v>1987</v>
      </c>
      <c r="CE94" s="1297">
        <f t="shared" si="131"/>
        <v>1987</v>
      </c>
      <c r="CF94" s="1297">
        <f t="shared" si="131"/>
        <v>1987</v>
      </c>
      <c r="CG94" s="1300">
        <f t="shared" si="131"/>
        <v>1987</v>
      </c>
      <c r="CH94" s="1297">
        <f t="shared" ref="CH94:CQ94" si="132">CG94</f>
        <v>1987</v>
      </c>
      <c r="CI94" s="1297">
        <f t="shared" si="132"/>
        <v>1987</v>
      </c>
      <c r="CJ94" s="1297">
        <f t="shared" si="132"/>
        <v>1987</v>
      </c>
      <c r="CK94" s="1297">
        <f t="shared" si="132"/>
        <v>1987</v>
      </c>
      <c r="CL94" s="1300">
        <f t="shared" si="132"/>
        <v>1987</v>
      </c>
      <c r="CM94" s="1297">
        <f t="shared" si="132"/>
        <v>1987</v>
      </c>
      <c r="CN94" s="1297">
        <f t="shared" si="132"/>
        <v>1987</v>
      </c>
      <c r="CO94" s="1297">
        <f t="shared" si="132"/>
        <v>1987</v>
      </c>
      <c r="CP94" s="1297">
        <f t="shared" si="132"/>
        <v>1987</v>
      </c>
      <c r="CQ94" s="1300">
        <f t="shared" si="132"/>
        <v>1987</v>
      </c>
      <c r="CR94" s="1297">
        <f t="shared" ref="CR94" si="133">CQ94</f>
        <v>1987</v>
      </c>
      <c r="CS94" s="1297">
        <f t="shared" ref="CS94" si="134">CR94</f>
        <v>1987</v>
      </c>
      <c r="CT94" s="1297">
        <f t="shared" ref="CT94" si="135">CS94</f>
        <v>1987</v>
      </c>
      <c r="CU94" s="1297">
        <f t="shared" ref="CU94" si="136">CT94</f>
        <v>1987</v>
      </c>
      <c r="CV94" s="1300">
        <f t="shared" ref="CV94" si="137">CU94</f>
        <v>1987</v>
      </c>
      <c r="CW94" s="1297">
        <f t="shared" ref="CW94" si="138">CV94</f>
        <v>1987</v>
      </c>
      <c r="CX94" s="1297">
        <f t="shared" ref="CX94" si="139">CW94</f>
        <v>1987</v>
      </c>
      <c r="CY94" s="1297">
        <f t="shared" ref="CY94" si="140">CX94</f>
        <v>1987</v>
      </c>
      <c r="CZ94" s="1297">
        <f t="shared" ref="CZ94" si="141">CY94</f>
        <v>1987</v>
      </c>
      <c r="DA94" s="1300">
        <f t="shared" ref="DA94" si="142">CZ94</f>
        <v>1987</v>
      </c>
      <c r="DB94" s="1297">
        <f t="shared" ref="DB94" si="143">DA94</f>
        <v>1987</v>
      </c>
      <c r="DC94" s="1297">
        <f t="shared" ref="DC94" si="144">DB94</f>
        <v>1987</v>
      </c>
      <c r="DD94" s="1297">
        <f t="shared" ref="DD94" si="145">DC94</f>
        <v>1987</v>
      </c>
      <c r="DE94" s="1297">
        <f t="shared" ref="DE94" si="146">DD94</f>
        <v>1987</v>
      </c>
      <c r="DF94" s="1300">
        <f t="shared" ref="DF94" si="147">DE94</f>
        <v>1987</v>
      </c>
    </row>
    <row r="95" spans="1:110" s="1289" customFormat="1" ht="12.75" x14ac:dyDescent="0.2">
      <c r="A95" s="1273"/>
      <c r="B95" s="1290" t="s">
        <v>198</v>
      </c>
      <c r="D95" s="1301"/>
      <c r="E95" s="1301"/>
      <c r="F95" s="1301"/>
      <c r="G95" s="1301"/>
      <c r="H95" s="1301"/>
      <c r="I95" s="1301"/>
      <c r="J95" s="1301"/>
      <c r="K95" s="1301"/>
      <c r="L95" s="1301"/>
      <c r="M95" s="1301"/>
      <c r="N95" s="1301"/>
      <c r="O95" s="1301"/>
      <c r="P95" s="1301"/>
      <c r="Q95" s="1301"/>
      <c r="R95" s="1301"/>
      <c r="S95" s="1293"/>
      <c r="T95" s="1294"/>
      <c r="U95" s="1293">
        <v>0</v>
      </c>
      <c r="V95" s="1293">
        <f>+U97</f>
        <v>0</v>
      </c>
      <c r="W95" s="1293">
        <f>+V97</f>
        <v>0</v>
      </c>
      <c r="X95" s="1293">
        <f>+W97</f>
        <v>0</v>
      </c>
      <c r="Y95" s="1294">
        <f>T97</f>
        <v>0</v>
      </c>
      <c r="Z95" s="1293">
        <f>+Y97</f>
        <v>0</v>
      </c>
      <c r="AA95" s="1293">
        <f>+Z97</f>
        <v>0</v>
      </c>
      <c r="AB95" s="1293">
        <f>+AA97</f>
        <v>0</v>
      </c>
      <c r="AC95" s="1293">
        <f>+AB97</f>
        <v>0</v>
      </c>
      <c r="AD95" s="1294">
        <f>Y97</f>
        <v>0</v>
      </c>
      <c r="AE95" s="1293">
        <f>+AD97</f>
        <v>0</v>
      </c>
      <c r="AF95" s="1293">
        <f>+AE97</f>
        <v>0</v>
      </c>
      <c r="AG95" s="1293">
        <f>+AF97</f>
        <v>0</v>
      </c>
      <c r="AH95" s="1293">
        <f>+AG97</f>
        <v>0</v>
      </c>
      <c r="AI95" s="1294">
        <f>AD97</f>
        <v>0</v>
      </c>
      <c r="AJ95" s="1293">
        <f>+AI97</f>
        <v>0</v>
      </c>
      <c r="AK95" s="1293">
        <f>+AJ97</f>
        <v>0</v>
      </c>
      <c r="AL95" s="1293">
        <v>0</v>
      </c>
      <c r="AM95" s="1302">
        <v>1400</v>
      </c>
      <c r="AN95" s="1294">
        <f>AM95</f>
        <v>1400</v>
      </c>
      <c r="AO95" s="1293">
        <f>AM97</f>
        <v>1400</v>
      </c>
      <c r="AP95" s="1293">
        <f>AO97</f>
        <v>600</v>
      </c>
      <c r="AQ95" s="1293">
        <f>AP97</f>
        <v>1100</v>
      </c>
      <c r="AR95" s="1293">
        <f>+AQ97</f>
        <v>1000</v>
      </c>
      <c r="AS95" s="1303">
        <f>AR95</f>
        <v>1000</v>
      </c>
      <c r="AT95" s="1293">
        <f>AR97</f>
        <v>1000</v>
      </c>
      <c r="AU95" s="1293">
        <f>AT97</f>
        <v>1000</v>
      </c>
      <c r="AV95" s="1293">
        <f>AU97</f>
        <v>1000</v>
      </c>
      <c r="AW95" s="1293">
        <f>+AV97</f>
        <v>1000</v>
      </c>
      <c r="AX95" s="1294">
        <f>AW95</f>
        <v>1000</v>
      </c>
      <c r="AY95" s="1293">
        <f>AW97</f>
        <v>1000</v>
      </c>
      <c r="AZ95" s="1293">
        <f>AY97</f>
        <v>1000</v>
      </c>
      <c r="BA95" s="1293">
        <f>AZ97</f>
        <v>1000</v>
      </c>
      <c r="BB95" s="1293">
        <f>+BA97</f>
        <v>1000</v>
      </c>
      <c r="BC95" s="1303">
        <f>BB95</f>
        <v>1000</v>
      </c>
      <c r="BD95" s="1293">
        <f>BB97</f>
        <v>1000</v>
      </c>
      <c r="BE95" s="1293">
        <f>BD97</f>
        <v>1000</v>
      </c>
      <c r="BF95" s="1293">
        <f>BE97</f>
        <v>1000</v>
      </c>
      <c r="BG95" s="1293">
        <f>+BF97</f>
        <v>1000</v>
      </c>
      <c r="BH95" s="1294">
        <f>BG95</f>
        <v>1000</v>
      </c>
      <c r="BI95" s="1293">
        <f>BG97</f>
        <v>1000</v>
      </c>
      <c r="BJ95" s="1293">
        <f>BI97</f>
        <v>1000</v>
      </c>
      <c r="BK95" s="1293">
        <f>BJ97</f>
        <v>0</v>
      </c>
      <c r="BL95" s="1293">
        <f>+BK97</f>
        <v>0</v>
      </c>
      <c r="BM95" s="1303">
        <f>BL95</f>
        <v>0</v>
      </c>
      <c r="BN95" s="1293">
        <f>BL97</f>
        <v>0</v>
      </c>
      <c r="BO95" s="1293">
        <f>BN97</f>
        <v>0</v>
      </c>
      <c r="BP95" s="1293">
        <f>BO97</f>
        <v>0</v>
      </c>
      <c r="BQ95" s="1293">
        <f>+BP97</f>
        <v>0</v>
      </c>
      <c r="BR95" s="1304">
        <f>BQ95</f>
        <v>0</v>
      </c>
      <c r="BS95" s="1293">
        <f>BQ97</f>
        <v>0</v>
      </c>
      <c r="BT95" s="1293">
        <f>BS97</f>
        <v>0</v>
      </c>
      <c r="BU95" s="1293">
        <f>BT97</f>
        <v>0</v>
      </c>
      <c r="BV95" s="1293">
        <f>+BU97</f>
        <v>0</v>
      </c>
      <c r="BW95" s="1304">
        <f>BV95</f>
        <v>0</v>
      </c>
      <c r="BX95" s="1293">
        <f>BV97</f>
        <v>0</v>
      </c>
      <c r="BY95" s="1293">
        <f>BX97</f>
        <v>0</v>
      </c>
      <c r="BZ95" s="1293">
        <f>BY97</f>
        <v>0</v>
      </c>
      <c r="CA95" s="1293">
        <f>+BZ97</f>
        <v>0</v>
      </c>
      <c r="CB95" s="1304">
        <f>CA95</f>
        <v>0</v>
      </c>
      <c r="CC95" s="1293">
        <f>CA97</f>
        <v>0</v>
      </c>
      <c r="CD95" s="1293">
        <f>CC97</f>
        <v>0</v>
      </c>
      <c r="CE95" s="1293">
        <f>CD97</f>
        <v>0</v>
      </c>
      <c r="CF95" s="1293">
        <f>+CE97</f>
        <v>0</v>
      </c>
      <c r="CG95" s="1304">
        <f>CF95</f>
        <v>0</v>
      </c>
      <c r="CH95" s="1293">
        <f>CF97</f>
        <v>0</v>
      </c>
      <c r="CI95" s="1293">
        <f>CH97</f>
        <v>0</v>
      </c>
      <c r="CJ95" s="1293">
        <f>CI97</f>
        <v>0</v>
      </c>
      <c r="CK95" s="1293">
        <f>+CJ97</f>
        <v>0</v>
      </c>
      <c r="CL95" s="1304">
        <f>CK95</f>
        <v>0</v>
      </c>
      <c r="CM95" s="1293">
        <f>CK97</f>
        <v>0</v>
      </c>
      <c r="CN95" s="1293">
        <f>CM97</f>
        <v>0</v>
      </c>
      <c r="CO95" s="1293">
        <f>CN97</f>
        <v>0</v>
      </c>
      <c r="CP95" s="1293">
        <f>+CO97</f>
        <v>0</v>
      </c>
      <c r="CQ95" s="1304">
        <f>CP95</f>
        <v>0</v>
      </c>
      <c r="CR95" s="1293">
        <f>CP97</f>
        <v>0</v>
      </c>
      <c r="CS95" s="1293">
        <f>CR97</f>
        <v>0</v>
      </c>
      <c r="CT95" s="1293">
        <f>CS97</f>
        <v>0</v>
      </c>
      <c r="CU95" s="1293">
        <f>+CT97</f>
        <v>0</v>
      </c>
      <c r="CV95" s="1304">
        <f>CU95</f>
        <v>0</v>
      </c>
      <c r="CW95" s="1293">
        <f>CU97</f>
        <v>0</v>
      </c>
      <c r="CX95" s="1293">
        <f>CW97</f>
        <v>0</v>
      </c>
      <c r="CY95" s="1293">
        <f>CX97</f>
        <v>0</v>
      </c>
      <c r="CZ95" s="1293">
        <f>+CY97</f>
        <v>0</v>
      </c>
      <c r="DA95" s="1304">
        <f>CZ95</f>
        <v>0</v>
      </c>
      <c r="DB95" s="1293">
        <f>CZ97</f>
        <v>0</v>
      </c>
      <c r="DC95" s="1293">
        <f>DB97</f>
        <v>0</v>
      </c>
      <c r="DD95" s="1293">
        <f>DC97</f>
        <v>0</v>
      </c>
      <c r="DE95" s="1293">
        <f>+DD97</f>
        <v>0</v>
      </c>
      <c r="DF95" s="1304">
        <f>DE95</f>
        <v>0</v>
      </c>
    </row>
    <row r="96" spans="1:110" s="1289" customFormat="1" ht="12.75" x14ac:dyDescent="0.2">
      <c r="A96" s="1273"/>
      <c r="B96" s="1290" t="s">
        <v>199</v>
      </c>
      <c r="C96" s="1298"/>
      <c r="D96" s="1298"/>
      <c r="E96" s="1298"/>
      <c r="F96" s="1298"/>
      <c r="G96" s="1298"/>
      <c r="H96" s="1298"/>
      <c r="I96" s="1298"/>
      <c r="J96" s="1298"/>
      <c r="K96" s="1298"/>
      <c r="L96" s="1298"/>
      <c r="M96" s="1298"/>
      <c r="N96" s="1298"/>
      <c r="O96" s="1298"/>
      <c r="P96" s="1298"/>
      <c r="Q96" s="1298"/>
      <c r="R96" s="1298"/>
      <c r="S96" s="1305"/>
      <c r="T96" s="1306"/>
      <c r="U96" s="1305">
        <v>0</v>
      </c>
      <c r="V96" s="1305"/>
      <c r="W96" s="1305"/>
      <c r="X96" s="1305">
        <v>0</v>
      </c>
      <c r="Y96" s="1306">
        <f>+SUM(U96:X96)</f>
        <v>0</v>
      </c>
      <c r="Z96" s="1305">
        <v>0</v>
      </c>
      <c r="AA96" s="1305">
        <v>0</v>
      </c>
      <c r="AB96" s="1305">
        <v>0</v>
      </c>
      <c r="AC96" s="1305">
        <v>0</v>
      </c>
      <c r="AD96" s="1306">
        <f>+SUM(Z96:AC96)</f>
        <v>0</v>
      </c>
      <c r="AE96" s="1305">
        <v>0</v>
      </c>
      <c r="AF96" s="1305">
        <v>0</v>
      </c>
      <c r="AG96" s="1305">
        <v>0</v>
      </c>
      <c r="AH96" s="1305">
        <v>0</v>
      </c>
      <c r="AI96" s="1306">
        <f>+SUM(AE96:AH96)</f>
        <v>0</v>
      </c>
      <c r="AJ96" s="1305">
        <v>0</v>
      </c>
      <c r="AK96" s="1305">
        <v>0</v>
      </c>
      <c r="AL96" s="1305">
        <v>0</v>
      </c>
      <c r="AM96" s="1305">
        <v>0</v>
      </c>
      <c r="AN96" s="1306">
        <f>+SUM(AJ96:AM96)</f>
        <v>0</v>
      </c>
      <c r="AO96" s="1307">
        <v>-800</v>
      </c>
      <c r="AP96" s="1307">
        <v>500</v>
      </c>
      <c r="AQ96" s="1307">
        <v>-100</v>
      </c>
      <c r="AR96" s="1307">
        <v>0</v>
      </c>
      <c r="AS96" s="1308">
        <f>+SUM(AO96:AR96)</f>
        <v>-400</v>
      </c>
      <c r="AT96" s="1307"/>
      <c r="AU96" s="1307"/>
      <c r="AV96" s="1307"/>
      <c r="AW96" s="1307"/>
      <c r="AX96" s="1306">
        <f>+SUM(AT96:AW96)</f>
        <v>0</v>
      </c>
      <c r="AY96" s="1307"/>
      <c r="AZ96" s="1307"/>
      <c r="BA96" s="1307"/>
      <c r="BB96" s="1307"/>
      <c r="BC96" s="1308">
        <f>+SUM(AY96:BB96)</f>
        <v>0</v>
      </c>
      <c r="BD96" s="1307">
        <v>0</v>
      </c>
      <c r="BE96" s="1307">
        <v>0</v>
      </c>
      <c r="BF96" s="1307"/>
      <c r="BG96" s="1307"/>
      <c r="BH96" s="1306">
        <f>+SUM(BD96:BG96)</f>
        <v>0</v>
      </c>
      <c r="BI96" s="1307"/>
      <c r="BJ96" s="1307">
        <v>-1000</v>
      </c>
      <c r="BK96" s="1307">
        <v>0</v>
      </c>
      <c r="BL96" s="1307"/>
      <c r="BM96" s="1308">
        <f>+SUM(BI96:BL96)</f>
        <v>-1000</v>
      </c>
      <c r="BN96" s="1307"/>
      <c r="BO96" s="1307"/>
      <c r="BP96" s="1307"/>
      <c r="BQ96" s="1307"/>
      <c r="BR96" s="1309">
        <f>+SUM(BN96:BQ96)</f>
        <v>0</v>
      </c>
      <c r="BS96" s="1307"/>
      <c r="BT96" s="1307"/>
      <c r="BU96" s="1307"/>
      <c r="BV96" s="1307"/>
      <c r="BW96" s="1309">
        <f>+SUM(BS96:BV96)</f>
        <v>0</v>
      </c>
      <c r="BX96" s="1307"/>
      <c r="BY96" s="1307"/>
      <c r="BZ96" s="1307"/>
      <c r="CA96" s="1307"/>
      <c r="CB96" s="1309">
        <f>+SUM(BX96:CA96)</f>
        <v>0</v>
      </c>
      <c r="CC96" s="1307"/>
      <c r="CD96" s="1307"/>
      <c r="CE96" s="1307"/>
      <c r="CF96" s="1307"/>
      <c r="CG96" s="1309">
        <f>+SUM(CC96:CF96)</f>
        <v>0</v>
      </c>
      <c r="CH96" s="1307"/>
      <c r="CI96" s="1307"/>
      <c r="CJ96" s="1307"/>
      <c r="CK96" s="1307"/>
      <c r="CL96" s="1309">
        <f>+SUM(CH96:CK96)</f>
        <v>0</v>
      </c>
      <c r="CM96" s="1307"/>
      <c r="CN96" s="1307"/>
      <c r="CO96" s="1307"/>
      <c r="CP96" s="1307"/>
      <c r="CQ96" s="1309">
        <f>+SUM(CM96:CP96)</f>
        <v>0</v>
      </c>
      <c r="CR96" s="1307"/>
      <c r="CS96" s="1307"/>
      <c r="CT96" s="1307"/>
      <c r="CU96" s="1307"/>
      <c r="CV96" s="1309">
        <f>+SUM(CR96:CU96)</f>
        <v>0</v>
      </c>
      <c r="CW96" s="1307"/>
      <c r="CX96" s="1307"/>
      <c r="CY96" s="1307"/>
      <c r="CZ96" s="1307"/>
      <c r="DA96" s="1309">
        <f>+SUM(CW96:CZ96)</f>
        <v>0</v>
      </c>
      <c r="DB96" s="1307"/>
      <c r="DC96" s="1307"/>
      <c r="DD96" s="1307"/>
      <c r="DE96" s="1307"/>
      <c r="DF96" s="1309">
        <f>+SUM(DB96:DE96)</f>
        <v>0</v>
      </c>
    </row>
    <row r="97" spans="1:110" s="1289" customFormat="1" ht="12.75" x14ac:dyDescent="0.2">
      <c r="A97" s="1273"/>
      <c r="B97" s="1290" t="s">
        <v>200</v>
      </c>
      <c r="C97" s="1298"/>
      <c r="D97" s="1298"/>
      <c r="E97" s="1298"/>
      <c r="F97" s="1298"/>
      <c r="G97" s="1298"/>
      <c r="H97" s="1298"/>
      <c r="I97" s="1298"/>
      <c r="J97" s="1298"/>
      <c r="K97" s="1298"/>
      <c r="L97" s="1298"/>
      <c r="M97" s="1298"/>
      <c r="N97" s="1298"/>
      <c r="O97" s="1298"/>
      <c r="P97" s="1298"/>
      <c r="Q97" s="1298"/>
      <c r="R97" s="1298"/>
      <c r="S97" s="1293">
        <v>0</v>
      </c>
      <c r="T97" s="1293">
        <f>+S97</f>
        <v>0</v>
      </c>
      <c r="U97" s="1293">
        <f t="shared" ref="U97:BW97" si="148">U95+U96</f>
        <v>0</v>
      </c>
      <c r="V97" s="1293">
        <f t="shared" si="148"/>
        <v>0</v>
      </c>
      <c r="W97" s="1293">
        <f t="shared" si="148"/>
        <v>0</v>
      </c>
      <c r="X97" s="1293">
        <f t="shared" si="148"/>
        <v>0</v>
      </c>
      <c r="Y97" s="1294">
        <f t="shared" si="148"/>
        <v>0</v>
      </c>
      <c r="Z97" s="1293">
        <f t="shared" si="148"/>
        <v>0</v>
      </c>
      <c r="AA97" s="1293">
        <f t="shared" si="148"/>
        <v>0</v>
      </c>
      <c r="AB97" s="1293">
        <f t="shared" si="148"/>
        <v>0</v>
      </c>
      <c r="AC97" s="1293">
        <f t="shared" si="148"/>
        <v>0</v>
      </c>
      <c r="AD97" s="1294">
        <f t="shared" si="148"/>
        <v>0</v>
      </c>
      <c r="AE97" s="1293">
        <f t="shared" si="148"/>
        <v>0</v>
      </c>
      <c r="AF97" s="1293">
        <f t="shared" si="148"/>
        <v>0</v>
      </c>
      <c r="AG97" s="1293">
        <f t="shared" si="148"/>
        <v>0</v>
      </c>
      <c r="AH97" s="1293">
        <f t="shared" si="148"/>
        <v>0</v>
      </c>
      <c r="AI97" s="1294">
        <f t="shared" si="148"/>
        <v>0</v>
      </c>
      <c r="AJ97" s="1293">
        <f t="shared" si="148"/>
        <v>0</v>
      </c>
      <c r="AK97" s="1293">
        <f t="shared" si="148"/>
        <v>0</v>
      </c>
      <c r="AL97" s="1293">
        <f t="shared" si="148"/>
        <v>0</v>
      </c>
      <c r="AM97" s="1293">
        <f t="shared" si="148"/>
        <v>1400</v>
      </c>
      <c r="AN97" s="1294">
        <f t="shared" si="148"/>
        <v>1400</v>
      </c>
      <c r="AO97" s="1293">
        <f t="shared" si="148"/>
        <v>600</v>
      </c>
      <c r="AP97" s="1293">
        <f t="shared" si="148"/>
        <v>1100</v>
      </c>
      <c r="AQ97" s="1293">
        <f t="shared" si="148"/>
        <v>1000</v>
      </c>
      <c r="AR97" s="1293">
        <f t="shared" si="148"/>
        <v>1000</v>
      </c>
      <c r="AS97" s="1303">
        <f t="shared" si="148"/>
        <v>600</v>
      </c>
      <c r="AT97" s="1293">
        <f t="shared" si="148"/>
        <v>1000</v>
      </c>
      <c r="AU97" s="1293">
        <f t="shared" si="148"/>
        <v>1000</v>
      </c>
      <c r="AV97" s="1293">
        <f t="shared" si="148"/>
        <v>1000</v>
      </c>
      <c r="AW97" s="1293">
        <f t="shared" si="148"/>
        <v>1000</v>
      </c>
      <c r="AX97" s="1294">
        <f t="shared" si="148"/>
        <v>1000</v>
      </c>
      <c r="AY97" s="1293">
        <f t="shared" si="148"/>
        <v>1000</v>
      </c>
      <c r="AZ97" s="1293">
        <f t="shared" si="148"/>
        <v>1000</v>
      </c>
      <c r="BA97" s="1293">
        <f t="shared" si="148"/>
        <v>1000</v>
      </c>
      <c r="BB97" s="1293">
        <f t="shared" si="148"/>
        <v>1000</v>
      </c>
      <c r="BC97" s="1303">
        <f t="shared" si="148"/>
        <v>1000</v>
      </c>
      <c r="BD97" s="1293">
        <f t="shared" si="148"/>
        <v>1000</v>
      </c>
      <c r="BE97" s="1293">
        <f t="shared" si="148"/>
        <v>1000</v>
      </c>
      <c r="BF97" s="1293">
        <f t="shared" si="148"/>
        <v>1000</v>
      </c>
      <c r="BG97" s="1293">
        <f t="shared" si="148"/>
        <v>1000</v>
      </c>
      <c r="BH97" s="1294">
        <f t="shared" si="148"/>
        <v>1000</v>
      </c>
      <c r="BI97" s="1293">
        <f t="shared" si="148"/>
        <v>1000</v>
      </c>
      <c r="BJ97" s="1293">
        <f t="shared" si="148"/>
        <v>0</v>
      </c>
      <c r="BK97" s="1293">
        <f t="shared" si="148"/>
        <v>0</v>
      </c>
      <c r="BL97" s="1293">
        <f t="shared" si="148"/>
        <v>0</v>
      </c>
      <c r="BM97" s="1303">
        <f t="shared" si="148"/>
        <v>-1000</v>
      </c>
      <c r="BN97" s="1293">
        <f t="shared" si="148"/>
        <v>0</v>
      </c>
      <c r="BO97" s="1293">
        <f t="shared" si="148"/>
        <v>0</v>
      </c>
      <c r="BP97" s="1293">
        <f t="shared" si="148"/>
        <v>0</v>
      </c>
      <c r="BQ97" s="1293">
        <f t="shared" si="148"/>
        <v>0</v>
      </c>
      <c r="BR97" s="1304">
        <f t="shared" si="148"/>
        <v>0</v>
      </c>
      <c r="BS97" s="1293">
        <f t="shared" si="148"/>
        <v>0</v>
      </c>
      <c r="BT97" s="1293">
        <f t="shared" si="148"/>
        <v>0</v>
      </c>
      <c r="BU97" s="1293">
        <f t="shared" si="148"/>
        <v>0</v>
      </c>
      <c r="BV97" s="1293">
        <f t="shared" si="148"/>
        <v>0</v>
      </c>
      <c r="BW97" s="1304">
        <f t="shared" si="148"/>
        <v>0</v>
      </c>
      <c r="BX97" s="1293">
        <f t="shared" ref="BX97:CG97" si="149">BX95+BX96</f>
        <v>0</v>
      </c>
      <c r="BY97" s="1293">
        <f t="shared" si="149"/>
        <v>0</v>
      </c>
      <c r="BZ97" s="1293">
        <f t="shared" si="149"/>
        <v>0</v>
      </c>
      <c r="CA97" s="1293">
        <f t="shared" si="149"/>
        <v>0</v>
      </c>
      <c r="CB97" s="1304">
        <f t="shared" si="149"/>
        <v>0</v>
      </c>
      <c r="CC97" s="1293">
        <f t="shared" si="149"/>
        <v>0</v>
      </c>
      <c r="CD97" s="1293">
        <f t="shared" si="149"/>
        <v>0</v>
      </c>
      <c r="CE97" s="1293">
        <f t="shared" si="149"/>
        <v>0</v>
      </c>
      <c r="CF97" s="1293">
        <f t="shared" si="149"/>
        <v>0</v>
      </c>
      <c r="CG97" s="1304">
        <f t="shared" si="149"/>
        <v>0</v>
      </c>
      <c r="CH97" s="1293">
        <f t="shared" ref="CH97:CQ97" si="150">CH95+CH96</f>
        <v>0</v>
      </c>
      <c r="CI97" s="1293">
        <f t="shared" si="150"/>
        <v>0</v>
      </c>
      <c r="CJ97" s="1293">
        <f t="shared" si="150"/>
        <v>0</v>
      </c>
      <c r="CK97" s="1293">
        <f t="shared" si="150"/>
        <v>0</v>
      </c>
      <c r="CL97" s="1304">
        <f t="shared" si="150"/>
        <v>0</v>
      </c>
      <c r="CM97" s="1293">
        <f t="shared" si="150"/>
        <v>0</v>
      </c>
      <c r="CN97" s="1293">
        <f t="shared" si="150"/>
        <v>0</v>
      </c>
      <c r="CO97" s="1293">
        <f t="shared" si="150"/>
        <v>0</v>
      </c>
      <c r="CP97" s="1293">
        <f t="shared" si="150"/>
        <v>0</v>
      </c>
      <c r="CQ97" s="1304">
        <f t="shared" si="150"/>
        <v>0</v>
      </c>
      <c r="CR97" s="1293">
        <f t="shared" ref="CR97:CV97" si="151">CR95+CR96</f>
        <v>0</v>
      </c>
      <c r="CS97" s="1293">
        <f t="shared" si="151"/>
        <v>0</v>
      </c>
      <c r="CT97" s="1293">
        <f t="shared" si="151"/>
        <v>0</v>
      </c>
      <c r="CU97" s="1293">
        <f t="shared" si="151"/>
        <v>0</v>
      </c>
      <c r="CV97" s="1304">
        <f t="shared" si="151"/>
        <v>0</v>
      </c>
      <c r="CW97" s="1293">
        <f t="shared" ref="CW97:DF97" si="152">CW95+CW96</f>
        <v>0</v>
      </c>
      <c r="CX97" s="1293">
        <f t="shared" si="152"/>
        <v>0</v>
      </c>
      <c r="CY97" s="1293">
        <f t="shared" si="152"/>
        <v>0</v>
      </c>
      <c r="CZ97" s="1293">
        <f t="shared" si="152"/>
        <v>0</v>
      </c>
      <c r="DA97" s="1304">
        <f t="shared" si="152"/>
        <v>0</v>
      </c>
      <c r="DB97" s="1293">
        <f t="shared" si="152"/>
        <v>0</v>
      </c>
      <c r="DC97" s="1293">
        <f t="shared" si="152"/>
        <v>0</v>
      </c>
      <c r="DD97" s="1293">
        <f t="shared" si="152"/>
        <v>0</v>
      </c>
      <c r="DE97" s="1293">
        <f t="shared" si="152"/>
        <v>0</v>
      </c>
      <c r="DF97" s="1304">
        <f t="shared" si="152"/>
        <v>0</v>
      </c>
    </row>
    <row r="98" spans="1:110" s="1289" customFormat="1" ht="13.5" thickBot="1" x14ac:dyDescent="0.25">
      <c r="A98" s="1273"/>
      <c r="B98" s="1310" t="s">
        <v>147</v>
      </c>
      <c r="C98" s="1311"/>
      <c r="D98" s="1311"/>
      <c r="E98" s="1311"/>
      <c r="F98" s="1311"/>
      <c r="G98" s="1311"/>
      <c r="H98" s="1311"/>
      <c r="I98" s="1311"/>
      <c r="J98" s="1311"/>
      <c r="K98" s="1311"/>
      <c r="L98" s="1311"/>
      <c r="M98" s="1311"/>
      <c r="N98" s="1311"/>
      <c r="O98" s="1311"/>
      <c r="P98" s="1311"/>
      <c r="Q98" s="1311"/>
      <c r="R98" s="1311"/>
      <c r="S98" s="1312"/>
      <c r="T98" s="1313"/>
      <c r="U98" s="1312">
        <f>-(AVERAGE(U97,U95))*(U93/4)</f>
        <v>0</v>
      </c>
      <c r="V98" s="1312">
        <f>-(AVERAGE(V97,V95))*(V93/4)</f>
        <v>0</v>
      </c>
      <c r="W98" s="1312">
        <f>-(AVERAGE(W97,W95))*(W93/4)</f>
        <v>0</v>
      </c>
      <c r="X98" s="1312">
        <f>-(AVERAGE(X97,X95))*(X93/4)</f>
        <v>0</v>
      </c>
      <c r="Y98" s="1313">
        <f>SUM(U98:X98)</f>
        <v>0</v>
      </c>
      <c r="Z98" s="1312">
        <f>-(AVERAGE(Z97,Z95))*(Z93/4)</f>
        <v>0</v>
      </c>
      <c r="AA98" s="1312">
        <f>-(AVERAGE(AA97,AA95))*(AA93/4)</f>
        <v>0</v>
      </c>
      <c r="AB98" s="1312">
        <f>-(AVERAGE(AB97,AB95))*(AB93/4)</f>
        <v>0</v>
      </c>
      <c r="AC98" s="1312">
        <f>-(AVERAGE(AC97,AC95))*(AC93/4)</f>
        <v>0</v>
      </c>
      <c r="AD98" s="1313">
        <f>SUM(Z98:AC98)</f>
        <v>0</v>
      </c>
      <c r="AE98" s="1312">
        <f>-(AVERAGE(AE97,AE95))*(AE93/4)</f>
        <v>0</v>
      </c>
      <c r="AF98" s="1312">
        <f>-(AVERAGE(AF97,AF95))*(AF93/4)</f>
        <v>0</v>
      </c>
      <c r="AG98" s="1312">
        <f>-(AVERAGE(AG97,AG95))*(AG93/4)</f>
        <v>0</v>
      </c>
      <c r="AH98" s="1312">
        <f>-(AVERAGE(AH97,AH95))*(AH93/4)</f>
        <v>0</v>
      </c>
      <c r="AI98" s="1313">
        <f>SUM(AE98:AH98)</f>
        <v>0</v>
      </c>
      <c r="AJ98" s="1312">
        <f>-(AVERAGE(AJ97,AJ95))*(AJ93/4)</f>
        <v>0</v>
      </c>
      <c r="AK98" s="1312">
        <f>-(AVERAGE(AK97,AK95))*(AK93/4)</f>
        <v>0</v>
      </c>
      <c r="AL98" s="1312">
        <f>-(AVERAGE(AL97,AL95))*(AL93/4)</f>
        <v>0</v>
      </c>
      <c r="AM98" s="1312">
        <f>-(AVERAGE(AM97,AM95))*(AM93/4)*(2/3)</f>
        <v>13.970833333333333</v>
      </c>
      <c r="AN98" s="1314">
        <f>SUM(AJ98:AM98)</f>
        <v>13.970833333333333</v>
      </c>
      <c r="AO98" s="1312">
        <f t="shared" ref="AO98:BL98" si="153">-(AVERAGE(AO97,AO95))*(AO93/4)</f>
        <v>-0.24999999999999903</v>
      </c>
      <c r="AP98" s="1312">
        <f t="shared" si="153"/>
        <v>-0.21249999999999916</v>
      </c>
      <c r="AQ98" s="1312">
        <f t="shared" si="153"/>
        <v>-0.35437499999999922</v>
      </c>
      <c r="AR98" s="1312">
        <f t="shared" si="153"/>
        <v>-0.23851562499999904</v>
      </c>
      <c r="AS98" s="1315">
        <f>SUM(AO98:AR98)</f>
        <v>-1.0553906249999965</v>
      </c>
      <c r="AT98" s="1312">
        <f t="shared" si="153"/>
        <v>-0.31562499999999905</v>
      </c>
      <c r="AU98" s="1312">
        <f t="shared" si="153"/>
        <v>-0.31562499999999905</v>
      </c>
      <c r="AV98" s="1312">
        <f t="shared" si="153"/>
        <v>-0.43124999999999913</v>
      </c>
      <c r="AW98" s="1312">
        <f t="shared" si="153"/>
        <v>-1.0277540428321674</v>
      </c>
      <c r="AX98" s="1314">
        <f>SUM(AT98:AW98)</f>
        <v>-2.0902540428321648</v>
      </c>
      <c r="AY98" s="1312">
        <f t="shared" si="153"/>
        <v>-0.93453931500000009</v>
      </c>
      <c r="AZ98" s="1312">
        <f t="shared" si="153"/>
        <v>-0.94313164135513983</v>
      </c>
      <c r="BA98" s="1312">
        <f t="shared" si="153"/>
        <v>-0.94591438137755079</v>
      </c>
      <c r="BB98" s="1312">
        <f t="shared" si="153"/>
        <v>-1.0175486288265303</v>
      </c>
      <c r="BC98" s="1315">
        <f>SUM(AY98:BB98)</f>
        <v>-3.8411339665592212</v>
      </c>
      <c r="BD98" s="1312">
        <f t="shared" si="153"/>
        <v>-1.0175486288265303</v>
      </c>
      <c r="BE98" s="1312">
        <f t="shared" si="153"/>
        <v>-0.49999999999999872</v>
      </c>
      <c r="BF98" s="1312">
        <f t="shared" si="153"/>
        <v>-0.98173150510204055</v>
      </c>
      <c r="BG98" s="1312">
        <f t="shared" si="153"/>
        <v>-0.98173150510204055</v>
      </c>
      <c r="BH98" s="1314">
        <f>SUM(BD98:BG98)</f>
        <v>-3.4810116390306098</v>
      </c>
      <c r="BI98" s="1312"/>
      <c r="BJ98" s="1312"/>
      <c r="BK98" s="1312"/>
      <c r="BL98" s="1312">
        <f t="shared" si="153"/>
        <v>0</v>
      </c>
      <c r="BM98" s="1315">
        <f>SUM(BI98:BL98)</f>
        <v>0</v>
      </c>
      <c r="BN98" s="1312">
        <f t="shared" ref="BN98:BV98" si="154">-(AVERAGE(BN97,BN95))*(BN93/4)</f>
        <v>0</v>
      </c>
      <c r="BO98" s="1312">
        <f t="shared" si="154"/>
        <v>0</v>
      </c>
      <c r="BP98" s="1312">
        <f t="shared" si="154"/>
        <v>0</v>
      </c>
      <c r="BQ98" s="1312">
        <f t="shared" si="154"/>
        <v>0</v>
      </c>
      <c r="BR98" s="1314">
        <f>SUM(BN98:BQ98)</f>
        <v>0</v>
      </c>
      <c r="BS98" s="1312">
        <f t="shared" si="154"/>
        <v>0</v>
      </c>
      <c r="BT98" s="1312">
        <f t="shared" si="154"/>
        <v>0</v>
      </c>
      <c r="BU98" s="1312">
        <f t="shared" si="154"/>
        <v>0</v>
      </c>
      <c r="BV98" s="1312">
        <f t="shared" si="154"/>
        <v>0</v>
      </c>
      <c r="BW98" s="1314">
        <f>SUM(BS98:BV98)</f>
        <v>0</v>
      </c>
      <c r="BX98" s="1312">
        <f>-(AVERAGE(BX97,BX95))*(BX93/4)</f>
        <v>0</v>
      </c>
      <c r="BY98" s="1312">
        <f>-(AVERAGE(BY97,BY95))*(BY93/4)</f>
        <v>0</v>
      </c>
      <c r="BZ98" s="1312">
        <f>-(AVERAGE(BZ97,BZ95))*(BZ93/4)</f>
        <v>0</v>
      </c>
      <c r="CA98" s="1312">
        <f>-(AVERAGE(CA97,CA95))*(CA93/4)</f>
        <v>0</v>
      </c>
      <c r="CB98" s="1314">
        <f>SUM(BX98:CA98)</f>
        <v>0</v>
      </c>
      <c r="CC98" s="1312">
        <f>-(AVERAGE(CC97,CC95))*(CC93/4)</f>
        <v>0</v>
      </c>
      <c r="CD98" s="1312">
        <f>-(AVERAGE(CD97,CD95))*(CD93/4)</f>
        <v>0</v>
      </c>
      <c r="CE98" s="1312">
        <f>-(AVERAGE(CE97,CE95))*(CE93/4)</f>
        <v>0</v>
      </c>
      <c r="CF98" s="1312">
        <f>-(AVERAGE(CF97,CF95))*(CF93/4)</f>
        <v>0</v>
      </c>
      <c r="CG98" s="1314">
        <f>SUM(CC98:CF98)</f>
        <v>0</v>
      </c>
      <c r="CH98" s="1312">
        <f>-(AVERAGE(CH97,CH95))*(CH93/4)</f>
        <v>0</v>
      </c>
      <c r="CI98" s="1312">
        <f>-(AVERAGE(CI97,CI95))*(CI93/4)</f>
        <v>0</v>
      </c>
      <c r="CJ98" s="1312">
        <f>-(AVERAGE(CJ97,CJ95))*(CJ93/4)</f>
        <v>0</v>
      </c>
      <c r="CK98" s="1312">
        <f>-(AVERAGE(CK97,CK95))*(CK93/4)</f>
        <v>0</v>
      </c>
      <c r="CL98" s="1314">
        <f>SUM(CH98:CK98)</f>
        <v>0</v>
      </c>
      <c r="CM98" s="1312">
        <f>-(AVERAGE(CM97,CM95))*(CM93/4)</f>
        <v>0</v>
      </c>
      <c r="CN98" s="1312">
        <f>-(AVERAGE(CN97,CN95))*(CN93/4)</f>
        <v>0</v>
      </c>
      <c r="CO98" s="1312">
        <f>-(AVERAGE(CO97,CO95))*(CO93/4)</f>
        <v>0</v>
      </c>
      <c r="CP98" s="1312">
        <f>-(AVERAGE(CP97,CP95))*(CP93/4)</f>
        <v>0</v>
      </c>
      <c r="CQ98" s="1314">
        <f>SUM(CM98:CP98)</f>
        <v>0</v>
      </c>
      <c r="CR98" s="1312">
        <f>-(AVERAGE(CR97,CR95))*(CR93/4)</f>
        <v>0</v>
      </c>
      <c r="CS98" s="1312">
        <f>-(AVERAGE(CS97,CS95))*(CS93/4)</f>
        <v>0</v>
      </c>
      <c r="CT98" s="1312">
        <f>-(AVERAGE(CT97,CT95))*(CT93/4)</f>
        <v>0</v>
      </c>
      <c r="CU98" s="1312">
        <f>-(AVERAGE(CU97,CU95))*(CU93/4)</f>
        <v>0</v>
      </c>
      <c r="CV98" s="1314">
        <f>SUM(CR98:CU98)</f>
        <v>0</v>
      </c>
      <c r="CW98" s="1312">
        <f>-(AVERAGE(CW97,CW95))*(CW93/4)</f>
        <v>0</v>
      </c>
      <c r="CX98" s="1312">
        <f>-(AVERAGE(CX97,CX95))*(CX93/4)</f>
        <v>0</v>
      </c>
      <c r="CY98" s="1312">
        <f>-(AVERAGE(CY97,CY95))*(CY93/4)</f>
        <v>0</v>
      </c>
      <c r="CZ98" s="1312">
        <f>-(AVERAGE(CZ97,CZ95))*(CZ93/4)</f>
        <v>0</v>
      </c>
      <c r="DA98" s="1314">
        <f>SUM(CW98:CZ98)</f>
        <v>0</v>
      </c>
      <c r="DB98" s="1312">
        <f>-(AVERAGE(DB97,DB95))*(DB93/4)</f>
        <v>0</v>
      </c>
      <c r="DC98" s="1312">
        <f>-(AVERAGE(DC97,DC95))*(DC93/4)</f>
        <v>0</v>
      </c>
      <c r="DD98" s="1312">
        <f>-(AVERAGE(DD97,DD95))*(DD93/4)</f>
        <v>0</v>
      </c>
      <c r="DE98" s="1312">
        <f>-(AVERAGE(DE97,DE95))*(DE93/4)</f>
        <v>0</v>
      </c>
      <c r="DF98" s="1314">
        <f>SUM(DB98:DE98)</f>
        <v>0</v>
      </c>
    </row>
    <row r="99" spans="1:110" s="1273" customFormat="1" ht="13.5" thickBot="1" x14ac:dyDescent="0.25">
      <c r="C99" s="1298"/>
      <c r="D99" s="1298"/>
      <c r="E99" s="1298"/>
      <c r="F99" s="1298"/>
      <c r="G99" s="1298"/>
      <c r="H99" s="1298"/>
      <c r="I99" s="1298"/>
      <c r="J99" s="1298"/>
      <c r="K99" s="1298"/>
      <c r="L99" s="1298"/>
      <c r="M99" s="1298"/>
      <c r="N99" s="1298"/>
      <c r="O99" s="1298"/>
      <c r="P99" s="1298"/>
      <c r="Q99" s="1298"/>
      <c r="R99" s="1298"/>
      <c r="S99" s="1293"/>
      <c r="T99" s="1293"/>
      <c r="U99" s="1293"/>
      <c r="V99" s="1293"/>
      <c r="W99" s="1293"/>
      <c r="X99" s="1293"/>
      <c r="Y99" s="1293"/>
      <c r="Z99" s="1293"/>
      <c r="AA99" s="1293"/>
      <c r="AB99" s="1293"/>
      <c r="AC99" s="1293"/>
      <c r="AD99" s="1293"/>
      <c r="AE99" s="1293"/>
      <c r="AF99" s="1293"/>
      <c r="AG99" s="1293"/>
      <c r="AH99" s="1293"/>
      <c r="AI99" s="1293"/>
      <c r="AJ99" s="1293"/>
      <c r="AK99" s="1293"/>
      <c r="AL99" s="1293"/>
      <c r="AM99" s="1293"/>
      <c r="AN99" s="1293"/>
      <c r="AO99" s="1293"/>
      <c r="AP99" s="1293"/>
      <c r="AQ99" s="1293"/>
      <c r="AR99" s="1293"/>
      <c r="AS99" s="1293"/>
      <c r="AT99" s="1293"/>
      <c r="AU99" s="1293"/>
      <c r="AV99" s="1293"/>
      <c r="AW99" s="1293"/>
      <c r="AX99" s="1293"/>
      <c r="AY99" s="1293"/>
      <c r="AZ99" s="1293"/>
      <c r="BA99" s="1293"/>
      <c r="BB99" s="1293"/>
      <c r="BC99" s="1293"/>
      <c r="BD99" s="1293"/>
      <c r="BE99" s="1293"/>
      <c r="BF99" s="1293"/>
      <c r="BG99" s="1293"/>
      <c r="BH99" s="1293"/>
      <c r="BI99" s="1293"/>
      <c r="BJ99" s="1293"/>
      <c r="BK99" s="1293"/>
      <c r="BL99" s="1293"/>
      <c r="BM99" s="1293"/>
      <c r="BN99" s="1293"/>
      <c r="BO99" s="1293"/>
      <c r="BP99" s="1293"/>
      <c r="BQ99" s="1293"/>
      <c r="BR99" s="1293"/>
      <c r="BS99" s="1293"/>
      <c r="BT99" s="1293"/>
      <c r="BU99" s="1293"/>
      <c r="BV99" s="1293"/>
      <c r="BW99" s="1293"/>
      <c r="BX99" s="1293"/>
      <c r="BY99" s="1293"/>
      <c r="BZ99" s="1293"/>
      <c r="CA99" s="1293"/>
      <c r="CB99" s="1293"/>
      <c r="CC99" s="1293"/>
      <c r="CD99" s="1293"/>
      <c r="CE99" s="1293"/>
      <c r="CF99" s="1293"/>
      <c r="CG99" s="1293"/>
      <c r="CH99" s="1293"/>
      <c r="CI99" s="1293"/>
      <c r="CJ99" s="1293"/>
      <c r="CK99" s="1293"/>
      <c r="CL99" s="1293"/>
      <c r="CM99" s="1293"/>
      <c r="CN99" s="1293"/>
      <c r="CO99" s="1293"/>
      <c r="CP99" s="1293"/>
      <c r="CQ99" s="1293"/>
      <c r="CR99" s="1293"/>
      <c r="CS99" s="1293"/>
      <c r="CT99" s="1293"/>
      <c r="CU99" s="1293"/>
      <c r="CV99" s="1293"/>
      <c r="CW99" s="1293"/>
      <c r="CX99" s="1293"/>
      <c r="CY99" s="1293"/>
      <c r="CZ99" s="1293"/>
      <c r="DA99" s="1293"/>
      <c r="DB99" s="1293"/>
      <c r="DC99" s="1293"/>
      <c r="DD99" s="1293"/>
      <c r="DE99" s="1293"/>
      <c r="DF99" s="1293"/>
    </row>
    <row r="100" spans="1:110" s="1273" customFormat="1" ht="13.5" thickBot="1" x14ac:dyDescent="0.25">
      <c r="B100" s="1274" t="s">
        <v>406</v>
      </c>
      <c r="C100" s="1316"/>
      <c r="D100" s="1316"/>
      <c r="E100" s="1316"/>
      <c r="F100" s="1316"/>
      <c r="G100" s="1316"/>
      <c r="H100" s="1316"/>
      <c r="I100" s="1316"/>
      <c r="J100" s="1316"/>
      <c r="K100" s="1316"/>
      <c r="L100" s="1316"/>
      <c r="M100" s="1316"/>
      <c r="N100" s="1316"/>
      <c r="O100" s="1316"/>
      <c r="P100" s="1316"/>
      <c r="Q100" s="1316"/>
      <c r="R100" s="1316"/>
      <c r="S100" s="1317"/>
      <c r="T100" s="1317"/>
      <c r="U100" s="1317"/>
      <c r="V100" s="1317"/>
      <c r="W100" s="1317"/>
      <c r="X100" s="1317"/>
      <c r="Y100" s="1317"/>
      <c r="Z100" s="1317"/>
      <c r="AA100" s="1317"/>
      <c r="AB100" s="1317"/>
      <c r="AC100" s="1317"/>
      <c r="AD100" s="1317"/>
      <c r="AE100" s="1317"/>
      <c r="AF100" s="1317"/>
      <c r="AG100" s="1317"/>
      <c r="AH100" s="1317"/>
      <c r="AI100" s="1317"/>
      <c r="AJ100" s="1317"/>
      <c r="AK100" s="1317"/>
      <c r="AL100" s="1317"/>
      <c r="AM100" s="1317"/>
      <c r="AN100" s="1317"/>
      <c r="AO100" s="1317"/>
      <c r="AP100" s="1317"/>
      <c r="AQ100" s="1317"/>
      <c r="AR100" s="1317"/>
      <c r="AS100" s="1317"/>
      <c r="AT100" s="1317"/>
      <c r="AU100" s="1317"/>
      <c r="AV100" s="1317"/>
      <c r="AW100" s="1317"/>
      <c r="AX100" s="1317"/>
      <c r="AY100" s="1317"/>
      <c r="AZ100" s="1317"/>
      <c r="BA100" s="1317"/>
      <c r="BB100" s="1317"/>
      <c r="BC100" s="1317"/>
      <c r="BD100" s="1317"/>
      <c r="BE100" s="1317"/>
      <c r="BF100" s="1317"/>
      <c r="BG100" s="1317"/>
      <c r="BH100" s="1317"/>
      <c r="BI100" s="1317"/>
      <c r="BJ100" s="1317"/>
      <c r="BK100" s="1317"/>
      <c r="BL100" s="1317"/>
      <c r="BM100" s="1317"/>
      <c r="BN100" s="1317"/>
      <c r="BO100" s="1317"/>
      <c r="BP100" s="1317"/>
      <c r="BQ100" s="1317"/>
      <c r="BR100" s="1317"/>
      <c r="BS100" s="1317"/>
      <c r="BT100" s="1317"/>
      <c r="BU100" s="1317"/>
      <c r="BV100" s="1317"/>
      <c r="BW100" s="1317"/>
      <c r="BX100" s="1317"/>
      <c r="BY100" s="1317"/>
      <c r="BZ100" s="1317"/>
      <c r="CA100" s="1317"/>
      <c r="CB100" s="1318"/>
      <c r="CC100" s="1317"/>
      <c r="CD100" s="1317"/>
      <c r="CE100" s="1317"/>
      <c r="CF100" s="1317"/>
      <c r="CG100" s="1318"/>
      <c r="CH100" s="1317"/>
      <c r="CI100" s="1317"/>
      <c r="CJ100" s="1317"/>
      <c r="CK100" s="1317"/>
      <c r="CL100" s="1318"/>
      <c r="CM100" s="1317"/>
      <c r="CN100" s="1317"/>
      <c r="CO100" s="1317"/>
      <c r="CP100" s="1317"/>
      <c r="CQ100" s="1318"/>
      <c r="CR100" s="1317"/>
      <c r="CS100" s="1317"/>
      <c r="CT100" s="1317"/>
      <c r="CU100" s="1317"/>
      <c r="CV100" s="1318"/>
      <c r="CW100" s="1317"/>
      <c r="CX100" s="1317"/>
      <c r="CY100" s="1317"/>
      <c r="CZ100" s="1317"/>
      <c r="DA100" s="1318"/>
      <c r="DB100" s="1317"/>
      <c r="DC100" s="1317"/>
      <c r="DD100" s="1317"/>
      <c r="DE100" s="1317"/>
      <c r="DF100" s="1318"/>
    </row>
    <row r="101" spans="1:110" s="1289" customFormat="1" ht="12.75" x14ac:dyDescent="0.2">
      <c r="A101" s="1273"/>
      <c r="B101" s="1280" t="s">
        <v>327</v>
      </c>
      <c r="C101" s="1319">
        <v>6.2500000000000003E-3</v>
      </c>
      <c r="D101" s="1282"/>
      <c r="E101" s="1282"/>
      <c r="F101" s="1282"/>
      <c r="G101" s="1282"/>
      <c r="H101" s="1282"/>
      <c r="I101" s="1282"/>
      <c r="J101" s="1282"/>
      <c r="K101" s="1282"/>
      <c r="L101" s="1282"/>
      <c r="M101" s="1282"/>
      <c r="N101" s="1282"/>
      <c r="O101" s="1282"/>
      <c r="P101" s="1282"/>
      <c r="Q101" s="1282"/>
      <c r="R101" s="1282"/>
      <c r="S101" s="1283"/>
      <c r="T101" s="1284"/>
      <c r="U101" s="1283"/>
      <c r="V101" s="1283"/>
      <c r="W101" s="1283"/>
      <c r="X101" s="1320"/>
      <c r="Y101" s="1284"/>
      <c r="Z101" s="1285">
        <f>$C$43+Z$32</f>
        <v>0.04</v>
      </c>
      <c r="AA101" s="1285">
        <f>$C$43+AA$32</f>
        <v>0.04</v>
      </c>
      <c r="AB101" s="1285">
        <f>$C$43+AB$32</f>
        <v>4.2599999999999999E-2</v>
      </c>
      <c r="AC101" s="1285">
        <f>$C$43+AC$32</f>
        <v>4.1799999999999997E-2</v>
      </c>
      <c r="AD101" s="1284"/>
      <c r="AE101" s="1285">
        <f>0.0516+C101</f>
        <v>5.7849999999999999E-2</v>
      </c>
      <c r="AF101" s="1285">
        <f>AE101</f>
        <v>5.7849999999999999E-2</v>
      </c>
      <c r="AG101" s="1285">
        <f>AF101</f>
        <v>5.7849999999999999E-2</v>
      </c>
      <c r="AH101" s="1286">
        <v>5.3999999999999999E-2</v>
      </c>
      <c r="AI101" s="1284"/>
      <c r="AJ101" s="1285">
        <f>AJ345+0.0045</f>
        <v>4.4999999999999997E-3</v>
      </c>
      <c r="AK101" s="1285">
        <f>AK345+0.0045</f>
        <v>4.4999999999999997E-3</v>
      </c>
      <c r="AL101" s="1286">
        <f>AL345+0.0045</f>
        <v>4.4999999999999997E-3</v>
      </c>
      <c r="AM101" s="1286">
        <f>AM345+0.0045</f>
        <v>-5.9875000000000005E-2</v>
      </c>
      <c r="AN101" s="1287"/>
      <c r="AO101" s="1286">
        <f>AO345+0.0045</f>
        <v>9.9999999999999612E-4</v>
      </c>
      <c r="AP101" s="1286">
        <f>AP345+0.0045</f>
        <v>9.9999999999999612E-4</v>
      </c>
      <c r="AQ101" s="1286">
        <f>AQ345+0.0045</f>
        <v>1.349999999999997E-3</v>
      </c>
      <c r="AR101" s="1286">
        <f>AR345+0.0045</f>
        <v>9.5406249999999615E-4</v>
      </c>
      <c r="AS101" s="1284"/>
      <c r="AT101" s="1285">
        <f>AT345+0.0045</f>
        <v>1.2624999999999963E-3</v>
      </c>
      <c r="AU101" s="1285">
        <f>AU345+0.0045</f>
        <v>1.2624999999999963E-3</v>
      </c>
      <c r="AV101" s="1285">
        <f>AV345+0.0045</f>
        <v>1.7249999999999965E-3</v>
      </c>
      <c r="AW101" s="1285">
        <f>AW345+0.0045</f>
        <v>4.1110161713286695E-3</v>
      </c>
      <c r="AX101" s="1287"/>
      <c r="AY101" s="1285">
        <f>AY345+0.0045</f>
        <v>3.7381572600000005E-3</v>
      </c>
      <c r="AZ101" s="1285">
        <f>AZ345+0.0045</f>
        <v>3.7725265654205593E-3</v>
      </c>
      <c r="BA101" s="1285">
        <f>BA345+0.0045</f>
        <v>3.7836575255102032E-3</v>
      </c>
      <c r="BB101" s="1285">
        <f>BB345+0.0045</f>
        <v>4.0701945153061216E-3</v>
      </c>
      <c r="BC101" s="1284"/>
      <c r="BD101" s="1285">
        <f>BD345+0.0045</f>
        <v>4.0701945153061216E-3</v>
      </c>
      <c r="BE101" s="1285">
        <f>BE345+0.0045</f>
        <v>1.9999999999999948E-3</v>
      </c>
      <c r="BF101" s="1285">
        <f>BF345+0.0045</f>
        <v>3.926926020408162E-3</v>
      </c>
      <c r="BG101" s="1285">
        <f>BG345+0.0045</f>
        <v>3.926926020408162E-3</v>
      </c>
      <c r="BH101" s="1287"/>
      <c r="BI101" s="1285">
        <f>BI32+0.0045</f>
        <v>2.4500000000000001E-2</v>
      </c>
      <c r="BJ101" s="1285">
        <f>BJ32+0.0045</f>
        <v>2.4500000000000001E-2</v>
      </c>
      <c r="BK101" s="1285">
        <f>BK32+0.0045</f>
        <v>2.4500000000000001E-2</v>
      </c>
      <c r="BL101" s="1285">
        <f>BL32+0.0045</f>
        <v>2.4500000000000001E-2</v>
      </c>
      <c r="BM101" s="1288"/>
      <c r="BN101" s="1285">
        <f>BN32+0.0045</f>
        <v>2.5999999999999999E-2</v>
      </c>
      <c r="BO101" s="1285">
        <f>BO32+0.0045</f>
        <v>2.5999999999999999E-2</v>
      </c>
      <c r="BP101" s="1285">
        <f>BP32+0.0045</f>
        <v>2.8258000000000002E-2</v>
      </c>
      <c r="BQ101" s="1285">
        <f>BQ32+0.0045</f>
        <v>3.0100000000000002E-2</v>
      </c>
      <c r="BR101" s="1288"/>
      <c r="BS101" s="1285">
        <f>BS32+0.0045</f>
        <v>3.1857999999999997E-2</v>
      </c>
      <c r="BT101" s="1285">
        <f>BT32+0.0045</f>
        <v>3.3590000000000002E-2</v>
      </c>
      <c r="BU101" s="1285">
        <f>BU32+0.0045</f>
        <v>3.5456999999999995E-2</v>
      </c>
      <c r="BV101" s="1285">
        <f>BV32+0.0045</f>
        <v>3.7127E-2</v>
      </c>
      <c r="BW101" s="1288"/>
      <c r="BX101" s="1285">
        <f>BX32+0.0045</f>
        <v>2.4500000000000001E-2</v>
      </c>
      <c r="BY101" s="1285">
        <f>BY32+0.0045</f>
        <v>2.4500000000000001E-2</v>
      </c>
      <c r="BZ101" s="1285">
        <f>BZ32+0.0045</f>
        <v>2.4500000000000001E-2</v>
      </c>
      <c r="CA101" s="1285">
        <f>CA32+0.0045</f>
        <v>2.4500000000000001E-2</v>
      </c>
      <c r="CB101" s="1288"/>
      <c r="CC101" s="1285">
        <f>CC32+0.0045</f>
        <v>3.8743999999999994E-2</v>
      </c>
      <c r="CD101" s="1285">
        <f>CD32+0.0045</f>
        <v>4.0328999999999997E-2</v>
      </c>
      <c r="CE101" s="1285">
        <f>CE32+0.0045</f>
        <v>4.0159999999999994E-2</v>
      </c>
      <c r="CF101" s="1285">
        <f>CF32+0.0045</f>
        <v>4.1530999999999998E-2</v>
      </c>
      <c r="CG101" s="1288"/>
      <c r="CH101" s="1285">
        <f>CH32+0.0045</f>
        <v>3.8743999999999994E-2</v>
      </c>
      <c r="CI101" s="1285">
        <f>CI32+0.0045</f>
        <v>4.0328999999999997E-2</v>
      </c>
      <c r="CJ101" s="1285">
        <f>CJ32+0.0045</f>
        <v>4.0159999999999994E-2</v>
      </c>
      <c r="CK101" s="1285">
        <f>CK32+0.0045</f>
        <v>4.1530999999999998E-2</v>
      </c>
      <c r="CL101" s="1288"/>
      <c r="CM101" s="1285">
        <f>CM32+0.0045</f>
        <v>3.8743999999999994E-2</v>
      </c>
      <c r="CN101" s="1285">
        <f>CN32+0.0045</f>
        <v>4.0328999999999997E-2</v>
      </c>
      <c r="CO101" s="1285">
        <f>CO32+0.0045</f>
        <v>4.0159999999999994E-2</v>
      </c>
      <c r="CP101" s="1285">
        <f>CP32+0.0045</f>
        <v>4.1530999999999998E-2</v>
      </c>
      <c r="CQ101" s="1288"/>
      <c r="CR101" s="1285">
        <f>CR32+0.0045</f>
        <v>3.8743999999999994E-2</v>
      </c>
      <c r="CS101" s="1285">
        <f>CS32+0.0045</f>
        <v>4.0328999999999997E-2</v>
      </c>
      <c r="CT101" s="1285">
        <f>CT32+0.0045</f>
        <v>4.0159999999999994E-2</v>
      </c>
      <c r="CU101" s="1285">
        <f>CU32+0.0045</f>
        <v>4.1530999999999998E-2</v>
      </c>
      <c r="CV101" s="1288"/>
      <c r="CW101" s="1285">
        <f>CW32+0.0045</f>
        <v>3.8743999999999994E-2</v>
      </c>
      <c r="CX101" s="1285">
        <f>CX32+0.0045</f>
        <v>4.0328999999999997E-2</v>
      </c>
      <c r="CY101" s="1285">
        <f>CY32+0.0045</f>
        <v>4.0159999999999994E-2</v>
      </c>
      <c r="CZ101" s="1285">
        <f>CZ32+0.0045</f>
        <v>4.1530999999999998E-2</v>
      </c>
      <c r="DA101" s="1288"/>
      <c r="DB101" s="1285">
        <f>DB32+0.0045</f>
        <v>3.8743999999999994E-2</v>
      </c>
      <c r="DC101" s="1285">
        <f>DC32+0.0045</f>
        <v>4.0328999999999997E-2</v>
      </c>
      <c r="DD101" s="1285">
        <f>DD32+0.0045</f>
        <v>4.0159999999999994E-2</v>
      </c>
      <c r="DE101" s="1285">
        <f>DE32+0.0045</f>
        <v>4.1530999999999998E-2</v>
      </c>
      <c r="DF101" s="1288"/>
    </row>
    <row r="102" spans="1:110" s="1289" customFormat="1" ht="12.75" x14ac:dyDescent="0.2">
      <c r="A102" s="1273"/>
      <c r="B102" s="1290" t="s">
        <v>405</v>
      </c>
      <c r="D102" s="1292"/>
      <c r="E102" s="1292"/>
      <c r="F102" s="1292"/>
      <c r="G102" s="1292"/>
      <c r="H102" s="1292"/>
      <c r="I102" s="1292"/>
      <c r="J102" s="1292"/>
      <c r="K102" s="1292"/>
      <c r="L102" s="1292"/>
      <c r="M102" s="1292"/>
      <c r="N102" s="1292"/>
      <c r="O102" s="1292"/>
      <c r="P102" s="1292"/>
      <c r="Q102" s="1292"/>
      <c r="R102" s="1292"/>
      <c r="S102" s="1293"/>
      <c r="T102" s="1294"/>
      <c r="U102" s="1293"/>
      <c r="V102" s="1293"/>
      <c r="W102" s="1293"/>
      <c r="X102" s="1293"/>
      <c r="Y102" s="1294"/>
      <c r="Z102" s="1293"/>
      <c r="AA102" s="1293"/>
      <c r="AB102" s="1293">
        <v>750</v>
      </c>
      <c r="AC102" s="1293">
        <v>750</v>
      </c>
      <c r="AD102" s="1294"/>
      <c r="AE102" s="1293">
        <f>AC102</f>
        <v>750</v>
      </c>
      <c r="AF102" s="1293">
        <f>AE102</f>
        <v>750</v>
      </c>
      <c r="AG102" s="1293">
        <f>AF102</f>
        <v>750</v>
      </c>
      <c r="AH102" s="1293">
        <f>AG102</f>
        <v>750</v>
      </c>
      <c r="AI102" s="1294"/>
      <c r="AJ102" s="1293">
        <f>AH102</f>
        <v>750</v>
      </c>
      <c r="AK102" s="1293">
        <v>1000</v>
      </c>
      <c r="AL102" s="1293">
        <v>1000</v>
      </c>
      <c r="AM102" s="1293">
        <f>AL102</f>
        <v>1000</v>
      </c>
      <c r="AN102" s="1303"/>
      <c r="AO102" s="1293">
        <f>AM102</f>
        <v>1000</v>
      </c>
      <c r="AP102" s="1293">
        <f>AO102</f>
        <v>1000</v>
      </c>
      <c r="AQ102" s="1293">
        <f>AP102</f>
        <v>1000</v>
      </c>
      <c r="AR102" s="1293">
        <f>AQ102</f>
        <v>1000</v>
      </c>
      <c r="AS102" s="1294"/>
      <c r="AT102" s="1293">
        <f>AR102</f>
        <v>1000</v>
      </c>
      <c r="AU102" s="1293">
        <f>AT102</f>
        <v>1000</v>
      </c>
      <c r="AV102" s="1293">
        <f>AU102</f>
        <v>1000</v>
      </c>
      <c r="AW102" s="1293">
        <f>AV102</f>
        <v>1000</v>
      </c>
      <c r="AX102" s="1303"/>
      <c r="AY102" s="1293">
        <f>AW102</f>
        <v>1000</v>
      </c>
      <c r="AZ102" s="1293">
        <f>AY102</f>
        <v>1000</v>
      </c>
      <c r="BA102" s="1293">
        <f>AZ102</f>
        <v>1000</v>
      </c>
      <c r="BB102" s="1293">
        <f>BA102</f>
        <v>1000</v>
      </c>
      <c r="BC102" s="1294"/>
      <c r="BD102" s="1293">
        <f>BB102</f>
        <v>1000</v>
      </c>
      <c r="BE102" s="1293">
        <f>BD102</f>
        <v>1000</v>
      </c>
      <c r="BF102" s="1293">
        <f>BE102</f>
        <v>1000</v>
      </c>
      <c r="BG102" s="1293">
        <f>BF102</f>
        <v>1000</v>
      </c>
      <c r="BH102" s="1303"/>
      <c r="BI102" s="1293">
        <f>BG102</f>
        <v>1000</v>
      </c>
      <c r="BJ102" s="1293">
        <f>BI102</f>
        <v>1000</v>
      </c>
      <c r="BK102" s="1293">
        <f>BJ102</f>
        <v>1000</v>
      </c>
      <c r="BL102" s="1293">
        <f>BK102</f>
        <v>1000</v>
      </c>
      <c r="BM102" s="1304"/>
      <c r="BN102" s="1293">
        <f>BL102</f>
        <v>1000</v>
      </c>
      <c r="BO102" s="1293">
        <f>BN102</f>
        <v>1000</v>
      </c>
      <c r="BP102" s="1293">
        <f>BO102</f>
        <v>1000</v>
      </c>
      <c r="BQ102" s="1293">
        <f>BP102</f>
        <v>1000</v>
      </c>
      <c r="BR102" s="1304"/>
      <c r="BS102" s="1293">
        <f>BQ102</f>
        <v>1000</v>
      </c>
      <c r="BT102" s="1293">
        <f>BS102</f>
        <v>1000</v>
      </c>
      <c r="BU102" s="1293">
        <f>BT102</f>
        <v>1000</v>
      </c>
      <c r="BV102" s="1293">
        <f>BU102</f>
        <v>1000</v>
      </c>
      <c r="BW102" s="1304"/>
      <c r="BX102" s="1293">
        <f>BV102</f>
        <v>1000</v>
      </c>
      <c r="BY102" s="1293">
        <f>BX102</f>
        <v>1000</v>
      </c>
      <c r="BZ102" s="1293">
        <f>BY102</f>
        <v>1000</v>
      </c>
      <c r="CA102" s="1293">
        <f>BZ102</f>
        <v>1000</v>
      </c>
      <c r="CB102" s="1304"/>
      <c r="CC102" s="1293">
        <f>CA102</f>
        <v>1000</v>
      </c>
      <c r="CD102" s="1293">
        <f>CC102</f>
        <v>1000</v>
      </c>
      <c r="CE102" s="1293">
        <f>CD102</f>
        <v>1000</v>
      </c>
      <c r="CF102" s="1293">
        <f>CE102</f>
        <v>1000</v>
      </c>
      <c r="CG102" s="1304"/>
      <c r="CH102" s="1293">
        <f>CF102</f>
        <v>1000</v>
      </c>
      <c r="CI102" s="1293">
        <f>CH102</f>
        <v>1000</v>
      </c>
      <c r="CJ102" s="1293">
        <f>CI102</f>
        <v>1000</v>
      </c>
      <c r="CK102" s="1293">
        <f>CJ102</f>
        <v>1000</v>
      </c>
      <c r="CL102" s="1304"/>
      <c r="CM102" s="1293">
        <f>CK102</f>
        <v>1000</v>
      </c>
      <c r="CN102" s="1293">
        <f>CM102</f>
        <v>1000</v>
      </c>
      <c r="CO102" s="1293">
        <f>CN102</f>
        <v>1000</v>
      </c>
      <c r="CP102" s="1293">
        <f>CO102</f>
        <v>1000</v>
      </c>
      <c r="CQ102" s="1304"/>
      <c r="CR102" s="1293">
        <f>CP102</f>
        <v>1000</v>
      </c>
      <c r="CS102" s="1293">
        <f>CR102</f>
        <v>1000</v>
      </c>
      <c r="CT102" s="1293">
        <f>CS102</f>
        <v>1000</v>
      </c>
      <c r="CU102" s="1293">
        <f>CT102</f>
        <v>1000</v>
      </c>
      <c r="CV102" s="1304"/>
      <c r="CW102" s="1293">
        <f>CU102</f>
        <v>1000</v>
      </c>
      <c r="CX102" s="1293">
        <f>CW102</f>
        <v>1000</v>
      </c>
      <c r="CY102" s="1293">
        <f>CX102</f>
        <v>1000</v>
      </c>
      <c r="CZ102" s="1293">
        <f>CY102</f>
        <v>1000</v>
      </c>
      <c r="DA102" s="1304"/>
      <c r="DB102" s="1293">
        <f>CZ102</f>
        <v>1000</v>
      </c>
      <c r="DC102" s="1293">
        <f>DB102</f>
        <v>1000</v>
      </c>
      <c r="DD102" s="1293">
        <f>DC102</f>
        <v>1000</v>
      </c>
      <c r="DE102" s="1293">
        <f>DD102</f>
        <v>1000</v>
      </c>
      <c r="DF102" s="1304"/>
    </row>
    <row r="103" spans="1:110" s="1289" customFormat="1" ht="12.75" x14ac:dyDescent="0.2">
      <c r="A103" s="1273"/>
      <c r="B103" s="1290" t="s">
        <v>198</v>
      </c>
      <c r="C103" s="1273"/>
      <c r="D103" s="1301"/>
      <c r="E103" s="1301"/>
      <c r="F103" s="1301"/>
      <c r="G103" s="1301"/>
      <c r="H103" s="1301"/>
      <c r="I103" s="1301"/>
      <c r="J103" s="1301"/>
      <c r="K103" s="1301"/>
      <c r="L103" s="1301"/>
      <c r="M103" s="1301"/>
      <c r="N103" s="1301"/>
      <c r="O103" s="1301"/>
      <c r="P103" s="1301"/>
      <c r="Q103" s="1301"/>
      <c r="R103" s="1301"/>
      <c r="S103" s="1293"/>
      <c r="T103" s="1294"/>
      <c r="U103" s="1293">
        <f>+T105</f>
        <v>0</v>
      </c>
      <c r="V103" s="1293">
        <f>+U105</f>
        <v>0</v>
      </c>
      <c r="W103" s="1293">
        <f>+V105</f>
        <v>0</v>
      </c>
      <c r="X103" s="1293">
        <v>0</v>
      </c>
      <c r="Y103" s="1294">
        <f>T105</f>
        <v>0</v>
      </c>
      <c r="Z103" s="1293">
        <f>+Y105</f>
        <v>0</v>
      </c>
      <c r="AA103" s="1293">
        <f>+Z105</f>
        <v>0</v>
      </c>
      <c r="AB103" s="1293">
        <f>+AA105</f>
        <v>0</v>
      </c>
      <c r="AC103" s="1293">
        <f>+AB105</f>
        <v>750</v>
      </c>
      <c r="AD103" s="1294">
        <f>Y105</f>
        <v>0</v>
      </c>
      <c r="AE103" s="1293">
        <f>+AD105</f>
        <v>531.70000000000005</v>
      </c>
      <c r="AF103" s="1293">
        <f>+AE105</f>
        <v>512.5</v>
      </c>
      <c r="AG103" s="1293">
        <f>+AF105</f>
        <v>493.75</v>
      </c>
      <c r="AH103" s="1293">
        <f>+AG105</f>
        <v>475</v>
      </c>
      <c r="AI103" s="1294">
        <f>AD105</f>
        <v>531.70000000000005</v>
      </c>
      <c r="AJ103" s="1293">
        <f>+AI105</f>
        <v>381.3</v>
      </c>
      <c r="AK103" s="1293">
        <f>+AJ105</f>
        <v>437.5</v>
      </c>
      <c r="AL103" s="1293">
        <f>+AK105</f>
        <v>1000</v>
      </c>
      <c r="AM103" s="1293">
        <f>+AL105</f>
        <v>1000</v>
      </c>
      <c r="AN103" s="1303">
        <f>AI105</f>
        <v>381.3</v>
      </c>
      <c r="AO103" s="1293">
        <f>+AN105</f>
        <v>1000</v>
      </c>
      <c r="AP103" s="1293">
        <f>+AO105</f>
        <v>1000</v>
      </c>
      <c r="AQ103" s="1293">
        <f>+AP105</f>
        <v>1000</v>
      </c>
      <c r="AR103" s="1293">
        <f>+AQ105</f>
        <v>1000</v>
      </c>
      <c r="AS103" s="1294">
        <f>AN105</f>
        <v>1000</v>
      </c>
      <c r="AT103" s="1293">
        <f>+AS105</f>
        <v>1000</v>
      </c>
      <c r="AU103" s="1293">
        <f>+AT105</f>
        <v>1000</v>
      </c>
      <c r="AV103" s="1293">
        <f>+AU105</f>
        <v>1000</v>
      </c>
      <c r="AW103" s="1293">
        <f>+AV105</f>
        <v>1000</v>
      </c>
      <c r="AX103" s="1303">
        <f>AS105</f>
        <v>1000</v>
      </c>
      <c r="AY103" s="1293">
        <f>+AX105</f>
        <v>1000</v>
      </c>
      <c r="AZ103" s="1293">
        <f>+AY105</f>
        <v>1000</v>
      </c>
      <c r="BA103" s="1293">
        <f>+AZ105</f>
        <v>1000</v>
      </c>
      <c r="BB103" s="1293">
        <f>+BA105</f>
        <v>1000</v>
      </c>
      <c r="BC103" s="1294">
        <f>AX105</f>
        <v>1000</v>
      </c>
      <c r="BD103" s="1293">
        <f>+BC105</f>
        <v>1000</v>
      </c>
      <c r="BE103" s="1293">
        <f>+BD105</f>
        <v>1000</v>
      </c>
      <c r="BF103" s="1293">
        <f>+BE105</f>
        <v>1000</v>
      </c>
      <c r="BG103" s="1293">
        <f>+BF105</f>
        <v>1000</v>
      </c>
      <c r="BH103" s="1303">
        <f>BC105</f>
        <v>1000</v>
      </c>
      <c r="BI103" s="1293">
        <f>+BH105</f>
        <v>1000</v>
      </c>
      <c r="BJ103" s="1293">
        <f>+BI105</f>
        <v>1000</v>
      </c>
      <c r="BK103" s="1293">
        <f>+BJ105</f>
        <v>0</v>
      </c>
      <c r="BL103" s="1293">
        <f>+BK105</f>
        <v>0</v>
      </c>
      <c r="BM103" s="1304">
        <f>BH105</f>
        <v>1000</v>
      </c>
      <c r="BN103" s="1293">
        <f>+BM105</f>
        <v>0</v>
      </c>
      <c r="BO103" s="1293">
        <f>+BN105</f>
        <v>0</v>
      </c>
      <c r="BP103" s="1293">
        <f>+BO105</f>
        <v>0</v>
      </c>
      <c r="BQ103" s="1293">
        <f>+BP105</f>
        <v>0</v>
      </c>
      <c r="BR103" s="1304">
        <f>BM105</f>
        <v>0</v>
      </c>
      <c r="BS103" s="1293">
        <f>+BR105</f>
        <v>0</v>
      </c>
      <c r="BT103" s="1293">
        <f>+BS105</f>
        <v>0</v>
      </c>
      <c r="BU103" s="1293">
        <f>+BT105</f>
        <v>0</v>
      </c>
      <c r="BV103" s="1293">
        <f>+BU105</f>
        <v>0</v>
      </c>
      <c r="BW103" s="1304">
        <f>BR105</f>
        <v>0</v>
      </c>
      <c r="BX103" s="1293">
        <f>+BW105</f>
        <v>0</v>
      </c>
      <c r="BY103" s="1293">
        <f>+BX105</f>
        <v>0</v>
      </c>
      <c r="BZ103" s="1293">
        <f>+BY105</f>
        <v>0</v>
      </c>
      <c r="CA103" s="1293">
        <f>+BZ105</f>
        <v>0</v>
      </c>
      <c r="CB103" s="1304">
        <f>BW105</f>
        <v>0</v>
      </c>
      <c r="CC103" s="1293">
        <f>+CB105</f>
        <v>0</v>
      </c>
      <c r="CD103" s="1293">
        <f>+CC105</f>
        <v>0</v>
      </c>
      <c r="CE103" s="1293">
        <f>+CD105</f>
        <v>0</v>
      </c>
      <c r="CF103" s="1293">
        <f>+CE105</f>
        <v>0</v>
      </c>
      <c r="CG103" s="1304">
        <f>CB105</f>
        <v>0</v>
      </c>
      <c r="CH103" s="1293">
        <f>+CG105</f>
        <v>0</v>
      </c>
      <c r="CI103" s="1293">
        <f>+CH105</f>
        <v>0</v>
      </c>
      <c r="CJ103" s="1293">
        <f>+CI105</f>
        <v>0</v>
      </c>
      <c r="CK103" s="1293">
        <f>+CJ105</f>
        <v>0</v>
      </c>
      <c r="CL103" s="1304">
        <f>CG105</f>
        <v>0</v>
      </c>
      <c r="CM103" s="1293">
        <f>+CL105</f>
        <v>0</v>
      </c>
      <c r="CN103" s="1293">
        <f>+CM105</f>
        <v>0</v>
      </c>
      <c r="CO103" s="1293">
        <f>+CN105</f>
        <v>0</v>
      </c>
      <c r="CP103" s="1293">
        <f>+CO105</f>
        <v>0</v>
      </c>
      <c r="CQ103" s="1304">
        <f>CL105</f>
        <v>0</v>
      </c>
      <c r="CR103" s="1293">
        <f>+CQ105</f>
        <v>0</v>
      </c>
      <c r="CS103" s="1293">
        <f>+CR105</f>
        <v>0</v>
      </c>
      <c r="CT103" s="1293">
        <f>+CS105</f>
        <v>0</v>
      </c>
      <c r="CU103" s="1293">
        <f>+CT105</f>
        <v>0</v>
      </c>
      <c r="CV103" s="1304">
        <f>CQ105</f>
        <v>0</v>
      </c>
      <c r="CW103" s="1293">
        <f>+CV105</f>
        <v>0</v>
      </c>
      <c r="CX103" s="1293">
        <f>+CW105</f>
        <v>0</v>
      </c>
      <c r="CY103" s="1293">
        <f>+CX105</f>
        <v>0</v>
      </c>
      <c r="CZ103" s="1293">
        <f>+CY105</f>
        <v>0</v>
      </c>
      <c r="DA103" s="1304">
        <f>CV105</f>
        <v>0</v>
      </c>
      <c r="DB103" s="1293">
        <f>+DA105</f>
        <v>0</v>
      </c>
      <c r="DC103" s="1293">
        <f>+DB105</f>
        <v>0</v>
      </c>
      <c r="DD103" s="1293">
        <f>+DC105</f>
        <v>0</v>
      </c>
      <c r="DE103" s="1293">
        <f>+DD105</f>
        <v>0</v>
      </c>
      <c r="DF103" s="1304">
        <f>DA105</f>
        <v>0</v>
      </c>
    </row>
    <row r="104" spans="1:110" s="1289" customFormat="1" ht="12.75" x14ac:dyDescent="0.2">
      <c r="A104" s="1273"/>
      <c r="B104" s="1290" t="s">
        <v>199</v>
      </c>
      <c r="C104" s="1298"/>
      <c r="D104" s="1298"/>
      <c r="E104" s="1298"/>
      <c r="F104" s="1298"/>
      <c r="G104" s="1298"/>
      <c r="H104" s="1298"/>
      <c r="I104" s="1298"/>
      <c r="J104" s="1298"/>
      <c r="K104" s="1298"/>
      <c r="L104" s="1298"/>
      <c r="M104" s="1298"/>
      <c r="N104" s="1298"/>
      <c r="O104" s="1298"/>
      <c r="P104" s="1298"/>
      <c r="Q104" s="1298"/>
      <c r="R104" s="1298"/>
      <c r="S104" s="1305"/>
      <c r="T104" s="1306"/>
      <c r="U104" s="1305">
        <v>0</v>
      </c>
      <c r="V104" s="1305"/>
      <c r="W104" s="1305"/>
      <c r="X104" s="1305"/>
      <c r="Y104" s="1306">
        <v>0</v>
      </c>
      <c r="Z104" s="1307">
        <v>0</v>
      </c>
      <c r="AA104" s="1307">
        <v>0</v>
      </c>
      <c r="AB104" s="1307">
        <f>750-AB103</f>
        <v>750</v>
      </c>
      <c r="AC104" s="1307">
        <f>456.2+75.5-AC103</f>
        <v>-218.29999999999995</v>
      </c>
      <c r="AD104" s="1306">
        <f>+SUM(Z104:AC104)</f>
        <v>531.70000000000005</v>
      </c>
      <c r="AE104" s="1307">
        <f>512.5-AE103</f>
        <v>-19.200000000000045</v>
      </c>
      <c r="AF104" s="1307">
        <f>-75/4</f>
        <v>-18.75</v>
      </c>
      <c r="AG104" s="1307">
        <f>-75/4</f>
        <v>-18.75</v>
      </c>
      <c r="AH104" s="1307">
        <f>381.3-AH103</f>
        <v>-93.699999999999989</v>
      </c>
      <c r="AI104" s="1306">
        <f>+SUM(AE104:AH104)</f>
        <v>-150.40000000000003</v>
      </c>
      <c r="AJ104" s="1307">
        <f>437.5-AJ103</f>
        <v>56.199999999999989</v>
      </c>
      <c r="AK104" s="1307">
        <f>1000-AK103</f>
        <v>562.5</v>
      </c>
      <c r="AL104" s="1307">
        <v>0</v>
      </c>
      <c r="AM104" s="1307"/>
      <c r="AN104" s="1309">
        <f>+SUM(AJ104:AM104)</f>
        <v>618.70000000000005</v>
      </c>
      <c r="AO104" s="1307"/>
      <c r="AP104" s="1307"/>
      <c r="AQ104" s="1307"/>
      <c r="AR104" s="1307"/>
      <c r="AS104" s="1306">
        <f>+SUM(AO104:AR104)</f>
        <v>0</v>
      </c>
      <c r="AT104" s="1307">
        <v>0</v>
      </c>
      <c r="AU104" s="1307">
        <v>0</v>
      </c>
      <c r="AV104" s="1307">
        <v>0</v>
      </c>
      <c r="AW104" s="1307">
        <v>0</v>
      </c>
      <c r="AX104" s="1308">
        <f>+SUM(AT104:AW104)</f>
        <v>0</v>
      </c>
      <c r="AY104" s="1307">
        <v>0</v>
      </c>
      <c r="AZ104" s="1307">
        <v>0</v>
      </c>
      <c r="BA104" s="1307">
        <v>0</v>
      </c>
      <c r="BB104" s="1307">
        <v>0</v>
      </c>
      <c r="BC104" s="1306">
        <f>+SUM(AY104:BB104)</f>
        <v>0</v>
      </c>
      <c r="BD104" s="1307">
        <v>0</v>
      </c>
      <c r="BE104" s="1307">
        <v>0</v>
      </c>
      <c r="BF104" s="1307">
        <v>0</v>
      </c>
      <c r="BG104" s="1307">
        <v>0</v>
      </c>
      <c r="BH104" s="1308">
        <f>+SUM(BD104:BG104)</f>
        <v>0</v>
      </c>
      <c r="BI104" s="1307">
        <v>0</v>
      </c>
      <c r="BJ104" s="1307">
        <v>-1000</v>
      </c>
      <c r="BK104" s="1307">
        <v>0</v>
      </c>
      <c r="BL104" s="1307">
        <v>0</v>
      </c>
      <c r="BM104" s="1309">
        <f>+SUM(BI104:BL104)</f>
        <v>-1000</v>
      </c>
      <c r="BN104" s="1307">
        <v>0</v>
      </c>
      <c r="BO104" s="1307">
        <v>0</v>
      </c>
      <c r="BP104" s="1307">
        <v>0</v>
      </c>
      <c r="BQ104" s="1307">
        <v>0</v>
      </c>
      <c r="BR104" s="1309">
        <f>+SUM(BN104:BQ104)</f>
        <v>0</v>
      </c>
      <c r="BS104" s="1307">
        <v>0</v>
      </c>
      <c r="BT104" s="1307">
        <v>0</v>
      </c>
      <c r="BU104" s="1307">
        <v>0</v>
      </c>
      <c r="BV104" s="1307">
        <v>0</v>
      </c>
      <c r="BW104" s="1309">
        <f>+SUM(BS104:BV104)</f>
        <v>0</v>
      </c>
      <c r="BX104" s="1307">
        <v>0</v>
      </c>
      <c r="BY104" s="1307">
        <v>0</v>
      </c>
      <c r="BZ104" s="1307">
        <v>0</v>
      </c>
      <c r="CA104" s="1307">
        <v>0</v>
      </c>
      <c r="CB104" s="1309">
        <f>+SUM(BX104:CA104)</f>
        <v>0</v>
      </c>
      <c r="CC104" s="1307">
        <v>0</v>
      </c>
      <c r="CD104" s="1307">
        <v>0</v>
      </c>
      <c r="CE104" s="1307">
        <v>0</v>
      </c>
      <c r="CF104" s="1307">
        <v>0</v>
      </c>
      <c r="CG104" s="1309">
        <f>+SUM(CC104:CF104)</f>
        <v>0</v>
      </c>
      <c r="CH104" s="1307">
        <v>0</v>
      </c>
      <c r="CI104" s="1307">
        <v>0</v>
      </c>
      <c r="CJ104" s="1307">
        <v>0</v>
      </c>
      <c r="CK104" s="1307">
        <v>0</v>
      </c>
      <c r="CL104" s="1309">
        <f>+SUM(CH104:CK104)</f>
        <v>0</v>
      </c>
      <c r="CM104" s="1307">
        <v>0</v>
      </c>
      <c r="CN104" s="1307">
        <v>0</v>
      </c>
      <c r="CO104" s="1307">
        <v>0</v>
      </c>
      <c r="CP104" s="1307">
        <v>0</v>
      </c>
      <c r="CQ104" s="1309">
        <f>+SUM(CM104:CP104)</f>
        <v>0</v>
      </c>
      <c r="CR104" s="1307">
        <v>0</v>
      </c>
      <c r="CS104" s="1307">
        <v>0</v>
      </c>
      <c r="CT104" s="1307">
        <v>0</v>
      </c>
      <c r="CU104" s="1307">
        <v>0</v>
      </c>
      <c r="CV104" s="1309">
        <f>+SUM(CR104:CU104)</f>
        <v>0</v>
      </c>
      <c r="CW104" s="1307">
        <v>0</v>
      </c>
      <c r="CX104" s="1307">
        <v>0</v>
      </c>
      <c r="CY104" s="1307">
        <v>0</v>
      </c>
      <c r="CZ104" s="1307">
        <v>0</v>
      </c>
      <c r="DA104" s="1309">
        <f>+SUM(CW104:CZ104)</f>
        <v>0</v>
      </c>
      <c r="DB104" s="1307">
        <v>0</v>
      </c>
      <c r="DC104" s="1307">
        <v>0</v>
      </c>
      <c r="DD104" s="1307">
        <v>0</v>
      </c>
      <c r="DE104" s="1307">
        <v>0</v>
      </c>
      <c r="DF104" s="1309">
        <f>+SUM(DB104:DE104)</f>
        <v>0</v>
      </c>
    </row>
    <row r="105" spans="1:110" s="1289" customFormat="1" ht="12.75" x14ac:dyDescent="0.2">
      <c r="A105" s="1273"/>
      <c r="B105" s="1290" t="s">
        <v>200</v>
      </c>
      <c r="C105" s="1298"/>
      <c r="D105" s="1298"/>
      <c r="E105" s="1298"/>
      <c r="F105" s="1298"/>
      <c r="G105" s="1298"/>
      <c r="H105" s="1298"/>
      <c r="I105" s="1298"/>
      <c r="J105" s="1298"/>
      <c r="K105" s="1298"/>
      <c r="L105" s="1298"/>
      <c r="M105" s="1298"/>
      <c r="N105" s="1298"/>
      <c r="O105" s="1298"/>
      <c r="P105" s="1298"/>
      <c r="Q105" s="1298"/>
      <c r="R105" s="1298"/>
      <c r="S105" s="1293">
        <v>0</v>
      </c>
      <c r="T105" s="1293">
        <f>+S105</f>
        <v>0</v>
      </c>
      <c r="U105" s="1293">
        <f t="shared" ref="U105:BW105" si="155">U103+U104</f>
        <v>0</v>
      </c>
      <c r="V105" s="1293">
        <f t="shared" si="155"/>
        <v>0</v>
      </c>
      <c r="W105" s="1293">
        <f t="shared" si="155"/>
        <v>0</v>
      </c>
      <c r="X105" s="1293">
        <f t="shared" si="155"/>
        <v>0</v>
      </c>
      <c r="Y105" s="1294">
        <f t="shared" si="155"/>
        <v>0</v>
      </c>
      <c r="Z105" s="1293">
        <f t="shared" si="155"/>
        <v>0</v>
      </c>
      <c r="AA105" s="1293">
        <f t="shared" si="155"/>
        <v>0</v>
      </c>
      <c r="AB105" s="1293">
        <f t="shared" si="155"/>
        <v>750</v>
      </c>
      <c r="AC105" s="1293">
        <f t="shared" si="155"/>
        <v>531.70000000000005</v>
      </c>
      <c r="AD105" s="1294">
        <f t="shared" si="155"/>
        <v>531.70000000000005</v>
      </c>
      <c r="AE105" s="1293">
        <f t="shared" si="155"/>
        <v>512.5</v>
      </c>
      <c r="AF105" s="1293">
        <f t="shared" si="155"/>
        <v>493.75</v>
      </c>
      <c r="AG105" s="1293">
        <f t="shared" si="155"/>
        <v>475</v>
      </c>
      <c r="AH105" s="1293">
        <f t="shared" si="155"/>
        <v>381.3</v>
      </c>
      <c r="AI105" s="1294">
        <f t="shared" si="155"/>
        <v>381.3</v>
      </c>
      <c r="AJ105" s="1293">
        <f t="shared" si="155"/>
        <v>437.5</v>
      </c>
      <c r="AK105" s="1293">
        <f t="shared" si="155"/>
        <v>1000</v>
      </c>
      <c r="AL105" s="1293">
        <f t="shared" si="155"/>
        <v>1000</v>
      </c>
      <c r="AM105" s="1293">
        <f t="shared" si="155"/>
        <v>1000</v>
      </c>
      <c r="AN105" s="1303">
        <f t="shared" si="155"/>
        <v>1000</v>
      </c>
      <c r="AO105" s="1293">
        <f t="shared" si="155"/>
        <v>1000</v>
      </c>
      <c r="AP105" s="1293">
        <f t="shared" si="155"/>
        <v>1000</v>
      </c>
      <c r="AQ105" s="1293">
        <f t="shared" si="155"/>
        <v>1000</v>
      </c>
      <c r="AR105" s="1293">
        <f t="shared" si="155"/>
        <v>1000</v>
      </c>
      <c r="AS105" s="1294">
        <f t="shared" si="155"/>
        <v>1000</v>
      </c>
      <c r="AT105" s="1293">
        <f t="shared" si="155"/>
        <v>1000</v>
      </c>
      <c r="AU105" s="1293">
        <f t="shared" si="155"/>
        <v>1000</v>
      </c>
      <c r="AV105" s="1293">
        <f t="shared" si="155"/>
        <v>1000</v>
      </c>
      <c r="AW105" s="1293">
        <f t="shared" si="155"/>
        <v>1000</v>
      </c>
      <c r="AX105" s="1303">
        <f t="shared" si="155"/>
        <v>1000</v>
      </c>
      <c r="AY105" s="1293">
        <f t="shared" si="155"/>
        <v>1000</v>
      </c>
      <c r="AZ105" s="1293">
        <f t="shared" si="155"/>
        <v>1000</v>
      </c>
      <c r="BA105" s="1293">
        <f t="shared" si="155"/>
        <v>1000</v>
      </c>
      <c r="BB105" s="1293">
        <f t="shared" si="155"/>
        <v>1000</v>
      </c>
      <c r="BC105" s="1294">
        <f t="shared" si="155"/>
        <v>1000</v>
      </c>
      <c r="BD105" s="1293">
        <f t="shared" si="155"/>
        <v>1000</v>
      </c>
      <c r="BE105" s="1293">
        <f t="shared" si="155"/>
        <v>1000</v>
      </c>
      <c r="BF105" s="1293">
        <f t="shared" si="155"/>
        <v>1000</v>
      </c>
      <c r="BG105" s="1293">
        <f t="shared" si="155"/>
        <v>1000</v>
      </c>
      <c r="BH105" s="1303">
        <f t="shared" si="155"/>
        <v>1000</v>
      </c>
      <c r="BI105" s="1293">
        <f t="shared" si="155"/>
        <v>1000</v>
      </c>
      <c r="BJ105" s="1293">
        <f t="shared" si="155"/>
        <v>0</v>
      </c>
      <c r="BK105" s="1293">
        <f t="shared" si="155"/>
        <v>0</v>
      </c>
      <c r="BL105" s="1293">
        <f t="shared" si="155"/>
        <v>0</v>
      </c>
      <c r="BM105" s="1304">
        <f t="shared" si="155"/>
        <v>0</v>
      </c>
      <c r="BN105" s="1293">
        <f t="shared" si="155"/>
        <v>0</v>
      </c>
      <c r="BO105" s="1293">
        <f t="shared" si="155"/>
        <v>0</v>
      </c>
      <c r="BP105" s="1293">
        <f t="shared" si="155"/>
        <v>0</v>
      </c>
      <c r="BQ105" s="1293">
        <f t="shared" si="155"/>
        <v>0</v>
      </c>
      <c r="BR105" s="1304">
        <f t="shared" si="155"/>
        <v>0</v>
      </c>
      <c r="BS105" s="1293">
        <f t="shared" si="155"/>
        <v>0</v>
      </c>
      <c r="BT105" s="1293">
        <f t="shared" si="155"/>
        <v>0</v>
      </c>
      <c r="BU105" s="1293">
        <f t="shared" si="155"/>
        <v>0</v>
      </c>
      <c r="BV105" s="1293">
        <f t="shared" si="155"/>
        <v>0</v>
      </c>
      <c r="BW105" s="1304">
        <f t="shared" si="155"/>
        <v>0</v>
      </c>
      <c r="BX105" s="1293">
        <f t="shared" ref="BX105:CG105" si="156">BX103+BX104</f>
        <v>0</v>
      </c>
      <c r="BY105" s="1293">
        <f t="shared" si="156"/>
        <v>0</v>
      </c>
      <c r="BZ105" s="1293">
        <f t="shared" si="156"/>
        <v>0</v>
      </c>
      <c r="CA105" s="1293">
        <f t="shared" si="156"/>
        <v>0</v>
      </c>
      <c r="CB105" s="1304">
        <f t="shared" si="156"/>
        <v>0</v>
      </c>
      <c r="CC105" s="1293">
        <f t="shared" si="156"/>
        <v>0</v>
      </c>
      <c r="CD105" s="1293">
        <f t="shared" si="156"/>
        <v>0</v>
      </c>
      <c r="CE105" s="1293">
        <f t="shared" si="156"/>
        <v>0</v>
      </c>
      <c r="CF105" s="1293">
        <f t="shared" si="156"/>
        <v>0</v>
      </c>
      <c r="CG105" s="1304">
        <f t="shared" si="156"/>
        <v>0</v>
      </c>
      <c r="CH105" s="1293">
        <f t="shared" ref="CH105:CQ105" si="157">CH103+CH104</f>
        <v>0</v>
      </c>
      <c r="CI105" s="1293">
        <f t="shared" si="157"/>
        <v>0</v>
      </c>
      <c r="CJ105" s="1293">
        <f t="shared" si="157"/>
        <v>0</v>
      </c>
      <c r="CK105" s="1293">
        <f t="shared" si="157"/>
        <v>0</v>
      </c>
      <c r="CL105" s="1304">
        <f t="shared" si="157"/>
        <v>0</v>
      </c>
      <c r="CM105" s="1293">
        <f t="shared" si="157"/>
        <v>0</v>
      </c>
      <c r="CN105" s="1293">
        <f t="shared" si="157"/>
        <v>0</v>
      </c>
      <c r="CO105" s="1293">
        <f t="shared" si="157"/>
        <v>0</v>
      </c>
      <c r="CP105" s="1293">
        <f t="shared" si="157"/>
        <v>0</v>
      </c>
      <c r="CQ105" s="1304">
        <f t="shared" si="157"/>
        <v>0</v>
      </c>
      <c r="CR105" s="1293">
        <f t="shared" ref="CR105:CV105" si="158">CR103+CR104</f>
        <v>0</v>
      </c>
      <c r="CS105" s="1293">
        <f t="shared" si="158"/>
        <v>0</v>
      </c>
      <c r="CT105" s="1293">
        <f t="shared" si="158"/>
        <v>0</v>
      </c>
      <c r="CU105" s="1293">
        <f t="shared" si="158"/>
        <v>0</v>
      </c>
      <c r="CV105" s="1304">
        <f t="shared" si="158"/>
        <v>0</v>
      </c>
      <c r="CW105" s="1293">
        <f t="shared" ref="CW105:DF105" si="159">CW103+CW104</f>
        <v>0</v>
      </c>
      <c r="CX105" s="1293">
        <f t="shared" si="159"/>
        <v>0</v>
      </c>
      <c r="CY105" s="1293">
        <f t="shared" si="159"/>
        <v>0</v>
      </c>
      <c r="CZ105" s="1293">
        <f t="shared" si="159"/>
        <v>0</v>
      </c>
      <c r="DA105" s="1304">
        <f t="shared" si="159"/>
        <v>0</v>
      </c>
      <c r="DB105" s="1293">
        <f t="shared" si="159"/>
        <v>0</v>
      </c>
      <c r="DC105" s="1293">
        <f t="shared" si="159"/>
        <v>0</v>
      </c>
      <c r="DD105" s="1293">
        <f t="shared" si="159"/>
        <v>0</v>
      </c>
      <c r="DE105" s="1293">
        <f t="shared" si="159"/>
        <v>0</v>
      </c>
      <c r="DF105" s="1304">
        <f t="shared" si="159"/>
        <v>0</v>
      </c>
    </row>
    <row r="106" spans="1:110" s="1289" customFormat="1" ht="13.5" thickBot="1" x14ac:dyDescent="0.25">
      <c r="A106" s="1273"/>
      <c r="B106" s="1310" t="s">
        <v>147</v>
      </c>
      <c r="C106" s="1311"/>
      <c r="D106" s="1311"/>
      <c r="E106" s="1311"/>
      <c r="F106" s="1311"/>
      <c r="G106" s="1311"/>
      <c r="H106" s="1311"/>
      <c r="I106" s="1311"/>
      <c r="J106" s="1311"/>
      <c r="K106" s="1311"/>
      <c r="L106" s="1311"/>
      <c r="M106" s="1311"/>
      <c r="N106" s="1311"/>
      <c r="O106" s="1311"/>
      <c r="P106" s="1311"/>
      <c r="Q106" s="1311"/>
      <c r="R106" s="1311"/>
      <c r="S106" s="1312"/>
      <c r="T106" s="1313"/>
      <c r="U106" s="1312">
        <f>-(AVERAGE(U105,U103))*(($C101+U345)/4)</f>
        <v>0</v>
      </c>
      <c r="V106" s="1312">
        <f>-(AVERAGE(V105,V103))*(($C101+V345)/4)</f>
        <v>0</v>
      </c>
      <c r="W106" s="1312">
        <f>-(AVERAGE(W105,W103))*(($C101+W345)/4)</f>
        <v>0</v>
      </c>
      <c r="X106" s="1312">
        <f>-(AVERAGE(X105,X103))*(($C101+X345)/4)</f>
        <v>0</v>
      </c>
      <c r="Y106" s="1313">
        <v>0</v>
      </c>
      <c r="Z106" s="1312">
        <f>-(AVERAGE(Z105,Z103))*(($C101+Z345)/4)</f>
        <v>0</v>
      </c>
      <c r="AA106" s="1312">
        <f>-(AVERAGE(AA105,AA103))*(($C101+AA345)/4)</f>
        <v>0</v>
      </c>
      <c r="AB106" s="1312">
        <f>-(AVERAGE(AB105,AB103))*((AB101)/4)</f>
        <v>-3.9937499999999999</v>
      </c>
      <c r="AC106" s="1312">
        <f>-(AVERAGE(AC105,AC103))*((AC101)/4)</f>
        <v>-6.6968825000000001</v>
      </c>
      <c r="AD106" s="1313">
        <f>SUM(Z106:AC106)</f>
        <v>-10.6906325</v>
      </c>
      <c r="AE106" s="1312">
        <f>-(AVERAGE(AE105,AE103))*((AE101)/4)</f>
        <v>-7.5508712500000001</v>
      </c>
      <c r="AF106" s="1312">
        <f>-(AVERAGE(AF105,AF103))*((AF101)/4)</f>
        <v>-7.2764453124999999</v>
      </c>
      <c r="AG106" s="1312">
        <f>-(AVERAGE(AG105,AG103))*((AG101)/4)</f>
        <v>-7.0052734374999996</v>
      </c>
      <c r="AH106" s="1312">
        <f>-(AVERAGE(AH105,AH103))*((AH101)/4)</f>
        <v>-5.7800249999999993</v>
      </c>
      <c r="AI106" s="1313">
        <f>SUM(AE106:AH106)</f>
        <v>-27.612614999999998</v>
      </c>
      <c r="AJ106" s="1312">
        <f>-(AVERAGE(AJ105,AJ103))*((AJ101)/4)</f>
        <v>-0.46057499999999996</v>
      </c>
      <c r="AK106" s="1312">
        <f>-(AVERAGE(AK105,AK103))*((AK101)/4)</f>
        <v>-0.80859374999999989</v>
      </c>
      <c r="AL106" s="1312">
        <f>-(AVERAGE(AL105,AL103))*((AL101)/4)</f>
        <v>-1.125</v>
      </c>
      <c r="AM106" s="1312">
        <f>-(AVERAGE(AM105,AM103))*((AM101)/4)</f>
        <v>14.968750000000002</v>
      </c>
      <c r="AN106" s="1315">
        <f>SUM(AJ106:AM106)</f>
        <v>12.574581250000001</v>
      </c>
      <c r="AO106" s="1312">
        <f>-(AVERAGE(AO105,AO103))*((AO101)/4)</f>
        <v>-0.24999999999999903</v>
      </c>
      <c r="AP106" s="1312">
        <f>-(AVERAGE(AP105,AP103))*((AP101)/4)</f>
        <v>-0.24999999999999903</v>
      </c>
      <c r="AQ106" s="1312">
        <f>-(AVERAGE(AQ105,AQ103))*((AQ101)/4)</f>
        <v>-0.33749999999999925</v>
      </c>
      <c r="AR106" s="1312">
        <f>-(AVERAGE(AR105,AR103))*((AR101)/4)</f>
        <v>-0.23851562499999904</v>
      </c>
      <c r="AS106" s="1313">
        <f>SUM(AO106:AR106)</f>
        <v>-1.0760156249999964</v>
      </c>
      <c r="AT106" s="1312">
        <f>-(AVERAGE(AT105,AT103))*((AT101)/4)</f>
        <v>-0.31562499999999905</v>
      </c>
      <c r="AU106" s="1312">
        <f>-(AVERAGE(AU105,AU103))*((AU101)/4)</f>
        <v>-0.31562499999999905</v>
      </c>
      <c r="AV106" s="1312">
        <f>-(AVERAGE(AV105,AV103))*((AV101)/4)</f>
        <v>-0.43124999999999913</v>
      </c>
      <c r="AW106" s="1312">
        <f>-(AVERAGE(AW105,AW103))*((AW101)/4)</f>
        <v>-1.0277540428321674</v>
      </c>
      <c r="AX106" s="1315">
        <f>SUM(AT106:AW106)</f>
        <v>-2.0902540428321648</v>
      </c>
      <c r="AY106" s="1312">
        <f>-(AVERAGE(AY105,AY103))*((AY101)/4)</f>
        <v>-0.93453931500000009</v>
      </c>
      <c r="AZ106" s="1312">
        <f>-(AVERAGE(AZ105,AZ103))*((AZ101)/4)</f>
        <v>-0.94313164135513983</v>
      </c>
      <c r="BA106" s="1312">
        <f>-(AVERAGE(BA105,BA103))*((BA101)/4)</f>
        <v>-0.94591438137755079</v>
      </c>
      <c r="BB106" s="1312">
        <f>-(AVERAGE(BB105,BB103))*((BB101)/4)</f>
        <v>-1.0175486288265303</v>
      </c>
      <c r="BC106" s="1313">
        <f>SUM(AY106:BB106)</f>
        <v>-3.8411339665592212</v>
      </c>
      <c r="BD106" s="1312">
        <f>-(AVERAGE(BD105,BD103))*((BD101)/4)</f>
        <v>-1.0175486288265303</v>
      </c>
      <c r="BE106" s="1312">
        <f>-(AVERAGE(BE105,BE103))*((BE101)/4)</f>
        <v>-0.49999999999999872</v>
      </c>
      <c r="BF106" s="1312">
        <f>-(AVERAGE(BF105,BF103))*((BF101)/4)</f>
        <v>-0.98173150510204055</v>
      </c>
      <c r="BG106" s="1312">
        <f>-(AVERAGE(BG105,BG103))*((BG101)/4)</f>
        <v>-0.98173150510204055</v>
      </c>
      <c r="BH106" s="1315">
        <f>SUM(BD106:BG106)</f>
        <v>-3.4810116390306098</v>
      </c>
      <c r="BI106" s="1312"/>
      <c r="BJ106" s="1312"/>
      <c r="BK106" s="1312"/>
      <c r="BL106" s="1312">
        <f>-(AVERAGE(BL105,BL103))*((BL101)/4)</f>
        <v>0</v>
      </c>
      <c r="BM106" s="1314">
        <f>SUM(BI106:BL106)</f>
        <v>0</v>
      </c>
      <c r="BN106" s="1312">
        <f>-(AVERAGE(BN105,BN103))*((BN101)/4)</f>
        <v>0</v>
      </c>
      <c r="BO106" s="1312">
        <f>-(AVERAGE(BO105,BO103))*((BO101)/4)</f>
        <v>0</v>
      </c>
      <c r="BP106" s="1312">
        <f>-(AVERAGE(BP105,BP103))*((BP101)/4)</f>
        <v>0</v>
      </c>
      <c r="BQ106" s="1312">
        <f>-(AVERAGE(BQ105,BQ103))*((BQ101)/4)</f>
        <v>0</v>
      </c>
      <c r="BR106" s="1314">
        <f>SUM(BN106:BQ106)</f>
        <v>0</v>
      </c>
      <c r="BS106" s="1312">
        <f>-(AVERAGE(BS105,BS103))*((BS101)/4)</f>
        <v>0</v>
      </c>
      <c r="BT106" s="1312">
        <f>-(AVERAGE(BT105,BT103))*((BT101)/4)</f>
        <v>0</v>
      </c>
      <c r="BU106" s="1312">
        <f>-(AVERAGE(BU105,BU103))*((BU101)/4)</f>
        <v>0</v>
      </c>
      <c r="BV106" s="1312">
        <f>-(AVERAGE(BV105,BV103))*((BV101)/4)</f>
        <v>0</v>
      </c>
      <c r="BW106" s="1314">
        <f>SUM(BS106:BV106)</f>
        <v>0</v>
      </c>
      <c r="BX106" s="1312">
        <f>-(AVERAGE(BX105,BX103))*((BX101)/4)</f>
        <v>0</v>
      </c>
      <c r="BY106" s="1312">
        <f>-(AVERAGE(BY105,BY103))*((BY101)/4)</f>
        <v>0</v>
      </c>
      <c r="BZ106" s="1312">
        <f>-(AVERAGE(BZ105,BZ103))*((BZ101)/4)</f>
        <v>0</v>
      </c>
      <c r="CA106" s="1312">
        <f>-(AVERAGE(CA105,CA103))*((CA101)/4)</f>
        <v>0</v>
      </c>
      <c r="CB106" s="1314">
        <f>SUM(BX106:CA106)</f>
        <v>0</v>
      </c>
      <c r="CC106" s="1312">
        <f>-(AVERAGE(CC105,CC103))*((CC101)/4)</f>
        <v>0</v>
      </c>
      <c r="CD106" s="1312">
        <f>-(AVERAGE(CD105,CD103))*((CD101)/4)</f>
        <v>0</v>
      </c>
      <c r="CE106" s="1312">
        <f>-(AVERAGE(CE105,CE103))*((CE101)/4)</f>
        <v>0</v>
      </c>
      <c r="CF106" s="1312">
        <f>-(AVERAGE(CF105,CF103))*((CF101)/4)</f>
        <v>0</v>
      </c>
      <c r="CG106" s="1314">
        <f>SUM(CC106:CF106)</f>
        <v>0</v>
      </c>
      <c r="CH106" s="1312">
        <f>-(AVERAGE(CH105,CH103))*((CH101)/4)</f>
        <v>0</v>
      </c>
      <c r="CI106" s="1312">
        <f>-(AVERAGE(CI105,CI103))*((CI101)/4)</f>
        <v>0</v>
      </c>
      <c r="CJ106" s="1312">
        <f>-(AVERAGE(CJ105,CJ103))*((CJ101)/4)</f>
        <v>0</v>
      </c>
      <c r="CK106" s="1312">
        <f>-(AVERAGE(CK105,CK103))*((CK101)/4)</f>
        <v>0</v>
      </c>
      <c r="CL106" s="1314">
        <f>SUM(CH106:CK106)</f>
        <v>0</v>
      </c>
      <c r="CM106" s="1312">
        <f>-(AVERAGE(CM105,CM103))*((CM101)/4)</f>
        <v>0</v>
      </c>
      <c r="CN106" s="1312">
        <f>-(AVERAGE(CN105,CN103))*((CN101)/4)</f>
        <v>0</v>
      </c>
      <c r="CO106" s="1312">
        <f>-(AVERAGE(CO105,CO103))*((CO101)/4)</f>
        <v>0</v>
      </c>
      <c r="CP106" s="1312">
        <f>-(AVERAGE(CP105,CP103))*((CP101)/4)</f>
        <v>0</v>
      </c>
      <c r="CQ106" s="1314">
        <f>SUM(CM106:CP106)</f>
        <v>0</v>
      </c>
      <c r="CR106" s="1312">
        <f>-(AVERAGE(CR105,CR103))*((CR101)/4)</f>
        <v>0</v>
      </c>
      <c r="CS106" s="1312">
        <f>-(AVERAGE(CS105,CS103))*((CS101)/4)</f>
        <v>0</v>
      </c>
      <c r="CT106" s="1312">
        <f>-(AVERAGE(CT105,CT103))*((CT101)/4)</f>
        <v>0</v>
      </c>
      <c r="CU106" s="1312">
        <f>-(AVERAGE(CU105,CU103))*((CU101)/4)</f>
        <v>0</v>
      </c>
      <c r="CV106" s="1314">
        <f>SUM(CR106:CU106)</f>
        <v>0</v>
      </c>
      <c r="CW106" s="1312">
        <f>-(AVERAGE(CW105,CW103))*((CW101)/4)</f>
        <v>0</v>
      </c>
      <c r="CX106" s="1312">
        <f>-(AVERAGE(CX105,CX103))*((CX101)/4)</f>
        <v>0</v>
      </c>
      <c r="CY106" s="1312">
        <f>-(AVERAGE(CY105,CY103))*((CY101)/4)</f>
        <v>0</v>
      </c>
      <c r="CZ106" s="1312">
        <f>-(AVERAGE(CZ105,CZ103))*((CZ101)/4)</f>
        <v>0</v>
      </c>
      <c r="DA106" s="1314">
        <f>SUM(CW106:CZ106)</f>
        <v>0</v>
      </c>
      <c r="DB106" s="1312">
        <f>-(AVERAGE(DB105,DB103))*((DB101)/4)</f>
        <v>0</v>
      </c>
      <c r="DC106" s="1312">
        <f>-(AVERAGE(DC105,DC103))*((DC101)/4)</f>
        <v>0</v>
      </c>
      <c r="DD106" s="1312">
        <f>-(AVERAGE(DD105,DD103))*((DD101)/4)</f>
        <v>0</v>
      </c>
      <c r="DE106" s="1312">
        <f>-(AVERAGE(DE105,DE103))*((DE101)/4)</f>
        <v>0</v>
      </c>
      <c r="DF106" s="1314">
        <f>SUM(DB106:DE106)</f>
        <v>0</v>
      </c>
    </row>
    <row r="107" spans="1:110" s="1273" customFormat="1" ht="13.5" thickBot="1" x14ac:dyDescent="0.25">
      <c r="C107" s="1298"/>
      <c r="D107" s="1298"/>
      <c r="E107" s="1298"/>
      <c r="F107" s="1298"/>
      <c r="G107" s="1298"/>
      <c r="H107" s="1298"/>
      <c r="I107" s="1298"/>
      <c r="J107" s="1298"/>
      <c r="K107" s="1298"/>
      <c r="L107" s="1298"/>
      <c r="M107" s="1298"/>
      <c r="N107" s="1298"/>
      <c r="O107" s="1298"/>
      <c r="P107" s="1298"/>
      <c r="Q107" s="1298"/>
      <c r="R107" s="1298"/>
      <c r="S107" s="1321"/>
      <c r="T107" s="1321"/>
      <c r="U107" s="1321"/>
      <c r="V107" s="1321"/>
      <c r="W107" s="1321"/>
      <c r="X107" s="1321"/>
      <c r="Y107" s="1321"/>
      <c r="Z107" s="1321"/>
      <c r="AA107" s="1321"/>
      <c r="AB107" s="1321"/>
      <c r="AC107" s="1321"/>
      <c r="AD107" s="1321"/>
      <c r="AE107" s="1321"/>
      <c r="AF107" s="1321"/>
      <c r="AG107" s="1321"/>
      <c r="AH107" s="1321"/>
      <c r="AI107" s="1321"/>
      <c r="AJ107" s="1321"/>
      <c r="AK107" s="1321"/>
      <c r="AL107" s="1321"/>
      <c r="AM107" s="1321"/>
      <c r="AN107" s="1321"/>
      <c r="AO107" s="1321"/>
      <c r="AP107" s="1321"/>
      <c r="AQ107" s="1321"/>
      <c r="AR107" s="1321"/>
      <c r="AS107" s="1321"/>
      <c r="AT107" s="1321"/>
      <c r="AU107" s="1321"/>
      <c r="AV107" s="1321"/>
      <c r="AW107" s="1321"/>
      <c r="AX107" s="1321"/>
      <c r="AY107" s="1321"/>
      <c r="AZ107" s="1321"/>
      <c r="BA107" s="1321"/>
      <c r="BB107" s="1321"/>
      <c r="BC107" s="1321"/>
      <c r="BD107" s="1321"/>
      <c r="BE107" s="1321"/>
      <c r="BF107" s="1321"/>
      <c r="BG107" s="1321"/>
      <c r="BH107" s="1321"/>
      <c r="BI107" s="1321"/>
      <c r="BJ107" s="1321"/>
      <c r="BK107" s="1321"/>
      <c r="BL107" s="1321"/>
      <c r="BM107" s="1321"/>
      <c r="BN107" s="1321"/>
      <c r="BO107" s="1321"/>
      <c r="BP107" s="1321"/>
      <c r="BQ107" s="1321"/>
      <c r="BR107" s="1321"/>
      <c r="BS107" s="1321"/>
      <c r="BT107" s="1321"/>
      <c r="BU107" s="1321"/>
      <c r="BV107" s="1321"/>
      <c r="BW107" s="1321"/>
      <c r="BX107" s="1321"/>
      <c r="BY107" s="1321"/>
      <c r="BZ107" s="1321"/>
      <c r="CA107" s="1321"/>
      <c r="CB107" s="1321"/>
      <c r="CC107" s="1321"/>
      <c r="CD107" s="1321"/>
      <c r="CE107" s="1321"/>
      <c r="CF107" s="1321"/>
      <c r="CG107" s="1321"/>
      <c r="CH107" s="1321"/>
      <c r="CI107" s="1321"/>
      <c r="CJ107" s="1321"/>
      <c r="CK107" s="1321"/>
      <c r="CL107" s="1321"/>
      <c r="CM107" s="1321"/>
      <c r="CN107" s="1321"/>
      <c r="CO107" s="1321"/>
      <c r="CP107" s="1321"/>
      <c r="CQ107" s="1321"/>
      <c r="CR107" s="1321"/>
      <c r="CS107" s="1321"/>
      <c r="CT107" s="1321"/>
      <c r="CU107" s="1321"/>
      <c r="CV107" s="1321"/>
      <c r="CW107" s="1321"/>
      <c r="CX107" s="1321"/>
      <c r="CY107" s="1321"/>
      <c r="CZ107" s="1321"/>
      <c r="DA107" s="1321"/>
      <c r="DB107" s="1321"/>
      <c r="DC107" s="1321"/>
      <c r="DD107" s="1321"/>
      <c r="DE107" s="1321"/>
      <c r="DF107" s="1321"/>
    </row>
    <row r="108" spans="1:110" s="1273" customFormat="1" ht="13.5" thickBot="1" x14ac:dyDescent="0.25">
      <c r="B108" s="1274" t="s">
        <v>411</v>
      </c>
      <c r="C108" s="1316"/>
      <c r="D108" s="1316"/>
      <c r="E108" s="1316"/>
      <c r="F108" s="1316"/>
      <c r="G108" s="1316"/>
      <c r="H108" s="1316"/>
      <c r="I108" s="1316"/>
      <c r="J108" s="1316"/>
      <c r="K108" s="1316"/>
      <c r="L108" s="1316"/>
      <c r="M108" s="1316"/>
      <c r="N108" s="1316"/>
      <c r="O108" s="1316"/>
      <c r="P108" s="1316"/>
      <c r="Q108" s="1316"/>
      <c r="R108" s="1316"/>
      <c r="S108" s="1317"/>
      <c r="T108" s="1317"/>
      <c r="U108" s="1317"/>
      <c r="V108" s="1317"/>
      <c r="W108" s="1317"/>
      <c r="X108" s="1317"/>
      <c r="Y108" s="1317"/>
      <c r="Z108" s="1317"/>
      <c r="AA108" s="1317"/>
      <c r="AB108" s="1317"/>
      <c r="AC108" s="1317"/>
      <c r="AD108" s="1317"/>
      <c r="AE108" s="1317"/>
      <c r="AF108" s="1317"/>
      <c r="AG108" s="1317"/>
      <c r="AH108" s="1317"/>
      <c r="AI108" s="1317"/>
      <c r="AJ108" s="1317"/>
      <c r="AK108" s="1317"/>
      <c r="AL108" s="1317"/>
      <c r="AM108" s="1317"/>
      <c r="AN108" s="1317"/>
      <c r="AO108" s="1317"/>
      <c r="AP108" s="1317"/>
      <c r="AQ108" s="1317"/>
      <c r="AR108" s="1317"/>
      <c r="AS108" s="1317"/>
      <c r="AT108" s="1317"/>
      <c r="AU108" s="1317"/>
      <c r="AV108" s="1317"/>
      <c r="AW108" s="1317"/>
      <c r="AX108" s="1317"/>
      <c r="AY108" s="1317"/>
      <c r="AZ108" s="1317"/>
      <c r="BA108" s="1317"/>
      <c r="BB108" s="1317"/>
      <c r="BC108" s="1317"/>
      <c r="BD108" s="1317"/>
      <c r="BE108" s="1317"/>
      <c r="BF108" s="1317"/>
      <c r="BG108" s="1317"/>
      <c r="BH108" s="1317"/>
      <c r="BI108" s="1317"/>
      <c r="BJ108" s="1317"/>
      <c r="BK108" s="1317"/>
      <c r="BL108" s="1317"/>
      <c r="BM108" s="1317"/>
      <c r="BN108" s="1317"/>
      <c r="BO108" s="1317"/>
      <c r="BP108" s="1317"/>
      <c r="BQ108" s="1317"/>
      <c r="BR108" s="1317"/>
      <c r="BS108" s="1317"/>
      <c r="BT108" s="1317"/>
      <c r="BU108" s="1317"/>
      <c r="BV108" s="1317"/>
      <c r="BW108" s="1317"/>
      <c r="BX108" s="1317"/>
      <c r="BY108" s="1317"/>
      <c r="BZ108" s="1317"/>
      <c r="CA108" s="1317"/>
      <c r="CB108" s="1318"/>
      <c r="CC108" s="1317"/>
      <c r="CD108" s="1317"/>
      <c r="CE108" s="1317"/>
      <c r="CF108" s="1317"/>
      <c r="CG108" s="1318"/>
      <c r="CH108" s="1317"/>
      <c r="CI108" s="1317"/>
      <c r="CJ108" s="1317"/>
      <c r="CK108" s="1317"/>
      <c r="CL108" s="1318"/>
      <c r="CM108" s="1317"/>
      <c r="CN108" s="1317"/>
      <c r="CO108" s="1317"/>
      <c r="CP108" s="1317"/>
      <c r="CQ108" s="1318"/>
      <c r="CR108" s="1317"/>
      <c r="CS108" s="1317"/>
      <c r="CT108" s="1317"/>
      <c r="CU108" s="1317"/>
      <c r="CV108" s="1318"/>
      <c r="CW108" s="1317"/>
      <c r="CX108" s="1317"/>
      <c r="CY108" s="1317"/>
      <c r="CZ108" s="1317"/>
      <c r="DA108" s="1318"/>
      <c r="DB108" s="1317"/>
      <c r="DC108" s="1317"/>
      <c r="DD108" s="1317"/>
      <c r="DE108" s="1317"/>
      <c r="DF108" s="1318"/>
    </row>
    <row r="109" spans="1:110" s="1289" customFormat="1" ht="12.75" x14ac:dyDescent="0.2">
      <c r="A109" s="1273"/>
      <c r="B109" s="1322" t="s">
        <v>197</v>
      </c>
      <c r="C109" s="1323"/>
      <c r="D109" s="1323"/>
      <c r="E109" s="1323"/>
      <c r="F109" s="1323"/>
      <c r="G109" s="1323"/>
      <c r="H109" s="1323"/>
      <c r="I109" s="1323"/>
      <c r="J109" s="1323"/>
      <c r="K109" s="1323"/>
      <c r="L109" s="1323"/>
      <c r="M109" s="1323"/>
      <c r="N109" s="1323"/>
      <c r="O109" s="1323"/>
      <c r="P109" s="1323"/>
      <c r="Q109" s="1323"/>
      <c r="R109" s="1323"/>
      <c r="S109" s="1324"/>
      <c r="T109" s="1325"/>
      <c r="U109" s="1324"/>
      <c r="V109" s="1324"/>
      <c r="W109" s="1324"/>
      <c r="X109" s="1324"/>
      <c r="Y109" s="1325"/>
      <c r="Z109" s="1324"/>
      <c r="AA109" s="1324"/>
      <c r="AB109" s="1326">
        <v>1250</v>
      </c>
      <c r="AC109" s="1327">
        <f>AB109</f>
        <v>1250</v>
      </c>
      <c r="AD109" s="1328"/>
      <c r="AE109" s="1327">
        <f>AC109</f>
        <v>1250</v>
      </c>
      <c r="AF109" s="1327">
        <f>AE109</f>
        <v>1250</v>
      </c>
      <c r="AG109" s="1327">
        <f>AF109</f>
        <v>1250</v>
      </c>
      <c r="AH109" s="1327">
        <f>AG109</f>
        <v>1250</v>
      </c>
      <c r="AI109" s="1325"/>
      <c r="AJ109" s="1327">
        <f>AH109</f>
        <v>1250</v>
      </c>
      <c r="AK109" s="1327">
        <f>AJ109</f>
        <v>1250</v>
      </c>
      <c r="AL109" s="1327">
        <f>(AL94-AL97)+(AL102-AL105)</f>
        <v>2000</v>
      </c>
      <c r="AM109" s="1327">
        <f>(AM94-AM97)+(AM102-AM105)</f>
        <v>600</v>
      </c>
      <c r="AN109" s="1325"/>
      <c r="AO109" s="1327">
        <f>(AO94-AO97)+(AO102-AO105)</f>
        <v>1387</v>
      </c>
      <c r="AP109" s="1327">
        <f>(AP94-AP97)+(AP102-AP105)</f>
        <v>887</v>
      </c>
      <c r="AQ109" s="1327">
        <f>(AQ94-AQ97)+(AQ102-AQ105)</f>
        <v>987</v>
      </c>
      <c r="AR109" s="1327">
        <f>(AR94-AR97)+(AR102-AR105)</f>
        <v>987</v>
      </c>
      <c r="AS109" s="1329"/>
      <c r="AT109" s="1327">
        <f>(AT94-AT97)+(AT102-AT105)</f>
        <v>987</v>
      </c>
      <c r="AU109" s="1327">
        <f>(AU94-AU97)+(AU102-AU105)</f>
        <v>987</v>
      </c>
      <c r="AV109" s="1327">
        <f>(AV94-AV97)+(AV102-AV105)</f>
        <v>987</v>
      </c>
      <c r="AW109" s="1327">
        <f>(AW94-AW97)+(AW102-AW105)</f>
        <v>987</v>
      </c>
      <c r="AX109" s="1328"/>
      <c r="AY109" s="1327">
        <f>(AY94-AY97)+(AY102-AY105)</f>
        <v>987</v>
      </c>
      <c r="AZ109" s="1327">
        <f>(AZ94-AZ97)+(AZ102-AZ105)</f>
        <v>987</v>
      </c>
      <c r="BA109" s="1327">
        <f>(BA94-BA97)+(BA102-BA105)</f>
        <v>987</v>
      </c>
      <c r="BB109" s="1327">
        <f>(BB94-BB97)+(BB102-BB105)</f>
        <v>987</v>
      </c>
      <c r="BC109" s="1329"/>
      <c r="BD109" s="1327">
        <f>(BD94-BD97)+(BD102-BD105)</f>
        <v>987</v>
      </c>
      <c r="BE109" s="1327">
        <f>(BE94-BE97)+(BE102-BE105)</f>
        <v>987</v>
      </c>
      <c r="BF109" s="1327">
        <f>(BF94-BF97)+(BF102-BF105)</f>
        <v>987</v>
      </c>
      <c r="BG109" s="1327">
        <f>(BG94-BG97)+(BG102-BG105)</f>
        <v>987</v>
      </c>
      <c r="BH109" s="1328"/>
      <c r="BI109" s="1327">
        <f>(BI94-BI97)+(BI102-BI105)</f>
        <v>987</v>
      </c>
      <c r="BJ109" s="1327">
        <f>(BJ94-BJ97)+(BJ102-BJ105)</f>
        <v>2987</v>
      </c>
      <c r="BK109" s="1327">
        <f>(BK94-BK97)+(BK102-BK105)</f>
        <v>2987</v>
      </c>
      <c r="BL109" s="1327">
        <f>(BL94-BL97)+(BL102-BL105)</f>
        <v>2987</v>
      </c>
      <c r="BM109" s="1330"/>
      <c r="BN109" s="1327">
        <f>(BN94-BN97)+(BN102-BN105)</f>
        <v>2987</v>
      </c>
      <c r="BO109" s="1327">
        <f>(BO94-BO97)+(BO102-BO105)</f>
        <v>2987</v>
      </c>
      <c r="BP109" s="1327">
        <f>(BP94-BP97)+(BP102-BP105)</f>
        <v>2987</v>
      </c>
      <c r="BQ109" s="1327">
        <f>(BQ94-BQ97)+(BQ102-BQ105)</f>
        <v>2987</v>
      </c>
      <c r="BR109" s="1330"/>
      <c r="BS109" s="1327">
        <f>(BS94-BS97)+(BS102-BS105)</f>
        <v>2987</v>
      </c>
      <c r="BT109" s="1327">
        <f>(BT94-BT97)+(BT102-BT105)</f>
        <v>2987</v>
      </c>
      <c r="BU109" s="1327">
        <f>(BU94-BU97)+(BU102-BU105)</f>
        <v>2987</v>
      </c>
      <c r="BV109" s="1327">
        <f>(BV94-BV97)+(BV102-BV105)</f>
        <v>2987</v>
      </c>
      <c r="BW109" s="1330"/>
      <c r="BX109" s="1327">
        <f>(BX94-BX97)+(BX102-BX105)</f>
        <v>2987</v>
      </c>
      <c r="BY109" s="1327">
        <f>(BY94-BY97)+(BY102-BY105)</f>
        <v>2987</v>
      </c>
      <c r="BZ109" s="1327">
        <f>(BZ94-BZ97)+(BZ102-BZ105)</f>
        <v>2987</v>
      </c>
      <c r="CA109" s="1327">
        <f>(CA94-CA97)+(CA102-CA105)</f>
        <v>2987</v>
      </c>
      <c r="CB109" s="1330"/>
      <c r="CC109" s="1327">
        <f>(CC94-CC97)+(CC102-CC105)</f>
        <v>2987</v>
      </c>
      <c r="CD109" s="1327">
        <f>(CD94-CD97)+(CD102-CD105)</f>
        <v>2987</v>
      </c>
      <c r="CE109" s="1327">
        <f>(CE94-CE97)+(CE102-CE105)</f>
        <v>2987</v>
      </c>
      <c r="CF109" s="1327">
        <f>(CF94-CF97)+(CF102-CF105)</f>
        <v>2987</v>
      </c>
      <c r="CG109" s="1330"/>
      <c r="CH109" s="1327">
        <f>(CH94-CH97)+(CH102-CH105)</f>
        <v>2987</v>
      </c>
      <c r="CI109" s="1327">
        <f>(CI94-CI97)+(CI102-CI105)</f>
        <v>2987</v>
      </c>
      <c r="CJ109" s="1327">
        <f>(CJ94-CJ97)+(CJ102-CJ105)</f>
        <v>2987</v>
      </c>
      <c r="CK109" s="1327">
        <f>(CK94-CK97)+(CK102-CK105)</f>
        <v>2987</v>
      </c>
      <c r="CL109" s="1330"/>
      <c r="CM109" s="1327">
        <f>(CM94-CM97)+(CM102-CM105)</f>
        <v>2987</v>
      </c>
      <c r="CN109" s="1327">
        <f>(CN94-CN97)+(CN102-CN105)</f>
        <v>2987</v>
      </c>
      <c r="CO109" s="1327">
        <f>(CO94-CO97)+(CO102-CO105)</f>
        <v>2987</v>
      </c>
      <c r="CP109" s="1327">
        <f>(CP94-CP97)+(CP102-CP105)</f>
        <v>2987</v>
      </c>
      <c r="CQ109" s="1330"/>
      <c r="CR109" s="1327">
        <f>(CR94-CR97)+(CR102-CR105)</f>
        <v>2987</v>
      </c>
      <c r="CS109" s="1327">
        <f>(CS94-CS97)+(CS102-CS105)</f>
        <v>2987</v>
      </c>
      <c r="CT109" s="1327">
        <f>(CT94-CT97)+(CT102-CT105)</f>
        <v>2987</v>
      </c>
      <c r="CU109" s="1327">
        <f>(CU94-CU97)+(CU102-CU105)</f>
        <v>2987</v>
      </c>
      <c r="CV109" s="1330"/>
      <c r="CW109" s="1327">
        <f>(CW94-CW97)+(CW102-CW105)</f>
        <v>2987</v>
      </c>
      <c r="CX109" s="1327">
        <f>(CX94-CX97)+(CX102-CX105)</f>
        <v>2987</v>
      </c>
      <c r="CY109" s="1327">
        <f>(CY94-CY97)+(CY102-CY105)</f>
        <v>2987</v>
      </c>
      <c r="CZ109" s="1327">
        <f>(CZ94-CZ97)+(CZ102-CZ105)</f>
        <v>2987</v>
      </c>
      <c r="DA109" s="1330"/>
      <c r="DB109" s="1327">
        <f>(DB94-DB97)+(DB102-DB105)</f>
        <v>2987</v>
      </c>
      <c r="DC109" s="1327">
        <f>(DC94-DC97)+(DC102-DC105)</f>
        <v>2987</v>
      </c>
      <c r="DD109" s="1327">
        <f>(DD94-DD97)+(DD102-DD105)</f>
        <v>2987</v>
      </c>
      <c r="DE109" s="1327">
        <f>(DE94-DE97)+(DE102-DE105)</f>
        <v>2987</v>
      </c>
      <c r="DF109" s="1330"/>
    </row>
    <row r="110" spans="1:110" s="1289" customFormat="1" ht="12.75" x14ac:dyDescent="0.2">
      <c r="A110" s="1273"/>
      <c r="B110" s="1331" t="s">
        <v>402</v>
      </c>
      <c r="C110" s="1332"/>
      <c r="D110" s="1332"/>
      <c r="E110" s="1332"/>
      <c r="F110" s="1332"/>
      <c r="G110" s="1332"/>
      <c r="H110" s="1332"/>
      <c r="I110" s="1332"/>
      <c r="J110" s="1332"/>
      <c r="K110" s="1332"/>
      <c r="L110" s="1332"/>
      <c r="M110" s="1332"/>
      <c r="N110" s="1332"/>
      <c r="O110" s="1332"/>
      <c r="P110" s="1332"/>
      <c r="Q110" s="1332"/>
      <c r="R110" s="1332"/>
      <c r="S110" s="1281"/>
      <c r="T110" s="1333"/>
      <c r="U110" s="1281"/>
      <c r="V110" s="1281"/>
      <c r="W110" s="1281"/>
      <c r="X110" s="1281"/>
      <c r="Y110" s="1333"/>
      <c r="Z110" s="1281"/>
      <c r="AA110" s="1281"/>
      <c r="AB110" s="1334">
        <v>1E-3</v>
      </c>
      <c r="AC110" s="1334">
        <v>1E-3</v>
      </c>
      <c r="AD110" s="1333"/>
      <c r="AE110" s="1334">
        <v>1E-3</v>
      </c>
      <c r="AF110" s="1334">
        <v>1E-3</v>
      </c>
      <c r="AG110" s="1334">
        <v>1E-3</v>
      </c>
      <c r="AH110" s="1334">
        <v>1E-3</v>
      </c>
      <c r="AI110" s="1333"/>
      <c r="AJ110" s="1334">
        <v>1E-3</v>
      </c>
      <c r="AK110" s="1334">
        <v>1E-3</v>
      </c>
      <c r="AL110" s="1334">
        <v>1E-3</v>
      </c>
      <c r="AM110" s="1334">
        <v>1E-3</v>
      </c>
      <c r="AN110" s="1333"/>
      <c r="AO110" s="1334">
        <v>1E-3</v>
      </c>
      <c r="AP110" s="1334">
        <v>1E-3</v>
      </c>
      <c r="AQ110" s="1334">
        <v>1E-3</v>
      </c>
      <c r="AR110" s="1334">
        <v>1E-3</v>
      </c>
      <c r="AS110" s="1335"/>
      <c r="AT110" s="1334">
        <v>1E-3</v>
      </c>
      <c r="AU110" s="1334">
        <v>1E-3</v>
      </c>
      <c r="AV110" s="1334">
        <v>1E-3</v>
      </c>
      <c r="AW110" s="1334">
        <v>1E-3</v>
      </c>
      <c r="AX110" s="1333"/>
      <c r="AY110" s="1334">
        <v>1E-3</v>
      </c>
      <c r="AZ110" s="1334">
        <v>1E-3</v>
      </c>
      <c r="BA110" s="1334">
        <v>1E-3</v>
      </c>
      <c r="BB110" s="1334">
        <v>1E-3</v>
      </c>
      <c r="BC110" s="1335"/>
      <c r="BD110" s="1334">
        <v>1E-3</v>
      </c>
      <c r="BE110" s="1334">
        <v>1E-3</v>
      </c>
      <c r="BF110" s="1334">
        <v>1E-3</v>
      </c>
      <c r="BG110" s="1334">
        <v>1E-3</v>
      </c>
      <c r="BH110" s="1333"/>
      <c r="BI110" s="1334">
        <v>1E-3</v>
      </c>
      <c r="BJ110" s="1334">
        <v>1E-3</v>
      </c>
      <c r="BK110" s="1334"/>
      <c r="BL110" s="1334"/>
      <c r="BM110" s="1336"/>
      <c r="BN110" s="1334"/>
      <c r="BO110" s="1334"/>
      <c r="BP110" s="1334"/>
      <c r="BQ110" s="1334"/>
      <c r="BR110" s="1336"/>
      <c r="BS110" s="1334"/>
      <c r="BT110" s="1334"/>
      <c r="BU110" s="1334"/>
      <c r="BV110" s="1334"/>
      <c r="BW110" s="1336"/>
      <c r="BX110" s="1334"/>
      <c r="BY110" s="1334"/>
      <c r="BZ110" s="1334"/>
      <c r="CA110" s="1334"/>
      <c r="CB110" s="1336"/>
      <c r="CC110" s="1334"/>
      <c r="CD110" s="1334"/>
      <c r="CE110" s="1334"/>
      <c r="CF110" s="1334"/>
      <c r="CG110" s="1336"/>
      <c r="CH110" s="1334"/>
      <c r="CI110" s="1334"/>
      <c r="CJ110" s="1334"/>
      <c r="CK110" s="1334"/>
      <c r="CL110" s="1336"/>
      <c r="CM110" s="1334"/>
      <c r="CN110" s="1334"/>
      <c r="CO110" s="1334"/>
      <c r="CP110" s="1334"/>
      <c r="CQ110" s="1336"/>
      <c r="CR110" s="1334"/>
      <c r="CS110" s="1334"/>
      <c r="CT110" s="1334"/>
      <c r="CU110" s="1334"/>
      <c r="CV110" s="1336"/>
      <c r="CW110" s="1334"/>
      <c r="CX110" s="1334"/>
      <c r="CY110" s="1334"/>
      <c r="CZ110" s="1334"/>
      <c r="DA110" s="1336"/>
      <c r="DB110" s="1334"/>
      <c r="DC110" s="1334"/>
      <c r="DD110" s="1334"/>
      <c r="DE110" s="1334"/>
      <c r="DF110" s="1336"/>
    </row>
    <row r="111" spans="1:110" s="1289" customFormat="1" ht="13.5" thickBot="1" x14ac:dyDescent="0.25">
      <c r="A111" s="1273"/>
      <c r="B111" s="1337" t="s">
        <v>403</v>
      </c>
      <c r="C111" s="1338"/>
      <c r="D111" s="1338"/>
      <c r="E111" s="1338"/>
      <c r="F111" s="1338"/>
      <c r="G111" s="1338"/>
      <c r="H111" s="1338"/>
      <c r="I111" s="1338"/>
      <c r="J111" s="1338"/>
      <c r="K111" s="1338"/>
      <c r="L111" s="1338"/>
      <c r="M111" s="1338"/>
      <c r="N111" s="1338"/>
      <c r="O111" s="1338"/>
      <c r="P111" s="1338"/>
      <c r="Q111" s="1338"/>
      <c r="R111" s="1338"/>
      <c r="S111" s="1339"/>
      <c r="T111" s="1340"/>
      <c r="U111" s="1339"/>
      <c r="V111" s="1339"/>
      <c r="W111" s="1339"/>
      <c r="X111" s="1339"/>
      <c r="Y111" s="1340"/>
      <c r="Z111" s="1339"/>
      <c r="AA111" s="1339"/>
      <c r="AB111" s="1311">
        <f>-AB109*AB110/4</f>
        <v>-0.3125</v>
      </c>
      <c r="AC111" s="1311">
        <f>-AC109*AC110/4</f>
        <v>-0.3125</v>
      </c>
      <c r="AD111" s="1341"/>
      <c r="AE111" s="1311">
        <f>-AE109*AE110/4</f>
        <v>-0.3125</v>
      </c>
      <c r="AF111" s="1311">
        <f>-AF109*AF110/4</f>
        <v>-0.3125</v>
      </c>
      <c r="AG111" s="1311">
        <f>-AG109*AG110/4</f>
        <v>-0.3125</v>
      </c>
      <c r="AH111" s="1311">
        <f>-AH109*AH110/4</f>
        <v>-0.3125</v>
      </c>
      <c r="AI111" s="1341"/>
      <c r="AJ111" s="1311">
        <f>-AJ109*AJ110/4</f>
        <v>-0.3125</v>
      </c>
      <c r="AK111" s="1311">
        <f>-AK109*AK110/4</f>
        <v>-0.3125</v>
      </c>
      <c r="AL111" s="1311">
        <f>-AL109*AL110/4</f>
        <v>-0.5</v>
      </c>
      <c r="AM111" s="1311">
        <f>-AM109*AM110/4</f>
        <v>-0.15</v>
      </c>
      <c r="AN111" s="1341"/>
      <c r="AO111" s="1311">
        <f>-AO109*AO110/4</f>
        <v>-0.34675</v>
      </c>
      <c r="AP111" s="1311">
        <f>-AP109*AP110/4</f>
        <v>-0.22175</v>
      </c>
      <c r="AQ111" s="1311">
        <f>-AQ109*AQ110/4</f>
        <v>-0.24675</v>
      </c>
      <c r="AR111" s="1311">
        <f>-AR109*AR110/4</f>
        <v>-0.24675</v>
      </c>
      <c r="AS111" s="1342"/>
      <c r="AT111" s="1311">
        <f>-AT109*AT110/4</f>
        <v>-0.24675</v>
      </c>
      <c r="AU111" s="1311">
        <f>-AU109*AU110/4</f>
        <v>-0.24675</v>
      </c>
      <c r="AV111" s="1311">
        <f>-AV109*AV110/4</f>
        <v>-0.24675</v>
      </c>
      <c r="AW111" s="1311">
        <f>-AW109*AW110/4</f>
        <v>-0.24675</v>
      </c>
      <c r="AX111" s="1341"/>
      <c r="AY111" s="1311">
        <f>-AY109*AY110/4</f>
        <v>-0.24675</v>
      </c>
      <c r="AZ111" s="1311">
        <f>-AZ109*AZ110/4</f>
        <v>-0.24675</v>
      </c>
      <c r="BA111" s="1311">
        <f>-BA109*BA110/4</f>
        <v>-0.24675</v>
      </c>
      <c r="BB111" s="1311">
        <f>-BB109*BB110/4</f>
        <v>-0.24675</v>
      </c>
      <c r="BC111" s="1342"/>
      <c r="BD111" s="1311">
        <f>-BD109*BD110/4</f>
        <v>-0.24675</v>
      </c>
      <c r="BE111" s="1311">
        <f>-BE109*BE110/4</f>
        <v>-0.24675</v>
      </c>
      <c r="BF111" s="1311">
        <f>-BF109*BF110/4</f>
        <v>-0.24675</v>
      </c>
      <c r="BG111" s="1311">
        <f>-BG109*BG110/4</f>
        <v>-0.24675</v>
      </c>
      <c r="BH111" s="1341"/>
      <c r="BI111" s="1311"/>
      <c r="BJ111" s="1311"/>
      <c r="BK111" s="1311"/>
      <c r="BL111" s="1311"/>
      <c r="BM111" s="1343"/>
      <c r="BN111" s="1311"/>
      <c r="BO111" s="1311"/>
      <c r="BP111" s="1311"/>
      <c r="BQ111" s="1311"/>
      <c r="BR111" s="1343"/>
      <c r="BS111" s="1311"/>
      <c r="BT111" s="1311"/>
      <c r="BU111" s="1311"/>
      <c r="BV111" s="1311"/>
      <c r="BW111" s="1343"/>
      <c r="BX111" s="1311"/>
      <c r="BY111" s="1311"/>
      <c r="BZ111" s="1311"/>
      <c r="CA111" s="1311"/>
      <c r="CB111" s="1343"/>
      <c r="CC111" s="1311"/>
      <c r="CD111" s="1311"/>
      <c r="CE111" s="1311"/>
      <c r="CF111" s="1311"/>
      <c r="CG111" s="1343"/>
      <c r="CH111" s="1311"/>
      <c r="CI111" s="1311"/>
      <c r="CJ111" s="1311"/>
      <c r="CK111" s="1311"/>
      <c r="CL111" s="1343"/>
      <c r="CM111" s="1311"/>
      <c r="CN111" s="1311"/>
      <c r="CO111" s="1311"/>
      <c r="CP111" s="1311"/>
      <c r="CQ111" s="1343"/>
      <c r="CR111" s="1311"/>
      <c r="CS111" s="1311"/>
      <c r="CT111" s="1311"/>
      <c r="CU111" s="1311"/>
      <c r="CV111" s="1343"/>
      <c r="CW111" s="1311"/>
      <c r="CX111" s="1311"/>
      <c r="CY111" s="1311"/>
      <c r="CZ111" s="1311"/>
      <c r="DA111" s="1343"/>
      <c r="DB111" s="1311"/>
      <c r="DC111" s="1311"/>
      <c r="DD111" s="1311"/>
      <c r="DE111" s="1311"/>
      <c r="DF111" s="1343"/>
    </row>
    <row r="112" spans="1:110" s="326" customFormat="1" ht="12" thickBot="1" x14ac:dyDescent="0.25">
      <c r="B112" s="981" t="s">
        <v>425</v>
      </c>
      <c r="C112" s="989"/>
      <c r="D112" s="989"/>
      <c r="E112" s="989"/>
      <c r="F112" s="989"/>
      <c r="G112" s="989"/>
      <c r="H112" s="989"/>
      <c r="I112" s="989"/>
      <c r="J112" s="989"/>
      <c r="K112" s="989"/>
      <c r="L112" s="989"/>
      <c r="M112" s="989"/>
      <c r="N112" s="989"/>
      <c r="O112" s="989"/>
      <c r="P112" s="989"/>
      <c r="Q112" s="989"/>
      <c r="R112" s="989"/>
      <c r="S112" s="990"/>
      <c r="T112" s="990"/>
      <c r="U112" s="990"/>
      <c r="V112" s="991"/>
      <c r="W112" s="991"/>
      <c r="X112" s="991"/>
      <c r="Y112" s="990"/>
      <c r="Z112" s="990"/>
      <c r="AA112" s="990"/>
      <c r="AB112" s="990"/>
      <c r="AC112" s="990"/>
      <c r="AD112" s="990"/>
      <c r="AE112" s="990"/>
      <c r="AF112" s="990"/>
      <c r="AG112" s="990"/>
      <c r="AH112" s="990"/>
      <c r="AI112" s="990"/>
      <c r="AJ112" s="990"/>
      <c r="AK112" s="990"/>
      <c r="AL112" s="990"/>
      <c r="AM112" s="990"/>
      <c r="AN112" s="990"/>
      <c r="AO112" s="990"/>
      <c r="AP112" s="990"/>
      <c r="AQ112" s="990"/>
      <c r="AR112" s="990"/>
      <c r="AS112" s="990"/>
      <c r="AT112" s="990"/>
      <c r="AU112" s="990"/>
      <c r="AV112" s="990"/>
      <c r="AW112" s="990"/>
      <c r="AX112" s="990"/>
      <c r="AY112" s="990"/>
      <c r="AZ112" s="990"/>
      <c r="BA112" s="990"/>
      <c r="BB112" s="990"/>
      <c r="BC112" s="990"/>
      <c r="BD112" s="990"/>
      <c r="BE112" s="990"/>
      <c r="BF112" s="990"/>
      <c r="BG112" s="990"/>
      <c r="BH112" s="990"/>
      <c r="BI112" s="990"/>
      <c r="BJ112" s="990"/>
      <c r="BK112" s="990"/>
      <c r="BL112" s="990"/>
      <c r="BM112" s="990"/>
      <c r="BN112" s="990"/>
      <c r="BO112" s="990"/>
      <c r="BP112" s="990"/>
      <c r="BQ112" s="990"/>
      <c r="BR112" s="990"/>
      <c r="BS112" s="990"/>
      <c r="BT112" s="990"/>
      <c r="BU112" s="990"/>
      <c r="BV112" s="990"/>
      <c r="BW112" s="990"/>
      <c r="BX112" s="990"/>
      <c r="BY112" s="990"/>
      <c r="BZ112" s="990"/>
      <c r="CA112" s="990"/>
      <c r="CB112" s="992"/>
      <c r="CC112" s="990"/>
      <c r="CD112" s="990"/>
      <c r="CE112" s="990"/>
      <c r="CF112" s="990"/>
      <c r="CG112" s="992"/>
      <c r="CH112" s="990"/>
      <c r="CI112" s="990"/>
      <c r="CJ112" s="990"/>
      <c r="CK112" s="990"/>
      <c r="CL112" s="992"/>
      <c r="CM112" s="990"/>
      <c r="CN112" s="990"/>
      <c r="CO112" s="990"/>
      <c r="CP112" s="990"/>
      <c r="CQ112" s="992"/>
      <c r="CR112" s="990"/>
      <c r="CS112" s="990"/>
      <c r="CT112" s="990"/>
      <c r="CU112" s="990"/>
      <c r="CV112" s="992"/>
      <c r="CW112" s="990"/>
      <c r="CX112" s="990"/>
      <c r="CY112" s="990"/>
      <c r="CZ112" s="990"/>
      <c r="DA112" s="992"/>
      <c r="DB112" s="990"/>
      <c r="DC112" s="990"/>
      <c r="DD112" s="990"/>
      <c r="DE112" s="990"/>
      <c r="DF112" s="992"/>
    </row>
    <row r="113" spans="1:110" x14ac:dyDescent="0.2">
      <c r="B113" s="591" t="s">
        <v>203</v>
      </c>
      <c r="C113" s="561"/>
      <c r="D113" s="561"/>
      <c r="E113" s="561"/>
      <c r="F113" s="561"/>
      <c r="G113" s="561"/>
      <c r="H113" s="561"/>
      <c r="I113" s="561"/>
      <c r="J113" s="561"/>
      <c r="K113" s="561"/>
      <c r="L113" s="561"/>
      <c r="M113" s="561"/>
      <c r="N113" s="561"/>
      <c r="O113" s="561"/>
      <c r="P113" s="561"/>
      <c r="Q113" s="561"/>
      <c r="R113" s="561"/>
      <c r="S113" s="531"/>
      <c r="T113" s="531"/>
      <c r="U113" s="531"/>
      <c r="V113" s="577"/>
      <c r="W113" s="577"/>
      <c r="X113" s="577"/>
      <c r="Y113" s="532"/>
      <c r="Z113" s="531"/>
      <c r="AA113" s="531"/>
      <c r="AB113" s="531"/>
      <c r="AC113" s="531"/>
      <c r="AD113" s="532"/>
      <c r="AE113" s="531"/>
      <c r="AF113" s="531"/>
      <c r="AG113" s="531"/>
      <c r="AH113" s="531"/>
      <c r="AI113" s="532"/>
      <c r="AJ113" s="531"/>
      <c r="AK113" s="531"/>
      <c r="AL113" s="531"/>
      <c r="AM113" s="531"/>
      <c r="AN113" s="532"/>
      <c r="AO113" s="531"/>
      <c r="AP113" s="531"/>
      <c r="AQ113" s="531"/>
      <c r="AR113" s="531"/>
      <c r="AS113" s="532"/>
      <c r="AT113" s="531"/>
      <c r="AU113" s="588"/>
      <c r="AV113" s="54"/>
      <c r="AW113" s="54"/>
      <c r="AX113" s="532"/>
      <c r="AY113" s="54"/>
      <c r="AZ113" s="54"/>
      <c r="BA113" s="54"/>
      <c r="BB113" s="54"/>
      <c r="BC113" s="532"/>
      <c r="BD113" s="54"/>
      <c r="BE113" s="588"/>
      <c r="BF113" s="54"/>
      <c r="BG113" s="54">
        <f>BF113</f>
        <v>0</v>
      </c>
      <c r="BH113" s="532"/>
      <c r="BI113" s="54">
        <f>BG113</f>
        <v>0</v>
      </c>
      <c r="BJ113" s="54">
        <f t="shared" ref="BJ113:BL115" si="160">BI113</f>
        <v>0</v>
      </c>
      <c r="BK113" s="54">
        <f t="shared" si="160"/>
        <v>0</v>
      </c>
      <c r="BL113" s="54">
        <f t="shared" si="160"/>
        <v>0</v>
      </c>
      <c r="BM113" s="532"/>
      <c r="BN113" s="54">
        <f>BL113</f>
        <v>0</v>
      </c>
      <c r="BO113" s="54">
        <f t="shared" ref="BO113:BQ115" si="161">BN113</f>
        <v>0</v>
      </c>
      <c r="BP113" s="54">
        <f t="shared" si="161"/>
        <v>0</v>
      </c>
      <c r="BQ113" s="54">
        <f t="shared" si="161"/>
        <v>0</v>
      </c>
      <c r="BR113" s="532"/>
      <c r="BS113" s="54">
        <f>BQ113</f>
        <v>0</v>
      </c>
      <c r="BT113" s="54">
        <f t="shared" ref="BT113:BV115" si="162">BS113</f>
        <v>0</v>
      </c>
      <c r="BU113" s="54">
        <f t="shared" si="162"/>
        <v>0</v>
      </c>
      <c r="BV113" s="54">
        <f t="shared" si="162"/>
        <v>0</v>
      </c>
      <c r="BW113" s="532"/>
      <c r="BX113" s="54">
        <f>BV113</f>
        <v>0</v>
      </c>
      <c r="BY113" s="54">
        <f t="shared" ref="BY113:CA115" si="163">BX113</f>
        <v>0</v>
      </c>
      <c r="BZ113" s="54">
        <f t="shared" si="163"/>
        <v>0</v>
      </c>
      <c r="CA113" s="54">
        <f t="shared" si="163"/>
        <v>0</v>
      </c>
      <c r="CB113" s="562"/>
      <c r="CC113" s="54">
        <f>CA113</f>
        <v>0</v>
      </c>
      <c r="CD113" s="54">
        <f t="shared" ref="CD113:CF115" si="164">CC113</f>
        <v>0</v>
      </c>
      <c r="CE113" s="54">
        <f t="shared" si="164"/>
        <v>0</v>
      </c>
      <c r="CF113" s="54">
        <f t="shared" si="164"/>
        <v>0</v>
      </c>
      <c r="CG113" s="562"/>
      <c r="CH113" s="54">
        <f>CF113</f>
        <v>0</v>
      </c>
      <c r="CI113" s="54">
        <f t="shared" ref="CI113:CK115" si="165">CH113</f>
        <v>0</v>
      </c>
      <c r="CJ113" s="54">
        <f t="shared" si="165"/>
        <v>0</v>
      </c>
      <c r="CK113" s="54">
        <f t="shared" si="165"/>
        <v>0</v>
      </c>
      <c r="CL113" s="562"/>
      <c r="CM113" s="54">
        <f>CK113</f>
        <v>0</v>
      </c>
      <c r="CN113" s="54">
        <f t="shared" ref="CN113:CP115" si="166">CM113</f>
        <v>0</v>
      </c>
      <c r="CO113" s="54">
        <f t="shared" si="166"/>
        <v>0</v>
      </c>
      <c r="CP113" s="54">
        <f t="shared" si="166"/>
        <v>0</v>
      </c>
      <c r="CQ113" s="562"/>
      <c r="CR113" s="54">
        <f>CP113</f>
        <v>0</v>
      </c>
      <c r="CS113" s="54">
        <f t="shared" ref="CS113:CS115" si="167">CR113</f>
        <v>0</v>
      </c>
      <c r="CT113" s="54">
        <f t="shared" ref="CT113:CT115" si="168">CS113</f>
        <v>0</v>
      </c>
      <c r="CU113" s="54">
        <f t="shared" ref="CU113:CU115" si="169">CT113</f>
        <v>0</v>
      </c>
      <c r="CV113" s="562"/>
      <c r="CW113" s="54">
        <f>CU113</f>
        <v>0</v>
      </c>
      <c r="CX113" s="54">
        <f t="shared" ref="CX113:CX115" si="170">CW113</f>
        <v>0</v>
      </c>
      <c r="CY113" s="54">
        <f t="shared" ref="CY113:CY115" si="171">CX113</f>
        <v>0</v>
      </c>
      <c r="CZ113" s="54">
        <f t="shared" ref="CZ113:CZ115" si="172">CY113</f>
        <v>0</v>
      </c>
      <c r="DA113" s="562"/>
      <c r="DB113" s="54">
        <f>CZ113</f>
        <v>0</v>
      </c>
      <c r="DC113" s="54">
        <f t="shared" ref="DC113:DC115" si="173">DB113</f>
        <v>0</v>
      </c>
      <c r="DD113" s="54">
        <f t="shared" ref="DD113:DD115" si="174">DC113</f>
        <v>0</v>
      </c>
      <c r="DE113" s="54">
        <f t="shared" ref="DE113:DE115" si="175">DD113</f>
        <v>0</v>
      </c>
      <c r="DF113" s="562"/>
    </row>
    <row r="114" spans="1:110" x14ac:dyDescent="0.2">
      <c r="B114" s="578" t="s">
        <v>204</v>
      </c>
      <c r="C114" s="145"/>
      <c r="D114" s="145"/>
      <c r="E114" s="145"/>
      <c r="F114" s="145"/>
      <c r="G114" s="145"/>
      <c r="H114" s="145"/>
      <c r="I114" s="145"/>
      <c r="J114" s="145"/>
      <c r="K114" s="145"/>
      <c r="L114" s="145"/>
      <c r="M114" s="145"/>
      <c r="N114" s="145"/>
      <c r="O114" s="145"/>
      <c r="P114" s="145"/>
      <c r="Q114" s="145"/>
      <c r="R114" s="145"/>
      <c r="S114" s="346"/>
      <c r="T114" s="346"/>
      <c r="U114" s="346"/>
      <c r="V114" s="326"/>
      <c r="W114" s="326"/>
      <c r="X114" s="326"/>
      <c r="Y114" s="340"/>
      <c r="Z114" s="346"/>
      <c r="AA114" s="346"/>
      <c r="AB114" s="346"/>
      <c r="AC114" s="346"/>
      <c r="AD114" s="340"/>
      <c r="AE114" s="346"/>
      <c r="AF114" s="346"/>
      <c r="AG114" s="346"/>
      <c r="AH114" s="346"/>
      <c r="AI114" s="340"/>
      <c r="AJ114" s="346"/>
      <c r="AK114" s="346"/>
      <c r="AL114" s="346"/>
      <c r="AM114" s="346"/>
      <c r="AN114" s="340"/>
      <c r="AO114" s="346"/>
      <c r="AP114" s="346"/>
      <c r="AQ114" s="346"/>
      <c r="AR114" s="346"/>
      <c r="AS114" s="340"/>
      <c r="AT114" s="346"/>
      <c r="AU114" s="267"/>
      <c r="AV114" s="146"/>
      <c r="AW114" s="146"/>
      <c r="AX114" s="340"/>
      <c r="AY114" s="146"/>
      <c r="AZ114" s="146"/>
      <c r="BA114" s="146"/>
      <c r="BB114" s="146"/>
      <c r="BC114" s="340"/>
      <c r="BD114" s="146"/>
      <c r="BE114" s="267"/>
      <c r="BF114" s="146"/>
      <c r="BG114" s="146">
        <v>2.75E-2</v>
      </c>
      <c r="BH114" s="340"/>
      <c r="BI114" s="146">
        <f>BG114</f>
        <v>2.75E-2</v>
      </c>
      <c r="BJ114" s="146">
        <f t="shared" si="160"/>
        <v>2.75E-2</v>
      </c>
      <c r="BK114" s="146">
        <f t="shared" si="160"/>
        <v>2.75E-2</v>
      </c>
      <c r="BL114" s="146">
        <f t="shared" si="160"/>
        <v>2.75E-2</v>
      </c>
      <c r="BM114" s="340"/>
      <c r="BN114" s="146">
        <f>BL114</f>
        <v>2.75E-2</v>
      </c>
      <c r="BO114" s="146">
        <f t="shared" si="161"/>
        <v>2.75E-2</v>
      </c>
      <c r="BP114" s="146">
        <f t="shared" si="161"/>
        <v>2.75E-2</v>
      </c>
      <c r="BQ114" s="146">
        <f t="shared" si="161"/>
        <v>2.75E-2</v>
      </c>
      <c r="BR114" s="340"/>
      <c r="BS114" s="146">
        <f>BQ114</f>
        <v>2.75E-2</v>
      </c>
      <c r="BT114" s="146">
        <f t="shared" si="162"/>
        <v>2.75E-2</v>
      </c>
      <c r="BU114" s="146">
        <f t="shared" si="162"/>
        <v>2.75E-2</v>
      </c>
      <c r="BV114" s="146">
        <f t="shared" si="162"/>
        <v>2.75E-2</v>
      </c>
      <c r="BW114" s="340"/>
      <c r="BX114" s="146">
        <f>BV114</f>
        <v>2.75E-2</v>
      </c>
      <c r="BY114" s="146">
        <f t="shared" si="163"/>
        <v>2.75E-2</v>
      </c>
      <c r="BZ114" s="146">
        <f t="shared" si="163"/>
        <v>2.75E-2</v>
      </c>
      <c r="CA114" s="146">
        <f t="shared" si="163"/>
        <v>2.75E-2</v>
      </c>
      <c r="CB114" s="563"/>
      <c r="CC114" s="146">
        <f>CA114</f>
        <v>2.75E-2</v>
      </c>
      <c r="CD114" s="146">
        <f t="shared" si="164"/>
        <v>2.75E-2</v>
      </c>
      <c r="CE114" s="146">
        <f t="shared" si="164"/>
        <v>2.75E-2</v>
      </c>
      <c r="CF114" s="146">
        <f t="shared" si="164"/>
        <v>2.75E-2</v>
      </c>
      <c r="CG114" s="563"/>
      <c r="CH114" s="146">
        <f>CF114</f>
        <v>2.75E-2</v>
      </c>
      <c r="CI114" s="146">
        <f t="shared" si="165"/>
        <v>2.75E-2</v>
      </c>
      <c r="CJ114" s="146">
        <f t="shared" si="165"/>
        <v>2.75E-2</v>
      </c>
      <c r="CK114" s="146">
        <f t="shared" si="165"/>
        <v>2.75E-2</v>
      </c>
      <c r="CL114" s="563"/>
      <c r="CM114" s="146">
        <f>CK114</f>
        <v>2.75E-2</v>
      </c>
      <c r="CN114" s="146">
        <f t="shared" si="166"/>
        <v>2.75E-2</v>
      </c>
      <c r="CO114" s="146">
        <f t="shared" si="166"/>
        <v>2.75E-2</v>
      </c>
      <c r="CP114" s="146">
        <f t="shared" si="166"/>
        <v>2.75E-2</v>
      </c>
      <c r="CQ114" s="563"/>
      <c r="CR114" s="146">
        <f>CP114</f>
        <v>2.75E-2</v>
      </c>
      <c r="CS114" s="146">
        <f t="shared" si="167"/>
        <v>2.75E-2</v>
      </c>
      <c r="CT114" s="146">
        <f t="shared" si="168"/>
        <v>2.75E-2</v>
      </c>
      <c r="CU114" s="146">
        <f t="shared" si="169"/>
        <v>2.75E-2</v>
      </c>
      <c r="CV114" s="563"/>
      <c r="CW114" s="146">
        <f>CU114</f>
        <v>2.75E-2</v>
      </c>
      <c r="CX114" s="146">
        <f t="shared" si="170"/>
        <v>2.75E-2</v>
      </c>
      <c r="CY114" s="146">
        <f t="shared" si="171"/>
        <v>2.75E-2</v>
      </c>
      <c r="CZ114" s="146">
        <f t="shared" si="172"/>
        <v>2.75E-2</v>
      </c>
      <c r="DA114" s="563"/>
      <c r="DB114" s="146">
        <f>CZ114</f>
        <v>2.75E-2</v>
      </c>
      <c r="DC114" s="146">
        <f t="shared" si="173"/>
        <v>2.75E-2</v>
      </c>
      <c r="DD114" s="146">
        <f t="shared" si="174"/>
        <v>2.75E-2</v>
      </c>
      <c r="DE114" s="146">
        <f t="shared" si="175"/>
        <v>2.75E-2</v>
      </c>
      <c r="DF114" s="563"/>
    </row>
    <row r="115" spans="1:110" x14ac:dyDescent="0.2">
      <c r="B115" s="536" t="s">
        <v>197</v>
      </c>
      <c r="C115" s="145"/>
      <c r="D115" s="145"/>
      <c r="E115" s="145"/>
      <c r="F115" s="145"/>
      <c r="G115" s="145"/>
      <c r="H115" s="145"/>
      <c r="I115" s="145"/>
      <c r="J115" s="145"/>
      <c r="K115" s="145"/>
      <c r="L115" s="145"/>
      <c r="M115" s="145"/>
      <c r="N115" s="145"/>
      <c r="O115" s="145"/>
      <c r="P115" s="145"/>
      <c r="Q115" s="145"/>
      <c r="R115" s="145"/>
      <c r="S115" s="346"/>
      <c r="T115" s="346"/>
      <c r="U115" s="346"/>
      <c r="V115" s="326"/>
      <c r="W115" s="326"/>
      <c r="X115" s="326"/>
      <c r="Y115" s="340"/>
      <c r="Z115" s="346"/>
      <c r="AA115" s="346"/>
      <c r="AB115" s="346"/>
      <c r="AC115" s="346"/>
      <c r="AD115" s="340"/>
      <c r="AE115" s="346"/>
      <c r="AF115" s="346"/>
      <c r="AG115" s="346"/>
      <c r="AH115" s="346"/>
      <c r="AI115" s="340"/>
      <c r="AJ115" s="346"/>
      <c r="AK115" s="346"/>
      <c r="AL115" s="346"/>
      <c r="AM115" s="346"/>
      <c r="AN115" s="340"/>
      <c r="AO115" s="346"/>
      <c r="AP115" s="346"/>
      <c r="AQ115" s="346"/>
      <c r="AR115" s="346"/>
      <c r="AS115" s="340"/>
      <c r="AT115" s="346"/>
      <c r="AU115" s="623"/>
      <c r="AV115" s="625"/>
      <c r="AW115" s="625"/>
      <c r="AX115" s="340"/>
      <c r="AY115" s="346"/>
      <c r="AZ115" s="346"/>
      <c r="BA115" s="346"/>
      <c r="BB115" s="346"/>
      <c r="BC115" s="340"/>
      <c r="BD115" s="346"/>
      <c r="BE115" s="623"/>
      <c r="BF115" s="346"/>
      <c r="BG115" s="346">
        <v>900</v>
      </c>
      <c r="BH115" s="340"/>
      <c r="BI115" s="346">
        <f>BG115</f>
        <v>900</v>
      </c>
      <c r="BJ115" s="346">
        <f t="shared" si="160"/>
        <v>900</v>
      </c>
      <c r="BK115" s="346">
        <f t="shared" si="160"/>
        <v>900</v>
      </c>
      <c r="BL115" s="346">
        <f t="shared" si="160"/>
        <v>900</v>
      </c>
      <c r="BM115" s="340"/>
      <c r="BN115" s="346">
        <f>BL115</f>
        <v>900</v>
      </c>
      <c r="BO115" s="346">
        <f t="shared" si="161"/>
        <v>900</v>
      </c>
      <c r="BP115" s="346">
        <f t="shared" si="161"/>
        <v>900</v>
      </c>
      <c r="BQ115" s="346">
        <f t="shared" si="161"/>
        <v>900</v>
      </c>
      <c r="BR115" s="340"/>
      <c r="BS115" s="346">
        <f>BQ115</f>
        <v>900</v>
      </c>
      <c r="BT115" s="346">
        <f t="shared" si="162"/>
        <v>900</v>
      </c>
      <c r="BU115" s="346">
        <f t="shared" si="162"/>
        <v>900</v>
      </c>
      <c r="BV115" s="346">
        <f t="shared" si="162"/>
        <v>900</v>
      </c>
      <c r="BW115" s="340"/>
      <c r="BX115" s="346">
        <f>BV115</f>
        <v>900</v>
      </c>
      <c r="BY115" s="346">
        <f t="shared" si="163"/>
        <v>900</v>
      </c>
      <c r="BZ115" s="346">
        <f t="shared" si="163"/>
        <v>900</v>
      </c>
      <c r="CA115" s="346">
        <f t="shared" si="163"/>
        <v>900</v>
      </c>
      <c r="CB115" s="563"/>
      <c r="CC115" s="346">
        <f>CA115</f>
        <v>900</v>
      </c>
      <c r="CD115" s="346">
        <f t="shared" si="164"/>
        <v>900</v>
      </c>
      <c r="CE115" s="346">
        <f t="shared" si="164"/>
        <v>900</v>
      </c>
      <c r="CF115" s="346">
        <f t="shared" si="164"/>
        <v>900</v>
      </c>
      <c r="CG115" s="563"/>
      <c r="CH115" s="346">
        <f>CF115</f>
        <v>900</v>
      </c>
      <c r="CI115" s="346">
        <f t="shared" si="165"/>
        <v>900</v>
      </c>
      <c r="CJ115" s="346">
        <f t="shared" si="165"/>
        <v>900</v>
      </c>
      <c r="CK115" s="346">
        <f t="shared" si="165"/>
        <v>900</v>
      </c>
      <c r="CL115" s="563"/>
      <c r="CM115" s="346">
        <f>CK115</f>
        <v>900</v>
      </c>
      <c r="CN115" s="346">
        <f t="shared" si="166"/>
        <v>900</v>
      </c>
      <c r="CO115" s="346">
        <f t="shared" si="166"/>
        <v>900</v>
      </c>
      <c r="CP115" s="346">
        <f t="shared" si="166"/>
        <v>900</v>
      </c>
      <c r="CQ115" s="563"/>
      <c r="CR115" s="346">
        <f>CP115</f>
        <v>900</v>
      </c>
      <c r="CS115" s="346">
        <f t="shared" si="167"/>
        <v>900</v>
      </c>
      <c r="CT115" s="346">
        <f t="shared" si="168"/>
        <v>900</v>
      </c>
      <c r="CU115" s="346">
        <f t="shared" si="169"/>
        <v>900</v>
      </c>
      <c r="CV115" s="563"/>
      <c r="CW115" s="346">
        <f>CU115</f>
        <v>900</v>
      </c>
      <c r="CX115" s="346">
        <f t="shared" si="170"/>
        <v>900</v>
      </c>
      <c r="CY115" s="346">
        <f t="shared" si="171"/>
        <v>900</v>
      </c>
      <c r="CZ115" s="346">
        <f t="shared" si="172"/>
        <v>900</v>
      </c>
      <c r="DA115" s="563"/>
      <c r="DB115" s="346">
        <f>CZ115</f>
        <v>900</v>
      </c>
      <c r="DC115" s="346">
        <f t="shared" si="173"/>
        <v>900</v>
      </c>
      <c r="DD115" s="346">
        <f t="shared" si="174"/>
        <v>900</v>
      </c>
      <c r="DE115" s="346">
        <f t="shared" si="175"/>
        <v>900</v>
      </c>
      <c r="DF115" s="563"/>
    </row>
    <row r="116" spans="1:110" x14ac:dyDescent="0.2">
      <c r="B116" s="544" t="s">
        <v>198</v>
      </c>
      <c r="C116" s="145"/>
      <c r="D116" s="145"/>
      <c r="E116" s="145"/>
      <c r="F116" s="145"/>
      <c r="G116" s="145"/>
      <c r="H116" s="145"/>
      <c r="I116" s="145"/>
      <c r="J116" s="145"/>
      <c r="K116" s="145"/>
      <c r="L116" s="145"/>
      <c r="M116" s="145"/>
      <c r="N116" s="145"/>
      <c r="O116" s="145"/>
      <c r="P116" s="145"/>
      <c r="Q116" s="145"/>
      <c r="R116" s="145"/>
      <c r="S116" s="346"/>
      <c r="T116" s="346"/>
      <c r="U116" s="346"/>
      <c r="V116" s="326"/>
      <c r="W116" s="326"/>
      <c r="X116" s="326"/>
      <c r="Y116" s="340"/>
      <c r="Z116" s="346"/>
      <c r="AA116" s="346"/>
      <c r="AB116" s="346"/>
      <c r="AC116" s="346"/>
      <c r="AD116" s="340"/>
      <c r="AE116" s="346"/>
      <c r="AF116" s="346"/>
      <c r="AG116" s="346"/>
      <c r="AH116" s="346"/>
      <c r="AI116" s="340"/>
      <c r="AJ116" s="346"/>
      <c r="AK116" s="346"/>
      <c r="AL116" s="346"/>
      <c r="AM116" s="346"/>
      <c r="AN116" s="340"/>
      <c r="AO116" s="346"/>
      <c r="AP116" s="346"/>
      <c r="AQ116" s="346"/>
      <c r="AR116" s="346"/>
      <c r="AS116" s="340"/>
      <c r="AT116" s="346"/>
      <c r="AU116" s="623"/>
      <c r="AV116" s="625"/>
      <c r="AW116" s="625"/>
      <c r="AX116" s="340"/>
      <c r="AY116" s="346"/>
      <c r="AZ116" s="346"/>
      <c r="BA116" s="346"/>
      <c r="BB116" s="346"/>
      <c r="BC116" s="340"/>
      <c r="BD116" s="346"/>
      <c r="BE116" s="346"/>
      <c r="BF116" s="346"/>
      <c r="BG116" s="346">
        <f>BF118</f>
        <v>0</v>
      </c>
      <c r="BH116" s="340"/>
      <c r="BI116" s="346">
        <f>BG118</f>
        <v>899</v>
      </c>
      <c r="BJ116" s="346">
        <f>BI118</f>
        <v>899.1</v>
      </c>
      <c r="BK116" s="346">
        <f>BJ118</f>
        <v>899.2</v>
      </c>
      <c r="BL116" s="346">
        <f>BK118</f>
        <v>899.3</v>
      </c>
      <c r="BM116" s="340"/>
      <c r="BN116" s="346">
        <f>BL118</f>
        <v>899.4</v>
      </c>
      <c r="BO116" s="346">
        <f>BN118</f>
        <v>899.4</v>
      </c>
      <c r="BP116" s="346">
        <f>BO118</f>
        <v>899.4</v>
      </c>
      <c r="BQ116" s="346">
        <f>BP118</f>
        <v>899.4</v>
      </c>
      <c r="BR116" s="340"/>
      <c r="BS116" s="346">
        <f>BQ118</f>
        <v>899.7</v>
      </c>
      <c r="BT116" s="346">
        <f>BS118</f>
        <v>899.8</v>
      </c>
      <c r="BU116" s="346">
        <f>BT118</f>
        <v>899.9</v>
      </c>
      <c r="BV116" s="346">
        <f>BU118</f>
        <v>900</v>
      </c>
      <c r="BW116" s="340"/>
      <c r="BX116" s="346">
        <f>BV118</f>
        <v>0</v>
      </c>
      <c r="BY116" s="346">
        <f>BX118</f>
        <v>0</v>
      </c>
      <c r="BZ116" s="346">
        <f>BY118</f>
        <v>0</v>
      </c>
      <c r="CA116" s="346">
        <f>BZ118</f>
        <v>0</v>
      </c>
      <c r="CB116" s="563"/>
      <c r="CC116" s="346">
        <f>CA118</f>
        <v>0</v>
      </c>
      <c r="CD116" s="346">
        <f>CC118</f>
        <v>0</v>
      </c>
      <c r="CE116" s="346">
        <f>CD118</f>
        <v>0</v>
      </c>
      <c r="CF116" s="346">
        <f>CE118</f>
        <v>0</v>
      </c>
      <c r="CG116" s="563"/>
      <c r="CH116" s="346">
        <f>CF118</f>
        <v>0</v>
      </c>
      <c r="CI116" s="346">
        <f>CH118</f>
        <v>0</v>
      </c>
      <c r="CJ116" s="346">
        <f>CI118</f>
        <v>0</v>
      </c>
      <c r="CK116" s="346">
        <f>CJ118</f>
        <v>0</v>
      </c>
      <c r="CL116" s="563"/>
      <c r="CM116" s="346">
        <f>CK118</f>
        <v>0</v>
      </c>
      <c r="CN116" s="346">
        <f>CM118</f>
        <v>0</v>
      </c>
      <c r="CO116" s="346">
        <f>CN118</f>
        <v>0</v>
      </c>
      <c r="CP116" s="346">
        <f>CO118</f>
        <v>0</v>
      </c>
      <c r="CQ116" s="563"/>
      <c r="CR116" s="346">
        <f>CP118</f>
        <v>0</v>
      </c>
      <c r="CS116" s="346">
        <f>CR118</f>
        <v>0</v>
      </c>
      <c r="CT116" s="346">
        <f>CS118</f>
        <v>0</v>
      </c>
      <c r="CU116" s="346">
        <f>CT118</f>
        <v>0</v>
      </c>
      <c r="CV116" s="563"/>
      <c r="CW116" s="346">
        <f>CU118</f>
        <v>0</v>
      </c>
      <c r="CX116" s="346">
        <f>CW118</f>
        <v>0</v>
      </c>
      <c r="CY116" s="346">
        <f>CX118</f>
        <v>0</v>
      </c>
      <c r="CZ116" s="346">
        <f>CY118</f>
        <v>0</v>
      </c>
      <c r="DA116" s="563"/>
      <c r="DB116" s="346">
        <f>CZ118</f>
        <v>0</v>
      </c>
      <c r="DC116" s="346">
        <f>DB118</f>
        <v>0</v>
      </c>
      <c r="DD116" s="346">
        <f>DC118</f>
        <v>0</v>
      </c>
      <c r="DE116" s="346">
        <f>DD118</f>
        <v>0</v>
      </c>
      <c r="DF116" s="563"/>
    </row>
    <row r="117" spans="1:110" x14ac:dyDescent="0.2">
      <c r="B117" s="589" t="s">
        <v>199</v>
      </c>
      <c r="C117" s="359"/>
      <c r="D117" s="359"/>
      <c r="E117" s="359"/>
      <c r="F117" s="359"/>
      <c r="G117" s="359"/>
      <c r="H117" s="359"/>
      <c r="I117" s="359"/>
      <c r="J117" s="359"/>
      <c r="K117" s="359"/>
      <c r="L117" s="359"/>
      <c r="M117" s="359"/>
      <c r="N117" s="359"/>
      <c r="O117" s="359"/>
      <c r="P117" s="359"/>
      <c r="Q117" s="359"/>
      <c r="R117" s="359"/>
      <c r="S117" s="347"/>
      <c r="T117" s="347"/>
      <c r="U117" s="347"/>
      <c r="V117" s="377"/>
      <c r="W117" s="377"/>
      <c r="X117" s="377"/>
      <c r="Y117" s="343"/>
      <c r="Z117" s="347"/>
      <c r="AA117" s="347"/>
      <c r="AB117" s="347"/>
      <c r="AC117" s="347"/>
      <c r="AD117" s="343"/>
      <c r="AE117" s="347"/>
      <c r="AF117" s="347"/>
      <c r="AG117" s="347"/>
      <c r="AH117" s="347"/>
      <c r="AI117" s="343"/>
      <c r="AJ117" s="347"/>
      <c r="AK117" s="347"/>
      <c r="AL117" s="347"/>
      <c r="AM117" s="347"/>
      <c r="AN117" s="343"/>
      <c r="AO117" s="347"/>
      <c r="AP117" s="347"/>
      <c r="AQ117" s="347"/>
      <c r="AR117" s="347"/>
      <c r="AS117" s="343"/>
      <c r="AT117" s="347"/>
      <c r="AU117" s="629"/>
      <c r="AV117" s="642"/>
      <c r="AW117" s="629"/>
      <c r="AX117" s="343"/>
      <c r="AY117" s="347"/>
      <c r="AZ117" s="347"/>
      <c r="BA117" s="347"/>
      <c r="BB117" s="347"/>
      <c r="BC117" s="343"/>
      <c r="BD117" s="347"/>
      <c r="BE117" s="629"/>
      <c r="BF117" s="347"/>
      <c r="BG117" s="347">
        <v>899</v>
      </c>
      <c r="BH117" s="343"/>
      <c r="BI117" s="347">
        <v>0.1</v>
      </c>
      <c r="BJ117" s="347">
        <f>BI117</f>
        <v>0.1</v>
      </c>
      <c r="BK117" s="347">
        <f>899.3-BK116</f>
        <v>9.9999999999909051E-2</v>
      </c>
      <c r="BL117" s="348">
        <f>899.4-BL116</f>
        <v>0.10000000000002274</v>
      </c>
      <c r="BM117" s="343"/>
      <c r="BN117" s="348">
        <f>899.4-BN116</f>
        <v>0</v>
      </c>
      <c r="BO117" s="347">
        <f>BN117</f>
        <v>0</v>
      </c>
      <c r="BP117" s="347">
        <f>BO117</f>
        <v>0</v>
      </c>
      <c r="BQ117" s="347">
        <f>899.7-BQ116</f>
        <v>0.30000000000006821</v>
      </c>
      <c r="BR117" s="343"/>
      <c r="BS117" s="347">
        <f>BS118-BS116</f>
        <v>9.9999999999909051E-2</v>
      </c>
      <c r="BT117" s="347">
        <f>BT118-BT116</f>
        <v>0.10000000000002274</v>
      </c>
      <c r="BU117" s="347">
        <f>BU118-BU116</f>
        <v>0.10000000000002274</v>
      </c>
      <c r="BV117" s="347">
        <f>-BV116</f>
        <v>-900</v>
      </c>
      <c r="BW117" s="343"/>
      <c r="BX117" s="347">
        <v>0</v>
      </c>
      <c r="BY117" s="347">
        <f>BX117</f>
        <v>0</v>
      </c>
      <c r="BZ117" s="347">
        <f>BY117</f>
        <v>0</v>
      </c>
      <c r="CA117" s="347">
        <f>BZ117</f>
        <v>0</v>
      </c>
      <c r="CB117" s="585"/>
      <c r="CC117" s="347">
        <v>0</v>
      </c>
      <c r="CD117" s="347">
        <f>CC117</f>
        <v>0</v>
      </c>
      <c r="CE117" s="347">
        <f>CD117</f>
        <v>0</v>
      </c>
      <c r="CF117" s="347">
        <f>CE117</f>
        <v>0</v>
      </c>
      <c r="CG117" s="585"/>
      <c r="CH117" s="347">
        <v>0</v>
      </c>
      <c r="CI117" s="347">
        <f>CH117</f>
        <v>0</v>
      </c>
      <c r="CJ117" s="347">
        <f>CI117</f>
        <v>0</v>
      </c>
      <c r="CK117" s="347">
        <f>CJ117</f>
        <v>0</v>
      </c>
      <c r="CL117" s="585"/>
      <c r="CM117" s="347">
        <v>0</v>
      </c>
      <c r="CN117" s="347">
        <f>CM117</f>
        <v>0</v>
      </c>
      <c r="CO117" s="347">
        <f>CN117</f>
        <v>0</v>
      </c>
      <c r="CP117" s="347">
        <f>CO117</f>
        <v>0</v>
      </c>
      <c r="CQ117" s="585"/>
      <c r="CR117" s="347">
        <v>0</v>
      </c>
      <c r="CS117" s="347">
        <f>CR117</f>
        <v>0</v>
      </c>
      <c r="CT117" s="347">
        <f>CS117</f>
        <v>0</v>
      </c>
      <c r="CU117" s="347">
        <f>CT117</f>
        <v>0</v>
      </c>
      <c r="CV117" s="585"/>
      <c r="CW117" s="347">
        <v>0</v>
      </c>
      <c r="CX117" s="347">
        <f>CW117</f>
        <v>0</v>
      </c>
      <c r="CY117" s="347">
        <f>CX117</f>
        <v>0</v>
      </c>
      <c r="CZ117" s="347">
        <f>CY117</f>
        <v>0</v>
      </c>
      <c r="DA117" s="585"/>
      <c r="DB117" s="347">
        <v>0</v>
      </c>
      <c r="DC117" s="347">
        <f>DB117</f>
        <v>0</v>
      </c>
      <c r="DD117" s="347">
        <f>DC117</f>
        <v>0</v>
      </c>
      <c r="DE117" s="347">
        <f>DD117</f>
        <v>0</v>
      </c>
      <c r="DF117" s="585"/>
    </row>
    <row r="118" spans="1:110" x14ac:dyDescent="0.2">
      <c r="B118" s="544" t="s">
        <v>200</v>
      </c>
      <c r="C118" s="145"/>
      <c r="D118" s="145"/>
      <c r="E118" s="145"/>
      <c r="F118" s="145"/>
      <c r="G118" s="145"/>
      <c r="H118" s="145"/>
      <c r="I118" s="145"/>
      <c r="J118" s="145"/>
      <c r="K118" s="145"/>
      <c r="L118" s="145"/>
      <c r="M118" s="145"/>
      <c r="N118" s="145"/>
      <c r="O118" s="145"/>
      <c r="P118" s="145"/>
      <c r="Q118" s="145"/>
      <c r="R118" s="145"/>
      <c r="S118" s="346"/>
      <c r="T118" s="346"/>
      <c r="U118" s="346"/>
      <c r="V118" s="326"/>
      <c r="W118" s="326"/>
      <c r="X118" s="326"/>
      <c r="Y118" s="340"/>
      <c r="Z118" s="346"/>
      <c r="AA118" s="346"/>
      <c r="AB118" s="346"/>
      <c r="AC118" s="346"/>
      <c r="AD118" s="340"/>
      <c r="AE118" s="346"/>
      <c r="AF118" s="346"/>
      <c r="AG118" s="346"/>
      <c r="AH118" s="346"/>
      <c r="AI118" s="340"/>
      <c r="AJ118" s="346"/>
      <c r="AK118" s="346"/>
      <c r="AL118" s="346"/>
      <c r="AM118" s="346"/>
      <c r="AN118" s="340"/>
      <c r="AO118" s="346"/>
      <c r="AP118" s="346"/>
      <c r="AQ118" s="346"/>
      <c r="AR118" s="346"/>
      <c r="AS118" s="340"/>
      <c r="AT118" s="346"/>
      <c r="AU118" s="625"/>
      <c r="AV118" s="625"/>
      <c r="AW118" s="625"/>
      <c r="AX118" s="340"/>
      <c r="AY118" s="346"/>
      <c r="AZ118" s="346"/>
      <c r="BA118" s="346"/>
      <c r="BB118" s="346"/>
      <c r="BC118" s="340"/>
      <c r="BD118" s="346"/>
      <c r="BE118" s="625"/>
      <c r="BF118" s="346"/>
      <c r="BG118" s="346">
        <f>BG116+BG117</f>
        <v>899</v>
      </c>
      <c r="BH118" s="340"/>
      <c r="BI118" s="346">
        <f>BI116+BI117</f>
        <v>899.1</v>
      </c>
      <c r="BJ118" s="346">
        <f>BJ116+BJ117</f>
        <v>899.2</v>
      </c>
      <c r="BK118" s="346">
        <f>BK116+BK117</f>
        <v>899.3</v>
      </c>
      <c r="BL118" s="346">
        <f>BL116+BL117</f>
        <v>899.4</v>
      </c>
      <c r="BM118" s="340"/>
      <c r="BN118" s="346">
        <f>BN116+BN117</f>
        <v>899.4</v>
      </c>
      <c r="BO118" s="346">
        <f>BO116+BO117</f>
        <v>899.4</v>
      </c>
      <c r="BP118" s="346">
        <f>BP116+BP117</f>
        <v>899.4</v>
      </c>
      <c r="BQ118" s="346">
        <f>BQ116+BQ117</f>
        <v>899.7</v>
      </c>
      <c r="BR118" s="340"/>
      <c r="BS118" s="354">
        <f>899.8</f>
        <v>899.8</v>
      </c>
      <c r="BT118" s="354">
        <v>899.9</v>
      </c>
      <c r="BU118" s="354">
        <v>900</v>
      </c>
      <c r="BV118" s="346">
        <f>BV116+BV117</f>
        <v>0</v>
      </c>
      <c r="BW118" s="340"/>
      <c r="BX118" s="346">
        <f>BX116+BX117</f>
        <v>0</v>
      </c>
      <c r="BY118" s="346">
        <f>BY116+BY117</f>
        <v>0</v>
      </c>
      <c r="BZ118" s="346">
        <f>BZ116+BZ117</f>
        <v>0</v>
      </c>
      <c r="CA118" s="346">
        <f>CA116+CA117</f>
        <v>0</v>
      </c>
      <c r="CB118" s="563"/>
      <c r="CC118" s="346">
        <f>CC116+CC117</f>
        <v>0</v>
      </c>
      <c r="CD118" s="346">
        <f>CD116+CD117</f>
        <v>0</v>
      </c>
      <c r="CE118" s="346">
        <f>CE116+CE117</f>
        <v>0</v>
      </c>
      <c r="CF118" s="346">
        <f>CF116+CF117</f>
        <v>0</v>
      </c>
      <c r="CG118" s="563"/>
      <c r="CH118" s="346">
        <f>CH116+CH117</f>
        <v>0</v>
      </c>
      <c r="CI118" s="346">
        <f>CI116+CI117</f>
        <v>0</v>
      </c>
      <c r="CJ118" s="346">
        <f>CJ116+CJ117</f>
        <v>0</v>
      </c>
      <c r="CK118" s="346">
        <f>CK116+CK117</f>
        <v>0</v>
      </c>
      <c r="CL118" s="563"/>
      <c r="CM118" s="346">
        <f>CM116+CM117</f>
        <v>0</v>
      </c>
      <c r="CN118" s="346">
        <f>CN116+CN117</f>
        <v>0</v>
      </c>
      <c r="CO118" s="346">
        <f>CO116+CO117</f>
        <v>0</v>
      </c>
      <c r="CP118" s="346">
        <f>CP116+CP117</f>
        <v>0</v>
      </c>
      <c r="CQ118" s="563"/>
      <c r="CR118" s="346">
        <f>CR116+CR117</f>
        <v>0</v>
      </c>
      <c r="CS118" s="346">
        <f>CS116+CS117</f>
        <v>0</v>
      </c>
      <c r="CT118" s="346">
        <f>CT116+CT117</f>
        <v>0</v>
      </c>
      <c r="CU118" s="346">
        <f>CU116+CU117</f>
        <v>0</v>
      </c>
      <c r="CV118" s="563"/>
      <c r="CW118" s="346">
        <f>CW116+CW117</f>
        <v>0</v>
      </c>
      <c r="CX118" s="346">
        <f>CX116+CX117</f>
        <v>0</v>
      </c>
      <c r="CY118" s="346">
        <f>CY116+CY117</f>
        <v>0</v>
      </c>
      <c r="CZ118" s="346">
        <f>CZ116+CZ117</f>
        <v>0</v>
      </c>
      <c r="DA118" s="563"/>
      <c r="DB118" s="346">
        <f>DB116+DB117</f>
        <v>0</v>
      </c>
      <c r="DC118" s="346">
        <f>DC116+DC117</f>
        <v>0</v>
      </c>
      <c r="DD118" s="346">
        <f>DD116+DD117</f>
        <v>0</v>
      </c>
      <c r="DE118" s="346">
        <f>DE116+DE117</f>
        <v>0</v>
      </c>
      <c r="DF118" s="563"/>
    </row>
    <row r="119" spans="1:110" x14ac:dyDescent="0.2">
      <c r="B119" s="536" t="s">
        <v>201</v>
      </c>
      <c r="C119" s="145"/>
      <c r="D119" s="145"/>
      <c r="E119" s="145"/>
      <c r="F119" s="145"/>
      <c r="G119" s="145"/>
      <c r="H119" s="145"/>
      <c r="I119" s="145"/>
      <c r="J119" s="145"/>
      <c r="K119" s="145"/>
      <c r="L119" s="145"/>
      <c r="M119" s="145"/>
      <c r="N119" s="145"/>
      <c r="O119" s="145"/>
      <c r="P119" s="145"/>
      <c r="Q119" s="145"/>
      <c r="R119" s="145"/>
      <c r="S119" s="346"/>
      <c r="T119" s="346"/>
      <c r="U119" s="346"/>
      <c r="V119" s="326"/>
      <c r="W119" s="326"/>
      <c r="X119" s="326"/>
      <c r="Y119" s="340"/>
      <c r="Z119" s="346"/>
      <c r="AA119" s="346"/>
      <c r="AB119" s="346"/>
      <c r="AC119" s="346"/>
      <c r="AD119" s="340"/>
      <c r="AE119" s="346"/>
      <c r="AF119" s="346"/>
      <c r="AG119" s="346"/>
      <c r="AH119" s="346"/>
      <c r="AI119" s="340"/>
      <c r="AJ119" s="346"/>
      <c r="AK119" s="346"/>
      <c r="AL119" s="346"/>
      <c r="AM119" s="346"/>
      <c r="AN119" s="340"/>
      <c r="AO119" s="346"/>
      <c r="AP119" s="346"/>
      <c r="AQ119" s="346"/>
      <c r="AR119" s="346"/>
      <c r="AS119" s="340"/>
      <c r="AT119" s="346"/>
      <c r="AU119" s="625"/>
      <c r="AV119" s="625"/>
      <c r="AW119" s="625"/>
      <c r="AX119" s="340"/>
      <c r="AY119" s="346"/>
      <c r="AZ119" s="346"/>
      <c r="BA119" s="346"/>
      <c r="BB119" s="346"/>
      <c r="BC119" s="340"/>
      <c r="BD119" s="346"/>
      <c r="BE119" s="625"/>
      <c r="BF119" s="346"/>
      <c r="BG119" s="346">
        <f>BG115-BG118</f>
        <v>1</v>
      </c>
      <c r="BH119" s="340"/>
      <c r="BI119" s="346">
        <f>BI115-BI118</f>
        <v>0.89999999999997726</v>
      </c>
      <c r="BJ119" s="346">
        <f>BJ115-BJ118</f>
        <v>0.79999999999995453</v>
      </c>
      <c r="BK119" s="346">
        <f>BK115-BK118</f>
        <v>0.70000000000004547</v>
      </c>
      <c r="BL119" s="346">
        <f>BL115-BL118</f>
        <v>0.60000000000002274</v>
      </c>
      <c r="BM119" s="340"/>
      <c r="BN119" s="346">
        <f>BN115-BN118</f>
        <v>0.60000000000002274</v>
      </c>
      <c r="BO119" s="346">
        <f>BO115-BO118</f>
        <v>0.60000000000002274</v>
      </c>
      <c r="BP119" s="346">
        <f>BP115-BP118</f>
        <v>0.60000000000002274</v>
      </c>
      <c r="BQ119" s="346">
        <f>BQ115-BQ118</f>
        <v>0.29999999999995453</v>
      </c>
      <c r="BR119" s="340"/>
      <c r="BS119" s="346">
        <f>BS115-BS118</f>
        <v>0.20000000000004547</v>
      </c>
      <c r="BT119" s="346">
        <f>BT115-BT118</f>
        <v>0.10000000000002274</v>
      </c>
      <c r="BU119" s="346">
        <f>BU115-BU118</f>
        <v>0</v>
      </c>
      <c r="BV119" s="346">
        <f>BV115-BV118</f>
        <v>900</v>
      </c>
      <c r="BW119" s="340"/>
      <c r="BX119" s="346">
        <f>BX115-BX118</f>
        <v>900</v>
      </c>
      <c r="BY119" s="346">
        <f>BY115-BY118</f>
        <v>900</v>
      </c>
      <c r="BZ119" s="346">
        <f>BZ115-BZ118</f>
        <v>900</v>
      </c>
      <c r="CA119" s="346">
        <f>CA115-CA118</f>
        <v>900</v>
      </c>
      <c r="CB119" s="563"/>
      <c r="CC119" s="346">
        <f>CC115-CC118</f>
        <v>900</v>
      </c>
      <c r="CD119" s="346">
        <f>CD115-CD118</f>
        <v>900</v>
      </c>
      <c r="CE119" s="346">
        <f>CE115-CE118</f>
        <v>900</v>
      </c>
      <c r="CF119" s="346">
        <f>CF115-CF118</f>
        <v>900</v>
      </c>
      <c r="CG119" s="563"/>
      <c r="CH119" s="346">
        <f>CH115-CH118</f>
        <v>900</v>
      </c>
      <c r="CI119" s="346">
        <f>CI115-CI118</f>
        <v>900</v>
      </c>
      <c r="CJ119" s="346">
        <f>CJ115-CJ118</f>
        <v>900</v>
      </c>
      <c r="CK119" s="346">
        <f>CK115-CK118</f>
        <v>900</v>
      </c>
      <c r="CL119" s="563"/>
      <c r="CM119" s="346">
        <f>CM115-CM118</f>
        <v>900</v>
      </c>
      <c r="CN119" s="346">
        <f>CN115-CN118</f>
        <v>900</v>
      </c>
      <c r="CO119" s="346">
        <f>CO115-CO118</f>
        <v>900</v>
      </c>
      <c r="CP119" s="346">
        <f>CP115-CP118</f>
        <v>900</v>
      </c>
      <c r="CQ119" s="563"/>
      <c r="CR119" s="346">
        <f>CR115-CR118</f>
        <v>900</v>
      </c>
      <c r="CS119" s="346">
        <f>CS115-CS118</f>
        <v>900</v>
      </c>
      <c r="CT119" s="346">
        <f>CT115-CT118</f>
        <v>900</v>
      </c>
      <c r="CU119" s="346">
        <f>CU115-CU118</f>
        <v>900</v>
      </c>
      <c r="CV119" s="563"/>
      <c r="CW119" s="346">
        <f>CW115-CW118</f>
        <v>900</v>
      </c>
      <c r="CX119" s="346">
        <f>CX115-CX118</f>
        <v>900</v>
      </c>
      <c r="CY119" s="346">
        <f>CY115-CY118</f>
        <v>900</v>
      </c>
      <c r="CZ119" s="346">
        <f>CZ115-CZ118</f>
        <v>900</v>
      </c>
      <c r="DA119" s="563"/>
      <c r="DB119" s="346">
        <f>DB115-DB118</f>
        <v>900</v>
      </c>
      <c r="DC119" s="346">
        <f>DC115-DC118</f>
        <v>900</v>
      </c>
      <c r="DD119" s="346">
        <f>DD115-DD118</f>
        <v>900</v>
      </c>
      <c r="DE119" s="346">
        <f>DE115-DE118</f>
        <v>900</v>
      </c>
      <c r="DF119" s="563"/>
    </row>
    <row r="120" spans="1:110" x14ac:dyDescent="0.2">
      <c r="B120" s="544" t="s">
        <v>206</v>
      </c>
      <c r="C120" s="145"/>
      <c r="D120" s="145"/>
      <c r="E120" s="145"/>
      <c r="F120" s="145"/>
      <c r="G120" s="145"/>
      <c r="H120" s="145"/>
      <c r="I120" s="145"/>
      <c r="J120" s="145"/>
      <c r="K120" s="145"/>
      <c r="L120" s="145"/>
      <c r="M120" s="145"/>
      <c r="N120" s="145"/>
      <c r="O120" s="145"/>
      <c r="P120" s="145"/>
      <c r="Q120" s="145"/>
      <c r="R120" s="145"/>
      <c r="S120" s="346"/>
      <c r="T120" s="346"/>
      <c r="U120" s="346"/>
      <c r="V120" s="326"/>
      <c r="W120" s="326"/>
      <c r="X120" s="326"/>
      <c r="Y120" s="340"/>
      <c r="Z120" s="346"/>
      <c r="AA120" s="346"/>
      <c r="AB120" s="346"/>
      <c r="AC120" s="346"/>
      <c r="AD120" s="340"/>
      <c r="AE120" s="346"/>
      <c r="AF120" s="346"/>
      <c r="AG120" s="346"/>
      <c r="AH120" s="346"/>
      <c r="AI120" s="340"/>
      <c r="AJ120" s="346"/>
      <c r="AK120" s="346"/>
      <c r="AL120" s="346"/>
      <c r="AM120" s="346"/>
      <c r="AN120" s="340"/>
      <c r="AO120" s="346"/>
      <c r="AP120" s="346"/>
      <c r="AQ120" s="346"/>
      <c r="AR120" s="346"/>
      <c r="AS120" s="340"/>
      <c r="AT120" s="346"/>
      <c r="AU120" s="625"/>
      <c r="AV120" s="625"/>
      <c r="AW120" s="625"/>
      <c r="AX120" s="340"/>
      <c r="AY120" s="346"/>
      <c r="AZ120" s="346"/>
      <c r="BA120" s="346"/>
      <c r="BB120" s="346"/>
      <c r="BC120" s="340"/>
      <c r="BD120" s="346"/>
      <c r="BE120" s="625"/>
      <c r="BF120" s="346"/>
      <c r="BG120" s="346">
        <f>-(AVERAGE(BG118,BG116))*(BG114/4)</f>
        <v>-3.0903125</v>
      </c>
      <c r="BH120" s="340"/>
      <c r="BI120" s="346">
        <f>-(AVERAGE(BI118,BI116))*(BI114/4)</f>
        <v>-6.1809687499999999</v>
      </c>
      <c r="BJ120" s="346">
        <f>-(AVERAGE(BJ118,BJ116))*(BJ114/4)</f>
        <v>-6.1816562500000005</v>
      </c>
      <c r="BK120" s="346">
        <f>-(AVERAGE(BK118,BK116))*(BK114/4)</f>
        <v>-6.1823437500000002</v>
      </c>
      <c r="BL120" s="346">
        <f>-(AVERAGE(BL118,BL116))*(BL114/4)</f>
        <v>-6.1830312499999991</v>
      </c>
      <c r="BM120" s="340"/>
      <c r="BN120" s="346">
        <f>-(AVERAGE(BN118,BN116))*(BN114/4)</f>
        <v>-6.1833749999999998</v>
      </c>
      <c r="BO120" s="346">
        <f>-(AVERAGE(BO118,BO116))*(BO114/4)</f>
        <v>-6.1833749999999998</v>
      </c>
      <c r="BP120" s="346">
        <f>-(AVERAGE(BP118,BP116))*(BP114/4)</f>
        <v>-6.1833749999999998</v>
      </c>
      <c r="BQ120" s="346">
        <f>-(AVERAGE(BQ118,BQ116))*(BQ114/4)</f>
        <v>-6.1844062499999994</v>
      </c>
      <c r="BR120" s="340"/>
      <c r="BS120" s="346">
        <f>-(AVERAGE(BS118,BS116))*(BS114/4)</f>
        <v>-6.1857812499999998</v>
      </c>
      <c r="BT120" s="346">
        <f>-(AVERAGE(BT118,BT116))*(BT114/4)</f>
        <v>-6.1864687499999995</v>
      </c>
      <c r="BU120" s="346">
        <f>-(AVERAGE(BU118,BU116))*(BU114/4)</f>
        <v>-6.1871562500000001</v>
      </c>
      <c r="BV120" s="346">
        <f>-(AVERAGE(BV118,BV116))*(BV114/4)</f>
        <v>-3.09375</v>
      </c>
      <c r="BW120" s="340"/>
      <c r="BX120" s="346">
        <f>-(AVERAGE(BX118,BX116))*(BX114/4)</f>
        <v>0</v>
      </c>
      <c r="BY120" s="346">
        <f>-(AVERAGE(BY118,BY116))*(BY114/4)</f>
        <v>0</v>
      </c>
      <c r="BZ120" s="346">
        <f>-(AVERAGE(BZ118,BZ116))*(BZ114/4)</f>
        <v>0</v>
      </c>
      <c r="CA120" s="346">
        <f>-(AVERAGE(CA118,CA116))*(CA114/4)</f>
        <v>0</v>
      </c>
      <c r="CB120" s="563"/>
      <c r="CC120" s="346">
        <f>-(AVERAGE(CC118,CC116))*(CC114/4)</f>
        <v>0</v>
      </c>
      <c r="CD120" s="346">
        <f>-(AVERAGE(CD118,CD116))*(CD114/4)</f>
        <v>0</v>
      </c>
      <c r="CE120" s="346">
        <f>-(AVERAGE(CE118,CE116))*(CE114/4)</f>
        <v>0</v>
      </c>
      <c r="CF120" s="346">
        <f>-(AVERAGE(CF118,CF116))*(CF114/4)</f>
        <v>0</v>
      </c>
      <c r="CG120" s="563"/>
      <c r="CH120" s="346">
        <f>-(AVERAGE(CH118,CH116))*(CH114/4)</f>
        <v>0</v>
      </c>
      <c r="CI120" s="346">
        <f>-(AVERAGE(CI118,CI116))*(CI114/4)</f>
        <v>0</v>
      </c>
      <c r="CJ120" s="346">
        <f>-(AVERAGE(CJ118,CJ116))*(CJ114/4)</f>
        <v>0</v>
      </c>
      <c r="CK120" s="346">
        <f>-(AVERAGE(CK118,CK116))*(CK114/4)</f>
        <v>0</v>
      </c>
      <c r="CL120" s="563"/>
      <c r="CM120" s="346">
        <f>-(AVERAGE(CM118,CM116))*(CM114/4)</f>
        <v>0</v>
      </c>
      <c r="CN120" s="346">
        <f>-(AVERAGE(CN118,CN116))*(CN114/4)</f>
        <v>0</v>
      </c>
      <c r="CO120" s="346">
        <f>-(AVERAGE(CO118,CO116))*(CO114/4)</f>
        <v>0</v>
      </c>
      <c r="CP120" s="346">
        <f>-(AVERAGE(CP118,CP116))*(CP114/4)</f>
        <v>0</v>
      </c>
      <c r="CQ120" s="563"/>
      <c r="CR120" s="346">
        <f>-(AVERAGE(CR118,CR116))*(CR114/4)</f>
        <v>0</v>
      </c>
      <c r="CS120" s="346">
        <f>-(AVERAGE(CS118,CS116))*(CS114/4)</f>
        <v>0</v>
      </c>
      <c r="CT120" s="346">
        <f>-(AVERAGE(CT118,CT116))*(CT114/4)</f>
        <v>0</v>
      </c>
      <c r="CU120" s="346">
        <f>-(AVERAGE(CU118,CU116))*(CU114/4)</f>
        <v>0</v>
      </c>
      <c r="CV120" s="563"/>
      <c r="CW120" s="346">
        <f>-(AVERAGE(CW118,CW116))*(CW114/4)</f>
        <v>0</v>
      </c>
      <c r="CX120" s="346">
        <f>-(AVERAGE(CX118,CX116))*(CX114/4)</f>
        <v>0</v>
      </c>
      <c r="CY120" s="346">
        <f>-(AVERAGE(CY118,CY116))*(CY114/4)</f>
        <v>0</v>
      </c>
      <c r="CZ120" s="346">
        <f>-(AVERAGE(CZ118,CZ116))*(CZ114/4)</f>
        <v>0</v>
      </c>
      <c r="DA120" s="563"/>
      <c r="DB120" s="346">
        <f>-(AVERAGE(DB118,DB116))*(DB114/4)</f>
        <v>0</v>
      </c>
      <c r="DC120" s="346">
        <f>-(AVERAGE(DC118,DC116))*(DC114/4)</f>
        <v>0</v>
      </c>
      <c r="DD120" s="346">
        <f>-(AVERAGE(DD118,DD116))*(DD114/4)</f>
        <v>0</v>
      </c>
      <c r="DE120" s="346">
        <f>-(AVERAGE(DE118,DE116))*(DE114/4)</f>
        <v>0</v>
      </c>
      <c r="DF120" s="563"/>
    </row>
    <row r="121" spans="1:110" ht="12" thickBot="1" x14ac:dyDescent="0.25">
      <c r="B121" s="548" t="s">
        <v>207</v>
      </c>
      <c r="C121" s="205"/>
      <c r="D121" s="205"/>
      <c r="E121" s="205"/>
      <c r="F121" s="205"/>
      <c r="G121" s="205"/>
      <c r="H121" s="205"/>
      <c r="I121" s="205"/>
      <c r="J121" s="205"/>
      <c r="K121" s="205"/>
      <c r="L121" s="205"/>
      <c r="M121" s="205"/>
      <c r="N121" s="205"/>
      <c r="O121" s="205"/>
      <c r="P121" s="205"/>
      <c r="Q121" s="205"/>
      <c r="R121" s="205"/>
      <c r="S121" s="549"/>
      <c r="T121" s="549"/>
      <c r="U121" s="549"/>
      <c r="V121" s="327"/>
      <c r="W121" s="327"/>
      <c r="X121" s="327"/>
      <c r="Y121" s="550"/>
      <c r="Z121" s="549"/>
      <c r="AA121" s="549"/>
      <c r="AB121" s="549"/>
      <c r="AC121" s="549"/>
      <c r="AD121" s="550"/>
      <c r="AE121" s="549"/>
      <c r="AF121" s="549"/>
      <c r="AG121" s="549"/>
      <c r="AH121" s="549"/>
      <c r="AI121" s="550"/>
      <c r="AJ121" s="549"/>
      <c r="AK121" s="549"/>
      <c r="AL121" s="549"/>
      <c r="AM121" s="549"/>
      <c r="AN121" s="550"/>
      <c r="AO121" s="549"/>
      <c r="AP121" s="549"/>
      <c r="AQ121" s="549"/>
      <c r="AR121" s="549"/>
      <c r="AS121" s="550"/>
      <c r="AT121" s="549"/>
      <c r="AU121" s="549"/>
      <c r="AV121" s="549"/>
      <c r="AW121" s="549"/>
      <c r="AX121" s="550"/>
      <c r="AY121" s="549"/>
      <c r="AZ121" s="549"/>
      <c r="BA121" s="549"/>
      <c r="BB121" s="549"/>
      <c r="BC121" s="550"/>
      <c r="BD121" s="549"/>
      <c r="BE121" s="549"/>
      <c r="BF121" s="549"/>
      <c r="BG121" s="549">
        <f>-BG113*BG119/4</f>
        <v>0</v>
      </c>
      <c r="BH121" s="550"/>
      <c r="BI121" s="549">
        <f>-BI113*BI119/4</f>
        <v>0</v>
      </c>
      <c r="BJ121" s="549">
        <f>-BJ113*BJ119/4</f>
        <v>0</v>
      </c>
      <c r="BK121" s="549">
        <f>-BK113*BK119/4</f>
        <v>0</v>
      </c>
      <c r="BL121" s="549">
        <f>-BL113*BL119/4</f>
        <v>0</v>
      </c>
      <c r="BM121" s="550"/>
      <c r="BN121" s="549">
        <f>-BN113*BN119/4</f>
        <v>0</v>
      </c>
      <c r="BO121" s="549">
        <f>-BO113*BO119/4</f>
        <v>0</v>
      </c>
      <c r="BP121" s="549">
        <f>-BP113*BP119/4</f>
        <v>0</v>
      </c>
      <c r="BQ121" s="549">
        <f>-BQ113*BQ119/4</f>
        <v>0</v>
      </c>
      <c r="BR121" s="550"/>
      <c r="BS121" s="549">
        <f>-BS113*BS119/4</f>
        <v>0</v>
      </c>
      <c r="BT121" s="549">
        <f>-BT113*BT119/4</f>
        <v>0</v>
      </c>
      <c r="BU121" s="549">
        <f>-BU113*BU119/4</f>
        <v>0</v>
      </c>
      <c r="BV121" s="549">
        <f>-BV113*BV119/4</f>
        <v>0</v>
      </c>
      <c r="BW121" s="550"/>
      <c r="BX121" s="549">
        <f>-BX113*BX119/4</f>
        <v>0</v>
      </c>
      <c r="BY121" s="549">
        <f>-BY113*BY119/4</f>
        <v>0</v>
      </c>
      <c r="BZ121" s="549">
        <f>-BZ113*BZ119/4</f>
        <v>0</v>
      </c>
      <c r="CA121" s="549">
        <f>-CA113*CA119/4</f>
        <v>0</v>
      </c>
      <c r="CB121" s="565"/>
      <c r="CC121" s="549">
        <f>-CC113*CC119/4</f>
        <v>0</v>
      </c>
      <c r="CD121" s="549">
        <f>-CD113*CD119/4</f>
        <v>0</v>
      </c>
      <c r="CE121" s="549">
        <f>-CE113*CE119/4</f>
        <v>0</v>
      </c>
      <c r="CF121" s="549">
        <f>-CF113*CF119/4</f>
        <v>0</v>
      </c>
      <c r="CG121" s="565"/>
      <c r="CH121" s="549">
        <f>-CH113*CH119/4</f>
        <v>0</v>
      </c>
      <c r="CI121" s="549">
        <f>-CI113*CI119/4</f>
        <v>0</v>
      </c>
      <c r="CJ121" s="549">
        <f>-CJ113*CJ119/4</f>
        <v>0</v>
      </c>
      <c r="CK121" s="549">
        <f>-CK113*CK119/4</f>
        <v>0</v>
      </c>
      <c r="CL121" s="565"/>
      <c r="CM121" s="549">
        <f>-CM113*CM119/4</f>
        <v>0</v>
      </c>
      <c r="CN121" s="549">
        <f>-CN113*CN119/4</f>
        <v>0</v>
      </c>
      <c r="CO121" s="549">
        <f>-CO113*CO119/4</f>
        <v>0</v>
      </c>
      <c r="CP121" s="549">
        <f>-CP113*CP119/4</f>
        <v>0</v>
      </c>
      <c r="CQ121" s="565"/>
      <c r="CR121" s="549">
        <f>-CR113*CR119/4</f>
        <v>0</v>
      </c>
      <c r="CS121" s="549">
        <f>-CS113*CS119/4</f>
        <v>0</v>
      </c>
      <c r="CT121" s="549">
        <f>-CT113*CT119/4</f>
        <v>0</v>
      </c>
      <c r="CU121" s="549">
        <f>-CU113*CU119/4</f>
        <v>0</v>
      </c>
      <c r="CV121" s="565"/>
      <c r="CW121" s="549">
        <f>-CW113*CW119/4</f>
        <v>0</v>
      </c>
      <c r="CX121" s="549">
        <f>-CX113*CX119/4</f>
        <v>0</v>
      </c>
      <c r="CY121" s="549">
        <f>-CY113*CY119/4</f>
        <v>0</v>
      </c>
      <c r="CZ121" s="549">
        <f>-CZ113*CZ119/4</f>
        <v>0</v>
      </c>
      <c r="DA121" s="565"/>
      <c r="DB121" s="549">
        <f>-DB113*DB119/4</f>
        <v>0</v>
      </c>
      <c r="DC121" s="549">
        <f>-DC113*DC119/4</f>
        <v>0</v>
      </c>
      <c r="DD121" s="549">
        <f>-DD113*DD119/4</f>
        <v>0</v>
      </c>
      <c r="DE121" s="549">
        <f>-DE113*DE119/4</f>
        <v>0</v>
      </c>
      <c r="DF121" s="565"/>
    </row>
    <row r="122" spans="1:110" s="326" customFormat="1" ht="12" thickBot="1" x14ac:dyDescent="0.25">
      <c r="B122" s="355"/>
      <c r="C122" s="145"/>
      <c r="D122" s="145"/>
      <c r="E122" s="145"/>
      <c r="F122" s="145"/>
      <c r="G122" s="145"/>
      <c r="H122" s="145"/>
      <c r="I122" s="145"/>
      <c r="J122" s="145"/>
      <c r="K122" s="145"/>
      <c r="L122" s="145"/>
      <c r="M122" s="145"/>
      <c r="N122" s="145"/>
      <c r="O122" s="145"/>
      <c r="P122" s="145"/>
      <c r="Q122" s="145"/>
      <c r="R122" s="145"/>
      <c r="S122" s="346"/>
      <c r="T122" s="346"/>
      <c r="U122" s="346"/>
      <c r="Y122" s="346"/>
      <c r="Z122" s="346"/>
      <c r="AA122" s="346"/>
      <c r="AB122" s="346"/>
      <c r="AC122" s="346"/>
      <c r="AD122" s="346"/>
      <c r="AE122" s="346"/>
      <c r="AF122" s="346"/>
      <c r="AG122" s="346"/>
      <c r="AH122" s="346"/>
      <c r="AI122" s="346"/>
      <c r="AJ122" s="346"/>
      <c r="AK122" s="346"/>
      <c r="AL122" s="346"/>
      <c r="AM122" s="346"/>
      <c r="AN122" s="346"/>
      <c r="AO122" s="346"/>
      <c r="AP122" s="346"/>
      <c r="AQ122" s="346"/>
      <c r="AR122" s="346"/>
      <c r="AS122" s="346"/>
      <c r="AT122" s="346"/>
      <c r="AU122" s="346"/>
      <c r="AV122" s="346"/>
      <c r="AW122" s="346"/>
      <c r="AX122" s="346"/>
      <c r="AY122" s="346"/>
      <c r="AZ122" s="346"/>
      <c r="BA122" s="346"/>
      <c r="BB122" s="346"/>
      <c r="BC122" s="346"/>
      <c r="BD122" s="346"/>
      <c r="BE122" s="346"/>
      <c r="BF122" s="346"/>
      <c r="BG122" s="346"/>
      <c r="BH122" s="346"/>
      <c r="BI122" s="346"/>
      <c r="BJ122" s="346"/>
      <c r="BK122" s="346"/>
      <c r="BL122" s="346"/>
      <c r="BM122" s="346"/>
      <c r="BN122" s="346"/>
      <c r="BO122" s="346"/>
      <c r="BP122" s="346"/>
      <c r="BQ122" s="346"/>
      <c r="BR122" s="346"/>
      <c r="BS122" s="346"/>
      <c r="BT122" s="346"/>
      <c r="BU122" s="346"/>
      <c r="BV122" s="346"/>
      <c r="BW122" s="346"/>
      <c r="BX122" s="346"/>
      <c r="BY122" s="346"/>
      <c r="BZ122" s="346"/>
      <c r="CA122" s="346"/>
      <c r="CB122" s="346"/>
      <c r="CC122" s="346"/>
      <c r="CD122" s="346"/>
      <c r="CE122" s="346"/>
      <c r="CF122" s="346"/>
      <c r="CG122" s="346"/>
      <c r="CH122" s="346"/>
      <c r="CI122" s="346"/>
      <c r="CJ122" s="346"/>
      <c r="CK122" s="346"/>
      <c r="CL122" s="346"/>
      <c r="CM122" s="346"/>
      <c r="CN122" s="346"/>
      <c r="CO122" s="346"/>
      <c r="CP122" s="346"/>
      <c r="CQ122" s="346"/>
      <c r="CR122" s="346"/>
      <c r="CS122" s="346"/>
      <c r="CT122" s="346"/>
      <c r="CU122" s="346"/>
      <c r="CV122" s="346"/>
      <c r="CW122" s="346"/>
      <c r="CX122" s="346"/>
      <c r="CY122" s="346"/>
      <c r="CZ122" s="346"/>
      <c r="DA122" s="346"/>
      <c r="DB122" s="346"/>
      <c r="DC122" s="346"/>
      <c r="DD122" s="346"/>
      <c r="DE122" s="346"/>
      <c r="DF122" s="346"/>
    </row>
    <row r="123" spans="1:110" s="1273" customFormat="1" ht="13.5" thickBot="1" x14ac:dyDescent="0.25">
      <c r="B123" s="1274" t="s">
        <v>0</v>
      </c>
      <c r="C123" s="1275"/>
      <c r="D123" s="1275"/>
      <c r="E123" s="1275"/>
      <c r="F123" s="1275"/>
      <c r="G123" s="1275"/>
      <c r="H123" s="1275"/>
      <c r="I123" s="1275"/>
      <c r="J123" s="1275"/>
      <c r="K123" s="1275"/>
      <c r="L123" s="1275"/>
      <c r="M123" s="1275"/>
      <c r="N123" s="1275"/>
      <c r="O123" s="1275"/>
      <c r="P123" s="1275"/>
      <c r="Q123" s="1275"/>
      <c r="R123" s="1275"/>
      <c r="S123" s="1276"/>
      <c r="T123" s="1277"/>
      <c r="U123" s="1276"/>
      <c r="V123" s="1276"/>
      <c r="W123" s="1276"/>
      <c r="X123" s="1276"/>
      <c r="Y123" s="1277"/>
      <c r="Z123" s="1276"/>
      <c r="AA123" s="1276"/>
      <c r="AB123" s="1316"/>
      <c r="AC123" s="1316"/>
      <c r="AD123" s="1344"/>
      <c r="AE123" s="1316"/>
      <c r="AF123" s="1316"/>
      <c r="AG123" s="1316"/>
      <c r="AH123" s="1316"/>
      <c r="AI123" s="1344"/>
      <c r="AJ123" s="1316"/>
      <c r="AK123" s="1316"/>
      <c r="AL123" s="1316"/>
      <c r="AM123" s="1316"/>
      <c r="AN123" s="1344"/>
      <c r="AO123" s="1316"/>
      <c r="AP123" s="1316"/>
      <c r="AQ123" s="1316"/>
      <c r="AR123" s="1316"/>
      <c r="AS123" s="1344"/>
      <c r="AT123" s="1316"/>
      <c r="AU123" s="1316"/>
      <c r="AV123" s="1316"/>
      <c r="AW123" s="1316"/>
      <c r="AX123" s="1344"/>
      <c r="AY123" s="1316"/>
      <c r="AZ123" s="1316"/>
      <c r="BA123" s="1316"/>
      <c r="BB123" s="1316"/>
      <c r="BC123" s="1344"/>
      <c r="BD123" s="1316"/>
      <c r="BE123" s="1316"/>
      <c r="BF123" s="1316"/>
      <c r="BG123" s="1316"/>
      <c r="BH123" s="1344"/>
      <c r="BI123" s="1316"/>
      <c r="BJ123" s="1316"/>
      <c r="BK123" s="1316"/>
      <c r="BL123" s="1316"/>
      <c r="BM123" s="1277"/>
      <c r="BN123" s="1316"/>
      <c r="BO123" s="1316"/>
      <c r="BP123" s="1316"/>
      <c r="BQ123" s="1316"/>
      <c r="BR123" s="1277"/>
      <c r="BS123" s="1316"/>
      <c r="BT123" s="1316"/>
      <c r="BU123" s="1316"/>
      <c r="BV123" s="1316"/>
      <c r="BW123" s="1277"/>
      <c r="BX123" s="1316"/>
      <c r="BY123" s="1316"/>
      <c r="BZ123" s="1316"/>
      <c r="CA123" s="1316"/>
      <c r="CB123" s="1279"/>
      <c r="CC123" s="1316"/>
      <c r="CD123" s="1316"/>
      <c r="CE123" s="1316"/>
      <c r="CF123" s="1316"/>
      <c r="CG123" s="1279"/>
      <c r="CH123" s="1316"/>
      <c r="CI123" s="1316"/>
      <c r="CJ123" s="1316"/>
      <c r="CK123" s="1316"/>
      <c r="CL123" s="1279"/>
      <c r="CM123" s="1316"/>
      <c r="CN123" s="1316"/>
      <c r="CO123" s="1316"/>
      <c r="CP123" s="1316"/>
      <c r="CQ123" s="1279"/>
      <c r="CR123" s="1316"/>
      <c r="CS123" s="1316"/>
      <c r="CT123" s="1316"/>
      <c r="CU123" s="1316"/>
      <c r="CV123" s="1279"/>
      <c r="CW123" s="1316"/>
      <c r="CX123" s="1316"/>
      <c r="CY123" s="1316"/>
      <c r="CZ123" s="1316"/>
      <c r="DA123" s="1279"/>
      <c r="DB123" s="1316"/>
      <c r="DC123" s="1316"/>
      <c r="DD123" s="1316"/>
      <c r="DE123" s="1316"/>
      <c r="DF123" s="1279"/>
    </row>
    <row r="124" spans="1:110" s="1289" customFormat="1" ht="12.75" x14ac:dyDescent="0.2">
      <c r="A124" s="1273"/>
      <c r="B124" s="1280" t="s">
        <v>327</v>
      </c>
      <c r="C124" s="1319">
        <v>2.75E-2</v>
      </c>
      <c r="D124" s="1282"/>
      <c r="E124" s="1282"/>
      <c r="F124" s="1282"/>
      <c r="G124" s="1282"/>
      <c r="H124" s="1282"/>
      <c r="I124" s="1282"/>
      <c r="J124" s="1282"/>
      <c r="K124" s="1282"/>
      <c r="L124" s="1282"/>
      <c r="M124" s="1282"/>
      <c r="N124" s="1282"/>
      <c r="O124" s="1282"/>
      <c r="P124" s="1282"/>
      <c r="Q124" s="1282"/>
      <c r="R124" s="1282"/>
      <c r="S124" s="1283"/>
      <c r="T124" s="1284"/>
      <c r="U124" s="1283"/>
      <c r="V124" s="1283"/>
      <c r="W124" s="1283"/>
      <c r="X124" s="1320"/>
      <c r="Y124" s="1284"/>
      <c r="Z124" s="1285"/>
      <c r="AA124" s="1285"/>
      <c r="AB124" s="1285"/>
      <c r="AC124" s="1285"/>
      <c r="AD124" s="1284"/>
      <c r="AE124" s="1285"/>
      <c r="AF124" s="1285"/>
      <c r="AG124" s="1285"/>
      <c r="AH124" s="1286"/>
      <c r="AI124" s="1284"/>
      <c r="AJ124" s="1285"/>
      <c r="AK124" s="1285"/>
      <c r="AL124" s="1286"/>
      <c r="AM124" s="1285"/>
      <c r="AN124" s="1287"/>
      <c r="AO124" s="1285"/>
      <c r="AP124" s="1285"/>
      <c r="AQ124" s="1285"/>
      <c r="AR124" s="1285"/>
      <c r="AS124" s="1284"/>
      <c r="AT124" s="1285"/>
      <c r="AU124" s="1285"/>
      <c r="AV124" s="1285"/>
      <c r="AW124" s="1285"/>
      <c r="AX124" s="1287"/>
      <c r="AY124" s="1285"/>
      <c r="AZ124" s="1285"/>
      <c r="BA124" s="1285">
        <f>C124</f>
        <v>2.75E-2</v>
      </c>
      <c r="BB124" s="1285">
        <f>BA124</f>
        <v>2.75E-2</v>
      </c>
      <c r="BC124" s="1284"/>
      <c r="BD124" s="1285">
        <f>BB124</f>
        <v>2.75E-2</v>
      </c>
      <c r="BE124" s="1285">
        <f t="shared" ref="BE124:BG125" si="176">BD124</f>
        <v>2.75E-2</v>
      </c>
      <c r="BF124" s="1285">
        <f t="shared" si="176"/>
        <v>2.75E-2</v>
      </c>
      <c r="BG124" s="1285">
        <f t="shared" si="176"/>
        <v>2.75E-2</v>
      </c>
      <c r="BH124" s="1287"/>
      <c r="BI124" s="1285">
        <f>BG124</f>
        <v>2.75E-2</v>
      </c>
      <c r="BJ124" s="1285">
        <f t="shared" ref="BJ124:BL125" si="177">BI124</f>
        <v>2.75E-2</v>
      </c>
      <c r="BK124" s="1285">
        <f t="shared" si="177"/>
        <v>2.75E-2</v>
      </c>
      <c r="BL124" s="1285">
        <f t="shared" si="177"/>
        <v>2.75E-2</v>
      </c>
      <c r="BM124" s="1288"/>
      <c r="BN124" s="1285">
        <f>BL124</f>
        <v>2.75E-2</v>
      </c>
      <c r="BO124" s="1285">
        <f t="shared" ref="BO124:BQ125" si="178">BN124</f>
        <v>2.75E-2</v>
      </c>
      <c r="BP124" s="1285">
        <f t="shared" si="178"/>
        <v>2.75E-2</v>
      </c>
      <c r="BQ124" s="1285">
        <f t="shared" si="178"/>
        <v>2.75E-2</v>
      </c>
      <c r="BR124" s="1288"/>
      <c r="BS124" s="1285">
        <f>BQ124</f>
        <v>2.75E-2</v>
      </c>
      <c r="BT124" s="1285">
        <f t="shared" ref="BT124:BV125" si="179">BS124</f>
        <v>2.75E-2</v>
      </c>
      <c r="BU124" s="1285">
        <f t="shared" si="179"/>
        <v>2.75E-2</v>
      </c>
      <c r="BV124" s="1285">
        <f t="shared" si="179"/>
        <v>2.75E-2</v>
      </c>
      <c r="BW124" s="1288"/>
      <c r="BX124" s="1285">
        <f>BV124</f>
        <v>2.75E-2</v>
      </c>
      <c r="BY124" s="1285">
        <f t="shared" ref="BY124:CA125" si="180">BX124</f>
        <v>2.75E-2</v>
      </c>
      <c r="BZ124" s="1285">
        <f t="shared" si="180"/>
        <v>2.75E-2</v>
      </c>
      <c r="CA124" s="1285">
        <f t="shared" si="180"/>
        <v>2.75E-2</v>
      </c>
      <c r="CB124" s="1288"/>
      <c r="CC124" s="1285">
        <f>CA124</f>
        <v>2.75E-2</v>
      </c>
      <c r="CD124" s="1285">
        <f t="shared" ref="CD124:CF125" si="181">CC124</f>
        <v>2.75E-2</v>
      </c>
      <c r="CE124" s="1285">
        <f t="shared" si="181"/>
        <v>2.75E-2</v>
      </c>
      <c r="CF124" s="1285">
        <f t="shared" si="181"/>
        <v>2.75E-2</v>
      </c>
      <c r="CG124" s="1288"/>
      <c r="CH124" s="1285">
        <f>CF124</f>
        <v>2.75E-2</v>
      </c>
      <c r="CI124" s="1285">
        <f t="shared" ref="CI124:CK125" si="182">CH124</f>
        <v>2.75E-2</v>
      </c>
      <c r="CJ124" s="1285">
        <f t="shared" si="182"/>
        <v>2.75E-2</v>
      </c>
      <c r="CK124" s="1285">
        <f t="shared" si="182"/>
        <v>2.75E-2</v>
      </c>
      <c r="CL124" s="1288"/>
      <c r="CM124" s="1285">
        <f>CK124</f>
        <v>2.75E-2</v>
      </c>
      <c r="CN124" s="1285">
        <f t="shared" ref="CN124:CP125" si="183">CM124</f>
        <v>2.75E-2</v>
      </c>
      <c r="CO124" s="1285">
        <f t="shared" si="183"/>
        <v>2.75E-2</v>
      </c>
      <c r="CP124" s="1285">
        <f t="shared" si="183"/>
        <v>2.75E-2</v>
      </c>
      <c r="CQ124" s="1288"/>
      <c r="CR124" s="1285">
        <f>CP124</f>
        <v>2.75E-2</v>
      </c>
      <c r="CS124" s="1285">
        <f t="shared" ref="CS124:CS125" si="184">CR124</f>
        <v>2.75E-2</v>
      </c>
      <c r="CT124" s="1285">
        <f t="shared" ref="CT124:CT125" si="185">CS124</f>
        <v>2.75E-2</v>
      </c>
      <c r="CU124" s="1285">
        <f t="shared" ref="CU124:CU125" si="186">CT124</f>
        <v>2.75E-2</v>
      </c>
      <c r="CV124" s="1288"/>
      <c r="CW124" s="1285">
        <f>CU124</f>
        <v>2.75E-2</v>
      </c>
      <c r="CX124" s="1285">
        <f t="shared" ref="CX124:CX125" si="187">CW124</f>
        <v>2.75E-2</v>
      </c>
      <c r="CY124" s="1285">
        <f t="shared" ref="CY124:CY125" si="188">CX124</f>
        <v>2.75E-2</v>
      </c>
      <c r="CZ124" s="1285">
        <f t="shared" ref="CZ124:CZ125" si="189">CY124</f>
        <v>2.75E-2</v>
      </c>
      <c r="DA124" s="1288"/>
      <c r="DB124" s="1285">
        <f>CZ124</f>
        <v>2.75E-2</v>
      </c>
      <c r="DC124" s="1285">
        <f t="shared" ref="DC124:DC125" si="190">DB124</f>
        <v>2.75E-2</v>
      </c>
      <c r="DD124" s="1285">
        <f t="shared" ref="DD124:DD125" si="191">DC124</f>
        <v>2.75E-2</v>
      </c>
      <c r="DE124" s="1285">
        <f t="shared" ref="DE124:DE125" si="192">DD124</f>
        <v>2.75E-2</v>
      </c>
      <c r="DF124" s="1288"/>
    </row>
    <row r="125" spans="1:110" s="1289" customFormat="1" ht="12.75" x14ac:dyDescent="0.2">
      <c r="A125" s="1273"/>
      <c r="B125" s="1290" t="s">
        <v>405</v>
      </c>
      <c r="D125" s="1292"/>
      <c r="E125" s="1292"/>
      <c r="F125" s="1292"/>
      <c r="G125" s="1292"/>
      <c r="H125" s="1292"/>
      <c r="I125" s="1292"/>
      <c r="J125" s="1292"/>
      <c r="K125" s="1292"/>
      <c r="L125" s="1292"/>
      <c r="M125" s="1292"/>
      <c r="N125" s="1292"/>
      <c r="O125" s="1292"/>
      <c r="P125" s="1292"/>
      <c r="Q125" s="1292"/>
      <c r="R125" s="1292"/>
      <c r="S125" s="1293"/>
      <c r="T125" s="1294"/>
      <c r="U125" s="1293"/>
      <c r="V125" s="1293"/>
      <c r="W125" s="1293"/>
      <c r="X125" s="1293"/>
      <c r="Y125" s="1294"/>
      <c r="Z125" s="1293"/>
      <c r="AA125" s="1293"/>
      <c r="AB125" s="1293"/>
      <c r="AC125" s="1293"/>
      <c r="AD125" s="1294"/>
      <c r="AE125" s="1293"/>
      <c r="AF125" s="1293"/>
      <c r="AG125" s="1293"/>
      <c r="AH125" s="1293"/>
      <c r="AI125" s="1294"/>
      <c r="AJ125" s="1293"/>
      <c r="AK125" s="1293"/>
      <c r="AL125" s="1293"/>
      <c r="AM125" s="1293"/>
      <c r="AN125" s="1303"/>
      <c r="AO125" s="1293"/>
      <c r="AP125" s="1293"/>
      <c r="AQ125" s="1293"/>
      <c r="AR125" s="1293"/>
      <c r="AS125" s="1294"/>
      <c r="AT125" s="1293"/>
      <c r="AU125" s="1293"/>
      <c r="AV125" s="1293"/>
      <c r="AW125" s="1293"/>
      <c r="AX125" s="1303"/>
      <c r="AY125" s="1293"/>
      <c r="AZ125" s="1293"/>
      <c r="BA125" s="1293">
        <f>AZ125</f>
        <v>0</v>
      </c>
      <c r="BB125" s="1293">
        <f>BA125</f>
        <v>0</v>
      </c>
      <c r="BC125" s="1294"/>
      <c r="BD125" s="1293">
        <f>BB125</f>
        <v>0</v>
      </c>
      <c r="BE125" s="1293">
        <f t="shared" si="176"/>
        <v>0</v>
      </c>
      <c r="BF125" s="1293">
        <f t="shared" si="176"/>
        <v>0</v>
      </c>
      <c r="BG125" s="1293">
        <f t="shared" si="176"/>
        <v>0</v>
      </c>
      <c r="BH125" s="1303"/>
      <c r="BI125" s="1293">
        <f>BG125</f>
        <v>0</v>
      </c>
      <c r="BJ125" s="1293">
        <f t="shared" si="177"/>
        <v>0</v>
      </c>
      <c r="BK125" s="1293">
        <f t="shared" si="177"/>
        <v>0</v>
      </c>
      <c r="BL125" s="1293">
        <f t="shared" si="177"/>
        <v>0</v>
      </c>
      <c r="BM125" s="1304"/>
      <c r="BN125" s="1293">
        <f>BL125</f>
        <v>0</v>
      </c>
      <c r="BO125" s="1293">
        <f t="shared" si="178"/>
        <v>0</v>
      </c>
      <c r="BP125" s="1293">
        <f t="shared" si="178"/>
        <v>0</v>
      </c>
      <c r="BQ125" s="1293">
        <f t="shared" si="178"/>
        <v>0</v>
      </c>
      <c r="BR125" s="1304"/>
      <c r="BS125" s="1293">
        <f>BQ125</f>
        <v>0</v>
      </c>
      <c r="BT125" s="1293">
        <f t="shared" si="179"/>
        <v>0</v>
      </c>
      <c r="BU125" s="1293">
        <f t="shared" si="179"/>
        <v>0</v>
      </c>
      <c r="BV125" s="1293">
        <f t="shared" si="179"/>
        <v>0</v>
      </c>
      <c r="BW125" s="1304"/>
      <c r="BX125" s="1293">
        <f>BV125</f>
        <v>0</v>
      </c>
      <c r="BY125" s="1293">
        <f t="shared" si="180"/>
        <v>0</v>
      </c>
      <c r="BZ125" s="1293">
        <f t="shared" si="180"/>
        <v>0</v>
      </c>
      <c r="CA125" s="1293">
        <f t="shared" si="180"/>
        <v>0</v>
      </c>
      <c r="CB125" s="1304"/>
      <c r="CC125" s="1293">
        <f>CA125</f>
        <v>0</v>
      </c>
      <c r="CD125" s="1293">
        <f t="shared" si="181"/>
        <v>0</v>
      </c>
      <c r="CE125" s="1293">
        <f t="shared" si="181"/>
        <v>0</v>
      </c>
      <c r="CF125" s="1293">
        <f t="shared" si="181"/>
        <v>0</v>
      </c>
      <c r="CG125" s="1304"/>
      <c r="CH125" s="1293">
        <f>CF125</f>
        <v>0</v>
      </c>
      <c r="CI125" s="1293">
        <f t="shared" si="182"/>
        <v>0</v>
      </c>
      <c r="CJ125" s="1293">
        <f t="shared" si="182"/>
        <v>0</v>
      </c>
      <c r="CK125" s="1293">
        <f t="shared" si="182"/>
        <v>0</v>
      </c>
      <c r="CL125" s="1304"/>
      <c r="CM125" s="1293">
        <f>CK125</f>
        <v>0</v>
      </c>
      <c r="CN125" s="1293">
        <f t="shared" si="183"/>
        <v>0</v>
      </c>
      <c r="CO125" s="1293">
        <f t="shared" si="183"/>
        <v>0</v>
      </c>
      <c r="CP125" s="1293">
        <f t="shared" si="183"/>
        <v>0</v>
      </c>
      <c r="CQ125" s="1304"/>
      <c r="CR125" s="1293">
        <f>CP125</f>
        <v>0</v>
      </c>
      <c r="CS125" s="1293">
        <f t="shared" si="184"/>
        <v>0</v>
      </c>
      <c r="CT125" s="1293">
        <f t="shared" si="185"/>
        <v>0</v>
      </c>
      <c r="CU125" s="1293">
        <f t="shared" si="186"/>
        <v>0</v>
      </c>
      <c r="CV125" s="1304"/>
      <c r="CW125" s="1293">
        <f>CU125</f>
        <v>0</v>
      </c>
      <c r="CX125" s="1293">
        <f t="shared" si="187"/>
        <v>0</v>
      </c>
      <c r="CY125" s="1293">
        <f t="shared" si="188"/>
        <v>0</v>
      </c>
      <c r="CZ125" s="1293">
        <f t="shared" si="189"/>
        <v>0</v>
      </c>
      <c r="DA125" s="1304"/>
      <c r="DB125" s="1293">
        <f>CZ125</f>
        <v>0</v>
      </c>
      <c r="DC125" s="1293">
        <f t="shared" si="190"/>
        <v>0</v>
      </c>
      <c r="DD125" s="1293">
        <f t="shared" si="191"/>
        <v>0</v>
      </c>
      <c r="DE125" s="1293">
        <f t="shared" si="192"/>
        <v>0</v>
      </c>
      <c r="DF125" s="1304"/>
    </row>
    <row r="126" spans="1:110" s="1289" customFormat="1" ht="12.75" x14ac:dyDescent="0.2">
      <c r="A126" s="1273"/>
      <c r="B126" s="1290" t="s">
        <v>198</v>
      </c>
      <c r="C126" s="1273"/>
      <c r="D126" s="1301"/>
      <c r="E126" s="1301"/>
      <c r="F126" s="1301"/>
      <c r="G126" s="1301"/>
      <c r="H126" s="1301"/>
      <c r="I126" s="1301"/>
      <c r="J126" s="1301"/>
      <c r="K126" s="1301"/>
      <c r="L126" s="1301"/>
      <c r="M126" s="1301"/>
      <c r="N126" s="1301"/>
      <c r="O126" s="1301"/>
      <c r="P126" s="1301"/>
      <c r="Q126" s="1301"/>
      <c r="R126" s="1301"/>
      <c r="S126" s="1293"/>
      <c r="T126" s="1294"/>
      <c r="U126" s="1293"/>
      <c r="V126" s="1293"/>
      <c r="W126" s="1293"/>
      <c r="X126" s="1293"/>
      <c r="Y126" s="1294"/>
      <c r="Z126" s="1293"/>
      <c r="AA126" s="1293"/>
      <c r="AB126" s="1293"/>
      <c r="AC126" s="1293"/>
      <c r="AD126" s="1294"/>
      <c r="AE126" s="1293"/>
      <c r="AF126" s="1293"/>
      <c r="AG126" s="1293"/>
      <c r="AH126" s="1293"/>
      <c r="AI126" s="1294"/>
      <c r="AJ126" s="1293"/>
      <c r="AK126" s="1293"/>
      <c r="AL126" s="1293"/>
      <c r="AM126" s="1293"/>
      <c r="AN126" s="1303"/>
      <c r="AO126" s="1293"/>
      <c r="AP126" s="1293"/>
      <c r="AQ126" s="1293"/>
      <c r="AR126" s="1293"/>
      <c r="AS126" s="1294"/>
      <c r="AT126" s="1293"/>
      <c r="AU126" s="1293"/>
      <c r="AV126" s="1293"/>
      <c r="AW126" s="1293"/>
      <c r="AX126" s="1303"/>
      <c r="AY126" s="1293"/>
      <c r="AZ126" s="1293"/>
      <c r="BA126" s="1293">
        <v>499.8</v>
      </c>
      <c r="BB126" s="1293">
        <f>+BA128</f>
        <v>499.8</v>
      </c>
      <c r="BC126" s="1294">
        <f>BA126</f>
        <v>499.8</v>
      </c>
      <c r="BD126" s="1293">
        <f>+BC128</f>
        <v>499.7</v>
      </c>
      <c r="BE126" s="1293">
        <f>+BD128</f>
        <v>499.8</v>
      </c>
      <c r="BF126" s="1293">
        <f>+BE128</f>
        <v>499.90000000000003</v>
      </c>
      <c r="BG126" s="1293">
        <f>+BF128</f>
        <v>499.90000000000003</v>
      </c>
      <c r="BH126" s="1303">
        <f>BC128</f>
        <v>499.7</v>
      </c>
      <c r="BI126" s="1293">
        <f>+BH128</f>
        <v>499.9</v>
      </c>
      <c r="BJ126" s="1293">
        <f>+BI128</f>
        <v>499.9</v>
      </c>
      <c r="BK126" s="1293">
        <f>+BJ128</f>
        <v>512.9</v>
      </c>
      <c r="BL126" s="1293">
        <f>+BK128</f>
        <v>511.9</v>
      </c>
      <c r="BM126" s="1304">
        <f>BH128</f>
        <v>499.9</v>
      </c>
      <c r="BN126" s="1293">
        <f>+BM128</f>
        <v>510.9</v>
      </c>
      <c r="BO126" s="1293">
        <f>+BN128</f>
        <v>509.9</v>
      </c>
      <c r="BP126" s="1293">
        <f>+BO128</f>
        <v>508.9</v>
      </c>
      <c r="BQ126" s="1293">
        <f>+BP128</f>
        <v>507.9</v>
      </c>
      <c r="BR126" s="1304">
        <f>BM128</f>
        <v>510.9</v>
      </c>
      <c r="BS126" s="1293">
        <f>+BR128</f>
        <v>506.9</v>
      </c>
      <c r="BT126" s="1293">
        <f>+BS128</f>
        <v>505.9</v>
      </c>
      <c r="BU126" s="1293">
        <f>+BT128</f>
        <v>504.9</v>
      </c>
      <c r="BV126" s="1293">
        <f>+BU128</f>
        <v>503.9</v>
      </c>
      <c r="BW126" s="1304">
        <f>BR128</f>
        <v>506.9</v>
      </c>
      <c r="BX126" s="1293">
        <f>+BW128</f>
        <v>502.9</v>
      </c>
      <c r="BY126" s="1712">
        <f>+BX128</f>
        <v>501.8</v>
      </c>
      <c r="BZ126" s="1293">
        <f>+BY128</f>
        <v>501.8</v>
      </c>
      <c r="CA126" s="1293">
        <f>+BZ128</f>
        <v>501.8</v>
      </c>
      <c r="CB126" s="1304">
        <f>BW128</f>
        <v>502.9</v>
      </c>
      <c r="CC126" s="1293">
        <f>+CB128</f>
        <v>0</v>
      </c>
      <c r="CD126" s="1293">
        <f>+CC128</f>
        <v>0</v>
      </c>
      <c r="CE126" s="1293">
        <f>+CD128</f>
        <v>0</v>
      </c>
      <c r="CF126" s="1293">
        <f>+CE128</f>
        <v>0</v>
      </c>
      <c r="CG126" s="1304">
        <f>CB128</f>
        <v>0</v>
      </c>
      <c r="CH126" s="1293">
        <f>+CG128</f>
        <v>0</v>
      </c>
      <c r="CI126" s="1293">
        <f>+CH128</f>
        <v>0</v>
      </c>
      <c r="CJ126" s="1293">
        <f>+CI128</f>
        <v>0</v>
      </c>
      <c r="CK126" s="1293">
        <f>+CJ128</f>
        <v>0</v>
      </c>
      <c r="CL126" s="1304">
        <f>CG128</f>
        <v>0</v>
      </c>
      <c r="CM126" s="1293">
        <f>+CL128</f>
        <v>0</v>
      </c>
      <c r="CN126" s="1293">
        <f>+CM128</f>
        <v>0</v>
      </c>
      <c r="CO126" s="1293">
        <f>+CN128</f>
        <v>0</v>
      </c>
      <c r="CP126" s="1293">
        <f>+CO128</f>
        <v>0</v>
      </c>
      <c r="CQ126" s="1304">
        <f>CL128</f>
        <v>0</v>
      </c>
      <c r="CR126" s="1293">
        <f>+CQ128</f>
        <v>0</v>
      </c>
      <c r="CS126" s="1293">
        <f>+CR128</f>
        <v>0</v>
      </c>
      <c r="CT126" s="1293">
        <f>+CS128</f>
        <v>0</v>
      </c>
      <c r="CU126" s="1293">
        <f>+CT128</f>
        <v>0</v>
      </c>
      <c r="CV126" s="1304">
        <f>CQ128</f>
        <v>0</v>
      </c>
      <c r="CW126" s="1293">
        <f>+CV128</f>
        <v>0</v>
      </c>
      <c r="CX126" s="1293">
        <f>+CW128</f>
        <v>0</v>
      </c>
      <c r="CY126" s="1293">
        <f>+CX128</f>
        <v>0</v>
      </c>
      <c r="CZ126" s="1293">
        <f>+CY128</f>
        <v>0</v>
      </c>
      <c r="DA126" s="1304">
        <f>CV128</f>
        <v>0</v>
      </c>
      <c r="DB126" s="1293">
        <f>+DA128</f>
        <v>0</v>
      </c>
      <c r="DC126" s="1293">
        <f>+DB128</f>
        <v>0</v>
      </c>
      <c r="DD126" s="1293">
        <f>+DC128</f>
        <v>0</v>
      </c>
      <c r="DE126" s="1293">
        <f>+DD128</f>
        <v>0</v>
      </c>
      <c r="DF126" s="1304">
        <f>DA128</f>
        <v>0</v>
      </c>
    </row>
    <row r="127" spans="1:110" s="1289" customFormat="1" ht="12.75" x14ac:dyDescent="0.2">
      <c r="A127" s="1273"/>
      <c r="B127" s="1290" t="s">
        <v>199</v>
      </c>
      <c r="C127" s="1298"/>
      <c r="D127" s="1298"/>
      <c r="E127" s="1298"/>
      <c r="F127" s="1298"/>
      <c r="G127" s="1298"/>
      <c r="H127" s="1298"/>
      <c r="I127" s="1298"/>
      <c r="J127" s="1298"/>
      <c r="K127" s="1298"/>
      <c r="L127" s="1298"/>
      <c r="M127" s="1298"/>
      <c r="N127" s="1298"/>
      <c r="O127" s="1298"/>
      <c r="P127" s="1298"/>
      <c r="Q127" s="1298"/>
      <c r="R127" s="1298"/>
      <c r="S127" s="1305"/>
      <c r="T127" s="1306"/>
      <c r="U127" s="1305"/>
      <c r="V127" s="1305"/>
      <c r="W127" s="1305"/>
      <c r="X127" s="1305"/>
      <c r="Y127" s="1306"/>
      <c r="Z127" s="1307"/>
      <c r="AA127" s="1307"/>
      <c r="AB127" s="1307"/>
      <c r="AC127" s="1307"/>
      <c r="AD127" s="1306"/>
      <c r="AE127" s="1307"/>
      <c r="AF127" s="1307"/>
      <c r="AG127" s="1307"/>
      <c r="AH127" s="1307"/>
      <c r="AI127" s="1306"/>
      <c r="AJ127" s="1307"/>
      <c r="AK127" s="1307"/>
      <c r="AL127" s="1307"/>
      <c r="AM127" s="1307"/>
      <c r="AN127" s="1308"/>
      <c r="AO127" s="1307"/>
      <c r="AP127" s="1307"/>
      <c r="AQ127" s="1307"/>
      <c r="AR127" s="1307"/>
      <c r="AS127" s="1306"/>
      <c r="AT127" s="1307"/>
      <c r="AU127" s="1307"/>
      <c r="AV127" s="1307"/>
      <c r="AW127" s="1307"/>
      <c r="AX127" s="1308"/>
      <c r="AY127" s="1307"/>
      <c r="AZ127" s="1307"/>
      <c r="BA127" s="1307"/>
      <c r="BB127" s="1307">
        <v>-0.1</v>
      </c>
      <c r="BC127" s="1306">
        <f>+SUM(AY127:BB127)</f>
        <v>-0.1</v>
      </c>
      <c r="BD127" s="1307">
        <v>0.1</v>
      </c>
      <c r="BE127" s="1307">
        <v>0.1</v>
      </c>
      <c r="BF127" s="1307"/>
      <c r="BG127" s="1307"/>
      <c r="BH127" s="1308">
        <f>+SUM(BD127:BG127)</f>
        <v>0.2</v>
      </c>
      <c r="BI127" s="1307"/>
      <c r="BJ127" s="1307">
        <f>512.9-BJ126</f>
        <v>13</v>
      </c>
      <c r="BK127" s="1307">
        <f>511.9-BK126</f>
        <v>-1</v>
      </c>
      <c r="BL127" s="1307">
        <f>510.9-BL126</f>
        <v>-1</v>
      </c>
      <c r="BM127" s="1309">
        <f>+SUM(BI127:BL127)</f>
        <v>11</v>
      </c>
      <c r="BN127" s="1307">
        <f>509.9-BN126</f>
        <v>-1</v>
      </c>
      <c r="BO127" s="1307">
        <f>508.9-BO126</f>
        <v>-1</v>
      </c>
      <c r="BP127" s="1307">
        <f>507.9-BP126</f>
        <v>-1</v>
      </c>
      <c r="BQ127" s="1307">
        <f>506.9-BQ126</f>
        <v>-1</v>
      </c>
      <c r="BR127" s="1309">
        <f>+SUM(BN127:BQ127)</f>
        <v>-4</v>
      </c>
      <c r="BS127" s="1307">
        <f>BS128-BS126</f>
        <v>-1</v>
      </c>
      <c r="BT127" s="1307">
        <f>BT128-BT126</f>
        <v>-1</v>
      </c>
      <c r="BU127" s="1307">
        <f>BU128-BU126</f>
        <v>-1</v>
      </c>
      <c r="BV127" s="1307">
        <f>BV128-BV126</f>
        <v>-1</v>
      </c>
      <c r="BW127" s="1309">
        <f>+SUM(BS127:BV127)</f>
        <v>-4</v>
      </c>
      <c r="BX127" s="1307">
        <f>501.8-BX126</f>
        <v>-1.0999999999999659</v>
      </c>
      <c r="BY127" s="1307"/>
      <c r="BZ127" s="1307"/>
      <c r="CA127" s="1307">
        <f>-CA126</f>
        <v>-501.8</v>
      </c>
      <c r="CB127" s="1309">
        <f>+SUM(BX127:CA127)</f>
        <v>-502.9</v>
      </c>
      <c r="CC127" s="1307"/>
      <c r="CD127" s="1307"/>
      <c r="CE127" s="1307"/>
      <c r="CF127" s="1307">
        <f>-CF126</f>
        <v>0</v>
      </c>
      <c r="CG127" s="1309">
        <f>+SUM(CC127:CF127)</f>
        <v>0</v>
      </c>
      <c r="CH127" s="1307"/>
      <c r="CI127" s="1307"/>
      <c r="CJ127" s="1307"/>
      <c r="CK127" s="1307">
        <f>-CK126</f>
        <v>0</v>
      </c>
      <c r="CL127" s="1309">
        <f>+SUM(CH127:CK127)</f>
        <v>0</v>
      </c>
      <c r="CM127" s="1307"/>
      <c r="CN127" s="1307"/>
      <c r="CO127" s="1307"/>
      <c r="CP127" s="1307">
        <f>-CP126</f>
        <v>0</v>
      </c>
      <c r="CQ127" s="1309">
        <f>+SUM(CM127:CP127)</f>
        <v>0</v>
      </c>
      <c r="CR127" s="1307"/>
      <c r="CS127" s="1307"/>
      <c r="CT127" s="1307"/>
      <c r="CU127" s="1307">
        <f>-CU126</f>
        <v>0</v>
      </c>
      <c r="CV127" s="1309">
        <f>+SUM(CR127:CU127)</f>
        <v>0</v>
      </c>
      <c r="CW127" s="1307"/>
      <c r="CX127" s="1307"/>
      <c r="CY127" s="1307"/>
      <c r="CZ127" s="1307">
        <f>-CZ126</f>
        <v>0</v>
      </c>
      <c r="DA127" s="1309">
        <f>+SUM(CW127:CZ127)</f>
        <v>0</v>
      </c>
      <c r="DB127" s="1307"/>
      <c r="DC127" s="1307"/>
      <c r="DD127" s="1307"/>
      <c r="DE127" s="1307">
        <f>-DE126</f>
        <v>0</v>
      </c>
      <c r="DF127" s="1309">
        <f>+SUM(DB127:DE127)</f>
        <v>0</v>
      </c>
    </row>
    <row r="128" spans="1:110" s="1289" customFormat="1" ht="12.75" x14ac:dyDescent="0.2">
      <c r="A128" s="1273"/>
      <c r="B128" s="1290" t="s">
        <v>200</v>
      </c>
      <c r="C128" s="1298"/>
      <c r="D128" s="1298"/>
      <c r="E128" s="1298"/>
      <c r="F128" s="1298"/>
      <c r="G128" s="1298"/>
      <c r="H128" s="1298"/>
      <c r="I128" s="1298"/>
      <c r="J128" s="1298"/>
      <c r="K128" s="1298"/>
      <c r="L128" s="1298"/>
      <c r="M128" s="1298"/>
      <c r="N128" s="1298"/>
      <c r="O128" s="1298"/>
      <c r="P128" s="1298"/>
      <c r="Q128" s="1298"/>
      <c r="R128" s="1298"/>
      <c r="S128" s="1293"/>
      <c r="T128" s="1293"/>
      <c r="U128" s="1293"/>
      <c r="V128" s="1293"/>
      <c r="W128" s="1293"/>
      <c r="X128" s="1293"/>
      <c r="Y128" s="1294"/>
      <c r="Z128" s="1293"/>
      <c r="AA128" s="1293"/>
      <c r="AB128" s="1293"/>
      <c r="AC128" s="1293"/>
      <c r="AD128" s="1294"/>
      <c r="AE128" s="1293"/>
      <c r="AF128" s="1293"/>
      <c r="AG128" s="1293"/>
      <c r="AH128" s="1293"/>
      <c r="AI128" s="1294"/>
      <c r="AJ128" s="1293"/>
      <c r="AK128" s="1293"/>
      <c r="AL128" s="1293"/>
      <c r="AM128" s="1293"/>
      <c r="AN128" s="1303"/>
      <c r="AO128" s="1293"/>
      <c r="AP128" s="1293"/>
      <c r="AQ128" s="1293"/>
      <c r="AR128" s="1293"/>
      <c r="AS128" s="1294"/>
      <c r="AT128" s="1293"/>
      <c r="AU128" s="1293"/>
      <c r="AV128" s="1293"/>
      <c r="AW128" s="1293"/>
      <c r="AX128" s="1303"/>
      <c r="AY128" s="1293"/>
      <c r="AZ128" s="1293"/>
      <c r="BA128" s="1293">
        <f t="shared" ref="BA128:CB128" si="193">BA126+BA127</f>
        <v>499.8</v>
      </c>
      <c r="BB128" s="1293">
        <f t="shared" si="193"/>
        <v>499.7</v>
      </c>
      <c r="BC128" s="1294">
        <f t="shared" si="193"/>
        <v>499.7</v>
      </c>
      <c r="BD128" s="1293">
        <f t="shared" si="193"/>
        <v>499.8</v>
      </c>
      <c r="BE128" s="1293">
        <f t="shared" si="193"/>
        <v>499.90000000000003</v>
      </c>
      <c r="BF128" s="1293">
        <f t="shared" si="193"/>
        <v>499.90000000000003</v>
      </c>
      <c r="BG128" s="1293">
        <f t="shared" si="193"/>
        <v>499.90000000000003</v>
      </c>
      <c r="BH128" s="1303">
        <f t="shared" si="193"/>
        <v>499.9</v>
      </c>
      <c r="BI128" s="1293">
        <f t="shared" si="193"/>
        <v>499.9</v>
      </c>
      <c r="BJ128" s="1293">
        <f t="shared" si="193"/>
        <v>512.9</v>
      </c>
      <c r="BK128" s="1293">
        <f t="shared" si="193"/>
        <v>511.9</v>
      </c>
      <c r="BL128" s="1293">
        <f t="shared" si="193"/>
        <v>510.9</v>
      </c>
      <c r="BM128" s="1304">
        <f t="shared" si="193"/>
        <v>510.9</v>
      </c>
      <c r="BN128" s="1293">
        <f t="shared" si="193"/>
        <v>509.9</v>
      </c>
      <c r="BO128" s="1293">
        <f t="shared" si="193"/>
        <v>508.9</v>
      </c>
      <c r="BP128" s="1293">
        <f t="shared" si="193"/>
        <v>507.9</v>
      </c>
      <c r="BQ128" s="1293">
        <f t="shared" si="193"/>
        <v>506.9</v>
      </c>
      <c r="BR128" s="1304">
        <f t="shared" si="193"/>
        <v>506.9</v>
      </c>
      <c r="BS128" s="1302">
        <v>505.9</v>
      </c>
      <c r="BT128" s="1302">
        <v>504.9</v>
      </c>
      <c r="BU128" s="1302">
        <v>503.9</v>
      </c>
      <c r="BV128" s="1293">
        <v>502.9</v>
      </c>
      <c r="BW128" s="1304">
        <f t="shared" si="193"/>
        <v>502.9</v>
      </c>
      <c r="BX128" s="1293">
        <f t="shared" si="193"/>
        <v>501.8</v>
      </c>
      <c r="BY128" s="1293">
        <f t="shared" si="193"/>
        <v>501.8</v>
      </c>
      <c r="BZ128" s="1293">
        <f t="shared" si="193"/>
        <v>501.8</v>
      </c>
      <c r="CA128" s="1293">
        <f t="shared" si="193"/>
        <v>0</v>
      </c>
      <c r="CB128" s="1304">
        <f t="shared" si="193"/>
        <v>0</v>
      </c>
      <c r="CC128" s="1293">
        <f t="shared" ref="CC128:CL128" si="194">CC126+CC127</f>
        <v>0</v>
      </c>
      <c r="CD128" s="1293">
        <f t="shared" si="194"/>
        <v>0</v>
      </c>
      <c r="CE128" s="1293">
        <f t="shared" si="194"/>
        <v>0</v>
      </c>
      <c r="CF128" s="1293">
        <f t="shared" si="194"/>
        <v>0</v>
      </c>
      <c r="CG128" s="1304">
        <f t="shared" si="194"/>
        <v>0</v>
      </c>
      <c r="CH128" s="1293">
        <f t="shared" si="194"/>
        <v>0</v>
      </c>
      <c r="CI128" s="1293">
        <f t="shared" si="194"/>
        <v>0</v>
      </c>
      <c r="CJ128" s="1293">
        <f t="shared" si="194"/>
        <v>0</v>
      </c>
      <c r="CK128" s="1293">
        <f t="shared" si="194"/>
        <v>0</v>
      </c>
      <c r="CL128" s="1304">
        <f t="shared" si="194"/>
        <v>0</v>
      </c>
      <c r="CM128" s="1293">
        <f t="shared" ref="CM128:CV128" si="195">CM126+CM127</f>
        <v>0</v>
      </c>
      <c r="CN128" s="1293">
        <f t="shared" si="195"/>
        <v>0</v>
      </c>
      <c r="CO128" s="1293">
        <f t="shared" si="195"/>
        <v>0</v>
      </c>
      <c r="CP128" s="1293">
        <f t="shared" si="195"/>
        <v>0</v>
      </c>
      <c r="CQ128" s="1304">
        <f t="shared" si="195"/>
        <v>0</v>
      </c>
      <c r="CR128" s="1293">
        <f t="shared" si="195"/>
        <v>0</v>
      </c>
      <c r="CS128" s="1293">
        <f t="shared" si="195"/>
        <v>0</v>
      </c>
      <c r="CT128" s="1293">
        <f t="shared" si="195"/>
        <v>0</v>
      </c>
      <c r="CU128" s="1293">
        <f t="shared" si="195"/>
        <v>0</v>
      </c>
      <c r="CV128" s="1304">
        <f t="shared" si="195"/>
        <v>0</v>
      </c>
      <c r="CW128" s="1293">
        <f t="shared" ref="CW128:DF128" si="196">CW126+CW127</f>
        <v>0</v>
      </c>
      <c r="CX128" s="1293">
        <f t="shared" si="196"/>
        <v>0</v>
      </c>
      <c r="CY128" s="1293">
        <f t="shared" si="196"/>
        <v>0</v>
      </c>
      <c r="CZ128" s="1293">
        <f t="shared" si="196"/>
        <v>0</v>
      </c>
      <c r="DA128" s="1304">
        <f t="shared" si="196"/>
        <v>0</v>
      </c>
      <c r="DB128" s="1293">
        <f t="shared" si="196"/>
        <v>0</v>
      </c>
      <c r="DC128" s="1293">
        <f t="shared" si="196"/>
        <v>0</v>
      </c>
      <c r="DD128" s="1293">
        <f t="shared" si="196"/>
        <v>0</v>
      </c>
      <c r="DE128" s="1293">
        <f t="shared" si="196"/>
        <v>0</v>
      </c>
      <c r="DF128" s="1304">
        <f t="shared" si="196"/>
        <v>0</v>
      </c>
    </row>
    <row r="129" spans="1:110" s="1289" customFormat="1" ht="13.5" thickBot="1" x14ac:dyDescent="0.25">
      <c r="A129" s="1273"/>
      <c r="B129" s="1310" t="s">
        <v>147</v>
      </c>
      <c r="C129" s="1311"/>
      <c r="D129" s="1311"/>
      <c r="E129" s="1311"/>
      <c r="F129" s="1311"/>
      <c r="G129" s="1311"/>
      <c r="H129" s="1311"/>
      <c r="I129" s="1311"/>
      <c r="J129" s="1311"/>
      <c r="K129" s="1311"/>
      <c r="L129" s="1311"/>
      <c r="M129" s="1311"/>
      <c r="N129" s="1311"/>
      <c r="O129" s="1311"/>
      <c r="P129" s="1311"/>
      <c r="Q129" s="1311"/>
      <c r="R129" s="1311"/>
      <c r="S129" s="1312"/>
      <c r="T129" s="1313"/>
      <c r="U129" s="1312"/>
      <c r="V129" s="1312"/>
      <c r="W129" s="1312"/>
      <c r="X129" s="1312"/>
      <c r="Y129" s="1313"/>
      <c r="Z129" s="1312"/>
      <c r="AA129" s="1312"/>
      <c r="AB129" s="1312"/>
      <c r="AC129" s="1312"/>
      <c r="AD129" s="1313"/>
      <c r="AE129" s="1312"/>
      <c r="AF129" s="1312"/>
      <c r="AG129" s="1312"/>
      <c r="AH129" s="1312"/>
      <c r="AI129" s="1313"/>
      <c r="AJ129" s="1312"/>
      <c r="AK129" s="1312"/>
      <c r="AL129" s="1312"/>
      <c r="AM129" s="1312"/>
      <c r="AN129" s="1315"/>
      <c r="AO129" s="1312"/>
      <c r="AP129" s="1312"/>
      <c r="AQ129" s="1312"/>
      <c r="AR129" s="1312"/>
      <c r="AS129" s="1313"/>
      <c r="AT129" s="1312"/>
      <c r="AU129" s="1312"/>
      <c r="AV129" s="1312"/>
      <c r="AW129" s="1312"/>
      <c r="AX129" s="1315"/>
      <c r="AY129" s="1312"/>
      <c r="AZ129" s="1312"/>
      <c r="BA129" s="1312">
        <f>-(AVERAGE(BA128,BA126))*((BA124)/4)/6</f>
        <v>-0.57268750000000002</v>
      </c>
      <c r="BB129" s="1312">
        <f>-(AVERAGE(BB128,BB126))*((BB124)/4)</f>
        <v>-3.4357812500000002</v>
      </c>
      <c r="BC129" s="1313">
        <f>SUM(AY129:BB129)</f>
        <v>-4.0084687500000005</v>
      </c>
      <c r="BD129" s="1312">
        <f>-(AVERAGE(BD128,BD126))*((BD124)/4)</f>
        <v>-3.4357812500000002</v>
      </c>
      <c r="BE129" s="1312">
        <f>-(AVERAGE(BE128,BE126))*((BE124)/4)</f>
        <v>-3.43646875</v>
      </c>
      <c r="BF129" s="1312">
        <f>-(AVERAGE(BF128,BF126))*((BF124)/4)</f>
        <v>-3.4368125000000003</v>
      </c>
      <c r="BG129" s="1312">
        <f>-(AVERAGE(BG128,BG126))*((BG124)/4)</f>
        <v>-3.4368125000000003</v>
      </c>
      <c r="BH129" s="1315">
        <f>SUM(BD129:BG129)</f>
        <v>-13.745875</v>
      </c>
      <c r="BI129" s="1312"/>
      <c r="BJ129" s="1312">
        <f>-(AVERAGE(BJ128,BJ126))*((BJ124)/4)</f>
        <v>-3.4815</v>
      </c>
      <c r="BK129" s="1312">
        <f>-(AVERAGE(BK128,BK126))*((BK124)/4)</f>
        <v>-3.5227499999999998</v>
      </c>
      <c r="BL129" s="1312">
        <f>-(AVERAGE(BL128,BL126))*((BL124)/4)</f>
        <v>-3.5158749999999999</v>
      </c>
      <c r="BM129" s="1314">
        <f>SUM(BI129:BL129)</f>
        <v>-10.520125</v>
      </c>
      <c r="BN129" s="1578">
        <f>-(AVERAGE(BN128,BN126))*((BN124)/4)</f>
        <v>-3.5089999999999999</v>
      </c>
      <c r="BO129" s="1312">
        <f>-(AVERAGE(BO128,BO126))*((BO124)/4)</f>
        <v>-3.5021249999999999</v>
      </c>
      <c r="BP129" s="1312">
        <f>-(AVERAGE(BP128,BP126))*((BP124)/4)</f>
        <v>-3.49525</v>
      </c>
      <c r="BQ129" s="1312">
        <f>-(AVERAGE(BQ128,BQ126))*((BQ124)/4)</f>
        <v>-3.488375</v>
      </c>
      <c r="BR129" s="1314">
        <f>SUM(BN129:BQ129)</f>
        <v>-13.99475</v>
      </c>
      <c r="BS129" s="1312">
        <f>-(AVERAGE(BS128,BS126))*((BS124)/4)</f>
        <v>-3.4815</v>
      </c>
      <c r="BT129" s="1312">
        <f>-(AVERAGE(BT128,BT126))*((BT124)/4)</f>
        <v>-3.4746250000000001</v>
      </c>
      <c r="BU129" s="1312">
        <f>-(AVERAGE(BU128,BU126))*((BU124)/4)</f>
        <v>-3.4677499999999997</v>
      </c>
      <c r="BV129" s="1312">
        <f>-(AVERAGE(BV128,BV126))*((BV124)/4)</f>
        <v>-3.4608749999999997</v>
      </c>
      <c r="BW129" s="1314">
        <f>SUM(BS129:BV129)</f>
        <v>-13.884749999999999</v>
      </c>
      <c r="BX129" s="1312">
        <f>-(AVERAGE(BX128,BX126))*((BX124)/4)</f>
        <v>-3.4536562500000003</v>
      </c>
      <c r="BY129" s="1312">
        <f>-(AVERAGE(BY128,BY126))*((BY124)/4)</f>
        <v>-3.449875</v>
      </c>
      <c r="BZ129" s="1312">
        <f>-(AVERAGE(BZ128,BZ126))*((BZ124)/4)</f>
        <v>-3.449875</v>
      </c>
      <c r="CA129" s="1312">
        <f>-(AVERAGE(CA128,CA128))*((CA124)/4)</f>
        <v>0</v>
      </c>
      <c r="CB129" s="1314">
        <f>SUM(BX129:CA129)</f>
        <v>-10.353406250000001</v>
      </c>
      <c r="CC129" s="1312">
        <f>-(AVERAGE(CC128,CC126))*((CC124)/4)</f>
        <v>0</v>
      </c>
      <c r="CD129" s="1312">
        <f>-(AVERAGE(CD128,CD126))*((CD124)/4)</f>
        <v>0</v>
      </c>
      <c r="CE129" s="1312">
        <f>-(AVERAGE(CE128,CE126))*((CE124)/4)</f>
        <v>0</v>
      </c>
      <c r="CF129" s="1312">
        <f>-(AVERAGE(CF128,CF128))*((CF124)/4)</f>
        <v>0</v>
      </c>
      <c r="CG129" s="1314">
        <f>SUM(CC129:CF129)</f>
        <v>0</v>
      </c>
      <c r="CH129" s="1312">
        <f>-(AVERAGE(CH128,CH126))*((CH124)/4)</f>
        <v>0</v>
      </c>
      <c r="CI129" s="1312">
        <f>-(AVERAGE(CI128,CI126))*((CI124)/4)</f>
        <v>0</v>
      </c>
      <c r="CJ129" s="1312">
        <f>-(AVERAGE(CJ128,CJ126))*((CJ124)/4)</f>
        <v>0</v>
      </c>
      <c r="CK129" s="1312">
        <f>-(AVERAGE(CK128,CK128))*((CK124)/4)</f>
        <v>0</v>
      </c>
      <c r="CL129" s="1314">
        <f>SUM(CH129:CK129)</f>
        <v>0</v>
      </c>
      <c r="CM129" s="1312">
        <f>-(AVERAGE(CM128,CM126))*((CM124)/4)</f>
        <v>0</v>
      </c>
      <c r="CN129" s="1312">
        <f>-(AVERAGE(CN128,CN126))*((CN124)/4)</f>
        <v>0</v>
      </c>
      <c r="CO129" s="1312">
        <f>-(AVERAGE(CO128,CO126))*((CO124)/4)</f>
        <v>0</v>
      </c>
      <c r="CP129" s="1312">
        <f>-(AVERAGE(CP128,CP128))*((CP124)/4)</f>
        <v>0</v>
      </c>
      <c r="CQ129" s="1314">
        <f>SUM(CM129:CP129)</f>
        <v>0</v>
      </c>
      <c r="CR129" s="1312">
        <f>-(AVERAGE(CR128,CR126))*((CR124)/4)</f>
        <v>0</v>
      </c>
      <c r="CS129" s="1312">
        <f>-(AVERAGE(CS128,CS126))*((CS124)/4)</f>
        <v>0</v>
      </c>
      <c r="CT129" s="1312">
        <f>-(AVERAGE(CT128,CT126))*((CT124)/4)</f>
        <v>0</v>
      </c>
      <c r="CU129" s="1312">
        <f>-(AVERAGE(CU128,CU128))*((CU124)/4)</f>
        <v>0</v>
      </c>
      <c r="CV129" s="1314">
        <f>SUM(CR129:CU129)</f>
        <v>0</v>
      </c>
      <c r="CW129" s="1312">
        <f>-(AVERAGE(CW128,CW126))*((CW124)/4)</f>
        <v>0</v>
      </c>
      <c r="CX129" s="1312">
        <f>-(AVERAGE(CX128,CX126))*((CX124)/4)</f>
        <v>0</v>
      </c>
      <c r="CY129" s="1312">
        <f>-(AVERAGE(CY128,CY126))*((CY124)/4)</f>
        <v>0</v>
      </c>
      <c r="CZ129" s="1312">
        <f>-(AVERAGE(CZ128,CZ128))*((CZ124)/4)</f>
        <v>0</v>
      </c>
      <c r="DA129" s="1314">
        <f>SUM(CW129:CZ129)</f>
        <v>0</v>
      </c>
      <c r="DB129" s="1312">
        <f>-(AVERAGE(DB128,DB126))*((DB124)/4)</f>
        <v>0</v>
      </c>
      <c r="DC129" s="1312">
        <f>-(AVERAGE(DC128,DC126))*((DC124)/4)</f>
        <v>0</v>
      </c>
      <c r="DD129" s="1312">
        <f>-(AVERAGE(DD128,DD126))*((DD124)/4)</f>
        <v>0</v>
      </c>
      <c r="DE129" s="1312">
        <f>-(AVERAGE(DE128,DE128))*((DE124)/4)</f>
        <v>0</v>
      </c>
      <c r="DF129" s="1314">
        <f>SUM(DB129:DE129)</f>
        <v>0</v>
      </c>
    </row>
    <row r="130" spans="1:110" s="1289" customFormat="1" ht="13.5" thickBot="1" x14ac:dyDescent="0.25">
      <c r="A130" s="1273"/>
      <c r="B130" s="1310"/>
      <c r="C130" s="1311"/>
      <c r="D130" s="1311"/>
      <c r="E130" s="1311"/>
      <c r="F130" s="1311"/>
      <c r="G130" s="1311"/>
      <c r="H130" s="1311"/>
      <c r="I130" s="1311"/>
      <c r="J130" s="1311"/>
      <c r="K130" s="1311"/>
      <c r="L130" s="1311"/>
      <c r="M130" s="1311"/>
      <c r="N130" s="1311"/>
      <c r="O130" s="1311"/>
      <c r="P130" s="1311"/>
      <c r="Q130" s="1311"/>
      <c r="R130" s="1311"/>
      <c r="S130" s="1312"/>
      <c r="T130" s="1312"/>
      <c r="U130" s="1312"/>
      <c r="V130" s="1312"/>
      <c r="W130" s="1312"/>
      <c r="X130" s="1312"/>
      <c r="Y130" s="1312"/>
      <c r="Z130" s="1312"/>
      <c r="AA130" s="1312"/>
      <c r="AB130" s="1312"/>
      <c r="AC130" s="1312"/>
      <c r="AD130" s="1312"/>
      <c r="AE130" s="1312"/>
      <c r="AF130" s="1312"/>
      <c r="AG130" s="1312"/>
      <c r="AH130" s="1312"/>
      <c r="AI130" s="1312"/>
      <c r="AJ130" s="1312"/>
      <c r="AK130" s="1312"/>
      <c r="AL130" s="1312"/>
      <c r="AM130" s="1312"/>
      <c r="AN130" s="1312"/>
      <c r="AO130" s="1312"/>
      <c r="AP130" s="1312"/>
      <c r="AQ130" s="1312"/>
      <c r="AR130" s="1312"/>
      <c r="AS130" s="1312"/>
      <c r="AT130" s="1312"/>
      <c r="AU130" s="1312"/>
      <c r="AV130" s="1312"/>
      <c r="AW130" s="1312"/>
      <c r="AX130" s="1312"/>
      <c r="AY130" s="1312"/>
      <c r="AZ130" s="1312"/>
      <c r="BA130" s="1312"/>
      <c r="BB130" s="1312"/>
      <c r="BC130" s="1312"/>
      <c r="BD130" s="1312"/>
      <c r="BE130" s="1312"/>
      <c r="BF130" s="1312"/>
      <c r="BG130" s="1312"/>
      <c r="BH130" s="1312"/>
      <c r="BI130" s="1312"/>
      <c r="BJ130" s="1312"/>
      <c r="BK130" s="1312"/>
      <c r="BL130" s="1312"/>
      <c r="BM130" s="1312"/>
      <c r="BN130" s="1578"/>
      <c r="BO130" s="1312"/>
      <c r="BP130" s="1312"/>
      <c r="BQ130" s="1312"/>
      <c r="BR130" s="1312"/>
      <c r="BS130" s="1312"/>
      <c r="BT130" s="1312"/>
      <c r="BU130" s="1312"/>
      <c r="BV130" s="1312"/>
      <c r="BW130" s="1312"/>
      <c r="BX130" s="1312"/>
      <c r="BY130" s="1312"/>
      <c r="BZ130" s="1312"/>
      <c r="CA130" s="1312"/>
      <c r="CB130" s="1713"/>
      <c r="CC130" s="1312"/>
      <c r="CD130" s="1312"/>
      <c r="CE130" s="1312"/>
      <c r="CF130" s="1312"/>
      <c r="CG130" s="1713"/>
      <c r="CH130" s="1312"/>
      <c r="CI130" s="1312"/>
      <c r="CJ130" s="1312"/>
      <c r="CK130" s="1312"/>
      <c r="CL130" s="1713"/>
      <c r="CM130" s="1312"/>
      <c r="CN130" s="1312"/>
      <c r="CO130" s="1312"/>
      <c r="CP130" s="1312"/>
      <c r="CQ130" s="1713"/>
      <c r="CR130" s="1312"/>
      <c r="CS130" s="1312"/>
      <c r="CT130" s="1312"/>
      <c r="CU130" s="1312"/>
      <c r="CV130" s="1713"/>
      <c r="CW130" s="1312"/>
      <c r="CX130" s="1312"/>
      <c r="CY130" s="1312"/>
      <c r="CZ130" s="1312"/>
      <c r="DA130" s="1713"/>
      <c r="DB130" s="1312"/>
      <c r="DC130" s="1312"/>
      <c r="DD130" s="1312"/>
      <c r="DE130" s="1312"/>
      <c r="DF130" s="1713"/>
    </row>
    <row r="131" spans="1:110" s="326" customFormat="1" ht="12" thickBot="1" x14ac:dyDescent="0.25">
      <c r="B131" s="981" t="s">
        <v>429</v>
      </c>
      <c r="C131" s="989"/>
      <c r="D131" s="989"/>
      <c r="E131" s="989"/>
      <c r="F131" s="989"/>
      <c r="G131" s="989"/>
      <c r="H131" s="989"/>
      <c r="I131" s="989"/>
      <c r="J131" s="989"/>
      <c r="K131" s="989"/>
      <c r="L131" s="989"/>
      <c r="M131" s="989"/>
      <c r="N131" s="989"/>
      <c r="O131" s="989"/>
      <c r="P131" s="989"/>
      <c r="Q131" s="989"/>
      <c r="R131" s="989"/>
      <c r="S131" s="990"/>
      <c r="T131" s="990"/>
      <c r="U131" s="990"/>
      <c r="V131" s="991"/>
      <c r="W131" s="991"/>
      <c r="X131" s="991"/>
      <c r="Y131" s="990"/>
      <c r="Z131" s="990"/>
      <c r="AA131" s="990"/>
      <c r="AB131" s="990"/>
      <c r="AC131" s="990"/>
      <c r="AD131" s="990"/>
      <c r="AE131" s="990"/>
      <c r="AF131" s="990"/>
      <c r="AG131" s="990"/>
      <c r="AH131" s="990"/>
      <c r="AI131" s="990"/>
      <c r="AJ131" s="990"/>
      <c r="AK131" s="990"/>
      <c r="AL131" s="990"/>
      <c r="AM131" s="990"/>
      <c r="AN131" s="990"/>
      <c r="AO131" s="990"/>
      <c r="AP131" s="990"/>
      <c r="AQ131" s="990"/>
      <c r="AR131" s="990"/>
      <c r="AS131" s="990"/>
      <c r="AT131" s="990"/>
      <c r="AU131" s="990"/>
      <c r="AV131" s="990"/>
      <c r="AW131" s="990"/>
      <c r="AX131" s="990"/>
      <c r="AY131" s="990"/>
      <c r="AZ131" s="990"/>
      <c r="BA131" s="990"/>
      <c r="BB131" s="990"/>
      <c r="BC131" s="990"/>
      <c r="BD131" s="990"/>
      <c r="BE131" s="990"/>
      <c r="BF131" s="990"/>
      <c r="BG131" s="990"/>
      <c r="BH131" s="990"/>
      <c r="BI131" s="990"/>
      <c r="BJ131" s="990"/>
      <c r="BK131" s="990"/>
      <c r="BL131" s="990"/>
      <c r="BM131" s="990"/>
      <c r="BN131" s="990"/>
      <c r="BO131" s="990"/>
      <c r="BP131" s="990"/>
      <c r="BQ131" s="990"/>
      <c r="BR131" s="990"/>
      <c r="BS131" s="990"/>
      <c r="BT131" s="990"/>
      <c r="BU131" s="990"/>
      <c r="BV131" s="990"/>
      <c r="BW131" s="990"/>
      <c r="BX131" s="990"/>
      <c r="BY131" s="990"/>
      <c r="BZ131" s="990"/>
      <c r="CA131" s="990"/>
      <c r="CB131" s="992"/>
      <c r="CC131" s="990"/>
      <c r="CD131" s="990"/>
      <c r="CE131" s="990"/>
      <c r="CF131" s="990"/>
      <c r="CG131" s="992"/>
      <c r="CH131" s="990"/>
      <c r="CI131" s="990"/>
      <c r="CJ131" s="990"/>
      <c r="CK131" s="990"/>
      <c r="CL131" s="992"/>
      <c r="CM131" s="990"/>
      <c r="CN131" s="990"/>
      <c r="CO131" s="990"/>
      <c r="CP131" s="990"/>
      <c r="CQ131" s="992"/>
      <c r="CR131" s="990"/>
      <c r="CS131" s="990"/>
      <c r="CT131" s="990"/>
      <c r="CU131" s="990"/>
      <c r="CV131" s="992"/>
      <c r="CW131" s="990"/>
      <c r="CX131" s="990"/>
      <c r="CY131" s="990"/>
      <c r="CZ131" s="990"/>
      <c r="DA131" s="992"/>
      <c r="DB131" s="990"/>
      <c r="DC131" s="990"/>
      <c r="DD131" s="990"/>
      <c r="DE131" s="990"/>
      <c r="DF131" s="992"/>
    </row>
    <row r="132" spans="1:110" x14ac:dyDescent="0.2">
      <c r="B132" s="591" t="s">
        <v>203</v>
      </c>
      <c r="C132" s="561"/>
      <c r="D132" s="561"/>
      <c r="E132" s="561"/>
      <c r="F132" s="561"/>
      <c r="G132" s="561"/>
      <c r="H132" s="561"/>
      <c r="I132" s="561"/>
      <c r="J132" s="561"/>
      <c r="K132" s="561"/>
      <c r="L132" s="561"/>
      <c r="M132" s="561"/>
      <c r="N132" s="561"/>
      <c r="O132" s="561"/>
      <c r="P132" s="561"/>
      <c r="Q132" s="561"/>
      <c r="R132" s="561"/>
      <c r="S132" s="531"/>
      <c r="T132" s="531"/>
      <c r="U132" s="531"/>
      <c r="V132" s="577"/>
      <c r="W132" s="577"/>
      <c r="X132" s="577"/>
      <c r="Y132" s="532"/>
      <c r="Z132" s="531"/>
      <c r="AA132" s="531"/>
      <c r="AB132" s="531"/>
      <c r="AC132" s="531"/>
      <c r="AD132" s="532"/>
      <c r="AE132" s="531"/>
      <c r="AF132" s="531"/>
      <c r="AG132" s="531"/>
      <c r="AH132" s="531"/>
      <c r="AI132" s="532"/>
      <c r="AJ132" s="531"/>
      <c r="AK132" s="531"/>
      <c r="AL132" s="531"/>
      <c r="AM132" s="531"/>
      <c r="AN132" s="532"/>
      <c r="AO132" s="531"/>
      <c r="AP132" s="531"/>
      <c r="AQ132" s="531"/>
      <c r="AR132" s="531"/>
      <c r="AS132" s="532"/>
      <c r="AT132" s="531"/>
      <c r="AU132" s="588"/>
      <c r="AV132" s="54"/>
      <c r="AW132" s="54"/>
      <c r="AX132" s="532"/>
      <c r="AY132" s="54"/>
      <c r="AZ132" s="54"/>
      <c r="BA132" s="54"/>
      <c r="BB132" s="54"/>
      <c r="BC132" s="532"/>
      <c r="BD132" s="54"/>
      <c r="BE132" s="588"/>
      <c r="BF132" s="54"/>
      <c r="BG132" s="54">
        <f>BF132</f>
        <v>0</v>
      </c>
      <c r="BH132" s="532"/>
      <c r="BI132" s="54">
        <f>BG132</f>
        <v>0</v>
      </c>
      <c r="BJ132" s="54">
        <f t="shared" ref="BJ132:BL134" si="197">BI132</f>
        <v>0</v>
      </c>
      <c r="BK132" s="54">
        <f t="shared" si="197"/>
        <v>0</v>
      </c>
      <c r="BL132" s="54">
        <f t="shared" si="197"/>
        <v>0</v>
      </c>
      <c r="BM132" s="532"/>
      <c r="BN132" s="54">
        <f>BL132</f>
        <v>0</v>
      </c>
      <c r="BO132" s="54">
        <f t="shared" ref="BO132:BQ134" si="198">BN132</f>
        <v>0</v>
      </c>
      <c r="BP132" s="54">
        <f t="shared" si="198"/>
        <v>0</v>
      </c>
      <c r="BQ132" s="54">
        <f t="shared" si="198"/>
        <v>0</v>
      </c>
      <c r="BR132" s="532"/>
      <c r="BS132" s="54">
        <f>BQ132</f>
        <v>0</v>
      </c>
      <c r="BT132" s="54">
        <f t="shared" ref="BT132:BV134" si="199">BS132</f>
        <v>0</v>
      </c>
      <c r="BU132" s="54">
        <f t="shared" si="199"/>
        <v>0</v>
      </c>
      <c r="BV132" s="54">
        <f t="shared" si="199"/>
        <v>0</v>
      </c>
      <c r="BW132" s="532"/>
      <c r="BX132" s="54">
        <f>BV132</f>
        <v>0</v>
      </c>
      <c r="BY132" s="54">
        <f t="shared" ref="BY132:CA134" si="200">BX132</f>
        <v>0</v>
      </c>
      <c r="BZ132" s="54">
        <f t="shared" si="200"/>
        <v>0</v>
      </c>
      <c r="CA132" s="54">
        <f t="shared" si="200"/>
        <v>0</v>
      </c>
      <c r="CB132" s="562"/>
      <c r="CC132" s="54">
        <f>CA132</f>
        <v>0</v>
      </c>
      <c r="CD132" s="54">
        <f t="shared" ref="CD132:CF134" si="201">CC132</f>
        <v>0</v>
      </c>
      <c r="CE132" s="54">
        <f t="shared" si="201"/>
        <v>0</v>
      </c>
      <c r="CF132" s="54">
        <f t="shared" si="201"/>
        <v>0</v>
      </c>
      <c r="CG132" s="562"/>
      <c r="CH132" s="54">
        <f>CF132</f>
        <v>0</v>
      </c>
      <c r="CI132" s="54">
        <f t="shared" ref="CI132:CK134" si="202">CH132</f>
        <v>0</v>
      </c>
      <c r="CJ132" s="54">
        <f t="shared" si="202"/>
        <v>0</v>
      </c>
      <c r="CK132" s="54">
        <f t="shared" si="202"/>
        <v>0</v>
      </c>
      <c r="CL132" s="562"/>
      <c r="CM132" s="54">
        <f>CK132</f>
        <v>0</v>
      </c>
      <c r="CN132" s="54">
        <f t="shared" ref="CN132:CP134" si="203">CM132</f>
        <v>0</v>
      </c>
      <c r="CO132" s="54">
        <f t="shared" si="203"/>
        <v>0</v>
      </c>
      <c r="CP132" s="54">
        <f t="shared" si="203"/>
        <v>0</v>
      </c>
      <c r="CQ132" s="562"/>
      <c r="CR132" s="54">
        <f>CP132</f>
        <v>0</v>
      </c>
      <c r="CS132" s="54">
        <f t="shared" ref="CS132:CS134" si="204">CR132</f>
        <v>0</v>
      </c>
      <c r="CT132" s="54">
        <f t="shared" ref="CT132:CT134" si="205">CS132</f>
        <v>0</v>
      </c>
      <c r="CU132" s="54">
        <f t="shared" ref="CU132:CU134" si="206">CT132</f>
        <v>0</v>
      </c>
      <c r="CV132" s="562"/>
      <c r="CW132" s="54">
        <f>CU132</f>
        <v>0</v>
      </c>
      <c r="CX132" s="54">
        <f t="shared" ref="CX132:CX134" si="207">CW132</f>
        <v>0</v>
      </c>
      <c r="CY132" s="54">
        <f t="shared" ref="CY132:CY134" si="208">CX132</f>
        <v>0</v>
      </c>
      <c r="CZ132" s="54">
        <f t="shared" ref="CZ132:CZ134" si="209">CY132</f>
        <v>0</v>
      </c>
      <c r="DA132" s="562"/>
      <c r="DB132" s="54">
        <f>CZ132</f>
        <v>0</v>
      </c>
      <c r="DC132" s="54">
        <f t="shared" ref="DC132:DC134" si="210">DB132</f>
        <v>0</v>
      </c>
      <c r="DD132" s="54">
        <f t="shared" ref="DD132:DD134" si="211">DC132</f>
        <v>0</v>
      </c>
      <c r="DE132" s="54">
        <f t="shared" ref="DE132:DE134" si="212">DD132</f>
        <v>0</v>
      </c>
      <c r="DF132" s="562"/>
    </row>
    <row r="133" spans="1:110" x14ac:dyDescent="0.2">
      <c r="B133" s="578" t="s">
        <v>204</v>
      </c>
      <c r="C133" s="145"/>
      <c r="D133" s="145"/>
      <c r="E133" s="145"/>
      <c r="F133" s="145"/>
      <c r="G133" s="145"/>
      <c r="H133" s="145"/>
      <c r="I133" s="145"/>
      <c r="J133" s="145"/>
      <c r="K133" s="145"/>
      <c r="L133" s="145"/>
      <c r="M133" s="145"/>
      <c r="N133" s="145"/>
      <c r="O133" s="145"/>
      <c r="P133" s="145"/>
      <c r="Q133" s="145"/>
      <c r="R133" s="145"/>
      <c r="S133" s="346"/>
      <c r="T133" s="346"/>
      <c r="U133" s="346"/>
      <c r="V133" s="326"/>
      <c r="W133" s="326"/>
      <c r="X133" s="326"/>
      <c r="Y133" s="340"/>
      <c r="Z133" s="346"/>
      <c r="AA133" s="346"/>
      <c r="AB133" s="346"/>
      <c r="AC133" s="346"/>
      <c r="AD133" s="340"/>
      <c r="AE133" s="346"/>
      <c r="AF133" s="346"/>
      <c r="AG133" s="346"/>
      <c r="AH133" s="346"/>
      <c r="AI133" s="340"/>
      <c r="AJ133" s="346"/>
      <c r="AK133" s="346"/>
      <c r="AL133" s="346"/>
      <c r="AM133" s="346"/>
      <c r="AN133" s="340"/>
      <c r="AO133" s="346"/>
      <c r="AP133" s="346"/>
      <c r="AQ133" s="346"/>
      <c r="AR133" s="346"/>
      <c r="AS133" s="340"/>
      <c r="AT133" s="346"/>
      <c r="AU133" s="267"/>
      <c r="AV133" s="146"/>
      <c r="AW133" s="146"/>
      <c r="AX133" s="340"/>
      <c r="AY133" s="146"/>
      <c r="AZ133" s="146"/>
      <c r="BA133" s="146"/>
      <c r="BB133" s="146"/>
      <c r="BC133" s="340"/>
      <c r="BD133" s="146"/>
      <c r="BE133" s="267"/>
      <c r="BF133" s="146"/>
      <c r="BG133" s="146">
        <f>BF133</f>
        <v>0</v>
      </c>
      <c r="BH133" s="340"/>
      <c r="BI133" s="146">
        <v>2.1000000000000001E-2</v>
      </c>
      <c r="BJ133" s="146">
        <f t="shared" si="197"/>
        <v>2.1000000000000001E-2</v>
      </c>
      <c r="BK133" s="146">
        <f t="shared" si="197"/>
        <v>2.1000000000000001E-2</v>
      </c>
      <c r="BL133" s="146">
        <f t="shared" si="197"/>
        <v>2.1000000000000001E-2</v>
      </c>
      <c r="BM133" s="340"/>
      <c r="BN133" s="146">
        <f>BL133</f>
        <v>2.1000000000000001E-2</v>
      </c>
      <c r="BO133" s="146">
        <f t="shared" si="198"/>
        <v>2.1000000000000001E-2</v>
      </c>
      <c r="BP133" s="146">
        <f t="shared" si="198"/>
        <v>2.1000000000000001E-2</v>
      </c>
      <c r="BQ133" s="146">
        <f t="shared" si="198"/>
        <v>2.1000000000000001E-2</v>
      </c>
      <c r="BR133" s="340"/>
      <c r="BS133" s="146">
        <f>BQ133</f>
        <v>2.1000000000000001E-2</v>
      </c>
      <c r="BT133" s="146">
        <f t="shared" si="199"/>
        <v>2.1000000000000001E-2</v>
      </c>
      <c r="BU133" s="146">
        <f t="shared" si="199"/>
        <v>2.1000000000000001E-2</v>
      </c>
      <c r="BV133" s="146">
        <f t="shared" si="199"/>
        <v>2.1000000000000001E-2</v>
      </c>
      <c r="BW133" s="340"/>
      <c r="BX133" s="146">
        <f>BV133</f>
        <v>2.1000000000000001E-2</v>
      </c>
      <c r="BY133" s="146">
        <f t="shared" si="200"/>
        <v>2.1000000000000001E-2</v>
      </c>
      <c r="BZ133" s="146">
        <f t="shared" si="200"/>
        <v>2.1000000000000001E-2</v>
      </c>
      <c r="CA133" s="146">
        <f t="shared" si="200"/>
        <v>2.1000000000000001E-2</v>
      </c>
      <c r="CB133" s="563"/>
      <c r="CC133" s="146">
        <f>CA133</f>
        <v>2.1000000000000001E-2</v>
      </c>
      <c r="CD133" s="146">
        <f t="shared" si="201"/>
        <v>2.1000000000000001E-2</v>
      </c>
      <c r="CE133" s="146">
        <f t="shared" si="201"/>
        <v>2.1000000000000001E-2</v>
      </c>
      <c r="CF133" s="146">
        <f t="shared" si="201"/>
        <v>2.1000000000000001E-2</v>
      </c>
      <c r="CG133" s="563"/>
      <c r="CH133" s="146">
        <f>CF133</f>
        <v>2.1000000000000001E-2</v>
      </c>
      <c r="CI133" s="146">
        <f t="shared" si="202"/>
        <v>2.1000000000000001E-2</v>
      </c>
      <c r="CJ133" s="146">
        <f t="shared" si="202"/>
        <v>2.1000000000000001E-2</v>
      </c>
      <c r="CK133" s="146">
        <f t="shared" si="202"/>
        <v>2.1000000000000001E-2</v>
      </c>
      <c r="CL133" s="563"/>
      <c r="CM133" s="146">
        <f>CK133</f>
        <v>2.1000000000000001E-2</v>
      </c>
      <c r="CN133" s="146">
        <f t="shared" si="203"/>
        <v>2.1000000000000001E-2</v>
      </c>
      <c r="CO133" s="146">
        <f t="shared" si="203"/>
        <v>2.1000000000000001E-2</v>
      </c>
      <c r="CP133" s="146">
        <f t="shared" si="203"/>
        <v>2.1000000000000001E-2</v>
      </c>
      <c r="CQ133" s="563"/>
      <c r="CR133" s="146">
        <f>CP133</f>
        <v>2.1000000000000001E-2</v>
      </c>
      <c r="CS133" s="146">
        <f t="shared" si="204"/>
        <v>2.1000000000000001E-2</v>
      </c>
      <c r="CT133" s="146">
        <f t="shared" si="205"/>
        <v>2.1000000000000001E-2</v>
      </c>
      <c r="CU133" s="146">
        <f t="shared" si="206"/>
        <v>2.1000000000000001E-2</v>
      </c>
      <c r="CV133" s="563"/>
      <c r="CW133" s="146">
        <f>CU133</f>
        <v>2.1000000000000001E-2</v>
      </c>
      <c r="CX133" s="146">
        <f t="shared" si="207"/>
        <v>2.1000000000000001E-2</v>
      </c>
      <c r="CY133" s="146">
        <f t="shared" si="208"/>
        <v>2.1000000000000001E-2</v>
      </c>
      <c r="CZ133" s="146">
        <f t="shared" si="209"/>
        <v>2.1000000000000001E-2</v>
      </c>
      <c r="DA133" s="563"/>
      <c r="DB133" s="146">
        <f>CZ133</f>
        <v>2.1000000000000001E-2</v>
      </c>
      <c r="DC133" s="146">
        <f t="shared" si="210"/>
        <v>2.1000000000000001E-2</v>
      </c>
      <c r="DD133" s="146">
        <f t="shared" si="211"/>
        <v>2.1000000000000001E-2</v>
      </c>
      <c r="DE133" s="146">
        <f t="shared" si="212"/>
        <v>2.1000000000000001E-2</v>
      </c>
      <c r="DF133" s="563"/>
    </row>
    <row r="134" spans="1:110" x14ac:dyDescent="0.2">
      <c r="B134" s="536" t="s">
        <v>197</v>
      </c>
      <c r="C134" s="145"/>
      <c r="D134" s="145"/>
      <c r="E134" s="145"/>
      <c r="F134" s="145"/>
      <c r="G134" s="145"/>
      <c r="H134" s="145"/>
      <c r="I134" s="145"/>
      <c r="J134" s="145"/>
      <c r="K134" s="145"/>
      <c r="L134" s="145"/>
      <c r="M134" s="145"/>
      <c r="N134" s="145"/>
      <c r="O134" s="145"/>
      <c r="P134" s="145"/>
      <c r="Q134" s="145"/>
      <c r="R134" s="145"/>
      <c r="S134" s="346"/>
      <c r="T134" s="346"/>
      <c r="U134" s="346"/>
      <c r="V134" s="326"/>
      <c r="W134" s="326"/>
      <c r="X134" s="326"/>
      <c r="Y134" s="340"/>
      <c r="Z134" s="346"/>
      <c r="AA134" s="346"/>
      <c r="AB134" s="346"/>
      <c r="AC134" s="346"/>
      <c r="AD134" s="340"/>
      <c r="AE134" s="346"/>
      <c r="AF134" s="346"/>
      <c r="AG134" s="346"/>
      <c r="AH134" s="346"/>
      <c r="AI134" s="340"/>
      <c r="AJ134" s="346"/>
      <c r="AK134" s="346"/>
      <c r="AL134" s="346"/>
      <c r="AM134" s="346"/>
      <c r="AN134" s="340"/>
      <c r="AO134" s="346"/>
      <c r="AP134" s="346"/>
      <c r="AQ134" s="346"/>
      <c r="AR134" s="346"/>
      <c r="AS134" s="340"/>
      <c r="AT134" s="346"/>
      <c r="AU134" s="623"/>
      <c r="AV134" s="625"/>
      <c r="AW134" s="625"/>
      <c r="AX134" s="340"/>
      <c r="AY134" s="346"/>
      <c r="AZ134" s="346"/>
      <c r="BA134" s="346"/>
      <c r="BB134" s="346"/>
      <c r="BC134" s="340"/>
      <c r="BD134" s="346"/>
      <c r="BE134" s="623"/>
      <c r="BF134" s="346"/>
      <c r="BG134" s="346">
        <f>BF134</f>
        <v>0</v>
      </c>
      <c r="BH134" s="340"/>
      <c r="BI134" s="346">
        <v>1000</v>
      </c>
      <c r="BJ134" s="346">
        <f t="shared" si="197"/>
        <v>1000</v>
      </c>
      <c r="BK134" s="346">
        <f t="shared" si="197"/>
        <v>1000</v>
      </c>
      <c r="BL134" s="346">
        <f t="shared" si="197"/>
        <v>1000</v>
      </c>
      <c r="BM134" s="340"/>
      <c r="BN134" s="346">
        <f>BL134</f>
        <v>1000</v>
      </c>
      <c r="BO134" s="346">
        <f t="shared" si="198"/>
        <v>1000</v>
      </c>
      <c r="BP134" s="346">
        <f t="shared" si="198"/>
        <v>1000</v>
      </c>
      <c r="BQ134" s="346">
        <f t="shared" si="198"/>
        <v>1000</v>
      </c>
      <c r="BR134" s="340"/>
      <c r="BS134" s="346">
        <f>BQ134</f>
        <v>1000</v>
      </c>
      <c r="BT134" s="346">
        <f t="shared" si="199"/>
        <v>1000</v>
      </c>
      <c r="BU134" s="346">
        <f t="shared" si="199"/>
        <v>1000</v>
      </c>
      <c r="BV134" s="346">
        <f t="shared" si="199"/>
        <v>1000</v>
      </c>
      <c r="BW134" s="340"/>
      <c r="BX134" s="346">
        <f>BV134</f>
        <v>1000</v>
      </c>
      <c r="BY134" s="346">
        <f t="shared" si="200"/>
        <v>1000</v>
      </c>
      <c r="BZ134" s="346">
        <f t="shared" si="200"/>
        <v>1000</v>
      </c>
      <c r="CA134" s="346">
        <f t="shared" si="200"/>
        <v>1000</v>
      </c>
      <c r="CB134" s="563"/>
      <c r="CC134" s="346">
        <f>CA134</f>
        <v>1000</v>
      </c>
      <c r="CD134" s="346">
        <f t="shared" si="201"/>
        <v>1000</v>
      </c>
      <c r="CE134" s="346">
        <f t="shared" si="201"/>
        <v>1000</v>
      </c>
      <c r="CF134" s="346">
        <f t="shared" si="201"/>
        <v>1000</v>
      </c>
      <c r="CG134" s="563"/>
      <c r="CH134" s="346">
        <f>CF134</f>
        <v>1000</v>
      </c>
      <c r="CI134" s="346">
        <f t="shared" si="202"/>
        <v>1000</v>
      </c>
      <c r="CJ134" s="346">
        <f t="shared" si="202"/>
        <v>1000</v>
      </c>
      <c r="CK134" s="346">
        <f t="shared" si="202"/>
        <v>1000</v>
      </c>
      <c r="CL134" s="563"/>
      <c r="CM134" s="346">
        <f>CK134</f>
        <v>1000</v>
      </c>
      <c r="CN134" s="346">
        <f t="shared" si="203"/>
        <v>1000</v>
      </c>
      <c r="CO134" s="346">
        <f t="shared" si="203"/>
        <v>1000</v>
      </c>
      <c r="CP134" s="346">
        <f t="shared" si="203"/>
        <v>1000</v>
      </c>
      <c r="CQ134" s="563"/>
      <c r="CR134" s="346">
        <f>CP134</f>
        <v>1000</v>
      </c>
      <c r="CS134" s="346">
        <f t="shared" si="204"/>
        <v>1000</v>
      </c>
      <c r="CT134" s="346">
        <f t="shared" si="205"/>
        <v>1000</v>
      </c>
      <c r="CU134" s="346">
        <f t="shared" si="206"/>
        <v>1000</v>
      </c>
      <c r="CV134" s="563"/>
      <c r="CW134" s="346">
        <f>CU134</f>
        <v>1000</v>
      </c>
      <c r="CX134" s="346">
        <f t="shared" si="207"/>
        <v>1000</v>
      </c>
      <c r="CY134" s="346">
        <f t="shared" si="208"/>
        <v>1000</v>
      </c>
      <c r="CZ134" s="346">
        <f t="shared" si="209"/>
        <v>1000</v>
      </c>
      <c r="DA134" s="563"/>
      <c r="DB134" s="346">
        <f>CZ134</f>
        <v>1000</v>
      </c>
      <c r="DC134" s="346">
        <f t="shared" si="210"/>
        <v>1000</v>
      </c>
      <c r="DD134" s="346">
        <f t="shared" si="211"/>
        <v>1000</v>
      </c>
      <c r="DE134" s="346">
        <f t="shared" si="212"/>
        <v>1000</v>
      </c>
      <c r="DF134" s="563"/>
    </row>
    <row r="135" spans="1:110" x14ac:dyDescent="0.2">
      <c r="B135" s="544" t="s">
        <v>198</v>
      </c>
      <c r="C135" s="145"/>
      <c r="D135" s="145"/>
      <c r="E135" s="145"/>
      <c r="F135" s="145"/>
      <c r="G135" s="145"/>
      <c r="H135" s="145"/>
      <c r="I135" s="145"/>
      <c r="J135" s="145"/>
      <c r="K135" s="145"/>
      <c r="L135" s="145"/>
      <c r="M135" s="145"/>
      <c r="N135" s="145"/>
      <c r="O135" s="145"/>
      <c r="P135" s="145"/>
      <c r="Q135" s="145"/>
      <c r="R135" s="145"/>
      <c r="S135" s="346"/>
      <c r="T135" s="346"/>
      <c r="U135" s="346"/>
      <c r="V135" s="326"/>
      <c r="W135" s="326"/>
      <c r="X135" s="326"/>
      <c r="Y135" s="340"/>
      <c r="Z135" s="346"/>
      <c r="AA135" s="346"/>
      <c r="AB135" s="346"/>
      <c r="AC135" s="346"/>
      <c r="AD135" s="340"/>
      <c r="AE135" s="346"/>
      <c r="AF135" s="346"/>
      <c r="AG135" s="346"/>
      <c r="AH135" s="346"/>
      <c r="AI135" s="340"/>
      <c r="AJ135" s="346"/>
      <c r="AK135" s="346"/>
      <c r="AL135" s="346"/>
      <c r="AM135" s="346"/>
      <c r="AN135" s="340"/>
      <c r="AO135" s="346"/>
      <c r="AP135" s="346"/>
      <c r="AQ135" s="346"/>
      <c r="AR135" s="346"/>
      <c r="AS135" s="340"/>
      <c r="AT135" s="346"/>
      <c r="AU135" s="623"/>
      <c r="AV135" s="625"/>
      <c r="AW135" s="625"/>
      <c r="AX135" s="340"/>
      <c r="AY135" s="346"/>
      <c r="AZ135" s="346"/>
      <c r="BA135" s="346"/>
      <c r="BB135" s="346"/>
      <c r="BC135" s="340"/>
      <c r="BD135" s="346"/>
      <c r="BE135" s="346"/>
      <c r="BF135" s="346"/>
      <c r="BG135" s="346">
        <f>BF137</f>
        <v>0</v>
      </c>
      <c r="BH135" s="340"/>
      <c r="BI135" s="346">
        <f>BG137</f>
        <v>0</v>
      </c>
      <c r="BJ135" s="346">
        <f>BI137</f>
        <v>995.7</v>
      </c>
      <c r="BK135" s="346">
        <f>BJ137</f>
        <v>995.7</v>
      </c>
      <c r="BL135" s="346">
        <f>BK137</f>
        <v>996.1</v>
      </c>
      <c r="BM135" s="340"/>
      <c r="BN135" s="346">
        <f>BL137</f>
        <v>996.5</v>
      </c>
      <c r="BO135" s="346">
        <f>BN137</f>
        <v>996.9</v>
      </c>
      <c r="BP135" s="346">
        <f>BO137</f>
        <v>997.3</v>
      </c>
      <c r="BQ135" s="346">
        <f>BP137</f>
        <v>997.7</v>
      </c>
      <c r="BR135" s="340"/>
      <c r="BS135" s="346">
        <f>BQ137</f>
        <v>998.1</v>
      </c>
      <c r="BT135" s="346">
        <f>BS137</f>
        <v>998.6</v>
      </c>
      <c r="BU135" s="346">
        <f>BT137</f>
        <v>999</v>
      </c>
      <c r="BV135" s="346">
        <f>BU137</f>
        <v>999.4</v>
      </c>
      <c r="BW135" s="340"/>
      <c r="BX135" s="346">
        <f>BV137</f>
        <v>999.8</v>
      </c>
      <c r="BY135" s="346">
        <f>BX137</f>
        <v>0</v>
      </c>
      <c r="BZ135" s="346">
        <f>BY137</f>
        <v>0</v>
      </c>
      <c r="CA135" s="346">
        <f>BZ137</f>
        <v>0</v>
      </c>
      <c r="CB135" s="563"/>
      <c r="CC135" s="346">
        <f>CA137</f>
        <v>0</v>
      </c>
      <c r="CD135" s="346">
        <f>CC137</f>
        <v>0</v>
      </c>
      <c r="CE135" s="346">
        <f>CD137</f>
        <v>0</v>
      </c>
      <c r="CF135" s="346">
        <f>CE137</f>
        <v>0</v>
      </c>
      <c r="CG135" s="563"/>
      <c r="CH135" s="346">
        <f>CF137</f>
        <v>0</v>
      </c>
      <c r="CI135" s="346">
        <f>CH137</f>
        <v>0</v>
      </c>
      <c r="CJ135" s="346">
        <f>CI137</f>
        <v>0</v>
      </c>
      <c r="CK135" s="346">
        <f>CJ137</f>
        <v>0</v>
      </c>
      <c r="CL135" s="563"/>
      <c r="CM135" s="346">
        <f>CK137</f>
        <v>0</v>
      </c>
      <c r="CN135" s="346">
        <f>CM137</f>
        <v>0</v>
      </c>
      <c r="CO135" s="346">
        <f>CN137</f>
        <v>0</v>
      </c>
      <c r="CP135" s="346">
        <f>CO137</f>
        <v>0</v>
      </c>
      <c r="CQ135" s="563"/>
      <c r="CR135" s="346">
        <f>CP137</f>
        <v>0</v>
      </c>
      <c r="CS135" s="346">
        <f>CR137</f>
        <v>0</v>
      </c>
      <c r="CT135" s="346">
        <f>CS137</f>
        <v>0</v>
      </c>
      <c r="CU135" s="346">
        <f>CT137</f>
        <v>0</v>
      </c>
      <c r="CV135" s="563"/>
      <c r="CW135" s="346">
        <f>CU137</f>
        <v>0</v>
      </c>
      <c r="CX135" s="346">
        <f>CW137</f>
        <v>0</v>
      </c>
      <c r="CY135" s="346">
        <f>CX137</f>
        <v>0</v>
      </c>
      <c r="CZ135" s="346">
        <f>CY137</f>
        <v>0</v>
      </c>
      <c r="DA135" s="563"/>
      <c r="DB135" s="346">
        <f>CZ137</f>
        <v>0</v>
      </c>
      <c r="DC135" s="346">
        <f>DB137</f>
        <v>0</v>
      </c>
      <c r="DD135" s="346">
        <f>DC137</f>
        <v>0</v>
      </c>
      <c r="DE135" s="346">
        <f>DD137</f>
        <v>0</v>
      </c>
      <c r="DF135" s="563"/>
    </row>
    <row r="136" spans="1:110" x14ac:dyDescent="0.2">
      <c r="B136" s="589" t="s">
        <v>199</v>
      </c>
      <c r="C136" s="359"/>
      <c r="D136" s="359"/>
      <c r="E136" s="359"/>
      <c r="F136" s="359"/>
      <c r="G136" s="359"/>
      <c r="H136" s="359"/>
      <c r="I136" s="359"/>
      <c r="J136" s="359"/>
      <c r="K136" s="359"/>
      <c r="L136" s="359"/>
      <c r="M136" s="359"/>
      <c r="N136" s="359"/>
      <c r="O136" s="359"/>
      <c r="P136" s="359"/>
      <c r="Q136" s="359"/>
      <c r="R136" s="359"/>
      <c r="S136" s="347"/>
      <c r="T136" s="347"/>
      <c r="U136" s="347"/>
      <c r="V136" s="377"/>
      <c r="W136" s="377"/>
      <c r="X136" s="377"/>
      <c r="Y136" s="343"/>
      <c r="Z136" s="347"/>
      <c r="AA136" s="347"/>
      <c r="AB136" s="347"/>
      <c r="AC136" s="347"/>
      <c r="AD136" s="343"/>
      <c r="AE136" s="347"/>
      <c r="AF136" s="347"/>
      <c r="AG136" s="347"/>
      <c r="AH136" s="347"/>
      <c r="AI136" s="343"/>
      <c r="AJ136" s="347"/>
      <c r="AK136" s="347"/>
      <c r="AL136" s="347"/>
      <c r="AM136" s="347"/>
      <c r="AN136" s="343"/>
      <c r="AO136" s="347"/>
      <c r="AP136" s="347"/>
      <c r="AQ136" s="347"/>
      <c r="AR136" s="347"/>
      <c r="AS136" s="343"/>
      <c r="AT136" s="347"/>
      <c r="AU136" s="629"/>
      <c r="AV136" s="642"/>
      <c r="AW136" s="629"/>
      <c r="AX136" s="343"/>
      <c r="AY136" s="347"/>
      <c r="AZ136" s="347"/>
      <c r="BA136" s="347"/>
      <c r="BB136" s="347"/>
      <c r="BC136" s="343"/>
      <c r="BD136" s="347"/>
      <c r="BE136" s="629"/>
      <c r="BF136" s="347"/>
      <c r="BG136" s="347">
        <f>BF136</f>
        <v>0</v>
      </c>
      <c r="BH136" s="343"/>
      <c r="BI136" s="347">
        <v>995.7</v>
      </c>
      <c r="BJ136" s="347"/>
      <c r="BK136" s="347">
        <f>996.1-BK135</f>
        <v>0.39999999999997726</v>
      </c>
      <c r="BL136" s="348">
        <f>996.5-BL135</f>
        <v>0.39999999999997726</v>
      </c>
      <c r="BM136" s="343"/>
      <c r="BN136" s="348">
        <v>0.4</v>
      </c>
      <c r="BO136" s="347">
        <f>997.3-BO135</f>
        <v>0.39999999999997726</v>
      </c>
      <c r="BP136" s="348">
        <f>997.7-BP135</f>
        <v>0.40000000000009095</v>
      </c>
      <c r="BQ136" s="347">
        <f>998.1-BQ135</f>
        <v>0.39999999999997726</v>
      </c>
      <c r="BR136" s="343"/>
      <c r="BS136" s="347">
        <f>BS135-BS137</f>
        <v>-0.5</v>
      </c>
      <c r="BT136" s="347">
        <f>BT135-BT137</f>
        <v>-0.39999999999997726</v>
      </c>
      <c r="BU136" s="347">
        <f>BU135-BU137</f>
        <v>-0.39999999999997726</v>
      </c>
      <c r="BV136" s="347">
        <f>BV135-BV137</f>
        <v>-0.39999999999997726</v>
      </c>
      <c r="BW136" s="343"/>
      <c r="BX136" s="347">
        <v>-999.8</v>
      </c>
      <c r="BY136" s="347">
        <v>0</v>
      </c>
      <c r="BZ136" s="347">
        <f>BY136</f>
        <v>0</v>
      </c>
      <c r="CA136" s="347">
        <f>BZ136</f>
        <v>0</v>
      </c>
      <c r="CB136" s="585"/>
      <c r="CC136" s="347">
        <v>0</v>
      </c>
      <c r="CD136" s="347">
        <v>0</v>
      </c>
      <c r="CE136" s="347">
        <f>CD136</f>
        <v>0</v>
      </c>
      <c r="CF136" s="347">
        <f>CE136</f>
        <v>0</v>
      </c>
      <c r="CG136" s="585"/>
      <c r="CH136" s="347">
        <v>0</v>
      </c>
      <c r="CI136" s="347">
        <v>0</v>
      </c>
      <c r="CJ136" s="347">
        <f>CI136</f>
        <v>0</v>
      </c>
      <c r="CK136" s="347">
        <f>CJ136</f>
        <v>0</v>
      </c>
      <c r="CL136" s="585"/>
      <c r="CM136" s="347">
        <v>0</v>
      </c>
      <c r="CN136" s="347">
        <v>0</v>
      </c>
      <c r="CO136" s="347">
        <f>CN136</f>
        <v>0</v>
      </c>
      <c r="CP136" s="347">
        <f>CO136</f>
        <v>0</v>
      </c>
      <c r="CQ136" s="585"/>
      <c r="CR136" s="347">
        <v>0</v>
      </c>
      <c r="CS136" s="347">
        <v>0</v>
      </c>
      <c r="CT136" s="347">
        <f>CS136</f>
        <v>0</v>
      </c>
      <c r="CU136" s="347">
        <f>CT136</f>
        <v>0</v>
      </c>
      <c r="CV136" s="585"/>
      <c r="CW136" s="347">
        <v>0</v>
      </c>
      <c r="CX136" s="347">
        <v>0</v>
      </c>
      <c r="CY136" s="347">
        <f>CX136</f>
        <v>0</v>
      </c>
      <c r="CZ136" s="347">
        <f>CY136</f>
        <v>0</v>
      </c>
      <c r="DA136" s="585"/>
      <c r="DB136" s="347">
        <v>0</v>
      </c>
      <c r="DC136" s="347">
        <v>0</v>
      </c>
      <c r="DD136" s="347">
        <f>DC136</f>
        <v>0</v>
      </c>
      <c r="DE136" s="347">
        <f>DD136</f>
        <v>0</v>
      </c>
      <c r="DF136" s="585"/>
    </row>
    <row r="137" spans="1:110" x14ac:dyDescent="0.2">
      <c r="B137" s="544" t="s">
        <v>200</v>
      </c>
      <c r="C137" s="145"/>
      <c r="D137" s="145"/>
      <c r="E137" s="145"/>
      <c r="F137" s="145"/>
      <c r="G137" s="145"/>
      <c r="H137" s="145"/>
      <c r="I137" s="145"/>
      <c r="J137" s="145"/>
      <c r="K137" s="145"/>
      <c r="L137" s="145"/>
      <c r="M137" s="145"/>
      <c r="N137" s="145"/>
      <c r="O137" s="145"/>
      <c r="P137" s="145"/>
      <c r="Q137" s="145"/>
      <c r="R137" s="145"/>
      <c r="S137" s="346"/>
      <c r="T137" s="346"/>
      <c r="U137" s="346"/>
      <c r="V137" s="326"/>
      <c r="W137" s="326"/>
      <c r="X137" s="326"/>
      <c r="Y137" s="340"/>
      <c r="Z137" s="346"/>
      <c r="AA137" s="346"/>
      <c r="AB137" s="346"/>
      <c r="AC137" s="346"/>
      <c r="AD137" s="340"/>
      <c r="AE137" s="346"/>
      <c r="AF137" s="346"/>
      <c r="AG137" s="346"/>
      <c r="AH137" s="346"/>
      <c r="AI137" s="340"/>
      <c r="AJ137" s="346"/>
      <c r="AK137" s="346"/>
      <c r="AL137" s="346"/>
      <c r="AM137" s="346"/>
      <c r="AN137" s="340"/>
      <c r="AO137" s="346"/>
      <c r="AP137" s="346"/>
      <c r="AQ137" s="346"/>
      <c r="AR137" s="346"/>
      <c r="AS137" s="340"/>
      <c r="AT137" s="346"/>
      <c r="AU137" s="625"/>
      <c r="AV137" s="625"/>
      <c r="AW137" s="625"/>
      <c r="AX137" s="340"/>
      <c r="AY137" s="346"/>
      <c r="AZ137" s="346"/>
      <c r="BA137" s="346"/>
      <c r="BB137" s="346"/>
      <c r="BC137" s="340"/>
      <c r="BD137" s="346"/>
      <c r="BE137" s="625"/>
      <c r="BF137" s="346"/>
      <c r="BG137" s="346">
        <f>BG135+BG136</f>
        <v>0</v>
      </c>
      <c r="BH137" s="340"/>
      <c r="BI137" s="346">
        <f>BI135+BI136</f>
        <v>995.7</v>
      </c>
      <c r="BJ137" s="346">
        <f>BJ135+BJ136</f>
        <v>995.7</v>
      </c>
      <c r="BK137" s="346">
        <f>BK135+BK136</f>
        <v>996.1</v>
      </c>
      <c r="BL137" s="346">
        <f>BL135+BL136</f>
        <v>996.5</v>
      </c>
      <c r="BM137" s="340"/>
      <c r="BN137" s="346">
        <f>BN135+BN136</f>
        <v>996.9</v>
      </c>
      <c r="BO137" s="346">
        <f>BO135+BO136</f>
        <v>997.3</v>
      </c>
      <c r="BP137" s="346">
        <f>BP135+BP136</f>
        <v>997.7</v>
      </c>
      <c r="BQ137" s="346">
        <f>BQ135+BQ136</f>
        <v>998.1</v>
      </c>
      <c r="BR137" s="340"/>
      <c r="BS137" s="354">
        <v>998.6</v>
      </c>
      <c r="BT137" s="354">
        <v>999</v>
      </c>
      <c r="BU137" s="354">
        <v>999.4</v>
      </c>
      <c r="BV137" s="346">
        <v>999.8</v>
      </c>
      <c r="BW137" s="340"/>
      <c r="BX137" s="346">
        <f>BX135+BX136</f>
        <v>0</v>
      </c>
      <c r="BY137" s="346">
        <f>BY135+BY136</f>
        <v>0</v>
      </c>
      <c r="BZ137" s="346">
        <f>BZ135+BZ136</f>
        <v>0</v>
      </c>
      <c r="CA137" s="346">
        <f>CA135+CA136</f>
        <v>0</v>
      </c>
      <c r="CB137" s="563"/>
      <c r="CC137" s="346">
        <f>CC135+CC136</f>
        <v>0</v>
      </c>
      <c r="CD137" s="346">
        <f>CD135+CD136</f>
        <v>0</v>
      </c>
      <c r="CE137" s="346">
        <f>CE135+CE136</f>
        <v>0</v>
      </c>
      <c r="CF137" s="346">
        <f>CF135+CF136</f>
        <v>0</v>
      </c>
      <c r="CG137" s="563"/>
      <c r="CH137" s="346">
        <f>CH135+CH136</f>
        <v>0</v>
      </c>
      <c r="CI137" s="346">
        <f>CI135+CI136</f>
        <v>0</v>
      </c>
      <c r="CJ137" s="346">
        <f>CJ135+CJ136</f>
        <v>0</v>
      </c>
      <c r="CK137" s="346">
        <f>CK135+CK136</f>
        <v>0</v>
      </c>
      <c r="CL137" s="563"/>
      <c r="CM137" s="346">
        <f>CM135+CM136</f>
        <v>0</v>
      </c>
      <c r="CN137" s="346">
        <f>CN135+CN136</f>
        <v>0</v>
      </c>
      <c r="CO137" s="346">
        <f>CO135+CO136</f>
        <v>0</v>
      </c>
      <c r="CP137" s="346">
        <f>CP135+CP136</f>
        <v>0</v>
      </c>
      <c r="CQ137" s="563"/>
      <c r="CR137" s="346">
        <f>CR135+CR136</f>
        <v>0</v>
      </c>
      <c r="CS137" s="346">
        <f>CS135+CS136</f>
        <v>0</v>
      </c>
      <c r="CT137" s="346">
        <f>CT135+CT136</f>
        <v>0</v>
      </c>
      <c r="CU137" s="346">
        <f>CU135+CU136</f>
        <v>0</v>
      </c>
      <c r="CV137" s="563"/>
      <c r="CW137" s="346">
        <f>CW135+CW136</f>
        <v>0</v>
      </c>
      <c r="CX137" s="346">
        <f>CX135+CX136</f>
        <v>0</v>
      </c>
      <c r="CY137" s="346">
        <f>CY135+CY136</f>
        <v>0</v>
      </c>
      <c r="CZ137" s="346">
        <f>CZ135+CZ136</f>
        <v>0</v>
      </c>
      <c r="DA137" s="563"/>
      <c r="DB137" s="346">
        <f>DB135+DB136</f>
        <v>0</v>
      </c>
      <c r="DC137" s="346">
        <f>DC135+DC136</f>
        <v>0</v>
      </c>
      <c r="DD137" s="346">
        <f>DD135+DD136</f>
        <v>0</v>
      </c>
      <c r="DE137" s="346">
        <f>DE135+DE136</f>
        <v>0</v>
      </c>
      <c r="DF137" s="563"/>
    </row>
    <row r="138" spans="1:110" x14ac:dyDescent="0.2">
      <c r="B138" s="536" t="s">
        <v>201</v>
      </c>
      <c r="C138" s="145"/>
      <c r="D138" s="145"/>
      <c r="E138" s="145"/>
      <c r="F138" s="145"/>
      <c r="G138" s="145"/>
      <c r="H138" s="145"/>
      <c r="I138" s="145"/>
      <c r="J138" s="145"/>
      <c r="K138" s="145"/>
      <c r="L138" s="145"/>
      <c r="M138" s="145"/>
      <c r="N138" s="145"/>
      <c r="O138" s="145"/>
      <c r="P138" s="145"/>
      <c r="Q138" s="145"/>
      <c r="R138" s="145"/>
      <c r="S138" s="346"/>
      <c r="T138" s="346"/>
      <c r="U138" s="346"/>
      <c r="V138" s="326"/>
      <c r="W138" s="326"/>
      <c r="X138" s="326"/>
      <c r="Y138" s="340"/>
      <c r="Z138" s="346"/>
      <c r="AA138" s="346"/>
      <c r="AB138" s="346"/>
      <c r="AC138" s="346"/>
      <c r="AD138" s="340"/>
      <c r="AE138" s="346"/>
      <c r="AF138" s="346"/>
      <c r="AG138" s="346"/>
      <c r="AH138" s="346"/>
      <c r="AI138" s="340"/>
      <c r="AJ138" s="346"/>
      <c r="AK138" s="346"/>
      <c r="AL138" s="346"/>
      <c r="AM138" s="346"/>
      <c r="AN138" s="340"/>
      <c r="AO138" s="346"/>
      <c r="AP138" s="346"/>
      <c r="AQ138" s="346"/>
      <c r="AR138" s="346"/>
      <c r="AS138" s="340"/>
      <c r="AT138" s="346"/>
      <c r="AU138" s="625"/>
      <c r="AV138" s="625"/>
      <c r="AW138" s="625"/>
      <c r="AX138" s="340"/>
      <c r="AY138" s="346"/>
      <c r="AZ138" s="346"/>
      <c r="BA138" s="346"/>
      <c r="BB138" s="346"/>
      <c r="BC138" s="340"/>
      <c r="BD138" s="346"/>
      <c r="BE138" s="625"/>
      <c r="BF138" s="346"/>
      <c r="BG138" s="346">
        <f>BG134-BG137</f>
        <v>0</v>
      </c>
      <c r="BH138" s="340"/>
      <c r="BI138" s="346">
        <f>BI134-BI137</f>
        <v>4.2999999999999545</v>
      </c>
      <c r="BJ138" s="346">
        <f>BJ134-BJ137</f>
        <v>4.2999999999999545</v>
      </c>
      <c r="BK138" s="346">
        <f>BK134-BK137</f>
        <v>3.8999999999999773</v>
      </c>
      <c r="BL138" s="346">
        <f>BL134-BL137</f>
        <v>3.5</v>
      </c>
      <c r="BM138" s="340"/>
      <c r="BN138" s="346">
        <f>BN134-BN137</f>
        <v>3.1000000000000227</v>
      </c>
      <c r="BO138" s="346">
        <f>BO134-BO137</f>
        <v>2.7000000000000455</v>
      </c>
      <c r="BP138" s="346">
        <f>BP134-BP137</f>
        <v>2.2999999999999545</v>
      </c>
      <c r="BQ138" s="346">
        <f>BQ134-BQ137</f>
        <v>1.8999999999999773</v>
      </c>
      <c r="BR138" s="340"/>
      <c r="BS138" s="346">
        <f>BS134-BS137</f>
        <v>1.3999999999999773</v>
      </c>
      <c r="BT138" s="346">
        <f>BT134-BT137</f>
        <v>1</v>
      </c>
      <c r="BU138" s="346">
        <f>BU134-BU137</f>
        <v>0.60000000000002274</v>
      </c>
      <c r="BV138" s="346">
        <f>BV134-BV137</f>
        <v>0.20000000000004547</v>
      </c>
      <c r="BW138" s="340"/>
      <c r="BX138" s="346">
        <f>BX134-BX137</f>
        <v>1000</v>
      </c>
      <c r="BY138" s="346">
        <f>BY134-BY137</f>
        <v>1000</v>
      </c>
      <c r="BZ138" s="346">
        <f>BZ134-BZ137</f>
        <v>1000</v>
      </c>
      <c r="CA138" s="346">
        <f>CA134-CA137</f>
        <v>1000</v>
      </c>
      <c r="CB138" s="563"/>
      <c r="CC138" s="346">
        <f>CC134-CC137</f>
        <v>1000</v>
      </c>
      <c r="CD138" s="346">
        <f>CD134-CD137</f>
        <v>1000</v>
      </c>
      <c r="CE138" s="346">
        <f>CE134-CE137</f>
        <v>1000</v>
      </c>
      <c r="CF138" s="346">
        <f>CF134-CF137</f>
        <v>1000</v>
      </c>
      <c r="CG138" s="563"/>
      <c r="CH138" s="346">
        <f>CH134-CH137</f>
        <v>1000</v>
      </c>
      <c r="CI138" s="346">
        <f>CI134-CI137</f>
        <v>1000</v>
      </c>
      <c r="CJ138" s="346">
        <f>CJ134-CJ137</f>
        <v>1000</v>
      </c>
      <c r="CK138" s="346">
        <f>CK134-CK137</f>
        <v>1000</v>
      </c>
      <c r="CL138" s="563"/>
      <c r="CM138" s="346">
        <f>CM134-CM137</f>
        <v>1000</v>
      </c>
      <c r="CN138" s="346">
        <f>CN134-CN137</f>
        <v>1000</v>
      </c>
      <c r="CO138" s="346">
        <f>CO134-CO137</f>
        <v>1000</v>
      </c>
      <c r="CP138" s="346">
        <f>CP134-CP137</f>
        <v>1000</v>
      </c>
      <c r="CQ138" s="563"/>
      <c r="CR138" s="346">
        <f>CR134-CR137</f>
        <v>1000</v>
      </c>
      <c r="CS138" s="346">
        <f>CS134-CS137</f>
        <v>1000</v>
      </c>
      <c r="CT138" s="346">
        <f>CT134-CT137</f>
        <v>1000</v>
      </c>
      <c r="CU138" s="346">
        <f>CU134-CU137</f>
        <v>1000</v>
      </c>
      <c r="CV138" s="563"/>
      <c r="CW138" s="346">
        <f>CW134-CW137</f>
        <v>1000</v>
      </c>
      <c r="CX138" s="346">
        <f>CX134-CX137</f>
        <v>1000</v>
      </c>
      <c r="CY138" s="346">
        <f>CY134-CY137</f>
        <v>1000</v>
      </c>
      <c r="CZ138" s="346">
        <f>CZ134-CZ137</f>
        <v>1000</v>
      </c>
      <c r="DA138" s="563"/>
      <c r="DB138" s="346">
        <f>DB134-DB137</f>
        <v>1000</v>
      </c>
      <c r="DC138" s="346">
        <f>DC134-DC137</f>
        <v>1000</v>
      </c>
      <c r="DD138" s="346">
        <f>DD134-DD137</f>
        <v>1000</v>
      </c>
      <c r="DE138" s="346">
        <f>DE134-DE137</f>
        <v>1000</v>
      </c>
      <c r="DF138" s="563"/>
    </row>
    <row r="139" spans="1:110" x14ac:dyDescent="0.2">
      <c r="B139" s="544" t="s">
        <v>206</v>
      </c>
      <c r="C139" s="145"/>
      <c r="D139" s="145"/>
      <c r="E139" s="145"/>
      <c r="F139" s="145"/>
      <c r="G139" s="145"/>
      <c r="H139" s="145"/>
      <c r="I139" s="145"/>
      <c r="J139" s="145"/>
      <c r="K139" s="145"/>
      <c r="L139" s="145"/>
      <c r="M139" s="145"/>
      <c r="N139" s="145"/>
      <c r="O139" s="145"/>
      <c r="P139" s="145"/>
      <c r="Q139" s="145"/>
      <c r="R139" s="145"/>
      <c r="S139" s="346"/>
      <c r="T139" s="346"/>
      <c r="U139" s="346"/>
      <c r="V139" s="326"/>
      <c r="W139" s="326"/>
      <c r="X139" s="326"/>
      <c r="Y139" s="340"/>
      <c r="Z139" s="346"/>
      <c r="AA139" s="346"/>
      <c r="AB139" s="346"/>
      <c r="AC139" s="346"/>
      <c r="AD139" s="340"/>
      <c r="AE139" s="346"/>
      <c r="AF139" s="346"/>
      <c r="AG139" s="346"/>
      <c r="AH139" s="346"/>
      <c r="AI139" s="340"/>
      <c r="AJ139" s="346"/>
      <c r="AK139" s="346"/>
      <c r="AL139" s="346"/>
      <c r="AM139" s="346"/>
      <c r="AN139" s="340"/>
      <c r="AO139" s="346"/>
      <c r="AP139" s="346"/>
      <c r="AQ139" s="346"/>
      <c r="AR139" s="346"/>
      <c r="AS139" s="340"/>
      <c r="AT139" s="346"/>
      <c r="AU139" s="625"/>
      <c r="AV139" s="625"/>
      <c r="AW139" s="625"/>
      <c r="AX139" s="340"/>
      <c r="AY139" s="346"/>
      <c r="AZ139" s="346"/>
      <c r="BA139" s="346"/>
      <c r="BB139" s="346"/>
      <c r="BC139" s="340"/>
      <c r="BD139" s="346"/>
      <c r="BE139" s="625"/>
      <c r="BF139" s="346"/>
      <c r="BG139" s="346">
        <f>-(AVERAGE(BG137,BG135))*(BG133/4)</f>
        <v>0</v>
      </c>
      <c r="BH139" s="340"/>
      <c r="BI139" s="346">
        <f>-(AVERAGE(BI137,BI135))*(BI133/4)</f>
        <v>-2.6137125000000001</v>
      </c>
      <c r="BJ139" s="346">
        <f>-(AVERAGE(BJ137,BJ135))*(BJ133/4)</f>
        <v>-5.2274250000000002</v>
      </c>
      <c r="BK139" s="346">
        <f>-(AVERAGE(BK137,BK135))*(BK133/4)</f>
        <v>-5.2284750000000004</v>
      </c>
      <c r="BL139" s="346">
        <f>-(AVERAGE(BL137,BL135))*(BL133/4)</f>
        <v>-5.230575</v>
      </c>
      <c r="BM139" s="340"/>
      <c r="BN139" s="346">
        <f>-(AVERAGE(BN137,BN135))*(BN133/4)</f>
        <v>-5.2326750000000004</v>
      </c>
      <c r="BO139" s="346">
        <f>-(AVERAGE(BO137,BO135))*(BO133/4)</f>
        <v>-5.234775</v>
      </c>
      <c r="BP139" s="346">
        <f>-(AVERAGE(BP137,BP135))*(BP133/4)</f>
        <v>-5.2368750000000004</v>
      </c>
      <c r="BQ139" s="346">
        <f>-(AVERAGE(BQ137,BQ135))*(BQ133/4)</f>
        <v>-5.2389750000000008</v>
      </c>
      <c r="BR139" s="340"/>
      <c r="BS139" s="346">
        <f>-(AVERAGE(BS137,BS135))*(BS133/4)</f>
        <v>-5.2413375000000002</v>
      </c>
      <c r="BT139" s="346">
        <f>-(AVERAGE(BT137,BT135))*(BT133/4)</f>
        <v>-5.2437000000000005</v>
      </c>
      <c r="BU139" s="346">
        <f>-(AVERAGE(BU137,BU135))*(BU133/4)</f>
        <v>-5.2458000000000009</v>
      </c>
      <c r="BV139" s="346">
        <f>-(AVERAGE(BV137,BV135))*(BV133/4)</f>
        <v>-5.2478999999999996</v>
      </c>
      <c r="BW139" s="340"/>
      <c r="BX139" s="346">
        <f>-(AVERAGE(BX137,BX135))*(BX133/4)</f>
        <v>-2.6244749999999999</v>
      </c>
      <c r="BY139" s="346">
        <f>-(AVERAGE(BY137,BY135))*(BY133/4)</f>
        <v>0</v>
      </c>
      <c r="BZ139" s="346">
        <f>-(AVERAGE(BZ137,BZ135))*(BZ133/4)</f>
        <v>0</v>
      </c>
      <c r="CA139" s="346">
        <f>-(AVERAGE(CA137,CA135))*(CA133/4)</f>
        <v>0</v>
      </c>
      <c r="CB139" s="563"/>
      <c r="CC139" s="346">
        <f>-(AVERAGE(CC137,CC135))*(CC133/4)</f>
        <v>0</v>
      </c>
      <c r="CD139" s="346">
        <f>-(AVERAGE(CD137,CD135))*(CD133/4)</f>
        <v>0</v>
      </c>
      <c r="CE139" s="346">
        <f>-(AVERAGE(CE137,CE135))*(CE133/4)</f>
        <v>0</v>
      </c>
      <c r="CF139" s="346">
        <f>-(AVERAGE(CF137,CF135))*(CF133/4)</f>
        <v>0</v>
      </c>
      <c r="CG139" s="563"/>
      <c r="CH139" s="346">
        <f>-(AVERAGE(CH137,CH135))*(CH133/4)</f>
        <v>0</v>
      </c>
      <c r="CI139" s="346">
        <f>-(AVERAGE(CI137,CI135))*(CI133/4)</f>
        <v>0</v>
      </c>
      <c r="CJ139" s="346">
        <f>-(AVERAGE(CJ137,CJ135))*(CJ133/4)</f>
        <v>0</v>
      </c>
      <c r="CK139" s="346">
        <f>-(AVERAGE(CK137,CK135))*(CK133/4)</f>
        <v>0</v>
      </c>
      <c r="CL139" s="563"/>
      <c r="CM139" s="346">
        <f>-(AVERAGE(CM137,CM135))*(CM133/4)</f>
        <v>0</v>
      </c>
      <c r="CN139" s="346">
        <f>-(AVERAGE(CN137,CN135))*(CN133/4)</f>
        <v>0</v>
      </c>
      <c r="CO139" s="346">
        <f>-(AVERAGE(CO137,CO135))*(CO133/4)</f>
        <v>0</v>
      </c>
      <c r="CP139" s="346">
        <f>-(AVERAGE(CP137,CP135))*(CP133/4)</f>
        <v>0</v>
      </c>
      <c r="CQ139" s="563"/>
      <c r="CR139" s="346">
        <f>-(AVERAGE(CR137,CR135))*(CR133/4)</f>
        <v>0</v>
      </c>
      <c r="CS139" s="346">
        <f>-(AVERAGE(CS137,CS135))*(CS133/4)</f>
        <v>0</v>
      </c>
      <c r="CT139" s="346">
        <f>-(AVERAGE(CT137,CT135))*(CT133/4)</f>
        <v>0</v>
      </c>
      <c r="CU139" s="346">
        <f>-(AVERAGE(CU137,CU135))*(CU133/4)</f>
        <v>0</v>
      </c>
      <c r="CV139" s="563"/>
      <c r="CW139" s="346">
        <f>-(AVERAGE(CW137,CW135))*(CW133/4)</f>
        <v>0</v>
      </c>
      <c r="CX139" s="346">
        <f>-(AVERAGE(CX137,CX135))*(CX133/4)</f>
        <v>0</v>
      </c>
      <c r="CY139" s="346">
        <f>-(AVERAGE(CY137,CY135))*(CY133/4)</f>
        <v>0</v>
      </c>
      <c r="CZ139" s="346">
        <f>-(AVERAGE(CZ137,CZ135))*(CZ133/4)</f>
        <v>0</v>
      </c>
      <c r="DA139" s="563"/>
      <c r="DB139" s="346">
        <f>-(AVERAGE(DB137,DB135))*(DB133/4)</f>
        <v>0</v>
      </c>
      <c r="DC139" s="346">
        <f>-(AVERAGE(DC137,DC135))*(DC133/4)</f>
        <v>0</v>
      </c>
      <c r="DD139" s="346">
        <f>-(AVERAGE(DD137,DD135))*(DD133/4)</f>
        <v>0</v>
      </c>
      <c r="DE139" s="346">
        <f>-(AVERAGE(DE137,DE135))*(DE133/4)</f>
        <v>0</v>
      </c>
      <c r="DF139" s="563"/>
    </row>
    <row r="140" spans="1:110" ht="12" thickBot="1" x14ac:dyDescent="0.25">
      <c r="B140" s="548" t="s">
        <v>207</v>
      </c>
      <c r="C140" s="205"/>
      <c r="D140" s="205"/>
      <c r="E140" s="205"/>
      <c r="F140" s="205"/>
      <c r="G140" s="205"/>
      <c r="H140" s="205"/>
      <c r="I140" s="205"/>
      <c r="J140" s="205"/>
      <c r="K140" s="205"/>
      <c r="L140" s="205"/>
      <c r="M140" s="205"/>
      <c r="N140" s="205"/>
      <c r="O140" s="205"/>
      <c r="P140" s="205"/>
      <c r="Q140" s="205"/>
      <c r="R140" s="205"/>
      <c r="S140" s="549"/>
      <c r="T140" s="549"/>
      <c r="U140" s="549"/>
      <c r="V140" s="327"/>
      <c r="W140" s="327"/>
      <c r="X140" s="327"/>
      <c r="Y140" s="550"/>
      <c r="Z140" s="549"/>
      <c r="AA140" s="549"/>
      <c r="AB140" s="549"/>
      <c r="AC140" s="549"/>
      <c r="AD140" s="550"/>
      <c r="AE140" s="549"/>
      <c r="AF140" s="549"/>
      <c r="AG140" s="549"/>
      <c r="AH140" s="549"/>
      <c r="AI140" s="550"/>
      <c r="AJ140" s="549"/>
      <c r="AK140" s="549"/>
      <c r="AL140" s="549"/>
      <c r="AM140" s="549"/>
      <c r="AN140" s="550"/>
      <c r="AO140" s="549"/>
      <c r="AP140" s="549"/>
      <c r="AQ140" s="549"/>
      <c r="AR140" s="549"/>
      <c r="AS140" s="550"/>
      <c r="AT140" s="549"/>
      <c r="AU140" s="549"/>
      <c r="AV140" s="549"/>
      <c r="AW140" s="549"/>
      <c r="AX140" s="550"/>
      <c r="AY140" s="549"/>
      <c r="AZ140" s="549"/>
      <c r="BA140" s="549"/>
      <c r="BB140" s="549"/>
      <c r="BC140" s="550"/>
      <c r="BD140" s="549"/>
      <c r="BE140" s="549"/>
      <c r="BF140" s="549"/>
      <c r="BG140" s="549">
        <f>-BG132*BG138/4</f>
        <v>0</v>
      </c>
      <c r="BH140" s="550"/>
      <c r="BI140" s="549">
        <f>-BI132*BI138/4</f>
        <v>0</v>
      </c>
      <c r="BJ140" s="549">
        <f>-BJ132*BJ138/4</f>
        <v>0</v>
      </c>
      <c r="BK140" s="549">
        <f>-BK132*BK138/4</f>
        <v>0</v>
      </c>
      <c r="BL140" s="549">
        <f>-BL132*BL138/4</f>
        <v>0</v>
      </c>
      <c r="BM140" s="550"/>
      <c r="BN140" s="549">
        <f>-BN132*BN138/4</f>
        <v>0</v>
      </c>
      <c r="BO140" s="549">
        <f>-BO132*BO138/4</f>
        <v>0</v>
      </c>
      <c r="BP140" s="549">
        <f>-BP132*BP138/4</f>
        <v>0</v>
      </c>
      <c r="BQ140" s="549">
        <f>-BQ132*BQ138/4</f>
        <v>0</v>
      </c>
      <c r="BR140" s="550"/>
      <c r="BS140" s="549">
        <f>-BS132*BS138/4</f>
        <v>0</v>
      </c>
      <c r="BT140" s="549">
        <f>-BT132*BT138/4</f>
        <v>0</v>
      </c>
      <c r="BU140" s="549">
        <f>-BU132*BU138/4</f>
        <v>0</v>
      </c>
      <c r="BV140" s="549">
        <f>-BV132*BV138/4</f>
        <v>0</v>
      </c>
      <c r="BW140" s="550"/>
      <c r="BX140" s="549">
        <f>-BX132*BX138/4</f>
        <v>0</v>
      </c>
      <c r="BY140" s="549">
        <f>-BY132*BY138/4</f>
        <v>0</v>
      </c>
      <c r="BZ140" s="549">
        <f>-BZ132*BZ138/4</f>
        <v>0</v>
      </c>
      <c r="CA140" s="549">
        <f>-CA132*CA138/4</f>
        <v>0</v>
      </c>
      <c r="CB140" s="565"/>
      <c r="CC140" s="549">
        <f>-CC132*CC138/4</f>
        <v>0</v>
      </c>
      <c r="CD140" s="549">
        <f>-CD132*CD138/4</f>
        <v>0</v>
      </c>
      <c r="CE140" s="549">
        <f>-CE132*CE138/4</f>
        <v>0</v>
      </c>
      <c r="CF140" s="549">
        <f>-CF132*CF138/4</f>
        <v>0</v>
      </c>
      <c r="CG140" s="565"/>
      <c r="CH140" s="549">
        <f>-CH132*CH138/4</f>
        <v>0</v>
      </c>
      <c r="CI140" s="549">
        <f>-CI132*CI138/4</f>
        <v>0</v>
      </c>
      <c r="CJ140" s="549">
        <f>-CJ132*CJ138/4</f>
        <v>0</v>
      </c>
      <c r="CK140" s="549">
        <f>-CK132*CK138/4</f>
        <v>0</v>
      </c>
      <c r="CL140" s="565"/>
      <c r="CM140" s="549">
        <f>-CM132*CM138/4</f>
        <v>0</v>
      </c>
      <c r="CN140" s="549">
        <f>-CN132*CN138/4</f>
        <v>0</v>
      </c>
      <c r="CO140" s="549">
        <f>-CO132*CO138/4</f>
        <v>0</v>
      </c>
      <c r="CP140" s="549">
        <f>-CP132*CP138/4</f>
        <v>0</v>
      </c>
      <c r="CQ140" s="565"/>
      <c r="CR140" s="549">
        <f>-CR132*CR138/4</f>
        <v>0</v>
      </c>
      <c r="CS140" s="549">
        <f>-CS132*CS138/4</f>
        <v>0</v>
      </c>
      <c r="CT140" s="549">
        <f>-CT132*CT138/4</f>
        <v>0</v>
      </c>
      <c r="CU140" s="549">
        <f>-CU132*CU138/4</f>
        <v>0</v>
      </c>
      <c r="CV140" s="565"/>
      <c r="CW140" s="549">
        <f>-CW132*CW138/4</f>
        <v>0</v>
      </c>
      <c r="CX140" s="549">
        <f>-CX132*CX138/4</f>
        <v>0</v>
      </c>
      <c r="CY140" s="549">
        <f>-CY132*CY138/4</f>
        <v>0</v>
      </c>
      <c r="CZ140" s="549">
        <f>-CZ132*CZ138/4</f>
        <v>0</v>
      </c>
      <c r="DA140" s="565"/>
      <c r="DB140" s="549">
        <f>-DB132*DB138/4</f>
        <v>0</v>
      </c>
      <c r="DC140" s="549">
        <f>-DC132*DC138/4</f>
        <v>0</v>
      </c>
      <c r="DD140" s="549">
        <f>-DD132*DD138/4</f>
        <v>0</v>
      </c>
      <c r="DE140" s="549">
        <f>-DE132*DE138/4</f>
        <v>0</v>
      </c>
      <c r="DF140" s="565"/>
    </row>
    <row r="141" spans="1:110" s="1289" customFormat="1" ht="13.5" thickBot="1" x14ac:dyDescent="0.25">
      <c r="A141" s="1273"/>
      <c r="B141" s="1273"/>
      <c r="C141" s="1298"/>
      <c r="D141" s="1298"/>
      <c r="E141" s="1298"/>
      <c r="F141" s="1298"/>
      <c r="G141" s="1298"/>
      <c r="H141" s="1298"/>
      <c r="I141" s="1298"/>
      <c r="J141" s="1298"/>
      <c r="K141" s="1298"/>
      <c r="L141" s="1298"/>
      <c r="M141" s="1298"/>
      <c r="N141" s="1298"/>
      <c r="O141" s="1298"/>
      <c r="P141" s="1298"/>
      <c r="Q141" s="1298"/>
      <c r="R141" s="1298"/>
      <c r="S141" s="1293"/>
      <c r="T141" s="1293"/>
      <c r="U141" s="1293"/>
      <c r="V141" s="1293"/>
      <c r="W141" s="1293"/>
      <c r="X141" s="1293"/>
      <c r="Y141" s="1293"/>
      <c r="Z141" s="1293"/>
      <c r="AA141" s="1293"/>
      <c r="AB141" s="1293"/>
      <c r="AC141" s="1293"/>
      <c r="AD141" s="1293"/>
      <c r="AE141" s="1293"/>
      <c r="AF141" s="1293"/>
      <c r="AG141" s="1293"/>
      <c r="AH141" s="1293"/>
      <c r="AI141" s="1293"/>
      <c r="AJ141" s="1293"/>
      <c r="AK141" s="1293"/>
      <c r="AL141" s="1293"/>
      <c r="AM141" s="1293"/>
      <c r="AN141" s="1293"/>
      <c r="AO141" s="1293"/>
      <c r="AP141" s="1293"/>
      <c r="AQ141" s="1293"/>
      <c r="AR141" s="1293"/>
      <c r="AS141" s="1293"/>
      <c r="AT141" s="1293"/>
      <c r="AU141" s="1293"/>
      <c r="AV141" s="1293"/>
      <c r="AW141" s="1293"/>
      <c r="AX141" s="1293"/>
      <c r="AY141" s="1293"/>
      <c r="AZ141" s="1293"/>
      <c r="BA141" s="1293"/>
      <c r="BB141" s="1293"/>
      <c r="BC141" s="1293"/>
      <c r="BD141" s="1293"/>
      <c r="BE141" s="1293"/>
      <c r="BF141" s="1293"/>
      <c r="BG141" s="1293"/>
      <c r="BH141" s="1293"/>
      <c r="BI141" s="1293"/>
      <c r="BJ141" s="1293"/>
      <c r="BK141" s="1293"/>
      <c r="BL141" s="1293"/>
      <c r="BM141" s="1293"/>
      <c r="BN141" s="1712"/>
      <c r="BO141" s="1293"/>
      <c r="BP141" s="1293"/>
      <c r="BQ141" s="1293"/>
      <c r="BR141" s="1293"/>
      <c r="BS141" s="1293"/>
      <c r="BT141" s="1293"/>
      <c r="BU141" s="1293"/>
      <c r="BV141" s="1293"/>
      <c r="BW141" s="1293"/>
      <c r="BX141" s="1293"/>
      <c r="BY141" s="1293"/>
      <c r="BZ141" s="1293"/>
      <c r="CA141" s="1293"/>
      <c r="CB141" s="1293"/>
      <c r="CC141" s="1293"/>
      <c r="CD141" s="1293"/>
      <c r="CE141" s="1293"/>
      <c r="CF141" s="1293"/>
      <c r="CG141" s="1293"/>
      <c r="CH141" s="1293"/>
      <c r="CI141" s="1293"/>
      <c r="CJ141" s="1293"/>
      <c r="CK141" s="1293"/>
      <c r="CL141" s="1293"/>
      <c r="CM141" s="1293"/>
      <c r="CN141" s="1293"/>
      <c r="CO141" s="1293"/>
      <c r="CP141" s="1293"/>
      <c r="CQ141" s="1293"/>
      <c r="CR141" s="1293"/>
      <c r="CS141" s="1293"/>
      <c r="CT141" s="1293"/>
      <c r="CU141" s="1293"/>
      <c r="CV141" s="1293"/>
      <c r="CW141" s="1293"/>
      <c r="CX141" s="1293"/>
      <c r="CY141" s="1293"/>
      <c r="CZ141" s="1293"/>
      <c r="DA141" s="1293"/>
      <c r="DB141" s="1293"/>
      <c r="DC141" s="1293"/>
      <c r="DD141" s="1293"/>
      <c r="DE141" s="1293"/>
      <c r="DF141" s="1293"/>
    </row>
    <row r="142" spans="1:110" s="326" customFormat="1" ht="12" thickBot="1" x14ac:dyDescent="0.25">
      <c r="B142" s="981" t="s">
        <v>432</v>
      </c>
      <c r="C142" s="989"/>
      <c r="D142" s="989"/>
      <c r="E142" s="989"/>
      <c r="F142" s="989"/>
      <c r="G142" s="989"/>
      <c r="H142" s="989"/>
      <c r="I142" s="989"/>
      <c r="J142" s="989"/>
      <c r="K142" s="989"/>
      <c r="L142" s="989"/>
      <c r="M142" s="989"/>
      <c r="N142" s="989"/>
      <c r="O142" s="989"/>
      <c r="P142" s="989"/>
      <c r="Q142" s="989"/>
      <c r="R142" s="989"/>
      <c r="S142" s="990"/>
      <c r="T142" s="990"/>
      <c r="U142" s="990"/>
      <c r="V142" s="991"/>
      <c r="W142" s="991"/>
      <c r="X142" s="991"/>
      <c r="Y142" s="990"/>
      <c r="Z142" s="990"/>
      <c r="AA142" s="990"/>
      <c r="AB142" s="990"/>
      <c r="AC142" s="990"/>
      <c r="AD142" s="990"/>
      <c r="AE142" s="990"/>
      <c r="AF142" s="990"/>
      <c r="AG142" s="990"/>
      <c r="AH142" s="990"/>
      <c r="AI142" s="990"/>
      <c r="AJ142" s="990"/>
      <c r="AK142" s="990"/>
      <c r="AL142" s="990"/>
      <c r="AM142" s="990"/>
      <c r="AN142" s="990"/>
      <c r="AO142" s="990"/>
      <c r="AP142" s="990"/>
      <c r="AQ142" s="990"/>
      <c r="AR142" s="990"/>
      <c r="AS142" s="990"/>
      <c r="AT142" s="990"/>
      <c r="AU142" s="990"/>
      <c r="AV142" s="990"/>
      <c r="AW142" s="990"/>
      <c r="AX142" s="990"/>
      <c r="AY142" s="990"/>
      <c r="AZ142" s="990"/>
      <c r="BA142" s="990"/>
      <c r="BB142" s="990"/>
      <c r="BC142" s="990"/>
      <c r="BD142" s="990"/>
      <c r="BE142" s="990"/>
      <c r="BF142" s="990"/>
      <c r="BG142" s="990"/>
      <c r="BH142" s="990"/>
      <c r="BI142" s="990"/>
      <c r="BJ142" s="990"/>
      <c r="BK142" s="990"/>
      <c r="BL142" s="990"/>
      <c r="BM142" s="990"/>
      <c r="BN142" s="990"/>
      <c r="BO142" s="990"/>
      <c r="BP142" s="990"/>
      <c r="BQ142" s="990"/>
      <c r="BR142" s="990"/>
      <c r="BS142" s="990"/>
      <c r="BT142" s="990"/>
      <c r="BU142" s="990"/>
      <c r="BV142" s="990"/>
      <c r="BW142" s="990"/>
      <c r="BX142" s="990"/>
      <c r="BY142" s="990"/>
      <c r="BZ142" s="990"/>
      <c r="CA142" s="990"/>
      <c r="CB142" s="992"/>
      <c r="CC142" s="990"/>
      <c r="CD142" s="990"/>
      <c r="CE142" s="990"/>
      <c r="CF142" s="990"/>
      <c r="CG142" s="992"/>
      <c r="CH142" s="990"/>
      <c r="CI142" s="990"/>
      <c r="CJ142" s="990"/>
      <c r="CK142" s="990"/>
      <c r="CL142" s="992"/>
      <c r="CM142" s="990"/>
      <c r="CN142" s="990"/>
      <c r="CO142" s="990"/>
      <c r="CP142" s="990"/>
      <c r="CQ142" s="992"/>
      <c r="CR142" s="990"/>
      <c r="CS142" s="990"/>
      <c r="CT142" s="990"/>
      <c r="CU142" s="990"/>
      <c r="CV142" s="992"/>
      <c r="CW142" s="990"/>
      <c r="CX142" s="990"/>
      <c r="CY142" s="990"/>
      <c r="CZ142" s="990"/>
      <c r="DA142" s="992"/>
      <c r="DB142" s="990"/>
      <c r="DC142" s="990"/>
      <c r="DD142" s="990"/>
      <c r="DE142" s="990"/>
      <c r="DF142" s="992"/>
    </row>
    <row r="143" spans="1:110" x14ac:dyDescent="0.2">
      <c r="B143" s="591" t="s">
        <v>203</v>
      </c>
      <c r="C143" s="561"/>
      <c r="D143" s="561"/>
      <c r="E143" s="561"/>
      <c r="F143" s="561"/>
      <c r="G143" s="561"/>
      <c r="H143" s="561"/>
      <c r="I143" s="561"/>
      <c r="J143" s="561"/>
      <c r="K143" s="561"/>
      <c r="L143" s="561"/>
      <c r="M143" s="561"/>
      <c r="N143" s="561"/>
      <c r="O143" s="561"/>
      <c r="P143" s="561"/>
      <c r="Q143" s="561"/>
      <c r="R143" s="561"/>
      <c r="S143" s="531"/>
      <c r="T143" s="531"/>
      <c r="U143" s="531"/>
      <c r="V143" s="577"/>
      <c r="W143" s="577"/>
      <c r="X143" s="577"/>
      <c r="Y143" s="532"/>
      <c r="Z143" s="531"/>
      <c r="AA143" s="531"/>
      <c r="AB143" s="531"/>
      <c r="AC143" s="531"/>
      <c r="AD143" s="532"/>
      <c r="AE143" s="531"/>
      <c r="AF143" s="531"/>
      <c r="AG143" s="531"/>
      <c r="AH143" s="531"/>
      <c r="AI143" s="532"/>
      <c r="AJ143" s="531"/>
      <c r="AK143" s="531"/>
      <c r="AL143" s="531"/>
      <c r="AM143" s="531"/>
      <c r="AN143" s="532"/>
      <c r="AO143" s="531"/>
      <c r="AP143" s="531"/>
      <c r="AQ143" s="531"/>
      <c r="AR143" s="531"/>
      <c r="AS143" s="532"/>
      <c r="AT143" s="531"/>
      <c r="AU143" s="588"/>
      <c r="AV143" s="54"/>
      <c r="AW143" s="54"/>
      <c r="AX143" s="532"/>
      <c r="AY143" s="54"/>
      <c r="AZ143" s="54"/>
      <c r="BA143" s="54"/>
      <c r="BB143" s="54"/>
      <c r="BC143" s="532"/>
      <c r="BD143" s="54"/>
      <c r="BE143" s="588">
        <v>0</v>
      </c>
      <c r="BF143" s="54">
        <f t="shared" ref="BF143:BG145" si="213">BE143</f>
        <v>0</v>
      </c>
      <c r="BG143" s="54">
        <f t="shared" si="213"/>
        <v>0</v>
      </c>
      <c r="BH143" s="532"/>
      <c r="BI143" s="54">
        <f>BG143</f>
        <v>0</v>
      </c>
      <c r="BJ143" s="54">
        <f t="shared" ref="BJ143:BL145" si="214">BI143</f>
        <v>0</v>
      </c>
      <c r="BK143" s="54">
        <f t="shared" si="214"/>
        <v>0</v>
      </c>
      <c r="BL143" s="54">
        <f t="shared" si="214"/>
        <v>0</v>
      </c>
      <c r="BM143" s="532"/>
      <c r="BN143" s="54">
        <f>BL143</f>
        <v>0</v>
      </c>
      <c r="BO143" s="54">
        <f t="shared" ref="BO143:BQ145" si="215">BN143</f>
        <v>0</v>
      </c>
      <c r="BP143" s="54">
        <f t="shared" si="215"/>
        <v>0</v>
      </c>
      <c r="BQ143" s="54">
        <f t="shared" si="215"/>
        <v>0</v>
      </c>
      <c r="BR143" s="532"/>
      <c r="BS143" s="54">
        <f>BQ143</f>
        <v>0</v>
      </c>
      <c r="BT143" s="54">
        <f t="shared" ref="BT143:BV145" si="216">BS143</f>
        <v>0</v>
      </c>
      <c r="BU143" s="54">
        <f t="shared" si="216"/>
        <v>0</v>
      </c>
      <c r="BV143" s="54">
        <f t="shared" si="216"/>
        <v>0</v>
      </c>
      <c r="BW143" s="532"/>
      <c r="BX143" s="54">
        <f>BV143</f>
        <v>0</v>
      </c>
      <c r="BY143" s="54">
        <f t="shared" ref="BY143:CA145" si="217">BX143</f>
        <v>0</v>
      </c>
      <c r="BZ143" s="54">
        <f t="shared" si="217"/>
        <v>0</v>
      </c>
      <c r="CA143" s="54">
        <f t="shared" si="217"/>
        <v>0</v>
      </c>
      <c r="CB143" s="562"/>
      <c r="CC143" s="54">
        <f>CA143</f>
        <v>0</v>
      </c>
      <c r="CD143" s="54">
        <f t="shared" ref="CD143:CF145" si="218">CC143</f>
        <v>0</v>
      </c>
      <c r="CE143" s="54">
        <f t="shared" si="218"/>
        <v>0</v>
      </c>
      <c r="CF143" s="54">
        <f t="shared" si="218"/>
        <v>0</v>
      </c>
      <c r="CG143" s="562"/>
      <c r="CH143" s="54">
        <f>CF143</f>
        <v>0</v>
      </c>
      <c r="CI143" s="54">
        <f t="shared" ref="CI143:CK145" si="219">CH143</f>
        <v>0</v>
      </c>
      <c r="CJ143" s="54">
        <f t="shared" si="219"/>
        <v>0</v>
      </c>
      <c r="CK143" s="54">
        <f t="shared" si="219"/>
        <v>0</v>
      </c>
      <c r="CL143" s="562"/>
      <c r="CM143" s="54">
        <f>CK143</f>
        <v>0</v>
      </c>
      <c r="CN143" s="54">
        <f t="shared" ref="CN143:CP145" si="220">CM143</f>
        <v>0</v>
      </c>
      <c r="CO143" s="54">
        <f t="shared" si="220"/>
        <v>0</v>
      </c>
      <c r="CP143" s="54">
        <f t="shared" si="220"/>
        <v>0</v>
      </c>
      <c r="CQ143" s="562"/>
      <c r="CR143" s="54">
        <f>CP143</f>
        <v>0</v>
      </c>
      <c r="CS143" s="54">
        <f t="shared" ref="CS143:CS145" si="221">CR143</f>
        <v>0</v>
      </c>
      <c r="CT143" s="54">
        <f t="shared" ref="CT143:CT145" si="222">CS143</f>
        <v>0</v>
      </c>
      <c r="CU143" s="54">
        <f t="shared" ref="CU143:CU145" si="223">CT143</f>
        <v>0</v>
      </c>
      <c r="CV143" s="562"/>
      <c r="CW143" s="54">
        <f>CU143</f>
        <v>0</v>
      </c>
      <c r="CX143" s="54">
        <f t="shared" ref="CX143:CX145" si="224">CW143</f>
        <v>0</v>
      </c>
      <c r="CY143" s="54">
        <f t="shared" ref="CY143:CY145" si="225">CX143</f>
        <v>0</v>
      </c>
      <c r="CZ143" s="54">
        <f t="shared" ref="CZ143:CZ145" si="226">CY143</f>
        <v>0</v>
      </c>
      <c r="DA143" s="562"/>
      <c r="DB143" s="54">
        <f>CZ143</f>
        <v>0</v>
      </c>
      <c r="DC143" s="54">
        <f t="shared" ref="DC143:DC145" si="227">DB143</f>
        <v>0</v>
      </c>
      <c r="DD143" s="54">
        <f t="shared" ref="DD143:DD145" si="228">DC143</f>
        <v>0</v>
      </c>
      <c r="DE143" s="54">
        <f t="shared" ref="DE143:DE145" si="229">DD143</f>
        <v>0</v>
      </c>
      <c r="DF143" s="562"/>
    </row>
    <row r="144" spans="1:110" x14ac:dyDescent="0.2">
      <c r="B144" s="578" t="s">
        <v>204</v>
      </c>
      <c r="C144" s="145"/>
      <c r="D144" s="145"/>
      <c r="E144" s="145"/>
      <c r="F144" s="145"/>
      <c r="G144" s="145"/>
      <c r="H144" s="145"/>
      <c r="I144" s="145"/>
      <c r="J144" s="145"/>
      <c r="K144" s="145"/>
      <c r="L144" s="145"/>
      <c r="M144" s="145"/>
      <c r="N144" s="145"/>
      <c r="O144" s="145"/>
      <c r="P144" s="145"/>
      <c r="Q144" s="145"/>
      <c r="R144" s="145"/>
      <c r="S144" s="346"/>
      <c r="T144" s="346"/>
      <c r="U144" s="346"/>
      <c r="V144" s="326"/>
      <c r="W144" s="326"/>
      <c r="X144" s="326"/>
      <c r="Y144" s="340"/>
      <c r="Z144" s="346"/>
      <c r="AA144" s="346"/>
      <c r="AB144" s="346"/>
      <c r="AC144" s="346"/>
      <c r="AD144" s="340"/>
      <c r="AE144" s="346"/>
      <c r="AF144" s="346"/>
      <c r="AG144" s="346"/>
      <c r="AH144" s="346"/>
      <c r="AI144" s="340"/>
      <c r="AJ144" s="346"/>
      <c r="AK144" s="346"/>
      <c r="AL144" s="346"/>
      <c r="AM144" s="346"/>
      <c r="AN144" s="340"/>
      <c r="AO144" s="346"/>
      <c r="AP144" s="346"/>
      <c r="AQ144" s="346"/>
      <c r="AR144" s="346"/>
      <c r="AS144" s="340"/>
      <c r="AT144" s="346"/>
      <c r="AU144" s="267"/>
      <c r="AV144" s="146"/>
      <c r="AW144" s="146"/>
      <c r="AX144" s="340"/>
      <c r="AY144" s="146"/>
      <c r="AZ144" s="146"/>
      <c r="BA144" s="146"/>
      <c r="BB144" s="146"/>
      <c r="BC144" s="340"/>
      <c r="BD144" s="146"/>
      <c r="BE144" s="267">
        <v>3.125E-2</v>
      </c>
      <c r="BF144" s="146">
        <f t="shared" si="213"/>
        <v>3.125E-2</v>
      </c>
      <c r="BG144" s="146">
        <f t="shared" si="213"/>
        <v>3.125E-2</v>
      </c>
      <c r="BH144" s="340"/>
      <c r="BI144" s="146">
        <f>BG144</f>
        <v>3.125E-2</v>
      </c>
      <c r="BJ144" s="146">
        <f t="shared" si="214"/>
        <v>3.125E-2</v>
      </c>
      <c r="BK144" s="146">
        <f t="shared" si="214"/>
        <v>3.125E-2</v>
      </c>
      <c r="BL144" s="146">
        <f t="shared" si="214"/>
        <v>3.125E-2</v>
      </c>
      <c r="BM144" s="340"/>
      <c r="BN144" s="146">
        <f>BL144</f>
        <v>3.125E-2</v>
      </c>
      <c r="BO144" s="146">
        <f t="shared" si="215"/>
        <v>3.125E-2</v>
      </c>
      <c r="BP144" s="146">
        <f t="shared" si="215"/>
        <v>3.125E-2</v>
      </c>
      <c r="BQ144" s="146">
        <f t="shared" si="215"/>
        <v>3.125E-2</v>
      </c>
      <c r="BR144" s="340"/>
      <c r="BS144" s="146">
        <f>BQ144</f>
        <v>3.125E-2</v>
      </c>
      <c r="BT144" s="146">
        <f t="shared" si="216"/>
        <v>3.125E-2</v>
      </c>
      <c r="BU144" s="146">
        <f t="shared" si="216"/>
        <v>3.125E-2</v>
      </c>
      <c r="BV144" s="146">
        <f t="shared" si="216"/>
        <v>3.125E-2</v>
      </c>
      <c r="BW144" s="340"/>
      <c r="BX144" s="146">
        <f>BV144</f>
        <v>3.125E-2</v>
      </c>
      <c r="BY144" s="146">
        <f t="shared" si="217"/>
        <v>3.125E-2</v>
      </c>
      <c r="BZ144" s="146">
        <f t="shared" si="217"/>
        <v>3.125E-2</v>
      </c>
      <c r="CA144" s="146">
        <f t="shared" si="217"/>
        <v>3.125E-2</v>
      </c>
      <c r="CB144" s="563"/>
      <c r="CC144" s="146">
        <f>CA144</f>
        <v>3.125E-2</v>
      </c>
      <c r="CD144" s="146">
        <f t="shared" si="218"/>
        <v>3.125E-2</v>
      </c>
      <c r="CE144" s="146">
        <f t="shared" si="218"/>
        <v>3.125E-2</v>
      </c>
      <c r="CF144" s="146">
        <f t="shared" si="218"/>
        <v>3.125E-2</v>
      </c>
      <c r="CG144" s="563"/>
      <c r="CH144" s="146">
        <f>CF144</f>
        <v>3.125E-2</v>
      </c>
      <c r="CI144" s="146">
        <f t="shared" si="219"/>
        <v>3.125E-2</v>
      </c>
      <c r="CJ144" s="146">
        <f t="shared" si="219"/>
        <v>3.125E-2</v>
      </c>
      <c r="CK144" s="146">
        <f t="shared" si="219"/>
        <v>3.125E-2</v>
      </c>
      <c r="CL144" s="563"/>
      <c r="CM144" s="146">
        <f>CK144</f>
        <v>3.125E-2</v>
      </c>
      <c r="CN144" s="146">
        <f t="shared" si="220"/>
        <v>3.125E-2</v>
      </c>
      <c r="CO144" s="146">
        <f t="shared" si="220"/>
        <v>3.125E-2</v>
      </c>
      <c r="CP144" s="146">
        <f t="shared" si="220"/>
        <v>3.125E-2</v>
      </c>
      <c r="CQ144" s="563"/>
      <c r="CR144" s="146">
        <f>CP144</f>
        <v>3.125E-2</v>
      </c>
      <c r="CS144" s="146">
        <f t="shared" si="221"/>
        <v>3.125E-2</v>
      </c>
      <c r="CT144" s="146">
        <f t="shared" si="222"/>
        <v>3.125E-2</v>
      </c>
      <c r="CU144" s="146">
        <f t="shared" si="223"/>
        <v>3.125E-2</v>
      </c>
      <c r="CV144" s="563"/>
      <c r="CW144" s="146">
        <f>CU144</f>
        <v>3.125E-2</v>
      </c>
      <c r="CX144" s="146">
        <f t="shared" si="224"/>
        <v>3.125E-2</v>
      </c>
      <c r="CY144" s="146">
        <f t="shared" si="225"/>
        <v>3.125E-2</v>
      </c>
      <c r="CZ144" s="146">
        <f t="shared" si="226"/>
        <v>3.125E-2</v>
      </c>
      <c r="DA144" s="563"/>
      <c r="DB144" s="146">
        <f>CZ144</f>
        <v>3.125E-2</v>
      </c>
      <c r="DC144" s="146">
        <f t="shared" si="227"/>
        <v>3.125E-2</v>
      </c>
      <c r="DD144" s="146">
        <f t="shared" si="228"/>
        <v>3.125E-2</v>
      </c>
      <c r="DE144" s="146">
        <f t="shared" si="229"/>
        <v>3.125E-2</v>
      </c>
      <c r="DF144" s="563"/>
    </row>
    <row r="145" spans="2:110" x14ac:dyDescent="0.2">
      <c r="B145" s="536" t="s">
        <v>197</v>
      </c>
      <c r="C145" s="145"/>
      <c r="D145" s="145"/>
      <c r="E145" s="145"/>
      <c r="F145" s="145"/>
      <c r="G145" s="145"/>
      <c r="H145" s="145"/>
      <c r="I145" s="145"/>
      <c r="J145" s="145"/>
      <c r="K145" s="145"/>
      <c r="L145" s="145"/>
      <c r="M145" s="145"/>
      <c r="N145" s="145"/>
      <c r="O145" s="145"/>
      <c r="P145" s="145"/>
      <c r="Q145" s="145"/>
      <c r="R145" s="145"/>
      <c r="S145" s="346"/>
      <c r="T145" s="346"/>
      <c r="U145" s="346"/>
      <c r="V145" s="326"/>
      <c r="W145" s="326"/>
      <c r="X145" s="326"/>
      <c r="Y145" s="340"/>
      <c r="Z145" s="346"/>
      <c r="AA145" s="346"/>
      <c r="AB145" s="346"/>
      <c r="AC145" s="346"/>
      <c r="AD145" s="340"/>
      <c r="AE145" s="346"/>
      <c r="AF145" s="346"/>
      <c r="AG145" s="346"/>
      <c r="AH145" s="346"/>
      <c r="AI145" s="340"/>
      <c r="AJ145" s="346"/>
      <c r="AK145" s="346"/>
      <c r="AL145" s="346"/>
      <c r="AM145" s="346"/>
      <c r="AN145" s="340"/>
      <c r="AO145" s="346"/>
      <c r="AP145" s="346"/>
      <c r="AQ145" s="346"/>
      <c r="AR145" s="346"/>
      <c r="AS145" s="340"/>
      <c r="AT145" s="346"/>
      <c r="AU145" s="623"/>
      <c r="AV145" s="625"/>
      <c r="AW145" s="625"/>
      <c r="AX145" s="340"/>
      <c r="AY145" s="346"/>
      <c r="AZ145" s="346"/>
      <c r="BA145" s="346"/>
      <c r="BB145" s="346"/>
      <c r="BC145" s="340"/>
      <c r="BD145" s="346"/>
      <c r="BE145" s="623">
        <v>1500</v>
      </c>
      <c r="BF145" s="346">
        <f t="shared" si="213"/>
        <v>1500</v>
      </c>
      <c r="BG145" s="346">
        <f t="shared" si="213"/>
        <v>1500</v>
      </c>
      <c r="BH145" s="340"/>
      <c r="BI145" s="346">
        <f>BG145</f>
        <v>1500</v>
      </c>
      <c r="BJ145" s="346">
        <f t="shared" si="214"/>
        <v>1500</v>
      </c>
      <c r="BK145" s="346">
        <f t="shared" si="214"/>
        <v>1500</v>
      </c>
      <c r="BL145" s="346">
        <f t="shared" si="214"/>
        <v>1500</v>
      </c>
      <c r="BM145" s="340"/>
      <c r="BN145" s="346">
        <f>BL145</f>
        <v>1500</v>
      </c>
      <c r="BO145" s="346">
        <f t="shared" si="215"/>
        <v>1500</v>
      </c>
      <c r="BP145" s="346">
        <f t="shared" si="215"/>
        <v>1500</v>
      </c>
      <c r="BQ145" s="346">
        <f t="shared" si="215"/>
        <v>1500</v>
      </c>
      <c r="BR145" s="340"/>
      <c r="BS145" s="346">
        <f>BQ145</f>
        <v>1500</v>
      </c>
      <c r="BT145" s="346">
        <f t="shared" si="216"/>
        <v>1500</v>
      </c>
      <c r="BU145" s="346">
        <f t="shared" si="216"/>
        <v>1500</v>
      </c>
      <c r="BV145" s="346">
        <f t="shared" si="216"/>
        <v>1500</v>
      </c>
      <c r="BW145" s="340"/>
      <c r="BX145" s="346">
        <f>BV145</f>
        <v>1500</v>
      </c>
      <c r="BY145" s="346">
        <f t="shared" si="217"/>
        <v>1500</v>
      </c>
      <c r="BZ145" s="346">
        <f t="shared" si="217"/>
        <v>1500</v>
      </c>
      <c r="CA145" s="346">
        <f t="shared" si="217"/>
        <v>1500</v>
      </c>
      <c r="CB145" s="563"/>
      <c r="CC145" s="346">
        <f>CA145</f>
        <v>1500</v>
      </c>
      <c r="CD145" s="346">
        <f t="shared" si="218"/>
        <v>1500</v>
      </c>
      <c r="CE145" s="346">
        <f t="shared" si="218"/>
        <v>1500</v>
      </c>
      <c r="CF145" s="346">
        <f t="shared" si="218"/>
        <v>1500</v>
      </c>
      <c r="CG145" s="563"/>
      <c r="CH145" s="346">
        <f>CF145</f>
        <v>1500</v>
      </c>
      <c r="CI145" s="346">
        <f t="shared" si="219"/>
        <v>1500</v>
      </c>
      <c r="CJ145" s="346">
        <f t="shared" si="219"/>
        <v>1500</v>
      </c>
      <c r="CK145" s="346">
        <f t="shared" si="219"/>
        <v>1500</v>
      </c>
      <c r="CL145" s="563"/>
      <c r="CM145" s="346">
        <f>CK145</f>
        <v>1500</v>
      </c>
      <c r="CN145" s="346">
        <f t="shared" si="220"/>
        <v>1500</v>
      </c>
      <c r="CO145" s="346">
        <f t="shared" si="220"/>
        <v>1500</v>
      </c>
      <c r="CP145" s="346">
        <f t="shared" si="220"/>
        <v>1500</v>
      </c>
      <c r="CQ145" s="563"/>
      <c r="CR145" s="346">
        <f>CP145</f>
        <v>1500</v>
      </c>
      <c r="CS145" s="346">
        <f t="shared" si="221"/>
        <v>1500</v>
      </c>
      <c r="CT145" s="346">
        <f t="shared" si="222"/>
        <v>1500</v>
      </c>
      <c r="CU145" s="346">
        <f t="shared" si="223"/>
        <v>1500</v>
      </c>
      <c r="CV145" s="563"/>
      <c r="CW145" s="346">
        <f>CU145</f>
        <v>1500</v>
      </c>
      <c r="CX145" s="346">
        <f t="shared" si="224"/>
        <v>1500</v>
      </c>
      <c r="CY145" s="346">
        <f t="shared" si="225"/>
        <v>1500</v>
      </c>
      <c r="CZ145" s="346">
        <f t="shared" si="226"/>
        <v>1500</v>
      </c>
      <c r="DA145" s="563"/>
      <c r="DB145" s="346">
        <f>CZ145</f>
        <v>1500</v>
      </c>
      <c r="DC145" s="346">
        <f t="shared" si="227"/>
        <v>1500</v>
      </c>
      <c r="DD145" s="346">
        <f t="shared" si="228"/>
        <v>1500</v>
      </c>
      <c r="DE145" s="346">
        <f t="shared" si="229"/>
        <v>1500</v>
      </c>
      <c r="DF145" s="563"/>
    </row>
    <row r="146" spans="2:110" x14ac:dyDescent="0.2">
      <c r="B146" s="544" t="s">
        <v>198</v>
      </c>
      <c r="C146" s="145"/>
      <c r="D146" s="145"/>
      <c r="E146" s="145"/>
      <c r="F146" s="145"/>
      <c r="G146" s="145"/>
      <c r="H146" s="145"/>
      <c r="I146" s="145"/>
      <c r="J146" s="145"/>
      <c r="K146" s="145"/>
      <c r="L146" s="145"/>
      <c r="M146" s="145"/>
      <c r="N146" s="145"/>
      <c r="O146" s="145"/>
      <c r="P146" s="145"/>
      <c r="Q146" s="145"/>
      <c r="R146" s="145"/>
      <c r="S146" s="346"/>
      <c r="T146" s="346"/>
      <c r="U146" s="346"/>
      <c r="V146" s="326"/>
      <c r="W146" s="326"/>
      <c r="X146" s="326"/>
      <c r="Y146" s="340"/>
      <c r="Z146" s="346"/>
      <c r="AA146" s="346"/>
      <c r="AB146" s="346"/>
      <c r="AC146" s="346"/>
      <c r="AD146" s="340"/>
      <c r="AE146" s="346"/>
      <c r="AF146" s="346"/>
      <c r="AG146" s="346"/>
      <c r="AH146" s="346"/>
      <c r="AI146" s="340"/>
      <c r="AJ146" s="346"/>
      <c r="AK146" s="346"/>
      <c r="AL146" s="346"/>
      <c r="AM146" s="346"/>
      <c r="AN146" s="340"/>
      <c r="AO146" s="346"/>
      <c r="AP146" s="346"/>
      <c r="AQ146" s="346"/>
      <c r="AR146" s="346"/>
      <c r="AS146" s="340"/>
      <c r="AT146" s="346"/>
      <c r="AU146" s="623"/>
      <c r="AV146" s="625"/>
      <c r="AW146" s="625"/>
      <c r="AX146" s="340"/>
      <c r="AY146" s="346"/>
      <c r="AZ146" s="346"/>
      <c r="BA146" s="346"/>
      <c r="BB146" s="346"/>
      <c r="BC146" s="340"/>
      <c r="BD146" s="346"/>
      <c r="BE146" s="623">
        <v>0</v>
      </c>
      <c r="BF146" s="346">
        <f>BE148</f>
        <v>1494.1</v>
      </c>
      <c r="BG146" s="346">
        <f>BF148</f>
        <v>1494.3999999999999</v>
      </c>
      <c r="BH146" s="340"/>
      <c r="BI146" s="346">
        <f>BG148</f>
        <v>1494.6999999999998</v>
      </c>
      <c r="BJ146" s="346">
        <f>BI148</f>
        <v>1494.9999999999998</v>
      </c>
      <c r="BK146" s="346">
        <f>BJ148</f>
        <v>1495.1999999999998</v>
      </c>
      <c r="BL146" s="346">
        <f>BK148</f>
        <v>1495.3999999999999</v>
      </c>
      <c r="BM146" s="340"/>
      <c r="BN146" s="346">
        <f>BL148</f>
        <v>1495.8</v>
      </c>
      <c r="BO146" s="346">
        <f>BN148</f>
        <v>1496.1</v>
      </c>
      <c r="BP146" s="346">
        <f>BO148</f>
        <v>1496.3999999999999</v>
      </c>
      <c r="BQ146" s="346">
        <f>BP148</f>
        <v>1496.7</v>
      </c>
      <c r="BR146" s="340"/>
      <c r="BS146" s="346">
        <f>BQ148</f>
        <v>1497.0000000000002</v>
      </c>
      <c r="BT146" s="346">
        <f>BS148</f>
        <v>1497.3</v>
      </c>
      <c r="BU146" s="346">
        <f>BT148</f>
        <v>1497.6</v>
      </c>
      <c r="BV146" s="346">
        <f>BU148</f>
        <v>1497.9</v>
      </c>
      <c r="BW146" s="340"/>
      <c r="BX146" s="346">
        <f>BV148</f>
        <v>1498.2</v>
      </c>
      <c r="BY146" s="346">
        <f>BX148</f>
        <v>1498.5</v>
      </c>
      <c r="BZ146" s="346">
        <f>BY148</f>
        <v>1498.8</v>
      </c>
      <c r="CA146" s="346">
        <f>BZ148</f>
        <v>1499.1</v>
      </c>
      <c r="CB146" s="563"/>
      <c r="CC146" s="346">
        <f>CA148</f>
        <v>1499.3999999999999</v>
      </c>
      <c r="CD146" s="346">
        <f>CC148</f>
        <v>564.59999999999991</v>
      </c>
      <c r="CE146" s="346">
        <f>CD148</f>
        <v>0</v>
      </c>
      <c r="CF146" s="346">
        <f>CE148</f>
        <v>0</v>
      </c>
      <c r="CG146" s="563"/>
      <c r="CH146" s="346">
        <f>CF148</f>
        <v>0</v>
      </c>
      <c r="CI146" s="346">
        <f>CH148</f>
        <v>0</v>
      </c>
      <c r="CJ146" s="346">
        <f>CI148</f>
        <v>0</v>
      </c>
      <c r="CK146" s="346">
        <f>CJ148</f>
        <v>0</v>
      </c>
      <c r="CL146" s="563"/>
      <c r="CM146" s="346">
        <f>CK148</f>
        <v>0</v>
      </c>
      <c r="CN146" s="346">
        <f>CM148</f>
        <v>0</v>
      </c>
      <c r="CO146" s="346">
        <f>CN148</f>
        <v>0</v>
      </c>
      <c r="CP146" s="346">
        <f>CO148</f>
        <v>0</v>
      </c>
      <c r="CQ146" s="563"/>
      <c r="CR146" s="346">
        <f>CP148</f>
        <v>0</v>
      </c>
      <c r="CS146" s="346">
        <f>CR148</f>
        <v>0</v>
      </c>
      <c r="CT146" s="346">
        <f>CS148</f>
        <v>0</v>
      </c>
      <c r="CU146" s="346">
        <f>CT148</f>
        <v>0</v>
      </c>
      <c r="CV146" s="563"/>
      <c r="CW146" s="346">
        <f>CU148</f>
        <v>0</v>
      </c>
      <c r="CX146" s="346">
        <f>CW148</f>
        <v>0</v>
      </c>
      <c r="CY146" s="346">
        <f>CX148</f>
        <v>0</v>
      </c>
      <c r="CZ146" s="346">
        <f>CY148</f>
        <v>0</v>
      </c>
      <c r="DA146" s="563"/>
      <c r="DB146" s="346">
        <f>CZ148</f>
        <v>0</v>
      </c>
      <c r="DC146" s="346">
        <f>DB148</f>
        <v>0</v>
      </c>
      <c r="DD146" s="346">
        <f>DC148</f>
        <v>0</v>
      </c>
      <c r="DE146" s="346">
        <f>DD148</f>
        <v>0</v>
      </c>
      <c r="DF146" s="563"/>
    </row>
    <row r="147" spans="2:110" x14ac:dyDescent="0.2">
      <c r="B147" s="589" t="s">
        <v>199</v>
      </c>
      <c r="C147" s="359"/>
      <c r="D147" s="359"/>
      <c r="E147" s="359"/>
      <c r="F147" s="359"/>
      <c r="G147" s="359"/>
      <c r="H147" s="359"/>
      <c r="I147" s="359"/>
      <c r="J147" s="359"/>
      <c r="K147" s="359"/>
      <c r="L147" s="359"/>
      <c r="M147" s="359"/>
      <c r="N147" s="359"/>
      <c r="O147" s="359"/>
      <c r="P147" s="359"/>
      <c r="Q147" s="359"/>
      <c r="R147" s="359"/>
      <c r="S147" s="347"/>
      <c r="T147" s="347"/>
      <c r="U147" s="347"/>
      <c r="V147" s="377"/>
      <c r="W147" s="377"/>
      <c r="X147" s="377"/>
      <c r="Y147" s="343"/>
      <c r="Z147" s="347"/>
      <c r="AA147" s="347"/>
      <c r="AB147" s="347"/>
      <c r="AC147" s="347"/>
      <c r="AD147" s="343"/>
      <c r="AE147" s="347"/>
      <c r="AF147" s="347"/>
      <c r="AG147" s="347"/>
      <c r="AH147" s="347"/>
      <c r="AI147" s="343"/>
      <c r="AJ147" s="347"/>
      <c r="AK147" s="347"/>
      <c r="AL147" s="347"/>
      <c r="AM147" s="347"/>
      <c r="AN147" s="343"/>
      <c r="AO147" s="347"/>
      <c r="AP147" s="347"/>
      <c r="AQ147" s="347"/>
      <c r="AR147" s="347"/>
      <c r="AS147" s="343"/>
      <c r="AT147" s="347"/>
      <c r="AU147" s="629"/>
      <c r="AV147" s="642"/>
      <c r="AW147" s="629"/>
      <c r="AX147" s="343"/>
      <c r="AY147" s="347"/>
      <c r="AZ147" s="347"/>
      <c r="BA147" s="347"/>
      <c r="BB147" s="347"/>
      <c r="BC147" s="343"/>
      <c r="BD147" s="347"/>
      <c r="BE147" s="629">
        <v>1494.1</v>
      </c>
      <c r="BF147" s="347">
        <v>0.3</v>
      </c>
      <c r="BG147" s="347">
        <f>BF147</f>
        <v>0.3</v>
      </c>
      <c r="BH147" s="343"/>
      <c r="BI147" s="347">
        <f>BG147</f>
        <v>0.3</v>
      </c>
      <c r="BJ147" s="347">
        <v>0.2</v>
      </c>
      <c r="BK147" s="347">
        <f>BJ147</f>
        <v>0.2</v>
      </c>
      <c r="BL147" s="348">
        <f>1495.8-BL146</f>
        <v>0.40000000000009095</v>
      </c>
      <c r="BM147" s="343"/>
      <c r="BN147" s="348">
        <v>0.3</v>
      </c>
      <c r="BO147" s="347">
        <f>BN147</f>
        <v>0.3</v>
      </c>
      <c r="BP147" s="348">
        <f>1496.7-BP146</f>
        <v>0.3000000000001819</v>
      </c>
      <c r="BQ147" s="347">
        <f>BP147</f>
        <v>0.3000000000001819</v>
      </c>
      <c r="BR147" s="343"/>
      <c r="BS147" s="347">
        <f>BQ147</f>
        <v>0.3000000000001819</v>
      </c>
      <c r="BT147" s="347">
        <f>BT148-BT146</f>
        <v>0.29999999999995453</v>
      </c>
      <c r="BU147" s="347">
        <f>BU148-BU146</f>
        <v>0.3000000000001819</v>
      </c>
      <c r="BV147" s="347">
        <f>BV148-BV146</f>
        <v>0.29999999999995453</v>
      </c>
      <c r="BW147" s="343"/>
      <c r="BX147" s="347">
        <f>1498.5-BX146</f>
        <v>0.29999999999995453</v>
      </c>
      <c r="BY147" s="347">
        <f>BX147</f>
        <v>0.29999999999995453</v>
      </c>
      <c r="BZ147" s="347">
        <f>BY147</f>
        <v>0.29999999999995453</v>
      </c>
      <c r="CA147" s="347">
        <f>BZ147</f>
        <v>0.29999999999995453</v>
      </c>
      <c r="CB147" s="585"/>
      <c r="CC147" s="347">
        <v>-934.8</v>
      </c>
      <c r="CD147" s="347">
        <f>-CD146</f>
        <v>-564.59999999999991</v>
      </c>
      <c r="CE147" s="347">
        <v>0</v>
      </c>
      <c r="CF147" s="347">
        <f>CE147</f>
        <v>0</v>
      </c>
      <c r="CG147" s="585"/>
      <c r="CH147" s="347">
        <f>CF147</f>
        <v>0</v>
      </c>
      <c r="CI147" s="347">
        <f>CH147</f>
        <v>0</v>
      </c>
      <c r="CJ147" s="347">
        <v>0</v>
      </c>
      <c r="CK147" s="347">
        <f>CJ147</f>
        <v>0</v>
      </c>
      <c r="CL147" s="585"/>
      <c r="CM147" s="347">
        <f>CK147</f>
        <v>0</v>
      </c>
      <c r="CN147" s="347">
        <f>CM147</f>
        <v>0</v>
      </c>
      <c r="CO147" s="347">
        <v>0</v>
      </c>
      <c r="CP147" s="347">
        <f>CO147</f>
        <v>0</v>
      </c>
      <c r="CQ147" s="585"/>
      <c r="CR147" s="347">
        <f>CP147</f>
        <v>0</v>
      </c>
      <c r="CS147" s="347">
        <f>CR147</f>
        <v>0</v>
      </c>
      <c r="CT147" s="347">
        <v>0</v>
      </c>
      <c r="CU147" s="347">
        <f>CT147</f>
        <v>0</v>
      </c>
      <c r="CV147" s="585"/>
      <c r="CW147" s="347">
        <f>CU147</f>
        <v>0</v>
      </c>
      <c r="CX147" s="347">
        <f>CW147</f>
        <v>0</v>
      </c>
      <c r="CY147" s="347">
        <v>0</v>
      </c>
      <c r="CZ147" s="347">
        <f>CY147</f>
        <v>0</v>
      </c>
      <c r="DA147" s="585"/>
      <c r="DB147" s="347">
        <f>CZ147</f>
        <v>0</v>
      </c>
      <c r="DC147" s="347">
        <f>DB147</f>
        <v>0</v>
      </c>
      <c r="DD147" s="347">
        <v>0</v>
      </c>
      <c r="DE147" s="347">
        <f>DD147</f>
        <v>0</v>
      </c>
      <c r="DF147" s="585"/>
    </row>
    <row r="148" spans="2:110" x14ac:dyDescent="0.2">
      <c r="B148" s="544" t="s">
        <v>200</v>
      </c>
      <c r="C148" s="145"/>
      <c r="D148" s="145"/>
      <c r="E148" s="145"/>
      <c r="F148" s="145"/>
      <c r="G148" s="145"/>
      <c r="H148" s="145"/>
      <c r="I148" s="145"/>
      <c r="J148" s="145"/>
      <c r="K148" s="145"/>
      <c r="L148" s="145"/>
      <c r="M148" s="145"/>
      <c r="N148" s="145"/>
      <c r="O148" s="145"/>
      <c r="P148" s="145"/>
      <c r="Q148" s="145"/>
      <c r="R148" s="145"/>
      <c r="S148" s="346"/>
      <c r="T148" s="346"/>
      <c r="U148" s="346"/>
      <c r="V148" s="326"/>
      <c r="W148" s="326"/>
      <c r="X148" s="326"/>
      <c r="Y148" s="340"/>
      <c r="Z148" s="346"/>
      <c r="AA148" s="346"/>
      <c r="AB148" s="346"/>
      <c r="AC148" s="346"/>
      <c r="AD148" s="340"/>
      <c r="AE148" s="346"/>
      <c r="AF148" s="346"/>
      <c r="AG148" s="346"/>
      <c r="AH148" s="346"/>
      <c r="AI148" s="340"/>
      <c r="AJ148" s="346"/>
      <c r="AK148" s="346"/>
      <c r="AL148" s="346"/>
      <c r="AM148" s="346"/>
      <c r="AN148" s="340"/>
      <c r="AO148" s="346"/>
      <c r="AP148" s="346"/>
      <c r="AQ148" s="346"/>
      <c r="AR148" s="346"/>
      <c r="AS148" s="340"/>
      <c r="AT148" s="346"/>
      <c r="AU148" s="625"/>
      <c r="AV148" s="625"/>
      <c r="AW148" s="625"/>
      <c r="AX148" s="340"/>
      <c r="AY148" s="346"/>
      <c r="AZ148" s="346"/>
      <c r="BA148" s="346"/>
      <c r="BB148" s="346"/>
      <c r="BC148" s="340"/>
      <c r="BD148" s="346"/>
      <c r="BE148" s="625">
        <f>BE146+BE147</f>
        <v>1494.1</v>
      </c>
      <c r="BF148" s="346">
        <f>BF146+BF147</f>
        <v>1494.3999999999999</v>
      </c>
      <c r="BG148" s="346">
        <f>BG146+BG147</f>
        <v>1494.6999999999998</v>
      </c>
      <c r="BH148" s="340"/>
      <c r="BI148" s="346">
        <f>BI146+BI147</f>
        <v>1494.9999999999998</v>
      </c>
      <c r="BJ148" s="346">
        <f>BJ146+BJ147</f>
        <v>1495.1999999999998</v>
      </c>
      <c r="BK148" s="346">
        <f>BK146+BK147</f>
        <v>1495.3999999999999</v>
      </c>
      <c r="BL148" s="346">
        <f>BL146+BL147</f>
        <v>1495.8</v>
      </c>
      <c r="BM148" s="340"/>
      <c r="BN148" s="346">
        <f>BN146+BN147</f>
        <v>1496.1</v>
      </c>
      <c r="BO148" s="346">
        <f>BO146+BO147</f>
        <v>1496.3999999999999</v>
      </c>
      <c r="BP148" s="346">
        <f>BP146+BP147</f>
        <v>1496.7</v>
      </c>
      <c r="BQ148" s="346">
        <f>BQ146+BQ147</f>
        <v>1497.0000000000002</v>
      </c>
      <c r="BR148" s="340"/>
      <c r="BS148" s="354">
        <v>1497.3</v>
      </c>
      <c r="BT148" s="354">
        <v>1497.6</v>
      </c>
      <c r="BU148" s="354">
        <v>1497.9</v>
      </c>
      <c r="BV148" s="346">
        <v>1498.2</v>
      </c>
      <c r="BW148" s="340"/>
      <c r="BX148" s="346">
        <f>BX146+BX147</f>
        <v>1498.5</v>
      </c>
      <c r="BY148" s="346">
        <f>BY146+BY147</f>
        <v>1498.8</v>
      </c>
      <c r="BZ148" s="346">
        <f>BZ146+BZ147</f>
        <v>1499.1</v>
      </c>
      <c r="CA148" s="346">
        <f>CA146+CA147</f>
        <v>1499.3999999999999</v>
      </c>
      <c r="CB148" s="563"/>
      <c r="CC148" s="346">
        <f>CC146+CC147</f>
        <v>564.59999999999991</v>
      </c>
      <c r="CD148" s="346">
        <f>CD146+CD147</f>
        <v>0</v>
      </c>
      <c r="CE148" s="346">
        <f>CE146+CE147</f>
        <v>0</v>
      </c>
      <c r="CF148" s="346">
        <f>CF146+CF147</f>
        <v>0</v>
      </c>
      <c r="CG148" s="563"/>
      <c r="CH148" s="346">
        <f>CH146+CH147</f>
        <v>0</v>
      </c>
      <c r="CI148" s="346">
        <f>CI146+CI147</f>
        <v>0</v>
      </c>
      <c r="CJ148" s="346">
        <f>CJ146+CJ147</f>
        <v>0</v>
      </c>
      <c r="CK148" s="346">
        <f>CK146+CK147</f>
        <v>0</v>
      </c>
      <c r="CL148" s="563"/>
      <c r="CM148" s="346">
        <f>CM146+CM147</f>
        <v>0</v>
      </c>
      <c r="CN148" s="346">
        <f>CN146+CN147</f>
        <v>0</v>
      </c>
      <c r="CO148" s="346">
        <f>CO146+CO147</f>
        <v>0</v>
      </c>
      <c r="CP148" s="346">
        <f>CP146+CP147</f>
        <v>0</v>
      </c>
      <c r="CQ148" s="563"/>
      <c r="CR148" s="346">
        <f>CR146+CR147</f>
        <v>0</v>
      </c>
      <c r="CS148" s="346">
        <f>CS146+CS147</f>
        <v>0</v>
      </c>
      <c r="CT148" s="346">
        <f>CT146+CT147</f>
        <v>0</v>
      </c>
      <c r="CU148" s="346">
        <f>CU146+CU147</f>
        <v>0</v>
      </c>
      <c r="CV148" s="563"/>
      <c r="CW148" s="346">
        <f>CW146+CW147</f>
        <v>0</v>
      </c>
      <c r="CX148" s="346">
        <f>CX146+CX147</f>
        <v>0</v>
      </c>
      <c r="CY148" s="346">
        <f>CY146+CY147</f>
        <v>0</v>
      </c>
      <c r="CZ148" s="346">
        <f>CZ146+CZ147</f>
        <v>0</v>
      </c>
      <c r="DA148" s="563"/>
      <c r="DB148" s="346">
        <f>DB146+DB147</f>
        <v>0</v>
      </c>
      <c r="DC148" s="346">
        <f>DC146+DC147</f>
        <v>0</v>
      </c>
      <c r="DD148" s="346">
        <f>DD146+DD147</f>
        <v>0</v>
      </c>
      <c r="DE148" s="346">
        <f>DE146+DE147</f>
        <v>0</v>
      </c>
      <c r="DF148" s="563"/>
    </row>
    <row r="149" spans="2:110" x14ac:dyDescent="0.2">
      <c r="B149" s="536" t="s">
        <v>201</v>
      </c>
      <c r="C149" s="145"/>
      <c r="D149" s="145"/>
      <c r="E149" s="145"/>
      <c r="F149" s="145"/>
      <c r="G149" s="145"/>
      <c r="H149" s="145"/>
      <c r="I149" s="145"/>
      <c r="J149" s="145"/>
      <c r="K149" s="145"/>
      <c r="L149" s="145"/>
      <c r="M149" s="145"/>
      <c r="N149" s="145"/>
      <c r="O149" s="145"/>
      <c r="P149" s="145"/>
      <c r="Q149" s="145"/>
      <c r="R149" s="145"/>
      <c r="S149" s="346"/>
      <c r="T149" s="346"/>
      <c r="U149" s="346"/>
      <c r="V149" s="326"/>
      <c r="W149" s="326"/>
      <c r="X149" s="326"/>
      <c r="Y149" s="340"/>
      <c r="Z149" s="346"/>
      <c r="AA149" s="346"/>
      <c r="AB149" s="346"/>
      <c r="AC149" s="346"/>
      <c r="AD149" s="340"/>
      <c r="AE149" s="346"/>
      <c r="AF149" s="346"/>
      <c r="AG149" s="346"/>
      <c r="AH149" s="346"/>
      <c r="AI149" s="340"/>
      <c r="AJ149" s="346"/>
      <c r="AK149" s="346"/>
      <c r="AL149" s="346"/>
      <c r="AM149" s="346"/>
      <c r="AN149" s="340"/>
      <c r="AO149" s="346"/>
      <c r="AP149" s="346"/>
      <c r="AQ149" s="346"/>
      <c r="AR149" s="346"/>
      <c r="AS149" s="340"/>
      <c r="AT149" s="346"/>
      <c r="AU149" s="625"/>
      <c r="AV149" s="625"/>
      <c r="AW149" s="625"/>
      <c r="AX149" s="340"/>
      <c r="AY149" s="346"/>
      <c r="AZ149" s="346"/>
      <c r="BA149" s="346"/>
      <c r="BB149" s="346"/>
      <c r="BC149" s="340"/>
      <c r="BD149" s="346"/>
      <c r="BE149" s="625">
        <f>BE145-BE148</f>
        <v>5.9000000000000909</v>
      </c>
      <c r="BF149" s="346">
        <f>BF145-BF148</f>
        <v>5.6000000000001364</v>
      </c>
      <c r="BG149" s="346">
        <f>BG145-BG148</f>
        <v>5.3000000000001819</v>
      </c>
      <c r="BH149" s="340"/>
      <c r="BI149" s="346">
        <f>BI145-BI148</f>
        <v>5.0000000000002274</v>
      </c>
      <c r="BJ149" s="346">
        <f>BJ145-BJ148</f>
        <v>4.8000000000001819</v>
      </c>
      <c r="BK149" s="346">
        <f>BK145-BK148</f>
        <v>4.6000000000001364</v>
      </c>
      <c r="BL149" s="346">
        <f>BL145-BL148</f>
        <v>4.2000000000000455</v>
      </c>
      <c r="BM149" s="340"/>
      <c r="BN149" s="346">
        <f>BN145-BN148</f>
        <v>3.9000000000000909</v>
      </c>
      <c r="BO149" s="346">
        <f>BO145-BO148</f>
        <v>3.6000000000001364</v>
      </c>
      <c r="BP149" s="346">
        <f>BP145-BP148</f>
        <v>3.2999999999999545</v>
      </c>
      <c r="BQ149" s="346">
        <f>BQ145-BQ148</f>
        <v>2.9999999999997726</v>
      </c>
      <c r="BR149" s="340"/>
      <c r="BS149" s="346">
        <f>BS145-BS148</f>
        <v>2.7000000000000455</v>
      </c>
      <c r="BT149" s="346">
        <f>BT145-BT148</f>
        <v>2.4000000000000909</v>
      </c>
      <c r="BU149" s="346">
        <f>BU145-BU148</f>
        <v>2.0999999999999091</v>
      </c>
      <c r="BV149" s="346">
        <f>BV145-BV148</f>
        <v>1.7999999999999545</v>
      </c>
      <c r="BW149" s="340"/>
      <c r="BX149" s="346">
        <f>BX145-BX148</f>
        <v>1.5</v>
      </c>
      <c r="BY149" s="346">
        <f>BY145-BY148</f>
        <v>1.2000000000000455</v>
      </c>
      <c r="BZ149" s="346">
        <f>BZ145-BZ148</f>
        <v>0.90000000000009095</v>
      </c>
      <c r="CA149" s="346">
        <f>CA145-CA148</f>
        <v>0.60000000000013642</v>
      </c>
      <c r="CB149" s="563"/>
      <c r="CC149" s="346">
        <f>CC145-CC148</f>
        <v>935.40000000000009</v>
      </c>
      <c r="CD149" s="346">
        <f>CD145-CD148</f>
        <v>1500</v>
      </c>
      <c r="CE149" s="346">
        <f>CE145-CE148</f>
        <v>1500</v>
      </c>
      <c r="CF149" s="346">
        <f>CF145-CF148</f>
        <v>1500</v>
      </c>
      <c r="CG149" s="563"/>
      <c r="CH149" s="346">
        <f>CH145-CH148</f>
        <v>1500</v>
      </c>
      <c r="CI149" s="346">
        <f>CI145-CI148</f>
        <v>1500</v>
      </c>
      <c r="CJ149" s="346">
        <f>CJ145-CJ148</f>
        <v>1500</v>
      </c>
      <c r="CK149" s="346">
        <f>CK145-CK148</f>
        <v>1500</v>
      </c>
      <c r="CL149" s="563"/>
      <c r="CM149" s="346">
        <f>CM145-CM148</f>
        <v>1500</v>
      </c>
      <c r="CN149" s="346">
        <f>CN145-CN148</f>
        <v>1500</v>
      </c>
      <c r="CO149" s="346">
        <f>CO145-CO148</f>
        <v>1500</v>
      </c>
      <c r="CP149" s="346">
        <f>CP145-CP148</f>
        <v>1500</v>
      </c>
      <c r="CQ149" s="563"/>
      <c r="CR149" s="346">
        <f>CR145-CR148</f>
        <v>1500</v>
      </c>
      <c r="CS149" s="346">
        <f>CS145-CS148</f>
        <v>1500</v>
      </c>
      <c r="CT149" s="346">
        <f>CT145-CT148</f>
        <v>1500</v>
      </c>
      <c r="CU149" s="346">
        <f>CU145-CU148</f>
        <v>1500</v>
      </c>
      <c r="CV149" s="563"/>
      <c r="CW149" s="346">
        <f>CW145-CW148</f>
        <v>1500</v>
      </c>
      <c r="CX149" s="346">
        <f>CX145-CX148</f>
        <v>1500</v>
      </c>
      <c r="CY149" s="346">
        <f>CY145-CY148</f>
        <v>1500</v>
      </c>
      <c r="CZ149" s="346">
        <f>CZ145-CZ148</f>
        <v>1500</v>
      </c>
      <c r="DA149" s="563"/>
      <c r="DB149" s="346">
        <f>DB145-DB148</f>
        <v>1500</v>
      </c>
      <c r="DC149" s="346">
        <f>DC145-DC148</f>
        <v>1500</v>
      </c>
      <c r="DD149" s="346">
        <f>DD145-DD148</f>
        <v>1500</v>
      </c>
      <c r="DE149" s="346">
        <f>DE145-DE148</f>
        <v>1500</v>
      </c>
      <c r="DF149" s="563"/>
    </row>
    <row r="150" spans="2:110" x14ac:dyDescent="0.2">
      <c r="B150" s="544" t="s">
        <v>206</v>
      </c>
      <c r="C150" s="145"/>
      <c r="D150" s="145"/>
      <c r="E150" s="145"/>
      <c r="F150" s="145"/>
      <c r="G150" s="145"/>
      <c r="H150" s="145"/>
      <c r="I150" s="145"/>
      <c r="J150" s="145"/>
      <c r="K150" s="145"/>
      <c r="L150" s="145"/>
      <c r="M150" s="145"/>
      <c r="N150" s="145"/>
      <c r="O150" s="145"/>
      <c r="P150" s="145"/>
      <c r="Q150" s="145"/>
      <c r="R150" s="145"/>
      <c r="S150" s="346"/>
      <c r="T150" s="346"/>
      <c r="U150" s="346"/>
      <c r="V150" s="326"/>
      <c r="W150" s="326"/>
      <c r="X150" s="326"/>
      <c r="Y150" s="340"/>
      <c r="Z150" s="346"/>
      <c r="AA150" s="346"/>
      <c r="AB150" s="346"/>
      <c r="AC150" s="346"/>
      <c r="AD150" s="340"/>
      <c r="AE150" s="346"/>
      <c r="AF150" s="346"/>
      <c r="AG150" s="346"/>
      <c r="AH150" s="346"/>
      <c r="AI150" s="340"/>
      <c r="AJ150" s="346"/>
      <c r="AK150" s="346"/>
      <c r="AL150" s="346"/>
      <c r="AM150" s="346"/>
      <c r="AN150" s="340"/>
      <c r="AO150" s="346"/>
      <c r="AP150" s="346"/>
      <c r="AQ150" s="346"/>
      <c r="AR150" s="346"/>
      <c r="AS150" s="340"/>
      <c r="AT150" s="346"/>
      <c r="AU150" s="625"/>
      <c r="AV150" s="625"/>
      <c r="AW150" s="625"/>
      <c r="AX150" s="340"/>
      <c r="AY150" s="346"/>
      <c r="AZ150" s="346"/>
      <c r="BA150" s="346"/>
      <c r="BB150" s="346"/>
      <c r="BC150" s="340"/>
      <c r="BD150" s="346"/>
      <c r="BE150" s="625">
        <f>-BE148*2/3*(BE144/4)</f>
        <v>-7.7817708333333329</v>
      </c>
      <c r="BF150" s="346">
        <f>-(AVERAGE(BF148,BF146))*(BF144/4)</f>
        <v>-11.673828125</v>
      </c>
      <c r="BG150" s="346">
        <f>-(AVERAGE(BG148,BG146))*(BG144/4)</f>
        <v>-11.676171874999998</v>
      </c>
      <c r="BH150" s="340"/>
      <c r="BI150" s="346">
        <f>-(AVERAGE(BI148,BI146))*(BI144/4)</f>
        <v>-11.678515624999999</v>
      </c>
      <c r="BJ150" s="346">
        <f>-(AVERAGE(BJ148,BJ146))*(BJ144/4)</f>
        <v>-11.680468749999999</v>
      </c>
      <c r="BK150" s="346">
        <f>-(AVERAGE(BK148,BK146))*(BK144/4)</f>
        <v>-11.682031249999998</v>
      </c>
      <c r="BL150" s="346">
        <f>-(AVERAGE(BL148,BL146))*(BL144/4)</f>
        <v>-11.684374999999999</v>
      </c>
      <c r="BM150" s="340"/>
      <c r="BN150" s="346">
        <f>-(AVERAGE(BN148,BN146))*(BN144/4)</f>
        <v>-11.687109374999999</v>
      </c>
      <c r="BO150" s="346">
        <f>-(AVERAGE(BO148,BO146))*(BO144/4)</f>
        <v>-11.689453125</v>
      </c>
      <c r="BP150" s="346">
        <f>-(AVERAGE(BP148,BP146))*(BP144/4)</f>
        <v>-11.691796875</v>
      </c>
      <c r="BQ150" s="346">
        <f>-(AVERAGE(BQ148,BQ146))*(BQ144/4)</f>
        <v>-11.694140625000001</v>
      </c>
      <c r="BR150" s="340"/>
      <c r="BS150" s="346">
        <f>-(AVERAGE(BS148,BS146))*(BS144/4)</f>
        <v>-11.696484375000001</v>
      </c>
      <c r="BT150" s="346">
        <f>-(AVERAGE(BT148,BT146))*(BT144/4)</f>
        <v>-11.698828124999999</v>
      </c>
      <c r="BU150" s="346">
        <f>-(AVERAGE(BU148,BU146))*(BU144/4)</f>
        <v>-11.701171875</v>
      </c>
      <c r="BV150" s="346">
        <f>-(AVERAGE(BV148,BV146))*(BV144/4)</f>
        <v>-11.703515625000001</v>
      </c>
      <c r="BW150" s="340"/>
      <c r="BX150" s="346">
        <f>-(AVERAGE(BX148,BX146))*(BX144/4)</f>
        <v>-11.705859374999999</v>
      </c>
      <c r="BY150" s="346">
        <f>-(AVERAGE(BY148,BY146))*(BY144/4)</f>
        <v>-11.708203125000001</v>
      </c>
      <c r="BZ150" s="346">
        <f>-(AVERAGE(BZ148,BZ146))*(BZ144/4)</f>
        <v>-11.710546874999999</v>
      </c>
      <c r="CA150" s="346">
        <f>-(AVERAGE(CA148,CA146))*(CA144/4)</f>
        <v>-11.712890625</v>
      </c>
      <c r="CB150" s="563"/>
      <c r="CC150" s="346">
        <f>-(AVERAGE(CC148,CC146))*(CC144/4)</f>
        <v>-8.0625</v>
      </c>
      <c r="CD150" s="346">
        <f>-(AVERAGE(CD148,CD146))*(CD144/4)</f>
        <v>-2.2054687499999996</v>
      </c>
      <c r="CE150" s="346">
        <f>-(AVERAGE(CE148,CE146))*(CE144/4)</f>
        <v>0</v>
      </c>
      <c r="CF150" s="346">
        <f>-(AVERAGE(CF148,CF146))*(CF144/4)</f>
        <v>0</v>
      </c>
      <c r="CG150" s="563"/>
      <c r="CH150" s="346">
        <f>-(AVERAGE(CH148,CH146))*(CH144/4)</f>
        <v>0</v>
      </c>
      <c r="CI150" s="346">
        <f>-(AVERAGE(CI148,CI146))*(CI144/4)</f>
        <v>0</v>
      </c>
      <c r="CJ150" s="346">
        <f>-(AVERAGE(CJ148,CJ146))*(CJ144/4)</f>
        <v>0</v>
      </c>
      <c r="CK150" s="346">
        <f>-(AVERAGE(CK148,CK146))*(CK144/4)</f>
        <v>0</v>
      </c>
      <c r="CL150" s="563"/>
      <c r="CM150" s="346">
        <f>-(AVERAGE(CM148,CM146))*(CM144/4)</f>
        <v>0</v>
      </c>
      <c r="CN150" s="346">
        <f>-(AVERAGE(CN148,CN146))*(CN144/4)</f>
        <v>0</v>
      </c>
      <c r="CO150" s="346">
        <f>-(AVERAGE(CO148,CO146))*(CO144/4)</f>
        <v>0</v>
      </c>
      <c r="CP150" s="346">
        <f>-(AVERAGE(CP148,CP146))*(CP144/4)</f>
        <v>0</v>
      </c>
      <c r="CQ150" s="563"/>
      <c r="CR150" s="346">
        <f>-(AVERAGE(CR148,CR146))*(CR144/4)</f>
        <v>0</v>
      </c>
      <c r="CS150" s="346">
        <f>-(AVERAGE(CS148,CS146))*(CS144/4)</f>
        <v>0</v>
      </c>
      <c r="CT150" s="346">
        <f>-(AVERAGE(CT148,CT146))*(CT144/4)</f>
        <v>0</v>
      </c>
      <c r="CU150" s="346">
        <f>-(AVERAGE(CU148,CU146))*(CU144/4)</f>
        <v>0</v>
      </c>
      <c r="CV150" s="563"/>
      <c r="CW150" s="346">
        <f>-(AVERAGE(CW148,CW146))*(CW144/4)</f>
        <v>0</v>
      </c>
      <c r="CX150" s="346">
        <f>-(AVERAGE(CX148,CX146))*(CX144/4)</f>
        <v>0</v>
      </c>
      <c r="CY150" s="346">
        <f>-(AVERAGE(CY148,CY146))*(CY144/4)</f>
        <v>0</v>
      </c>
      <c r="CZ150" s="346">
        <f>-(AVERAGE(CZ148,CZ146))*(CZ144/4)</f>
        <v>0</v>
      </c>
      <c r="DA150" s="563"/>
      <c r="DB150" s="346">
        <f>-(AVERAGE(DB148,DB146))*(DB144/4)</f>
        <v>0</v>
      </c>
      <c r="DC150" s="346">
        <f>-(AVERAGE(DC148,DC146))*(DC144/4)</f>
        <v>0</v>
      </c>
      <c r="DD150" s="346">
        <f>-(AVERAGE(DD148,DD146))*(DD144/4)</f>
        <v>0</v>
      </c>
      <c r="DE150" s="346">
        <f>-(AVERAGE(DE148,DE146))*(DE144/4)</f>
        <v>0</v>
      </c>
      <c r="DF150" s="563"/>
    </row>
    <row r="151" spans="2:110" ht="12" thickBot="1" x14ac:dyDescent="0.25">
      <c r="B151" s="548" t="s">
        <v>207</v>
      </c>
      <c r="C151" s="205"/>
      <c r="D151" s="205"/>
      <c r="E151" s="205"/>
      <c r="F151" s="205"/>
      <c r="G151" s="205"/>
      <c r="H151" s="205"/>
      <c r="I151" s="205"/>
      <c r="J151" s="205"/>
      <c r="K151" s="205"/>
      <c r="L151" s="205"/>
      <c r="M151" s="205"/>
      <c r="N151" s="205"/>
      <c r="O151" s="205"/>
      <c r="P151" s="205"/>
      <c r="Q151" s="205"/>
      <c r="R151" s="205"/>
      <c r="S151" s="549"/>
      <c r="T151" s="549"/>
      <c r="U151" s="549"/>
      <c r="V151" s="327"/>
      <c r="W151" s="327"/>
      <c r="X151" s="327"/>
      <c r="Y151" s="550"/>
      <c r="Z151" s="549"/>
      <c r="AA151" s="549"/>
      <c r="AB151" s="549"/>
      <c r="AC151" s="549"/>
      <c r="AD151" s="550"/>
      <c r="AE151" s="549"/>
      <c r="AF151" s="549"/>
      <c r="AG151" s="549"/>
      <c r="AH151" s="549"/>
      <c r="AI151" s="550"/>
      <c r="AJ151" s="549"/>
      <c r="AK151" s="549"/>
      <c r="AL151" s="549"/>
      <c r="AM151" s="549"/>
      <c r="AN151" s="550"/>
      <c r="AO151" s="549"/>
      <c r="AP151" s="549"/>
      <c r="AQ151" s="549"/>
      <c r="AR151" s="549"/>
      <c r="AS151" s="550"/>
      <c r="AT151" s="549"/>
      <c r="AU151" s="549"/>
      <c r="AV151" s="549"/>
      <c r="AW151" s="549"/>
      <c r="AX151" s="550"/>
      <c r="AY151" s="549"/>
      <c r="AZ151" s="549"/>
      <c r="BA151" s="549"/>
      <c r="BB151" s="549"/>
      <c r="BC151" s="550"/>
      <c r="BD151" s="549"/>
      <c r="BE151" s="549">
        <f>-BE143*BE149/4</f>
        <v>0</v>
      </c>
      <c r="BF151" s="549">
        <f>-BF143*BF149/4</f>
        <v>0</v>
      </c>
      <c r="BG151" s="549">
        <f>-BG143*BG149/4</f>
        <v>0</v>
      </c>
      <c r="BH151" s="550"/>
      <c r="BI151" s="549">
        <f>-BI143*BI149/4</f>
        <v>0</v>
      </c>
      <c r="BJ151" s="549">
        <f>-BJ143*BJ149/4</f>
        <v>0</v>
      </c>
      <c r="BK151" s="549">
        <f>-BK143*BK149/4</f>
        <v>0</v>
      </c>
      <c r="BL151" s="549">
        <f>-BL143*BL149/4</f>
        <v>0</v>
      </c>
      <c r="BM151" s="550"/>
      <c r="BN151" s="549">
        <f>-BN143*BN149/4</f>
        <v>0</v>
      </c>
      <c r="BO151" s="549">
        <f>-BO143*BO149/4</f>
        <v>0</v>
      </c>
      <c r="BP151" s="549">
        <f>-BP143*BP149/4</f>
        <v>0</v>
      </c>
      <c r="BQ151" s="549">
        <f>-BQ143*BQ149/4</f>
        <v>0</v>
      </c>
      <c r="BR151" s="550"/>
      <c r="BS151" s="549">
        <f>-BS143*BS149/4</f>
        <v>0</v>
      </c>
      <c r="BT151" s="549">
        <f>-BT143*BT149/4</f>
        <v>0</v>
      </c>
      <c r="BU151" s="549">
        <f>-BU143*BU149/4</f>
        <v>0</v>
      </c>
      <c r="BV151" s="549">
        <f>-BV143*BV149/4</f>
        <v>0</v>
      </c>
      <c r="BW151" s="550"/>
      <c r="BX151" s="549">
        <f>-BX143*BX149/4</f>
        <v>0</v>
      </c>
      <c r="BY151" s="549">
        <f>-BY143*BY149/4</f>
        <v>0</v>
      </c>
      <c r="BZ151" s="549">
        <f>-BZ143*BZ149/4</f>
        <v>0</v>
      </c>
      <c r="CA151" s="549">
        <f>-CA143*CA149/4</f>
        <v>0</v>
      </c>
      <c r="CB151" s="565"/>
      <c r="CC151" s="549">
        <f>-CC143*CC149/4</f>
        <v>0</v>
      </c>
      <c r="CD151" s="549">
        <f>-CD143*CD149/4</f>
        <v>0</v>
      </c>
      <c r="CE151" s="549">
        <f>-CE143*CE149/4</f>
        <v>0</v>
      </c>
      <c r="CF151" s="549">
        <f>-CF143*CF149/4</f>
        <v>0</v>
      </c>
      <c r="CG151" s="565"/>
      <c r="CH151" s="549">
        <f>-CH143*CH149/4</f>
        <v>0</v>
      </c>
      <c r="CI151" s="549">
        <f>-CI143*CI149/4</f>
        <v>0</v>
      </c>
      <c r="CJ151" s="549">
        <f>-CJ143*CJ149/4</f>
        <v>0</v>
      </c>
      <c r="CK151" s="549">
        <f>-CK143*CK149/4</f>
        <v>0</v>
      </c>
      <c r="CL151" s="565"/>
      <c r="CM151" s="549">
        <f>-CM143*CM149/4</f>
        <v>0</v>
      </c>
      <c r="CN151" s="549">
        <f>-CN143*CN149/4</f>
        <v>0</v>
      </c>
      <c r="CO151" s="549">
        <f>-CO143*CO149/4</f>
        <v>0</v>
      </c>
      <c r="CP151" s="549">
        <f>-CP143*CP149/4</f>
        <v>0</v>
      </c>
      <c r="CQ151" s="565"/>
      <c r="CR151" s="549">
        <f>-CR143*CR149/4</f>
        <v>0</v>
      </c>
      <c r="CS151" s="549">
        <f>-CS143*CS149/4</f>
        <v>0</v>
      </c>
      <c r="CT151" s="549">
        <f>-CT143*CT149/4</f>
        <v>0</v>
      </c>
      <c r="CU151" s="549">
        <f>-CU143*CU149/4</f>
        <v>0</v>
      </c>
      <c r="CV151" s="565"/>
      <c r="CW151" s="549">
        <f>-CW143*CW149/4</f>
        <v>0</v>
      </c>
      <c r="CX151" s="549">
        <f>-CX143*CX149/4</f>
        <v>0</v>
      </c>
      <c r="CY151" s="549">
        <f>-CY143*CY149/4</f>
        <v>0</v>
      </c>
      <c r="CZ151" s="549">
        <f>-CZ143*CZ149/4</f>
        <v>0</v>
      </c>
      <c r="DA151" s="565"/>
      <c r="DB151" s="549">
        <f>-DB143*DB149/4</f>
        <v>0</v>
      </c>
      <c r="DC151" s="549">
        <f>-DC143*DC149/4</f>
        <v>0</v>
      </c>
      <c r="DD151" s="549">
        <f>-DD143*DD149/4</f>
        <v>0</v>
      </c>
      <c r="DE151" s="549">
        <f>-DE143*DE149/4</f>
        <v>0</v>
      </c>
      <c r="DF151" s="565"/>
    </row>
    <row r="152" spans="2:110" ht="12" thickBot="1" x14ac:dyDescent="0.25">
      <c r="B152" s="355"/>
      <c r="C152" s="145"/>
      <c r="D152" s="145"/>
      <c r="E152" s="145"/>
      <c r="F152" s="145"/>
      <c r="G152" s="145"/>
      <c r="H152" s="145"/>
      <c r="I152" s="145"/>
      <c r="J152" s="145"/>
      <c r="K152" s="145"/>
      <c r="L152" s="145"/>
      <c r="M152" s="145"/>
      <c r="N152" s="145"/>
      <c r="O152" s="145"/>
      <c r="P152" s="145"/>
      <c r="Q152" s="145"/>
      <c r="R152" s="145"/>
      <c r="S152" s="346"/>
      <c r="T152" s="346"/>
      <c r="U152" s="346"/>
      <c r="V152" s="326"/>
      <c r="W152" s="326"/>
      <c r="X152" s="326"/>
      <c r="Y152" s="346"/>
      <c r="Z152" s="346"/>
      <c r="AA152" s="346"/>
      <c r="AB152" s="346"/>
      <c r="AC152" s="346"/>
      <c r="AD152" s="346"/>
      <c r="AE152" s="346"/>
      <c r="AF152" s="346"/>
      <c r="AG152" s="346"/>
      <c r="AH152" s="346"/>
      <c r="AI152" s="346"/>
      <c r="AJ152" s="346"/>
      <c r="AK152" s="346"/>
      <c r="AL152" s="346"/>
      <c r="AM152" s="346"/>
      <c r="AN152" s="346"/>
      <c r="AO152" s="346"/>
      <c r="AP152" s="346"/>
      <c r="AQ152" s="346"/>
      <c r="AR152" s="346"/>
      <c r="AS152" s="346"/>
      <c r="AT152" s="346"/>
      <c r="AU152" s="346"/>
      <c r="AV152" s="346"/>
      <c r="AW152" s="346"/>
      <c r="AX152" s="346"/>
      <c r="AY152" s="346"/>
      <c r="AZ152" s="346"/>
      <c r="BA152" s="346"/>
      <c r="BB152" s="346"/>
      <c r="BC152" s="346"/>
      <c r="BD152" s="346"/>
      <c r="BE152" s="346"/>
      <c r="BF152" s="346"/>
      <c r="BG152" s="346"/>
      <c r="BH152" s="346"/>
      <c r="BI152" s="346"/>
      <c r="BJ152" s="346"/>
      <c r="BK152" s="346"/>
      <c r="BL152" s="346"/>
      <c r="BM152" s="346"/>
      <c r="BN152" s="346"/>
      <c r="BO152" s="346"/>
      <c r="BP152" s="346"/>
      <c r="BQ152" s="346"/>
      <c r="BR152" s="346"/>
      <c r="BS152" s="346"/>
      <c r="BT152" s="346"/>
      <c r="BU152" s="346"/>
      <c r="BV152" s="346"/>
      <c r="BW152" s="346"/>
      <c r="BX152" s="346"/>
      <c r="BY152" s="346"/>
      <c r="BZ152" s="346"/>
      <c r="CA152" s="346"/>
      <c r="CB152" s="346"/>
      <c r="CC152" s="346"/>
      <c r="CD152" s="346"/>
      <c r="CE152" s="346"/>
      <c r="CF152" s="346"/>
      <c r="CG152" s="346"/>
      <c r="CH152" s="346"/>
      <c r="CI152" s="346"/>
      <c r="CJ152" s="346"/>
      <c r="CK152" s="346"/>
      <c r="CL152" s="346"/>
      <c r="CM152" s="346"/>
      <c r="CN152" s="346"/>
      <c r="CO152" s="346"/>
      <c r="CP152" s="346"/>
      <c r="CQ152" s="346"/>
      <c r="CR152" s="346"/>
      <c r="CS152" s="346"/>
      <c r="CT152" s="346"/>
      <c r="CU152" s="346"/>
      <c r="CV152" s="346"/>
      <c r="CW152" s="346"/>
      <c r="CX152" s="346"/>
      <c r="CY152" s="346"/>
      <c r="CZ152" s="346"/>
      <c r="DA152" s="346"/>
      <c r="DB152" s="346"/>
      <c r="DC152" s="346"/>
      <c r="DD152" s="346"/>
      <c r="DE152" s="346"/>
      <c r="DF152" s="346"/>
    </row>
    <row r="153" spans="2:110" s="326" customFormat="1" ht="12" thickBot="1" x14ac:dyDescent="0.25">
      <c r="B153" s="981" t="s">
        <v>426</v>
      </c>
      <c r="C153" s="989"/>
      <c r="D153" s="989"/>
      <c r="E153" s="989"/>
      <c r="F153" s="989"/>
      <c r="G153" s="989"/>
      <c r="H153" s="989"/>
      <c r="I153" s="989"/>
      <c r="J153" s="989"/>
      <c r="K153" s="989"/>
      <c r="L153" s="989"/>
      <c r="M153" s="989"/>
      <c r="N153" s="989"/>
      <c r="O153" s="989"/>
      <c r="P153" s="989"/>
      <c r="Q153" s="989"/>
      <c r="R153" s="989"/>
      <c r="S153" s="990"/>
      <c r="T153" s="990"/>
      <c r="U153" s="990"/>
      <c r="V153" s="991"/>
      <c r="W153" s="991"/>
      <c r="X153" s="991"/>
      <c r="Y153" s="990"/>
      <c r="Z153" s="990"/>
      <c r="AA153" s="990"/>
      <c r="AB153" s="990"/>
      <c r="AC153" s="990"/>
      <c r="AD153" s="990"/>
      <c r="AE153" s="990"/>
      <c r="AF153" s="990"/>
      <c r="AG153" s="990"/>
      <c r="AH153" s="990"/>
      <c r="AI153" s="990"/>
      <c r="AJ153" s="990"/>
      <c r="AK153" s="990"/>
      <c r="AL153" s="990"/>
      <c r="AM153" s="990"/>
      <c r="AN153" s="990"/>
      <c r="AO153" s="990"/>
      <c r="AP153" s="990"/>
      <c r="AQ153" s="990"/>
      <c r="AR153" s="990"/>
      <c r="AS153" s="990"/>
      <c r="AT153" s="990"/>
      <c r="AU153" s="990"/>
      <c r="AV153" s="990"/>
      <c r="AW153" s="990"/>
      <c r="AX153" s="990"/>
      <c r="AY153" s="990"/>
      <c r="AZ153" s="990"/>
      <c r="BA153" s="990"/>
      <c r="BB153" s="990"/>
      <c r="BC153" s="990"/>
      <c r="BD153" s="990"/>
      <c r="BE153" s="990"/>
      <c r="BF153" s="990"/>
      <c r="BG153" s="990"/>
      <c r="BH153" s="990"/>
      <c r="BI153" s="990"/>
      <c r="BJ153" s="990"/>
      <c r="BK153" s="990"/>
      <c r="BL153" s="990"/>
      <c r="BM153" s="990"/>
      <c r="BN153" s="990"/>
      <c r="BO153" s="990"/>
      <c r="BP153" s="990"/>
      <c r="BQ153" s="990"/>
      <c r="BR153" s="990"/>
      <c r="BS153" s="990"/>
      <c r="BT153" s="990"/>
      <c r="BU153" s="990"/>
      <c r="BV153" s="990"/>
      <c r="BW153" s="990"/>
      <c r="BX153" s="990"/>
      <c r="BY153" s="990"/>
      <c r="BZ153" s="990"/>
      <c r="CA153" s="990"/>
      <c r="CB153" s="992"/>
      <c r="CC153" s="990"/>
      <c r="CD153" s="990"/>
      <c r="CE153" s="990"/>
      <c r="CF153" s="990"/>
      <c r="CG153" s="992"/>
      <c r="CH153" s="990"/>
      <c r="CI153" s="990"/>
      <c r="CJ153" s="990"/>
      <c r="CK153" s="990"/>
      <c r="CL153" s="992"/>
      <c r="CM153" s="990"/>
      <c r="CN153" s="990"/>
      <c r="CO153" s="990"/>
      <c r="CP153" s="990"/>
      <c r="CQ153" s="992"/>
      <c r="CR153" s="990"/>
      <c r="CS153" s="990"/>
      <c r="CT153" s="990"/>
      <c r="CU153" s="990"/>
      <c r="CV153" s="992"/>
      <c r="CW153" s="990"/>
      <c r="CX153" s="990"/>
      <c r="CY153" s="990"/>
      <c r="CZ153" s="990"/>
      <c r="DA153" s="992"/>
      <c r="DB153" s="990"/>
      <c r="DC153" s="990"/>
      <c r="DD153" s="990"/>
      <c r="DE153" s="990"/>
      <c r="DF153" s="992"/>
    </row>
    <row r="154" spans="2:110" x14ac:dyDescent="0.2">
      <c r="B154" s="591" t="s">
        <v>203</v>
      </c>
      <c r="C154" s="561"/>
      <c r="D154" s="561"/>
      <c r="E154" s="561"/>
      <c r="F154" s="561"/>
      <c r="G154" s="561"/>
      <c r="H154" s="561"/>
      <c r="I154" s="561"/>
      <c r="J154" s="561"/>
      <c r="K154" s="561"/>
      <c r="L154" s="561"/>
      <c r="M154" s="561"/>
      <c r="N154" s="561"/>
      <c r="O154" s="561"/>
      <c r="P154" s="561"/>
      <c r="Q154" s="561"/>
      <c r="R154" s="561"/>
      <c r="S154" s="531"/>
      <c r="T154" s="531"/>
      <c r="U154" s="531"/>
      <c r="V154" s="577"/>
      <c r="W154" s="577"/>
      <c r="X154" s="577"/>
      <c r="Y154" s="532"/>
      <c r="Z154" s="531"/>
      <c r="AA154" s="531"/>
      <c r="AB154" s="531"/>
      <c r="AC154" s="531"/>
      <c r="AD154" s="532"/>
      <c r="AE154" s="531"/>
      <c r="AF154" s="531"/>
      <c r="AG154" s="531"/>
      <c r="AH154" s="531"/>
      <c r="AI154" s="532"/>
      <c r="AJ154" s="531"/>
      <c r="AK154" s="531"/>
      <c r="AL154" s="531"/>
      <c r="AM154" s="531"/>
      <c r="AN154" s="532"/>
      <c r="AO154" s="531"/>
      <c r="AP154" s="531"/>
      <c r="AQ154" s="531"/>
      <c r="AR154" s="531"/>
      <c r="AS154" s="532"/>
      <c r="AT154" s="531"/>
      <c r="AU154" s="588"/>
      <c r="AV154" s="54"/>
      <c r="AW154" s="54"/>
      <c r="AX154" s="532"/>
      <c r="AY154" s="54"/>
      <c r="AZ154" s="54"/>
      <c r="BA154" s="54"/>
      <c r="BB154" s="54"/>
      <c r="BC154" s="532"/>
      <c r="BD154" s="54"/>
      <c r="BE154" s="588"/>
      <c r="BF154" s="54"/>
      <c r="BG154" s="54">
        <f>BF154</f>
        <v>0</v>
      </c>
      <c r="BH154" s="532"/>
      <c r="BI154" s="54">
        <f>BG154</f>
        <v>0</v>
      </c>
      <c r="BJ154" s="54">
        <f t="shared" ref="BJ154:BL156" si="230">BI154</f>
        <v>0</v>
      </c>
      <c r="BK154" s="54">
        <f t="shared" si="230"/>
        <v>0</v>
      </c>
      <c r="BL154" s="54">
        <f t="shared" si="230"/>
        <v>0</v>
      </c>
      <c r="BM154" s="532"/>
      <c r="BN154" s="54">
        <f>BL154</f>
        <v>0</v>
      </c>
      <c r="BO154" s="54">
        <f t="shared" ref="BO154:BQ156" si="231">BN154</f>
        <v>0</v>
      </c>
      <c r="BP154" s="54">
        <f t="shared" si="231"/>
        <v>0</v>
      </c>
      <c r="BQ154" s="54">
        <f t="shared" si="231"/>
        <v>0</v>
      </c>
      <c r="BR154" s="532"/>
      <c r="BS154" s="54">
        <f>BQ154</f>
        <v>0</v>
      </c>
      <c r="BT154" s="54">
        <f t="shared" ref="BT154:BV156" si="232">BS154</f>
        <v>0</v>
      </c>
      <c r="BU154" s="54">
        <f t="shared" si="232"/>
        <v>0</v>
      </c>
      <c r="BV154" s="54">
        <f t="shared" si="232"/>
        <v>0</v>
      </c>
      <c r="BW154" s="532"/>
      <c r="BX154" s="54">
        <f>BV154</f>
        <v>0</v>
      </c>
      <c r="BY154" s="54">
        <f t="shared" ref="BY154:CA156" si="233">BX154</f>
        <v>0</v>
      </c>
      <c r="BZ154" s="54">
        <f t="shared" si="233"/>
        <v>0</v>
      </c>
      <c r="CA154" s="54">
        <f t="shared" si="233"/>
        <v>0</v>
      </c>
      <c r="CB154" s="562"/>
      <c r="CC154" s="54">
        <f>CA154</f>
        <v>0</v>
      </c>
      <c r="CD154" s="54">
        <f t="shared" ref="CD154:CF156" si="234">CC154</f>
        <v>0</v>
      </c>
      <c r="CE154" s="54">
        <f t="shared" si="234"/>
        <v>0</v>
      </c>
      <c r="CF154" s="54">
        <f t="shared" si="234"/>
        <v>0</v>
      </c>
      <c r="CG154" s="562"/>
      <c r="CH154" s="54">
        <f>CF154</f>
        <v>0</v>
      </c>
      <c r="CI154" s="54">
        <f t="shared" ref="CI154:CK156" si="235">CH154</f>
        <v>0</v>
      </c>
      <c r="CJ154" s="54">
        <f t="shared" si="235"/>
        <v>0</v>
      </c>
      <c r="CK154" s="54">
        <f t="shared" si="235"/>
        <v>0</v>
      </c>
      <c r="CL154" s="562"/>
      <c r="CM154" s="54">
        <f>CK154</f>
        <v>0</v>
      </c>
      <c r="CN154" s="54">
        <f t="shared" ref="CN154:CP156" si="236">CM154</f>
        <v>0</v>
      </c>
      <c r="CO154" s="54">
        <f t="shared" si="236"/>
        <v>0</v>
      </c>
      <c r="CP154" s="54">
        <f t="shared" si="236"/>
        <v>0</v>
      </c>
      <c r="CQ154" s="562"/>
      <c r="CR154" s="54">
        <f>CP154</f>
        <v>0</v>
      </c>
      <c r="CS154" s="54">
        <f t="shared" ref="CS154:CS156" si="237">CR154</f>
        <v>0</v>
      </c>
      <c r="CT154" s="54">
        <f t="shared" ref="CT154:CT156" si="238">CS154</f>
        <v>0</v>
      </c>
      <c r="CU154" s="54">
        <f t="shared" ref="CU154:CU156" si="239">CT154</f>
        <v>0</v>
      </c>
      <c r="CV154" s="562"/>
      <c r="CW154" s="54">
        <f>CU154</f>
        <v>0</v>
      </c>
      <c r="CX154" s="54">
        <f t="shared" ref="CX154:CX156" si="240">CW154</f>
        <v>0</v>
      </c>
      <c r="CY154" s="54">
        <f t="shared" ref="CY154:CY156" si="241">CX154</f>
        <v>0</v>
      </c>
      <c r="CZ154" s="54">
        <f t="shared" ref="CZ154:CZ156" si="242">CY154</f>
        <v>0</v>
      </c>
      <c r="DA154" s="562"/>
      <c r="DB154" s="54">
        <f>CZ154</f>
        <v>0</v>
      </c>
      <c r="DC154" s="54">
        <f t="shared" ref="DC154:DC156" si="243">DB154</f>
        <v>0</v>
      </c>
      <c r="DD154" s="54">
        <f t="shared" ref="DD154:DD156" si="244">DC154</f>
        <v>0</v>
      </c>
      <c r="DE154" s="54">
        <f t="shared" ref="DE154:DE156" si="245">DD154</f>
        <v>0</v>
      </c>
      <c r="DF154" s="562"/>
    </row>
    <row r="155" spans="2:110" x14ac:dyDescent="0.2">
      <c r="B155" s="578" t="s">
        <v>204</v>
      </c>
      <c r="C155" s="145"/>
      <c r="D155" s="145"/>
      <c r="E155" s="145"/>
      <c r="F155" s="145"/>
      <c r="G155" s="145"/>
      <c r="H155" s="145"/>
      <c r="I155" s="145"/>
      <c r="J155" s="145"/>
      <c r="K155" s="145"/>
      <c r="L155" s="145"/>
      <c r="M155" s="145"/>
      <c r="N155" s="145"/>
      <c r="O155" s="145"/>
      <c r="P155" s="145"/>
      <c r="Q155" s="145"/>
      <c r="R155" s="145"/>
      <c r="S155" s="346"/>
      <c r="T155" s="346"/>
      <c r="U155" s="346"/>
      <c r="V155" s="326"/>
      <c r="W155" s="326"/>
      <c r="X155" s="326"/>
      <c r="Y155" s="340"/>
      <c r="Z155" s="346"/>
      <c r="AA155" s="346"/>
      <c r="AB155" s="346"/>
      <c r="AC155" s="346"/>
      <c r="AD155" s="340"/>
      <c r="AE155" s="346"/>
      <c r="AF155" s="346"/>
      <c r="AG155" s="346"/>
      <c r="AH155" s="346"/>
      <c r="AI155" s="340"/>
      <c r="AJ155" s="346"/>
      <c r="AK155" s="346"/>
      <c r="AL155" s="346"/>
      <c r="AM155" s="346"/>
      <c r="AN155" s="340"/>
      <c r="AO155" s="346"/>
      <c r="AP155" s="346"/>
      <c r="AQ155" s="346"/>
      <c r="AR155" s="346"/>
      <c r="AS155" s="340"/>
      <c r="AT155" s="346"/>
      <c r="AU155" s="267"/>
      <c r="AV155" s="146"/>
      <c r="AW155" s="146"/>
      <c r="AX155" s="340"/>
      <c r="AY155" s="146"/>
      <c r="AZ155" s="146"/>
      <c r="BA155" s="146"/>
      <c r="BB155" s="146"/>
      <c r="BC155" s="340"/>
      <c r="BD155" s="146"/>
      <c r="BE155" s="267"/>
      <c r="BF155" s="146"/>
      <c r="BG155" s="146">
        <v>3.5000000000000003E-2</v>
      </c>
      <c r="BH155" s="340"/>
      <c r="BI155" s="146">
        <f>BG155</f>
        <v>3.5000000000000003E-2</v>
      </c>
      <c r="BJ155" s="146">
        <f t="shared" si="230"/>
        <v>3.5000000000000003E-2</v>
      </c>
      <c r="BK155" s="146">
        <f t="shared" si="230"/>
        <v>3.5000000000000003E-2</v>
      </c>
      <c r="BL155" s="146">
        <f t="shared" si="230"/>
        <v>3.5000000000000003E-2</v>
      </c>
      <c r="BM155" s="340"/>
      <c r="BN155" s="146">
        <f>BL155</f>
        <v>3.5000000000000003E-2</v>
      </c>
      <c r="BO155" s="146">
        <f t="shared" si="231"/>
        <v>3.5000000000000003E-2</v>
      </c>
      <c r="BP155" s="146">
        <f t="shared" si="231"/>
        <v>3.5000000000000003E-2</v>
      </c>
      <c r="BQ155" s="146">
        <f t="shared" si="231"/>
        <v>3.5000000000000003E-2</v>
      </c>
      <c r="BR155" s="340"/>
      <c r="BS155" s="146">
        <f>BQ155</f>
        <v>3.5000000000000003E-2</v>
      </c>
      <c r="BT155" s="146">
        <f t="shared" si="232"/>
        <v>3.5000000000000003E-2</v>
      </c>
      <c r="BU155" s="146">
        <f t="shared" si="232"/>
        <v>3.5000000000000003E-2</v>
      </c>
      <c r="BV155" s="146">
        <f t="shared" si="232"/>
        <v>3.5000000000000003E-2</v>
      </c>
      <c r="BW155" s="340"/>
      <c r="BX155" s="146">
        <f>BV155</f>
        <v>3.5000000000000003E-2</v>
      </c>
      <c r="BY155" s="146">
        <f t="shared" si="233"/>
        <v>3.5000000000000003E-2</v>
      </c>
      <c r="BZ155" s="146">
        <f t="shared" si="233"/>
        <v>3.5000000000000003E-2</v>
      </c>
      <c r="CA155" s="146">
        <f t="shared" si="233"/>
        <v>3.5000000000000003E-2</v>
      </c>
      <c r="CB155" s="563"/>
      <c r="CC155" s="146">
        <f>CA155</f>
        <v>3.5000000000000003E-2</v>
      </c>
      <c r="CD155" s="146">
        <f t="shared" si="234"/>
        <v>3.5000000000000003E-2</v>
      </c>
      <c r="CE155" s="146">
        <f t="shared" si="234"/>
        <v>3.5000000000000003E-2</v>
      </c>
      <c r="CF155" s="146">
        <f t="shared" si="234"/>
        <v>3.5000000000000003E-2</v>
      </c>
      <c r="CG155" s="563"/>
      <c r="CH155" s="146">
        <f>CF155</f>
        <v>3.5000000000000003E-2</v>
      </c>
      <c r="CI155" s="146">
        <f t="shared" si="235"/>
        <v>3.5000000000000003E-2</v>
      </c>
      <c r="CJ155" s="146">
        <f t="shared" si="235"/>
        <v>3.5000000000000003E-2</v>
      </c>
      <c r="CK155" s="146">
        <f t="shared" si="235"/>
        <v>3.5000000000000003E-2</v>
      </c>
      <c r="CL155" s="563"/>
      <c r="CM155" s="146">
        <f>CK155</f>
        <v>3.5000000000000003E-2</v>
      </c>
      <c r="CN155" s="146">
        <f t="shared" si="236"/>
        <v>3.5000000000000003E-2</v>
      </c>
      <c r="CO155" s="146">
        <f t="shared" si="236"/>
        <v>3.5000000000000003E-2</v>
      </c>
      <c r="CP155" s="146">
        <f t="shared" si="236"/>
        <v>3.5000000000000003E-2</v>
      </c>
      <c r="CQ155" s="563"/>
      <c r="CR155" s="146">
        <f>CP155</f>
        <v>3.5000000000000003E-2</v>
      </c>
      <c r="CS155" s="146">
        <f t="shared" si="237"/>
        <v>3.5000000000000003E-2</v>
      </c>
      <c r="CT155" s="146">
        <f t="shared" si="238"/>
        <v>3.5000000000000003E-2</v>
      </c>
      <c r="CU155" s="146">
        <f t="shared" si="239"/>
        <v>3.5000000000000003E-2</v>
      </c>
      <c r="CV155" s="563"/>
      <c r="CW155" s="146">
        <f>CU155</f>
        <v>3.5000000000000003E-2</v>
      </c>
      <c r="CX155" s="146">
        <f t="shared" si="240"/>
        <v>3.5000000000000003E-2</v>
      </c>
      <c r="CY155" s="146">
        <f t="shared" si="241"/>
        <v>3.5000000000000003E-2</v>
      </c>
      <c r="CZ155" s="146">
        <f t="shared" si="242"/>
        <v>3.5000000000000003E-2</v>
      </c>
      <c r="DA155" s="563"/>
      <c r="DB155" s="146">
        <f>CZ155</f>
        <v>3.5000000000000003E-2</v>
      </c>
      <c r="DC155" s="146">
        <f t="shared" si="243"/>
        <v>3.5000000000000003E-2</v>
      </c>
      <c r="DD155" s="146">
        <f t="shared" si="244"/>
        <v>3.5000000000000003E-2</v>
      </c>
      <c r="DE155" s="146">
        <f t="shared" si="245"/>
        <v>3.5000000000000003E-2</v>
      </c>
      <c r="DF155" s="563"/>
    </row>
    <row r="156" spans="2:110" x14ac:dyDescent="0.2">
      <c r="B156" s="536" t="s">
        <v>197</v>
      </c>
      <c r="C156" s="145"/>
      <c r="D156" s="145"/>
      <c r="E156" s="145"/>
      <c r="F156" s="145"/>
      <c r="G156" s="145"/>
      <c r="H156" s="145"/>
      <c r="I156" s="145"/>
      <c r="J156" s="145"/>
      <c r="K156" s="145"/>
      <c r="L156" s="145"/>
      <c r="M156" s="145"/>
      <c r="N156" s="145"/>
      <c r="O156" s="145"/>
      <c r="P156" s="145"/>
      <c r="Q156" s="145"/>
      <c r="R156" s="145"/>
      <c r="S156" s="346"/>
      <c r="T156" s="346"/>
      <c r="U156" s="346"/>
      <c r="V156" s="326"/>
      <c r="W156" s="326"/>
      <c r="X156" s="326"/>
      <c r="Y156" s="340"/>
      <c r="Z156" s="346"/>
      <c r="AA156" s="346"/>
      <c r="AB156" s="346"/>
      <c r="AC156" s="346"/>
      <c r="AD156" s="340"/>
      <c r="AE156" s="346"/>
      <c r="AF156" s="346"/>
      <c r="AG156" s="346"/>
      <c r="AH156" s="346"/>
      <c r="AI156" s="340"/>
      <c r="AJ156" s="346"/>
      <c r="AK156" s="346"/>
      <c r="AL156" s="346"/>
      <c r="AM156" s="346"/>
      <c r="AN156" s="340"/>
      <c r="AO156" s="346"/>
      <c r="AP156" s="346"/>
      <c r="AQ156" s="346"/>
      <c r="AR156" s="346"/>
      <c r="AS156" s="340"/>
      <c r="AT156" s="346"/>
      <c r="AU156" s="623"/>
      <c r="AV156" s="625"/>
      <c r="AW156" s="625"/>
      <c r="AX156" s="340"/>
      <c r="AY156" s="346"/>
      <c r="AZ156" s="346"/>
      <c r="BA156" s="346"/>
      <c r="BB156" s="346"/>
      <c r="BC156" s="340"/>
      <c r="BD156" s="346"/>
      <c r="BE156" s="623"/>
      <c r="BF156" s="346"/>
      <c r="BG156" s="346">
        <v>1250</v>
      </c>
      <c r="BH156" s="340"/>
      <c r="BI156" s="346">
        <f>BG156</f>
        <v>1250</v>
      </c>
      <c r="BJ156" s="346">
        <f t="shared" si="230"/>
        <v>1250</v>
      </c>
      <c r="BK156" s="346">
        <f t="shared" si="230"/>
        <v>1250</v>
      </c>
      <c r="BL156" s="346">
        <f t="shared" si="230"/>
        <v>1250</v>
      </c>
      <c r="BM156" s="340"/>
      <c r="BN156" s="346">
        <f>BL156</f>
        <v>1250</v>
      </c>
      <c r="BO156" s="346">
        <f t="shared" si="231"/>
        <v>1250</v>
      </c>
      <c r="BP156" s="346">
        <f t="shared" si="231"/>
        <v>1250</v>
      </c>
      <c r="BQ156" s="346">
        <f t="shared" si="231"/>
        <v>1250</v>
      </c>
      <c r="BR156" s="340"/>
      <c r="BS156" s="346">
        <f>BQ156</f>
        <v>1250</v>
      </c>
      <c r="BT156" s="346">
        <f t="shared" si="232"/>
        <v>1250</v>
      </c>
      <c r="BU156" s="346">
        <f t="shared" si="232"/>
        <v>1250</v>
      </c>
      <c r="BV156" s="346">
        <f t="shared" si="232"/>
        <v>1250</v>
      </c>
      <c r="BW156" s="340"/>
      <c r="BX156" s="346">
        <f>BV156</f>
        <v>1250</v>
      </c>
      <c r="BY156" s="346">
        <f t="shared" si="233"/>
        <v>1250</v>
      </c>
      <c r="BZ156" s="346">
        <f t="shared" si="233"/>
        <v>1250</v>
      </c>
      <c r="CA156" s="346">
        <f t="shared" si="233"/>
        <v>1250</v>
      </c>
      <c r="CB156" s="563"/>
      <c r="CC156" s="346">
        <f>CA156</f>
        <v>1250</v>
      </c>
      <c r="CD156" s="346">
        <f t="shared" si="234"/>
        <v>1250</v>
      </c>
      <c r="CE156" s="346">
        <f t="shared" si="234"/>
        <v>1250</v>
      </c>
      <c r="CF156" s="346">
        <f t="shared" si="234"/>
        <v>1250</v>
      </c>
      <c r="CG156" s="563"/>
      <c r="CH156" s="346">
        <f>CF156</f>
        <v>1250</v>
      </c>
      <c r="CI156" s="346">
        <f t="shared" si="235"/>
        <v>1250</v>
      </c>
      <c r="CJ156" s="346">
        <f t="shared" si="235"/>
        <v>1250</v>
      </c>
      <c r="CK156" s="346">
        <f t="shared" si="235"/>
        <v>1250</v>
      </c>
      <c r="CL156" s="563"/>
      <c r="CM156" s="346">
        <f>CK156</f>
        <v>1250</v>
      </c>
      <c r="CN156" s="346">
        <f t="shared" si="236"/>
        <v>1250</v>
      </c>
      <c r="CO156" s="346">
        <f t="shared" si="236"/>
        <v>1250</v>
      </c>
      <c r="CP156" s="346">
        <f t="shared" si="236"/>
        <v>1250</v>
      </c>
      <c r="CQ156" s="563"/>
      <c r="CR156" s="346">
        <f>CP156</f>
        <v>1250</v>
      </c>
      <c r="CS156" s="346">
        <f t="shared" si="237"/>
        <v>1250</v>
      </c>
      <c r="CT156" s="346">
        <f t="shared" si="238"/>
        <v>1250</v>
      </c>
      <c r="CU156" s="346">
        <f t="shared" si="239"/>
        <v>1250</v>
      </c>
      <c r="CV156" s="563"/>
      <c r="CW156" s="346">
        <f>CU156</f>
        <v>1250</v>
      </c>
      <c r="CX156" s="346">
        <f t="shared" si="240"/>
        <v>1250</v>
      </c>
      <c r="CY156" s="346">
        <f t="shared" si="241"/>
        <v>1250</v>
      </c>
      <c r="CZ156" s="346">
        <f t="shared" si="242"/>
        <v>1250</v>
      </c>
      <c r="DA156" s="563"/>
      <c r="DB156" s="346">
        <f>CZ156</f>
        <v>1250</v>
      </c>
      <c r="DC156" s="346">
        <f t="shared" si="243"/>
        <v>1250</v>
      </c>
      <c r="DD156" s="346">
        <f t="shared" si="244"/>
        <v>1250</v>
      </c>
      <c r="DE156" s="346">
        <f t="shared" si="245"/>
        <v>1250</v>
      </c>
      <c r="DF156" s="563"/>
    </row>
    <row r="157" spans="2:110" x14ac:dyDescent="0.2">
      <c r="B157" s="544" t="s">
        <v>198</v>
      </c>
      <c r="C157" s="145"/>
      <c r="D157" s="145"/>
      <c r="E157" s="145"/>
      <c r="F157" s="145"/>
      <c r="G157" s="145"/>
      <c r="H157" s="145"/>
      <c r="I157" s="145"/>
      <c r="J157" s="145"/>
      <c r="K157" s="145"/>
      <c r="L157" s="145"/>
      <c r="M157" s="145"/>
      <c r="N157" s="145"/>
      <c r="O157" s="145"/>
      <c r="P157" s="145"/>
      <c r="Q157" s="145"/>
      <c r="R157" s="145"/>
      <c r="S157" s="346"/>
      <c r="T157" s="346"/>
      <c r="U157" s="346"/>
      <c r="V157" s="326"/>
      <c r="W157" s="326"/>
      <c r="X157" s="326"/>
      <c r="Y157" s="340"/>
      <c r="Z157" s="346"/>
      <c r="AA157" s="346"/>
      <c r="AB157" s="346"/>
      <c r="AC157" s="346"/>
      <c r="AD157" s="340"/>
      <c r="AE157" s="346"/>
      <c r="AF157" s="346"/>
      <c r="AG157" s="346"/>
      <c r="AH157" s="346"/>
      <c r="AI157" s="340"/>
      <c r="AJ157" s="346"/>
      <c r="AK157" s="346"/>
      <c r="AL157" s="346"/>
      <c r="AM157" s="346"/>
      <c r="AN157" s="340"/>
      <c r="AO157" s="346"/>
      <c r="AP157" s="346"/>
      <c r="AQ157" s="346"/>
      <c r="AR157" s="346"/>
      <c r="AS157" s="340"/>
      <c r="AT157" s="346"/>
      <c r="AU157" s="623"/>
      <c r="AV157" s="625"/>
      <c r="AW157" s="625"/>
      <c r="AX157" s="340"/>
      <c r="AY157" s="346"/>
      <c r="AZ157" s="346"/>
      <c r="BA157" s="346"/>
      <c r="BB157" s="346"/>
      <c r="BC157" s="340"/>
      <c r="BD157" s="346"/>
      <c r="BE157" s="346"/>
      <c r="BF157" s="346"/>
      <c r="BG157" s="346">
        <f>BF159</f>
        <v>0</v>
      </c>
      <c r="BH157" s="340"/>
      <c r="BI157" s="346">
        <f>BG159</f>
        <v>1249.7</v>
      </c>
      <c r="BJ157" s="346">
        <f>BI159</f>
        <v>1249.7</v>
      </c>
      <c r="BK157" s="346">
        <f>BJ159</f>
        <v>1249.7</v>
      </c>
      <c r="BL157" s="346">
        <f>BK159</f>
        <v>1249.7</v>
      </c>
      <c r="BM157" s="340"/>
      <c r="BN157" s="346">
        <f>BL159</f>
        <v>1249.7</v>
      </c>
      <c r="BO157" s="346">
        <f>BN159</f>
        <v>1249.8</v>
      </c>
      <c r="BP157" s="346">
        <f>BO159</f>
        <v>1249.8</v>
      </c>
      <c r="BQ157" s="346">
        <f>BP159</f>
        <v>1249.8</v>
      </c>
      <c r="BR157" s="340"/>
      <c r="BS157" s="346">
        <f>BQ159</f>
        <v>1249.8</v>
      </c>
      <c r="BT157" s="346">
        <f>BS159</f>
        <v>1249.8</v>
      </c>
      <c r="BU157" s="346">
        <f>BT159</f>
        <v>1250</v>
      </c>
      <c r="BV157" s="346">
        <f>BU159</f>
        <v>0</v>
      </c>
      <c r="BW157" s="340"/>
      <c r="BX157" s="346">
        <f>BV159</f>
        <v>0</v>
      </c>
      <c r="BY157" s="346">
        <f>BX159</f>
        <v>0</v>
      </c>
      <c r="BZ157" s="346">
        <f>BY159</f>
        <v>0</v>
      </c>
      <c r="CA157" s="346">
        <f>BZ159</f>
        <v>0</v>
      </c>
      <c r="CB157" s="563"/>
      <c r="CC157" s="346">
        <f>CA159</f>
        <v>0</v>
      </c>
      <c r="CD157" s="346">
        <f>CC159</f>
        <v>0</v>
      </c>
      <c r="CE157" s="346">
        <f>CD159</f>
        <v>0</v>
      </c>
      <c r="CF157" s="346">
        <f>CE159</f>
        <v>0</v>
      </c>
      <c r="CG157" s="563"/>
      <c r="CH157" s="346">
        <f>CF159</f>
        <v>0</v>
      </c>
      <c r="CI157" s="346">
        <f>CH159</f>
        <v>0</v>
      </c>
      <c r="CJ157" s="346">
        <f>CI159</f>
        <v>0</v>
      </c>
      <c r="CK157" s="346">
        <f>CJ159</f>
        <v>0</v>
      </c>
      <c r="CL157" s="563"/>
      <c r="CM157" s="346">
        <f>CK159</f>
        <v>0</v>
      </c>
      <c r="CN157" s="346">
        <f>CM159</f>
        <v>0</v>
      </c>
      <c r="CO157" s="346">
        <f>CN159</f>
        <v>0</v>
      </c>
      <c r="CP157" s="346">
        <f>CO159</f>
        <v>0</v>
      </c>
      <c r="CQ157" s="563"/>
      <c r="CR157" s="346">
        <f>CP159</f>
        <v>0</v>
      </c>
      <c r="CS157" s="346">
        <f>CR159</f>
        <v>0</v>
      </c>
      <c r="CT157" s="346">
        <f>CS159</f>
        <v>0</v>
      </c>
      <c r="CU157" s="346">
        <f>CT159</f>
        <v>0</v>
      </c>
      <c r="CV157" s="563"/>
      <c r="CW157" s="346">
        <f>CU159</f>
        <v>0</v>
      </c>
      <c r="CX157" s="346">
        <f>CW159</f>
        <v>0</v>
      </c>
      <c r="CY157" s="346">
        <f>CX159</f>
        <v>0</v>
      </c>
      <c r="CZ157" s="346">
        <f>CY159</f>
        <v>0</v>
      </c>
      <c r="DA157" s="563"/>
      <c r="DB157" s="346">
        <f>CZ159</f>
        <v>0</v>
      </c>
      <c r="DC157" s="346">
        <f>DB159</f>
        <v>0</v>
      </c>
      <c r="DD157" s="346">
        <f>DC159</f>
        <v>0</v>
      </c>
      <c r="DE157" s="346">
        <f>DD159</f>
        <v>0</v>
      </c>
      <c r="DF157" s="563"/>
    </row>
    <row r="158" spans="2:110" x14ac:dyDescent="0.2">
      <c r="B158" s="589" t="s">
        <v>199</v>
      </c>
      <c r="C158" s="359"/>
      <c r="D158" s="359"/>
      <c r="E158" s="359"/>
      <c r="F158" s="359"/>
      <c r="G158" s="359"/>
      <c r="H158" s="359"/>
      <c r="I158" s="359"/>
      <c r="J158" s="359"/>
      <c r="K158" s="359"/>
      <c r="L158" s="359"/>
      <c r="M158" s="359"/>
      <c r="N158" s="359"/>
      <c r="O158" s="359"/>
      <c r="P158" s="359"/>
      <c r="Q158" s="359"/>
      <c r="R158" s="359"/>
      <c r="S158" s="347"/>
      <c r="T158" s="347"/>
      <c r="U158" s="347"/>
      <c r="V158" s="377"/>
      <c r="W158" s="377"/>
      <c r="X158" s="377"/>
      <c r="Y158" s="343"/>
      <c r="Z158" s="347"/>
      <c r="AA158" s="347"/>
      <c r="AB158" s="347"/>
      <c r="AC158" s="347"/>
      <c r="AD158" s="343"/>
      <c r="AE158" s="347"/>
      <c r="AF158" s="347"/>
      <c r="AG158" s="347"/>
      <c r="AH158" s="347"/>
      <c r="AI158" s="343"/>
      <c r="AJ158" s="347"/>
      <c r="AK158" s="347"/>
      <c r="AL158" s="347"/>
      <c r="AM158" s="347"/>
      <c r="AN158" s="343"/>
      <c r="AO158" s="347"/>
      <c r="AP158" s="347"/>
      <c r="AQ158" s="347"/>
      <c r="AR158" s="347"/>
      <c r="AS158" s="343"/>
      <c r="AT158" s="347"/>
      <c r="AU158" s="629"/>
      <c r="AV158" s="642"/>
      <c r="AW158" s="629"/>
      <c r="AX158" s="343"/>
      <c r="AY158" s="347"/>
      <c r="AZ158" s="347"/>
      <c r="BA158" s="347"/>
      <c r="BB158" s="347"/>
      <c r="BC158" s="343"/>
      <c r="BD158" s="347"/>
      <c r="BE158" s="629"/>
      <c r="BF158" s="347"/>
      <c r="BG158" s="347">
        <v>1249.7</v>
      </c>
      <c r="BH158" s="343"/>
      <c r="BI158" s="347">
        <v>0</v>
      </c>
      <c r="BJ158" s="347">
        <f>BI158</f>
        <v>0</v>
      </c>
      <c r="BK158" s="347">
        <f>1249.7-BK157</f>
        <v>0</v>
      </c>
      <c r="BL158" s="348">
        <f>1249.7-BL157</f>
        <v>0</v>
      </c>
      <c r="BM158" s="343"/>
      <c r="BN158" s="348">
        <f>1249.8-BN157</f>
        <v>9.9999999999909051E-2</v>
      </c>
      <c r="BO158" s="348">
        <f>1249.8-BO157</f>
        <v>0</v>
      </c>
      <c r="BP158" s="347">
        <f>1249.8-BP157</f>
        <v>0</v>
      </c>
      <c r="BQ158" s="347">
        <f>1249.8-BQ157</f>
        <v>0</v>
      </c>
      <c r="BR158" s="343"/>
      <c r="BS158" s="347">
        <f>BQ158</f>
        <v>0</v>
      </c>
      <c r="BT158" s="347">
        <f>BT159-BT157</f>
        <v>0.20000000000004547</v>
      </c>
      <c r="BU158" s="347">
        <v>-1250</v>
      </c>
      <c r="BV158" s="347">
        <v>0</v>
      </c>
      <c r="BW158" s="343"/>
      <c r="BX158" s="347">
        <f>BV158</f>
        <v>0</v>
      </c>
      <c r="BY158" s="347">
        <f>BX158</f>
        <v>0</v>
      </c>
      <c r="BZ158" s="347">
        <f>BY158</f>
        <v>0</v>
      </c>
      <c r="CA158" s="347">
        <f>BZ158</f>
        <v>0</v>
      </c>
      <c r="CB158" s="585"/>
      <c r="CC158" s="347">
        <f>CA158</f>
        <v>0</v>
      </c>
      <c r="CD158" s="347">
        <f>CC158</f>
        <v>0</v>
      </c>
      <c r="CE158" s="347">
        <f>CD158</f>
        <v>0</v>
      </c>
      <c r="CF158" s="347">
        <f>CE158</f>
        <v>0</v>
      </c>
      <c r="CG158" s="585"/>
      <c r="CH158" s="347">
        <f>CF158</f>
        <v>0</v>
      </c>
      <c r="CI158" s="347">
        <f>CH158</f>
        <v>0</v>
      </c>
      <c r="CJ158" s="347">
        <f>CI158</f>
        <v>0</v>
      </c>
      <c r="CK158" s="347">
        <f>CJ158</f>
        <v>0</v>
      </c>
      <c r="CL158" s="585"/>
      <c r="CM158" s="347">
        <f>CK158</f>
        <v>0</v>
      </c>
      <c r="CN158" s="347">
        <f>CM158</f>
        <v>0</v>
      </c>
      <c r="CO158" s="347">
        <f>CN158</f>
        <v>0</v>
      </c>
      <c r="CP158" s="347">
        <f>CO158</f>
        <v>0</v>
      </c>
      <c r="CQ158" s="585"/>
      <c r="CR158" s="347">
        <f>CP158</f>
        <v>0</v>
      </c>
      <c r="CS158" s="347">
        <f>CR158</f>
        <v>0</v>
      </c>
      <c r="CT158" s="347">
        <f>CS158</f>
        <v>0</v>
      </c>
      <c r="CU158" s="347">
        <f>CT158</f>
        <v>0</v>
      </c>
      <c r="CV158" s="585"/>
      <c r="CW158" s="347">
        <f>CU158</f>
        <v>0</v>
      </c>
      <c r="CX158" s="347">
        <f>CW158</f>
        <v>0</v>
      </c>
      <c r="CY158" s="347">
        <f>CX158</f>
        <v>0</v>
      </c>
      <c r="CZ158" s="347">
        <f>CY158</f>
        <v>0</v>
      </c>
      <c r="DA158" s="585"/>
      <c r="DB158" s="347">
        <f>CZ158</f>
        <v>0</v>
      </c>
      <c r="DC158" s="347">
        <f>DB158</f>
        <v>0</v>
      </c>
      <c r="DD158" s="347">
        <f>DC158</f>
        <v>0</v>
      </c>
      <c r="DE158" s="347">
        <f>DD158</f>
        <v>0</v>
      </c>
      <c r="DF158" s="585"/>
    </row>
    <row r="159" spans="2:110" x14ac:dyDescent="0.2">
      <c r="B159" s="544" t="s">
        <v>200</v>
      </c>
      <c r="C159" s="145"/>
      <c r="D159" s="145"/>
      <c r="E159" s="145"/>
      <c r="F159" s="145"/>
      <c r="G159" s="145"/>
      <c r="H159" s="145"/>
      <c r="I159" s="145"/>
      <c r="J159" s="145"/>
      <c r="K159" s="145"/>
      <c r="L159" s="145"/>
      <c r="M159" s="145"/>
      <c r="N159" s="145"/>
      <c r="O159" s="145"/>
      <c r="P159" s="145"/>
      <c r="Q159" s="145"/>
      <c r="R159" s="145"/>
      <c r="S159" s="346"/>
      <c r="T159" s="346"/>
      <c r="U159" s="346"/>
      <c r="V159" s="326"/>
      <c r="W159" s="326"/>
      <c r="X159" s="326"/>
      <c r="Y159" s="340"/>
      <c r="Z159" s="346"/>
      <c r="AA159" s="346"/>
      <c r="AB159" s="346"/>
      <c r="AC159" s="346"/>
      <c r="AD159" s="340"/>
      <c r="AE159" s="346"/>
      <c r="AF159" s="346"/>
      <c r="AG159" s="346"/>
      <c r="AH159" s="346"/>
      <c r="AI159" s="340"/>
      <c r="AJ159" s="346"/>
      <c r="AK159" s="346"/>
      <c r="AL159" s="346"/>
      <c r="AM159" s="346"/>
      <c r="AN159" s="340"/>
      <c r="AO159" s="346"/>
      <c r="AP159" s="346"/>
      <c r="AQ159" s="346"/>
      <c r="AR159" s="346"/>
      <c r="AS159" s="340"/>
      <c r="AT159" s="346"/>
      <c r="AU159" s="625"/>
      <c r="AV159" s="625"/>
      <c r="AW159" s="625"/>
      <c r="AX159" s="340"/>
      <c r="AY159" s="346"/>
      <c r="AZ159" s="346"/>
      <c r="BA159" s="346"/>
      <c r="BB159" s="346"/>
      <c r="BC159" s="340"/>
      <c r="BD159" s="346"/>
      <c r="BE159" s="625"/>
      <c r="BF159" s="346"/>
      <c r="BG159" s="346">
        <f>BG157+BG158</f>
        <v>1249.7</v>
      </c>
      <c r="BH159" s="340"/>
      <c r="BI159" s="346">
        <f>BI157+BI158</f>
        <v>1249.7</v>
      </c>
      <c r="BJ159" s="346">
        <f>BJ157+BJ158</f>
        <v>1249.7</v>
      </c>
      <c r="BK159" s="346">
        <f>BK157+BK158</f>
        <v>1249.7</v>
      </c>
      <c r="BL159" s="346">
        <f>BL157+BL158</f>
        <v>1249.7</v>
      </c>
      <c r="BM159" s="340"/>
      <c r="BN159" s="346">
        <f>BN157+BN158</f>
        <v>1249.8</v>
      </c>
      <c r="BO159" s="346">
        <f>BO157+BO158</f>
        <v>1249.8</v>
      </c>
      <c r="BP159" s="346">
        <f>BP157+BP158</f>
        <v>1249.8</v>
      </c>
      <c r="BQ159" s="346">
        <f>BQ157+BQ158</f>
        <v>1249.8</v>
      </c>
      <c r="BR159" s="340"/>
      <c r="BS159" s="354">
        <f>1249.8</f>
        <v>1249.8</v>
      </c>
      <c r="BT159" s="354">
        <v>1250</v>
      </c>
      <c r="BU159" s="346">
        <f>BU157+BU158</f>
        <v>0</v>
      </c>
      <c r="BV159" s="346">
        <f>BV157+BV158</f>
        <v>0</v>
      </c>
      <c r="BW159" s="340"/>
      <c r="BX159" s="346">
        <f>BX157+BX158</f>
        <v>0</v>
      </c>
      <c r="BY159" s="346">
        <f>BY157+BY158</f>
        <v>0</v>
      </c>
      <c r="BZ159" s="346">
        <f>BZ157+BZ158</f>
        <v>0</v>
      </c>
      <c r="CA159" s="346">
        <f>CA157+CA158</f>
        <v>0</v>
      </c>
      <c r="CB159" s="563"/>
      <c r="CC159" s="346">
        <f>CC157+CC158</f>
        <v>0</v>
      </c>
      <c r="CD159" s="346">
        <f>CD157+CD158</f>
        <v>0</v>
      </c>
      <c r="CE159" s="346">
        <f>CE157+CE158</f>
        <v>0</v>
      </c>
      <c r="CF159" s="346">
        <f>CF157+CF158</f>
        <v>0</v>
      </c>
      <c r="CG159" s="563"/>
      <c r="CH159" s="346">
        <f>CH157+CH158</f>
        <v>0</v>
      </c>
      <c r="CI159" s="346">
        <f>CI157+CI158</f>
        <v>0</v>
      </c>
      <c r="CJ159" s="346">
        <f>CJ157+CJ158</f>
        <v>0</v>
      </c>
      <c r="CK159" s="346">
        <f>CK157+CK158</f>
        <v>0</v>
      </c>
      <c r="CL159" s="563"/>
      <c r="CM159" s="346">
        <f>CM157+CM158</f>
        <v>0</v>
      </c>
      <c r="CN159" s="346">
        <f>CN157+CN158</f>
        <v>0</v>
      </c>
      <c r="CO159" s="346">
        <f>CO157+CO158</f>
        <v>0</v>
      </c>
      <c r="CP159" s="346">
        <f>CP157+CP158</f>
        <v>0</v>
      </c>
      <c r="CQ159" s="563"/>
      <c r="CR159" s="346">
        <f>CR157+CR158</f>
        <v>0</v>
      </c>
      <c r="CS159" s="346">
        <f>CS157+CS158</f>
        <v>0</v>
      </c>
      <c r="CT159" s="346">
        <f>CT157+CT158</f>
        <v>0</v>
      </c>
      <c r="CU159" s="346">
        <f>CU157+CU158</f>
        <v>0</v>
      </c>
      <c r="CV159" s="563"/>
      <c r="CW159" s="346">
        <f>CW157+CW158</f>
        <v>0</v>
      </c>
      <c r="CX159" s="346">
        <f>CX157+CX158</f>
        <v>0</v>
      </c>
      <c r="CY159" s="346">
        <f>CY157+CY158</f>
        <v>0</v>
      </c>
      <c r="CZ159" s="346">
        <f>CZ157+CZ158</f>
        <v>0</v>
      </c>
      <c r="DA159" s="563"/>
      <c r="DB159" s="346">
        <f>DB157+DB158</f>
        <v>0</v>
      </c>
      <c r="DC159" s="346">
        <f>DC157+DC158</f>
        <v>0</v>
      </c>
      <c r="DD159" s="346">
        <f>DD157+DD158</f>
        <v>0</v>
      </c>
      <c r="DE159" s="346">
        <f>DE157+DE158</f>
        <v>0</v>
      </c>
      <c r="DF159" s="563"/>
    </row>
    <row r="160" spans="2:110" x14ac:dyDescent="0.2">
      <c r="B160" s="536" t="s">
        <v>201</v>
      </c>
      <c r="C160" s="145"/>
      <c r="D160" s="145"/>
      <c r="E160" s="145"/>
      <c r="F160" s="145"/>
      <c r="G160" s="145"/>
      <c r="H160" s="145"/>
      <c r="I160" s="145"/>
      <c r="J160" s="145"/>
      <c r="K160" s="145"/>
      <c r="L160" s="145"/>
      <c r="M160" s="145"/>
      <c r="N160" s="145"/>
      <c r="O160" s="145"/>
      <c r="P160" s="145"/>
      <c r="Q160" s="145"/>
      <c r="R160" s="145"/>
      <c r="S160" s="346"/>
      <c r="T160" s="346"/>
      <c r="U160" s="346"/>
      <c r="V160" s="326"/>
      <c r="W160" s="326"/>
      <c r="X160" s="326"/>
      <c r="Y160" s="340"/>
      <c r="Z160" s="346"/>
      <c r="AA160" s="346"/>
      <c r="AB160" s="346"/>
      <c r="AC160" s="346"/>
      <c r="AD160" s="340"/>
      <c r="AE160" s="346"/>
      <c r="AF160" s="346"/>
      <c r="AG160" s="346"/>
      <c r="AH160" s="346"/>
      <c r="AI160" s="340"/>
      <c r="AJ160" s="346"/>
      <c r="AK160" s="346"/>
      <c r="AL160" s="346"/>
      <c r="AM160" s="346"/>
      <c r="AN160" s="340"/>
      <c r="AO160" s="346"/>
      <c r="AP160" s="346"/>
      <c r="AQ160" s="346"/>
      <c r="AR160" s="346"/>
      <c r="AS160" s="340"/>
      <c r="AT160" s="346"/>
      <c r="AU160" s="625"/>
      <c r="AV160" s="625"/>
      <c r="AW160" s="625"/>
      <c r="AX160" s="340"/>
      <c r="AY160" s="346"/>
      <c r="AZ160" s="346"/>
      <c r="BA160" s="346"/>
      <c r="BB160" s="346"/>
      <c r="BC160" s="340"/>
      <c r="BD160" s="346"/>
      <c r="BE160" s="625"/>
      <c r="BF160" s="346"/>
      <c r="BG160" s="346">
        <f>BG156-BG159</f>
        <v>0.29999999999995453</v>
      </c>
      <c r="BH160" s="340"/>
      <c r="BI160" s="346">
        <f>BI156-BI159</f>
        <v>0.29999999999995453</v>
      </c>
      <c r="BJ160" s="346">
        <f>BJ156-BJ159</f>
        <v>0.29999999999995453</v>
      </c>
      <c r="BK160" s="346">
        <f>BK156-BK159</f>
        <v>0.29999999999995453</v>
      </c>
      <c r="BL160" s="346">
        <f>BL156-BL159</f>
        <v>0.29999999999995453</v>
      </c>
      <c r="BM160" s="340"/>
      <c r="BN160" s="346">
        <f>BN156-BN159</f>
        <v>0.20000000000004547</v>
      </c>
      <c r="BO160" s="346">
        <f>BO156-BO159</f>
        <v>0.20000000000004547</v>
      </c>
      <c r="BP160" s="346">
        <f>BP156-BP159</f>
        <v>0.20000000000004547</v>
      </c>
      <c r="BQ160" s="346">
        <f>BQ156-BQ159</f>
        <v>0.20000000000004547</v>
      </c>
      <c r="BR160" s="340"/>
      <c r="BS160" s="346">
        <f>BS156-BS159</f>
        <v>0.20000000000004547</v>
      </c>
      <c r="BT160" s="346">
        <f>BT156-BT159</f>
        <v>0</v>
      </c>
      <c r="BU160" s="346">
        <f>BU156-BU159</f>
        <v>1250</v>
      </c>
      <c r="BV160" s="346">
        <f>BV156-BV159</f>
        <v>1250</v>
      </c>
      <c r="BW160" s="340"/>
      <c r="BX160" s="346">
        <f>BX156-BX159</f>
        <v>1250</v>
      </c>
      <c r="BY160" s="346">
        <f>BY156-BY159</f>
        <v>1250</v>
      </c>
      <c r="BZ160" s="346">
        <f>BZ156-BZ159</f>
        <v>1250</v>
      </c>
      <c r="CA160" s="346">
        <f>CA156-CA159</f>
        <v>1250</v>
      </c>
      <c r="CB160" s="563"/>
      <c r="CC160" s="346">
        <f>CC156-CC159</f>
        <v>1250</v>
      </c>
      <c r="CD160" s="346">
        <f>CD156-CD159</f>
        <v>1250</v>
      </c>
      <c r="CE160" s="346">
        <f>CE156-CE159</f>
        <v>1250</v>
      </c>
      <c r="CF160" s="346">
        <f>CF156-CF159</f>
        <v>1250</v>
      </c>
      <c r="CG160" s="563"/>
      <c r="CH160" s="346">
        <f>CH156-CH159</f>
        <v>1250</v>
      </c>
      <c r="CI160" s="346">
        <f>CI156-CI159</f>
        <v>1250</v>
      </c>
      <c r="CJ160" s="346">
        <f>CJ156-CJ159</f>
        <v>1250</v>
      </c>
      <c r="CK160" s="346">
        <f>CK156-CK159</f>
        <v>1250</v>
      </c>
      <c r="CL160" s="563"/>
      <c r="CM160" s="346">
        <f>CM156-CM159</f>
        <v>1250</v>
      </c>
      <c r="CN160" s="346">
        <f>CN156-CN159</f>
        <v>1250</v>
      </c>
      <c r="CO160" s="346">
        <f>CO156-CO159</f>
        <v>1250</v>
      </c>
      <c r="CP160" s="346">
        <f>CP156-CP159</f>
        <v>1250</v>
      </c>
      <c r="CQ160" s="563"/>
      <c r="CR160" s="346">
        <f>CR156-CR159</f>
        <v>1250</v>
      </c>
      <c r="CS160" s="346">
        <f>CS156-CS159</f>
        <v>1250</v>
      </c>
      <c r="CT160" s="346">
        <f>CT156-CT159</f>
        <v>1250</v>
      </c>
      <c r="CU160" s="346">
        <f>CU156-CU159</f>
        <v>1250</v>
      </c>
      <c r="CV160" s="563"/>
      <c r="CW160" s="346">
        <f>CW156-CW159</f>
        <v>1250</v>
      </c>
      <c r="CX160" s="346">
        <f>CX156-CX159</f>
        <v>1250</v>
      </c>
      <c r="CY160" s="346">
        <f>CY156-CY159</f>
        <v>1250</v>
      </c>
      <c r="CZ160" s="346">
        <f>CZ156-CZ159</f>
        <v>1250</v>
      </c>
      <c r="DA160" s="563"/>
      <c r="DB160" s="346">
        <f>DB156-DB159</f>
        <v>1250</v>
      </c>
      <c r="DC160" s="346">
        <f>DC156-DC159</f>
        <v>1250</v>
      </c>
      <c r="DD160" s="346">
        <f>DD156-DD159</f>
        <v>1250</v>
      </c>
      <c r="DE160" s="346">
        <f>DE156-DE159</f>
        <v>1250</v>
      </c>
      <c r="DF160" s="563"/>
    </row>
    <row r="161" spans="2:110" x14ac:dyDescent="0.2">
      <c r="B161" s="544" t="s">
        <v>206</v>
      </c>
      <c r="C161" s="145"/>
      <c r="D161" s="145"/>
      <c r="E161" s="145"/>
      <c r="F161" s="145"/>
      <c r="G161" s="145"/>
      <c r="H161" s="145"/>
      <c r="I161" s="145"/>
      <c r="J161" s="145"/>
      <c r="K161" s="145"/>
      <c r="L161" s="145"/>
      <c r="M161" s="145"/>
      <c r="N161" s="145"/>
      <c r="O161" s="145"/>
      <c r="P161" s="145"/>
      <c r="Q161" s="145"/>
      <c r="R161" s="145"/>
      <c r="S161" s="346"/>
      <c r="T161" s="346"/>
      <c r="U161" s="346"/>
      <c r="V161" s="326"/>
      <c r="W161" s="326"/>
      <c r="X161" s="326"/>
      <c r="Y161" s="340"/>
      <c r="Z161" s="346"/>
      <c r="AA161" s="346"/>
      <c r="AB161" s="346"/>
      <c r="AC161" s="346"/>
      <c r="AD161" s="340"/>
      <c r="AE161" s="346"/>
      <c r="AF161" s="346"/>
      <c r="AG161" s="346"/>
      <c r="AH161" s="346"/>
      <c r="AI161" s="340"/>
      <c r="AJ161" s="346"/>
      <c r="AK161" s="346"/>
      <c r="AL161" s="346"/>
      <c r="AM161" s="346"/>
      <c r="AN161" s="340"/>
      <c r="AO161" s="346"/>
      <c r="AP161" s="346"/>
      <c r="AQ161" s="346"/>
      <c r="AR161" s="346"/>
      <c r="AS161" s="340"/>
      <c r="AT161" s="346"/>
      <c r="AU161" s="625"/>
      <c r="AV161" s="625"/>
      <c r="AW161" s="625"/>
      <c r="AX161" s="340"/>
      <c r="AY161" s="346"/>
      <c r="AZ161" s="346"/>
      <c r="BA161" s="346"/>
      <c r="BB161" s="346"/>
      <c r="BC161" s="340"/>
      <c r="BD161" s="346"/>
      <c r="BE161" s="625"/>
      <c r="BF161" s="346"/>
      <c r="BG161" s="346">
        <f>-(AVERAGE(BG159,BG157))*(BG155/4)</f>
        <v>-5.4674375000000008</v>
      </c>
      <c r="BH161" s="340"/>
      <c r="BI161" s="346">
        <f>-(AVERAGE(BI159,BI157))*(BI155/4)</f>
        <v>-10.934875000000002</v>
      </c>
      <c r="BJ161" s="346">
        <f>-(AVERAGE(BJ159,BJ157))*(BJ155/4)</f>
        <v>-10.934875000000002</v>
      </c>
      <c r="BK161" s="346">
        <f>-(AVERAGE(BK159,BK157))*(BK155/4)</f>
        <v>-10.934875000000002</v>
      </c>
      <c r="BL161" s="346">
        <f>-(AVERAGE(BL159,BL157))*(BL155/4)</f>
        <v>-10.934875000000002</v>
      </c>
      <c r="BM161" s="340"/>
      <c r="BN161" s="346">
        <f>-(AVERAGE(BN159,BN157))*(BN155/4)</f>
        <v>-10.9353125</v>
      </c>
      <c r="BO161" s="346">
        <f>-(AVERAGE(BO159,BO157))*(BO155/4)</f>
        <v>-10.935750000000001</v>
      </c>
      <c r="BP161" s="346">
        <f>-(AVERAGE(BP159,BP157))*(BP155/4)</f>
        <v>-10.935750000000001</v>
      </c>
      <c r="BQ161" s="346">
        <f>-(AVERAGE(BQ159,BQ157))*(BQ155/4)</f>
        <v>-10.935750000000001</v>
      </c>
      <c r="BR161" s="340"/>
      <c r="BS161" s="346">
        <f>-(AVERAGE(BS159,BS157))*(BS155/4)</f>
        <v>-10.935750000000001</v>
      </c>
      <c r="BT161" s="346">
        <f>-(AVERAGE(BT159,BT157))*(BT155/4)</f>
        <v>-10.936625000000001</v>
      </c>
      <c r="BU161" s="346">
        <f>-(AVERAGE(BU159,BU157))*(BU155/4)*0</f>
        <v>0</v>
      </c>
      <c r="BV161" s="346">
        <f>-(AVERAGE(BV159,BV157))*(BV155/4)</f>
        <v>0</v>
      </c>
      <c r="BW161" s="340"/>
      <c r="BX161" s="346">
        <f>-(AVERAGE(BX159,BX157))*(BX155/4)</f>
        <v>0</v>
      </c>
      <c r="BY161" s="346">
        <f>-(AVERAGE(BY159,BY157))*(BY155/4)</f>
        <v>0</v>
      </c>
      <c r="BZ161" s="346">
        <f>-(AVERAGE(BZ159,BZ157))*(BZ155/4)</f>
        <v>0</v>
      </c>
      <c r="CA161" s="346">
        <f>-(AVERAGE(CA159,CA157))*(CA155/4)</f>
        <v>0</v>
      </c>
      <c r="CB161" s="563"/>
      <c r="CC161" s="346">
        <f>-(AVERAGE(CC159,CC157))*(CC155/4)</f>
        <v>0</v>
      </c>
      <c r="CD161" s="346">
        <f>-(AVERAGE(CD159,CD157))*(CD155/4)</f>
        <v>0</v>
      </c>
      <c r="CE161" s="346">
        <f>-(AVERAGE(CE159,CE157))*(CE155/4)</f>
        <v>0</v>
      </c>
      <c r="CF161" s="346">
        <f>-(AVERAGE(CF159,CF157))*(CF155/4)</f>
        <v>0</v>
      </c>
      <c r="CG161" s="563"/>
      <c r="CH161" s="346">
        <f>-(AVERAGE(CH159,CH157))*(CH155/4)</f>
        <v>0</v>
      </c>
      <c r="CI161" s="346">
        <f>-(AVERAGE(CI159,CI157))*(CI155/4)</f>
        <v>0</v>
      </c>
      <c r="CJ161" s="346">
        <f>-(AVERAGE(CJ159,CJ157))*(CJ155/4)</f>
        <v>0</v>
      </c>
      <c r="CK161" s="346">
        <f>-(AVERAGE(CK159,CK157))*(CK155/4)</f>
        <v>0</v>
      </c>
      <c r="CL161" s="563"/>
      <c r="CM161" s="346">
        <f>-(AVERAGE(CM159,CM157))*(CM155/4)</f>
        <v>0</v>
      </c>
      <c r="CN161" s="346">
        <f>-(AVERAGE(CN159,CN157))*(CN155/4)</f>
        <v>0</v>
      </c>
      <c r="CO161" s="346">
        <f>-(AVERAGE(CO159,CO157))*(CO155/4)</f>
        <v>0</v>
      </c>
      <c r="CP161" s="346">
        <f>-(AVERAGE(CP159,CP157))*(CP155/4)</f>
        <v>0</v>
      </c>
      <c r="CQ161" s="563"/>
      <c r="CR161" s="346">
        <f>-(AVERAGE(CR159,CR157))*(CR155/4)</f>
        <v>0</v>
      </c>
      <c r="CS161" s="346">
        <f>-(AVERAGE(CS159,CS157))*(CS155/4)</f>
        <v>0</v>
      </c>
      <c r="CT161" s="346">
        <f>-(AVERAGE(CT159,CT157))*(CT155/4)</f>
        <v>0</v>
      </c>
      <c r="CU161" s="346">
        <f>-(AVERAGE(CU159,CU157))*(CU155/4)</f>
        <v>0</v>
      </c>
      <c r="CV161" s="563"/>
      <c r="CW161" s="346">
        <f>-(AVERAGE(CW159,CW157))*(CW155/4)</f>
        <v>0</v>
      </c>
      <c r="CX161" s="346">
        <f>-(AVERAGE(CX159,CX157))*(CX155/4)</f>
        <v>0</v>
      </c>
      <c r="CY161" s="346">
        <f>-(AVERAGE(CY159,CY157))*(CY155/4)</f>
        <v>0</v>
      </c>
      <c r="CZ161" s="346">
        <f>-(AVERAGE(CZ159,CZ157))*(CZ155/4)</f>
        <v>0</v>
      </c>
      <c r="DA161" s="563"/>
      <c r="DB161" s="346">
        <f>-(AVERAGE(DB159,DB157))*(DB155/4)</f>
        <v>0</v>
      </c>
      <c r="DC161" s="346">
        <f>-(AVERAGE(DC159,DC157))*(DC155/4)</f>
        <v>0</v>
      </c>
      <c r="DD161" s="346">
        <f>-(AVERAGE(DD159,DD157))*(DD155/4)</f>
        <v>0</v>
      </c>
      <c r="DE161" s="346">
        <f>-(AVERAGE(DE159,DE157))*(DE155/4)</f>
        <v>0</v>
      </c>
      <c r="DF161" s="563"/>
    </row>
    <row r="162" spans="2:110" ht="12" thickBot="1" x14ac:dyDescent="0.25">
      <c r="B162" s="548" t="s">
        <v>207</v>
      </c>
      <c r="C162" s="205"/>
      <c r="D162" s="205"/>
      <c r="E162" s="205"/>
      <c r="F162" s="205"/>
      <c r="G162" s="205"/>
      <c r="H162" s="205"/>
      <c r="I162" s="205"/>
      <c r="J162" s="205"/>
      <c r="K162" s="205"/>
      <c r="L162" s="205"/>
      <c r="M162" s="205"/>
      <c r="N162" s="205"/>
      <c r="O162" s="205"/>
      <c r="P162" s="205"/>
      <c r="Q162" s="205"/>
      <c r="R162" s="205"/>
      <c r="S162" s="549"/>
      <c r="T162" s="549"/>
      <c r="U162" s="549"/>
      <c r="V162" s="327"/>
      <c r="W162" s="327"/>
      <c r="X162" s="327"/>
      <c r="Y162" s="550"/>
      <c r="Z162" s="549"/>
      <c r="AA162" s="549"/>
      <c r="AB162" s="549"/>
      <c r="AC162" s="549"/>
      <c r="AD162" s="550"/>
      <c r="AE162" s="549"/>
      <c r="AF162" s="549"/>
      <c r="AG162" s="549"/>
      <c r="AH162" s="549"/>
      <c r="AI162" s="550"/>
      <c r="AJ162" s="549"/>
      <c r="AK162" s="549"/>
      <c r="AL162" s="549"/>
      <c r="AM162" s="549"/>
      <c r="AN162" s="550"/>
      <c r="AO162" s="549"/>
      <c r="AP162" s="549"/>
      <c r="AQ162" s="549"/>
      <c r="AR162" s="549"/>
      <c r="AS162" s="550"/>
      <c r="AT162" s="549"/>
      <c r="AU162" s="549"/>
      <c r="AV162" s="549"/>
      <c r="AW162" s="549"/>
      <c r="AX162" s="550"/>
      <c r="AY162" s="549"/>
      <c r="AZ162" s="549"/>
      <c r="BA162" s="549"/>
      <c r="BB162" s="549"/>
      <c r="BC162" s="550"/>
      <c r="BD162" s="549"/>
      <c r="BE162" s="549"/>
      <c r="BF162" s="549"/>
      <c r="BG162" s="549">
        <f>-BG154*BG160/4</f>
        <v>0</v>
      </c>
      <c r="BH162" s="550"/>
      <c r="BI162" s="549">
        <f>-BI154*BI160/4</f>
        <v>0</v>
      </c>
      <c r="BJ162" s="549">
        <f>-BJ154*BJ160/4</f>
        <v>0</v>
      </c>
      <c r="BK162" s="549">
        <f>-BK154*BK160/4</f>
        <v>0</v>
      </c>
      <c r="BL162" s="549">
        <f>-BL154*BL160/4</f>
        <v>0</v>
      </c>
      <c r="BM162" s="550"/>
      <c r="BN162" s="549">
        <f>-BN154*BN160/4</f>
        <v>0</v>
      </c>
      <c r="BO162" s="549">
        <f>-BO154*BO160/4</f>
        <v>0</v>
      </c>
      <c r="BP162" s="549">
        <f>-BP154*BP160/4</f>
        <v>0</v>
      </c>
      <c r="BQ162" s="549">
        <f>-BQ154*BQ160/4</f>
        <v>0</v>
      </c>
      <c r="BR162" s="550"/>
      <c r="BS162" s="549">
        <f>-BS154*BS160/4</f>
        <v>0</v>
      </c>
      <c r="BT162" s="549">
        <f>-BT154*BT160/4</f>
        <v>0</v>
      </c>
      <c r="BU162" s="549">
        <f>-BU154*BU160/4</f>
        <v>0</v>
      </c>
      <c r="BV162" s="549">
        <f>-BV154*BV160/4</f>
        <v>0</v>
      </c>
      <c r="BW162" s="550"/>
      <c r="BX162" s="549">
        <f>-BX154*BX160/4</f>
        <v>0</v>
      </c>
      <c r="BY162" s="549">
        <f>-BY154*BY160/4</f>
        <v>0</v>
      </c>
      <c r="BZ162" s="549">
        <f>-BZ154*BZ160/4</f>
        <v>0</v>
      </c>
      <c r="CA162" s="549">
        <f>-CA154*CA160/4</f>
        <v>0</v>
      </c>
      <c r="CB162" s="565"/>
      <c r="CC162" s="549">
        <f>-CC154*CC160/4</f>
        <v>0</v>
      </c>
      <c r="CD162" s="549">
        <f>-CD154*CD160/4</f>
        <v>0</v>
      </c>
      <c r="CE162" s="549">
        <f>-CE154*CE160/4</f>
        <v>0</v>
      </c>
      <c r="CF162" s="549">
        <f>-CF154*CF160/4</f>
        <v>0</v>
      </c>
      <c r="CG162" s="565"/>
      <c r="CH162" s="549">
        <f>-CH154*CH160/4</f>
        <v>0</v>
      </c>
      <c r="CI162" s="549">
        <f>-CI154*CI160/4</f>
        <v>0</v>
      </c>
      <c r="CJ162" s="549">
        <f>-CJ154*CJ160/4</f>
        <v>0</v>
      </c>
      <c r="CK162" s="549">
        <f>-CK154*CK160/4</f>
        <v>0</v>
      </c>
      <c r="CL162" s="565"/>
      <c r="CM162" s="549">
        <f>-CM154*CM160/4</f>
        <v>0</v>
      </c>
      <c r="CN162" s="549">
        <f>-CN154*CN160/4</f>
        <v>0</v>
      </c>
      <c r="CO162" s="549">
        <f>-CO154*CO160/4</f>
        <v>0</v>
      </c>
      <c r="CP162" s="549">
        <f>-CP154*CP160/4</f>
        <v>0</v>
      </c>
      <c r="CQ162" s="565"/>
      <c r="CR162" s="549">
        <f>-CR154*CR160/4</f>
        <v>0</v>
      </c>
      <c r="CS162" s="549">
        <f>-CS154*CS160/4</f>
        <v>0</v>
      </c>
      <c r="CT162" s="549">
        <f>-CT154*CT160/4</f>
        <v>0</v>
      </c>
      <c r="CU162" s="549">
        <f>-CU154*CU160/4</f>
        <v>0</v>
      </c>
      <c r="CV162" s="565"/>
      <c r="CW162" s="549">
        <f>-CW154*CW160/4</f>
        <v>0</v>
      </c>
      <c r="CX162" s="549">
        <f>-CX154*CX160/4</f>
        <v>0</v>
      </c>
      <c r="CY162" s="549">
        <f>-CY154*CY160/4</f>
        <v>0</v>
      </c>
      <c r="CZ162" s="549">
        <f>-CZ154*CZ160/4</f>
        <v>0</v>
      </c>
      <c r="DA162" s="565"/>
      <c r="DB162" s="549">
        <f>-DB154*DB160/4</f>
        <v>0</v>
      </c>
      <c r="DC162" s="549">
        <f>-DC154*DC160/4</f>
        <v>0</v>
      </c>
      <c r="DD162" s="549">
        <f>-DD154*DD160/4</f>
        <v>0</v>
      </c>
      <c r="DE162" s="549">
        <f>-DE154*DE160/4</f>
        <v>0</v>
      </c>
      <c r="DF162" s="565"/>
    </row>
    <row r="163" spans="2:110" ht="12" thickBot="1" x14ac:dyDescent="0.25">
      <c r="B163" s="548"/>
      <c r="C163" s="205"/>
      <c r="D163" s="205"/>
      <c r="E163" s="205"/>
      <c r="F163" s="205"/>
      <c r="G163" s="205"/>
      <c r="H163" s="205"/>
      <c r="I163" s="205"/>
      <c r="J163" s="205"/>
      <c r="K163" s="205"/>
      <c r="L163" s="205"/>
      <c r="M163" s="205"/>
      <c r="N163" s="205"/>
      <c r="O163" s="205"/>
      <c r="P163" s="205"/>
      <c r="Q163" s="205"/>
      <c r="R163" s="205"/>
      <c r="S163" s="549"/>
      <c r="T163" s="549"/>
      <c r="U163" s="549"/>
      <c r="V163" s="327"/>
      <c r="W163" s="327"/>
      <c r="X163" s="327"/>
      <c r="Y163" s="549"/>
      <c r="Z163" s="549"/>
      <c r="AA163" s="549"/>
      <c r="AB163" s="549"/>
      <c r="AC163" s="549"/>
      <c r="AD163" s="549"/>
      <c r="AE163" s="549"/>
      <c r="AF163" s="549"/>
      <c r="AG163" s="549"/>
      <c r="AH163" s="549"/>
      <c r="AI163" s="549"/>
      <c r="AJ163" s="549"/>
      <c r="AK163" s="549"/>
      <c r="AL163" s="549"/>
      <c r="AM163" s="549"/>
      <c r="AN163" s="549"/>
      <c r="AO163" s="549"/>
      <c r="AP163" s="549"/>
      <c r="AQ163" s="549"/>
      <c r="AR163" s="549"/>
      <c r="AS163" s="549"/>
      <c r="AT163" s="549"/>
      <c r="AU163" s="549"/>
      <c r="AV163" s="549"/>
      <c r="AW163" s="549"/>
      <c r="AX163" s="549"/>
      <c r="AY163" s="549"/>
      <c r="AZ163" s="549"/>
      <c r="BA163" s="549"/>
      <c r="BB163" s="549"/>
      <c r="BC163" s="549"/>
      <c r="BD163" s="549"/>
      <c r="BE163" s="549"/>
      <c r="BF163" s="549"/>
      <c r="BG163" s="549"/>
      <c r="BH163" s="549"/>
      <c r="BI163" s="549"/>
      <c r="BJ163" s="549"/>
      <c r="BK163" s="549"/>
      <c r="BL163" s="549"/>
      <c r="BM163" s="549"/>
      <c r="BN163" s="549"/>
      <c r="BO163" s="549"/>
      <c r="BP163" s="549"/>
      <c r="BQ163" s="549"/>
      <c r="BR163" s="549"/>
      <c r="BS163" s="549"/>
      <c r="BT163" s="549"/>
      <c r="BU163" s="549"/>
      <c r="BV163" s="549"/>
      <c r="BW163" s="549"/>
      <c r="BX163" s="549"/>
      <c r="BY163" s="549"/>
      <c r="BZ163" s="549"/>
      <c r="CA163" s="549"/>
      <c r="CB163" s="1711"/>
      <c r="CC163" s="549"/>
      <c r="CD163" s="549"/>
      <c r="CE163" s="549"/>
      <c r="CF163" s="549"/>
      <c r="CG163" s="1711"/>
      <c r="CH163" s="549"/>
      <c r="CI163" s="549"/>
      <c r="CJ163" s="549"/>
      <c r="CK163" s="549"/>
      <c r="CL163" s="1711"/>
      <c r="CM163" s="549"/>
      <c r="CN163" s="549"/>
      <c r="CO163" s="549"/>
      <c r="CP163" s="549"/>
      <c r="CQ163" s="1711"/>
      <c r="CR163" s="549"/>
      <c r="CS163" s="549"/>
      <c r="CT163" s="549"/>
      <c r="CU163" s="549"/>
      <c r="CV163" s="1711"/>
      <c r="CW163" s="549"/>
      <c r="CX163" s="549"/>
      <c r="CY163" s="549"/>
      <c r="CZ163" s="549"/>
      <c r="DA163" s="1711"/>
      <c r="DB163" s="549"/>
      <c r="DC163" s="549"/>
      <c r="DD163" s="549"/>
      <c r="DE163" s="549"/>
      <c r="DF163" s="1711"/>
    </row>
    <row r="164" spans="2:110" s="326" customFormat="1" ht="12" thickBot="1" x14ac:dyDescent="0.25">
      <c r="B164" s="981" t="s">
        <v>587</v>
      </c>
      <c r="C164" s="989"/>
      <c r="D164" s="989"/>
      <c r="E164" s="989"/>
      <c r="F164" s="989"/>
      <c r="G164" s="989"/>
      <c r="H164" s="989"/>
      <c r="I164" s="989"/>
      <c r="J164" s="989"/>
      <c r="K164" s="989"/>
      <c r="L164" s="989"/>
      <c r="M164" s="989"/>
      <c r="N164" s="989"/>
      <c r="O164" s="989"/>
      <c r="P164" s="989"/>
      <c r="Q164" s="989"/>
      <c r="R164" s="989"/>
      <c r="S164" s="990"/>
      <c r="T164" s="990"/>
      <c r="U164" s="990"/>
      <c r="V164" s="991"/>
      <c r="W164" s="991"/>
      <c r="X164" s="991"/>
      <c r="Y164" s="990"/>
      <c r="Z164" s="990"/>
      <c r="AA164" s="990"/>
      <c r="AB164" s="990"/>
      <c r="AC164" s="990"/>
      <c r="AD164" s="990"/>
      <c r="AE164" s="990"/>
      <c r="AF164" s="990"/>
      <c r="AG164" s="990"/>
      <c r="AH164" s="990"/>
      <c r="AI164" s="990"/>
      <c r="AJ164" s="990"/>
      <c r="AK164" s="990"/>
      <c r="AL164" s="990"/>
      <c r="AM164" s="990"/>
      <c r="AN164" s="990"/>
      <c r="AO164" s="990"/>
      <c r="AP164" s="990"/>
      <c r="AQ164" s="990"/>
      <c r="AR164" s="990"/>
      <c r="AS164" s="990"/>
      <c r="AT164" s="990"/>
      <c r="AU164" s="990"/>
      <c r="AV164" s="990"/>
      <c r="AW164" s="990"/>
      <c r="AX164" s="990"/>
      <c r="AY164" s="990"/>
      <c r="AZ164" s="990"/>
      <c r="BA164" s="990"/>
      <c r="BB164" s="990"/>
      <c r="BC164" s="990"/>
      <c r="BD164" s="990"/>
      <c r="BE164" s="990"/>
      <c r="BF164" s="990"/>
      <c r="BG164" s="990"/>
      <c r="BH164" s="990"/>
      <c r="BI164" s="990"/>
      <c r="BJ164" s="990"/>
      <c r="BK164" s="990"/>
      <c r="BL164" s="990"/>
      <c r="BM164" s="990"/>
      <c r="BN164" s="990"/>
      <c r="BO164" s="990"/>
      <c r="BP164" s="990"/>
      <c r="BQ164" s="990"/>
      <c r="BR164" s="990"/>
      <c r="BS164" s="990"/>
      <c r="BT164" s="990"/>
      <c r="BU164" s="990"/>
      <c r="BV164" s="990"/>
      <c r="BW164" s="990"/>
      <c r="BX164" s="990"/>
      <c r="BY164" s="990"/>
      <c r="BZ164" s="990"/>
      <c r="CA164" s="990"/>
      <c r="CB164" s="992"/>
      <c r="CC164" s="990"/>
      <c r="CD164" s="990"/>
      <c r="CE164" s="990"/>
      <c r="CF164" s="990"/>
      <c r="CG164" s="992"/>
      <c r="CH164" s="990"/>
      <c r="CI164" s="990"/>
      <c r="CJ164" s="990"/>
      <c r="CK164" s="990"/>
      <c r="CL164" s="992"/>
      <c r="CM164" s="990"/>
      <c r="CN164" s="990"/>
      <c r="CO164" s="990"/>
      <c r="CP164" s="990"/>
      <c r="CQ164" s="992"/>
      <c r="CR164" s="990"/>
      <c r="CS164" s="990"/>
      <c r="CT164" s="990"/>
      <c r="CU164" s="990"/>
      <c r="CV164" s="992"/>
      <c r="CW164" s="990"/>
      <c r="CX164" s="990"/>
      <c r="CY164" s="990"/>
      <c r="CZ164" s="990"/>
      <c r="DA164" s="992"/>
      <c r="DB164" s="990"/>
      <c r="DC164" s="990"/>
      <c r="DD164" s="990"/>
      <c r="DE164" s="990"/>
      <c r="DF164" s="992"/>
    </row>
    <row r="165" spans="2:110" x14ac:dyDescent="0.2">
      <c r="B165" s="591" t="s">
        <v>203</v>
      </c>
      <c r="C165" s="561"/>
      <c r="D165" s="561"/>
      <c r="E165" s="561"/>
      <c r="F165" s="561"/>
      <c r="G165" s="561"/>
      <c r="H165" s="561"/>
      <c r="I165" s="561"/>
      <c r="J165" s="561"/>
      <c r="K165" s="561"/>
      <c r="L165" s="561"/>
      <c r="M165" s="561"/>
      <c r="N165" s="561"/>
      <c r="O165" s="561"/>
      <c r="P165" s="561"/>
      <c r="Q165" s="561"/>
      <c r="R165" s="561"/>
      <c r="S165" s="531"/>
      <c r="T165" s="531"/>
      <c r="U165" s="531"/>
      <c r="V165" s="577"/>
      <c r="W165" s="577"/>
      <c r="X165" s="577"/>
      <c r="Y165" s="532"/>
      <c r="Z165" s="531"/>
      <c r="AA165" s="531"/>
      <c r="AB165" s="531"/>
      <c r="AC165" s="531"/>
      <c r="AD165" s="532"/>
      <c r="AE165" s="531"/>
      <c r="AF165" s="531"/>
      <c r="AG165" s="531"/>
      <c r="AH165" s="531"/>
      <c r="AI165" s="532"/>
      <c r="AJ165" s="531"/>
      <c r="AK165" s="531"/>
      <c r="AL165" s="531"/>
      <c r="AM165" s="531"/>
      <c r="AN165" s="532"/>
      <c r="AO165" s="531"/>
      <c r="AP165" s="531"/>
      <c r="AQ165" s="531"/>
      <c r="AR165" s="531"/>
      <c r="AS165" s="532"/>
      <c r="AT165" s="531"/>
      <c r="AU165" s="588"/>
      <c r="AV165" s="54"/>
      <c r="AW165" s="54"/>
      <c r="AX165" s="532"/>
      <c r="AY165" s="54"/>
      <c r="AZ165" s="54"/>
      <c r="BA165" s="54"/>
      <c r="BB165" s="54"/>
      <c r="BC165" s="532"/>
      <c r="BD165" s="54"/>
      <c r="BE165" s="588"/>
      <c r="BF165" s="54"/>
      <c r="BG165" s="54"/>
      <c r="BH165" s="532"/>
      <c r="BI165" s="54"/>
      <c r="BJ165" s="54"/>
      <c r="BK165" s="54"/>
      <c r="BL165" s="54"/>
      <c r="BM165" s="532"/>
      <c r="BN165" s="54"/>
      <c r="BO165" s="54"/>
      <c r="BP165" s="54"/>
      <c r="BQ165" s="54"/>
      <c r="BR165" s="532"/>
      <c r="BS165" s="54"/>
      <c r="BT165" s="54">
        <v>0</v>
      </c>
      <c r="BU165" s="54">
        <f t="shared" ref="BU165:BV167" si="246">BT165</f>
        <v>0</v>
      </c>
      <c r="BV165" s="54">
        <f t="shared" si="246"/>
        <v>0</v>
      </c>
      <c r="BW165" s="532"/>
      <c r="BX165" s="54">
        <f>BV165</f>
        <v>0</v>
      </c>
      <c r="BY165" s="54">
        <f t="shared" ref="BY165:CA167" si="247">BX165</f>
        <v>0</v>
      </c>
      <c r="BZ165" s="54">
        <f t="shared" si="247"/>
        <v>0</v>
      </c>
      <c r="CA165" s="54">
        <f t="shared" si="247"/>
        <v>0</v>
      </c>
      <c r="CB165" s="562"/>
      <c r="CC165" s="54">
        <f>CA165</f>
        <v>0</v>
      </c>
      <c r="CD165" s="54">
        <f t="shared" ref="CD165:CF167" si="248">CC165</f>
        <v>0</v>
      </c>
      <c r="CE165" s="54">
        <f t="shared" si="248"/>
        <v>0</v>
      </c>
      <c r="CF165" s="54">
        <f t="shared" si="248"/>
        <v>0</v>
      </c>
      <c r="CG165" s="562"/>
      <c r="CH165" s="54">
        <f>CF165</f>
        <v>0</v>
      </c>
      <c r="CI165" s="54">
        <f t="shared" ref="CI165:CK167" si="249">CH165</f>
        <v>0</v>
      </c>
      <c r="CJ165" s="54">
        <f t="shared" si="249"/>
        <v>0</v>
      </c>
      <c r="CK165" s="54">
        <f t="shared" si="249"/>
        <v>0</v>
      </c>
      <c r="CL165" s="562"/>
      <c r="CM165" s="54">
        <f>CK165</f>
        <v>0</v>
      </c>
      <c r="CN165" s="54">
        <f t="shared" ref="CN165:CP167" si="250">CM165</f>
        <v>0</v>
      </c>
      <c r="CO165" s="54">
        <f t="shared" si="250"/>
        <v>0</v>
      </c>
      <c r="CP165" s="54">
        <f t="shared" si="250"/>
        <v>0</v>
      </c>
      <c r="CQ165" s="562"/>
      <c r="CR165" s="54">
        <f>CP165</f>
        <v>0</v>
      </c>
      <c r="CS165" s="54">
        <f t="shared" ref="CS165:CS167" si="251">CR165</f>
        <v>0</v>
      </c>
      <c r="CT165" s="54">
        <f t="shared" ref="CT165:CT167" si="252">CS165</f>
        <v>0</v>
      </c>
      <c r="CU165" s="54">
        <f t="shared" ref="CU165:CU167" si="253">CT165</f>
        <v>0</v>
      </c>
      <c r="CV165" s="562"/>
      <c r="CW165" s="54">
        <f>CU165</f>
        <v>0</v>
      </c>
      <c r="CX165" s="54">
        <f t="shared" ref="CX165:CX167" si="254">CW165</f>
        <v>0</v>
      </c>
      <c r="CY165" s="54">
        <f t="shared" ref="CY165:CY167" si="255">CX165</f>
        <v>0</v>
      </c>
      <c r="CZ165" s="54">
        <f t="shared" ref="CZ165:CZ167" si="256">CY165</f>
        <v>0</v>
      </c>
      <c r="DA165" s="562"/>
      <c r="DB165" s="54">
        <f>CZ165</f>
        <v>0</v>
      </c>
      <c r="DC165" s="54">
        <f t="shared" ref="DC165:DC167" si="257">DB165</f>
        <v>0</v>
      </c>
      <c r="DD165" s="54">
        <f t="shared" ref="DD165:DD167" si="258">DC165</f>
        <v>0</v>
      </c>
      <c r="DE165" s="54">
        <f t="shared" ref="DE165:DE167" si="259">DD165</f>
        <v>0</v>
      </c>
      <c r="DF165" s="562"/>
    </row>
    <row r="166" spans="2:110" x14ac:dyDescent="0.2">
      <c r="B166" s="578" t="s">
        <v>204</v>
      </c>
      <c r="C166" s="145"/>
      <c r="D166" s="145"/>
      <c r="E166" s="145"/>
      <c r="F166" s="145"/>
      <c r="G166" s="145"/>
      <c r="H166" s="145"/>
      <c r="I166" s="145"/>
      <c r="J166" s="145"/>
      <c r="K166" s="145"/>
      <c r="L166" s="145"/>
      <c r="M166" s="145"/>
      <c r="N166" s="145"/>
      <c r="O166" s="145"/>
      <c r="P166" s="145"/>
      <c r="Q166" s="145"/>
      <c r="R166" s="145"/>
      <c r="S166" s="346"/>
      <c r="T166" s="346"/>
      <c r="U166" s="346"/>
      <c r="V166" s="326"/>
      <c r="W166" s="326"/>
      <c r="X166" s="326"/>
      <c r="Y166" s="340"/>
      <c r="Z166" s="346"/>
      <c r="AA166" s="346"/>
      <c r="AB166" s="346"/>
      <c r="AC166" s="346"/>
      <c r="AD166" s="340"/>
      <c r="AE166" s="346"/>
      <c r="AF166" s="346"/>
      <c r="AG166" s="346"/>
      <c r="AH166" s="346"/>
      <c r="AI166" s="340"/>
      <c r="AJ166" s="346"/>
      <c r="AK166" s="346"/>
      <c r="AL166" s="346"/>
      <c r="AM166" s="346"/>
      <c r="AN166" s="340"/>
      <c r="AO166" s="346"/>
      <c r="AP166" s="346"/>
      <c r="AQ166" s="346"/>
      <c r="AR166" s="346"/>
      <c r="AS166" s="340"/>
      <c r="AT166" s="346"/>
      <c r="AU166" s="267"/>
      <c r="AV166" s="146"/>
      <c r="AW166" s="146"/>
      <c r="AX166" s="340"/>
      <c r="AY166" s="146"/>
      <c r="AZ166" s="146"/>
      <c r="BA166" s="146"/>
      <c r="BB166" s="146"/>
      <c r="BC166" s="340"/>
      <c r="BD166" s="146"/>
      <c r="BE166" s="267"/>
      <c r="BF166" s="146"/>
      <c r="BG166" s="146"/>
      <c r="BH166" s="340"/>
      <c r="BI166" s="146"/>
      <c r="BJ166" s="146"/>
      <c r="BK166" s="146"/>
      <c r="BL166" s="146"/>
      <c r="BM166" s="340"/>
      <c r="BN166" s="146"/>
      <c r="BO166" s="146"/>
      <c r="BP166" s="146"/>
      <c r="BQ166" s="146"/>
      <c r="BR166" s="340"/>
      <c r="BS166" s="146"/>
      <c r="BT166" s="146">
        <v>1.2500000000000001E-2</v>
      </c>
      <c r="BU166" s="146">
        <f t="shared" si="246"/>
        <v>1.2500000000000001E-2</v>
      </c>
      <c r="BV166" s="146">
        <f t="shared" si="246"/>
        <v>1.2500000000000001E-2</v>
      </c>
      <c r="BW166" s="340"/>
      <c r="BX166" s="146">
        <f>BV166</f>
        <v>1.2500000000000001E-2</v>
      </c>
      <c r="BY166" s="146">
        <f t="shared" si="247"/>
        <v>1.2500000000000001E-2</v>
      </c>
      <c r="BZ166" s="146">
        <f t="shared" si="247"/>
        <v>1.2500000000000001E-2</v>
      </c>
      <c r="CA166" s="146">
        <f t="shared" si="247"/>
        <v>1.2500000000000001E-2</v>
      </c>
      <c r="CB166" s="563"/>
      <c r="CC166" s="146">
        <f>CA166</f>
        <v>1.2500000000000001E-2</v>
      </c>
      <c r="CD166" s="146">
        <f t="shared" si="248"/>
        <v>1.2500000000000001E-2</v>
      </c>
      <c r="CE166" s="146">
        <f t="shared" si="248"/>
        <v>1.2500000000000001E-2</v>
      </c>
      <c r="CF166" s="146">
        <f t="shared" si="248"/>
        <v>1.2500000000000001E-2</v>
      </c>
      <c r="CG166" s="563"/>
      <c r="CH166" s="146">
        <f>CF166</f>
        <v>1.2500000000000001E-2</v>
      </c>
      <c r="CI166" s="146">
        <f t="shared" si="249"/>
        <v>1.2500000000000001E-2</v>
      </c>
      <c r="CJ166" s="146">
        <f t="shared" si="249"/>
        <v>1.2500000000000001E-2</v>
      </c>
      <c r="CK166" s="146">
        <f t="shared" si="249"/>
        <v>1.2500000000000001E-2</v>
      </c>
      <c r="CL166" s="563"/>
      <c r="CM166" s="146">
        <f>CK166</f>
        <v>1.2500000000000001E-2</v>
      </c>
      <c r="CN166" s="146">
        <f t="shared" si="250"/>
        <v>1.2500000000000001E-2</v>
      </c>
      <c r="CO166" s="146">
        <f t="shared" si="250"/>
        <v>1.2500000000000001E-2</v>
      </c>
      <c r="CP166" s="146">
        <f t="shared" si="250"/>
        <v>1.2500000000000001E-2</v>
      </c>
      <c r="CQ166" s="563"/>
      <c r="CR166" s="146">
        <f>CP166</f>
        <v>1.2500000000000001E-2</v>
      </c>
      <c r="CS166" s="146">
        <f t="shared" si="251"/>
        <v>1.2500000000000001E-2</v>
      </c>
      <c r="CT166" s="146">
        <f t="shared" si="252"/>
        <v>1.2500000000000001E-2</v>
      </c>
      <c r="CU166" s="146">
        <f t="shared" si="253"/>
        <v>1.2500000000000001E-2</v>
      </c>
      <c r="CV166" s="563"/>
      <c r="CW166" s="146">
        <f>CU166</f>
        <v>1.2500000000000001E-2</v>
      </c>
      <c r="CX166" s="146">
        <f t="shared" si="254"/>
        <v>1.2500000000000001E-2</v>
      </c>
      <c r="CY166" s="146">
        <f t="shared" si="255"/>
        <v>1.2500000000000001E-2</v>
      </c>
      <c r="CZ166" s="146">
        <f t="shared" si="256"/>
        <v>1.2500000000000001E-2</v>
      </c>
      <c r="DA166" s="563"/>
      <c r="DB166" s="146">
        <f>CZ166</f>
        <v>1.2500000000000001E-2</v>
      </c>
      <c r="DC166" s="146">
        <f t="shared" si="257"/>
        <v>1.2500000000000001E-2</v>
      </c>
      <c r="DD166" s="146">
        <f t="shared" si="258"/>
        <v>1.2500000000000001E-2</v>
      </c>
      <c r="DE166" s="146">
        <f t="shared" si="259"/>
        <v>1.2500000000000001E-2</v>
      </c>
      <c r="DF166" s="563"/>
    </row>
    <row r="167" spans="2:110" x14ac:dyDescent="0.2">
      <c r="B167" s="536" t="s">
        <v>197</v>
      </c>
      <c r="C167" s="145"/>
      <c r="D167" s="145"/>
      <c r="E167" s="145"/>
      <c r="F167" s="145"/>
      <c r="G167" s="145"/>
      <c r="H167" s="145"/>
      <c r="I167" s="145"/>
      <c r="J167" s="145"/>
      <c r="K167" s="145"/>
      <c r="L167" s="145"/>
      <c r="M167" s="145"/>
      <c r="N167" s="145"/>
      <c r="O167" s="145"/>
      <c r="P167" s="145"/>
      <c r="Q167" s="145"/>
      <c r="R167" s="145"/>
      <c r="S167" s="346"/>
      <c r="T167" s="346"/>
      <c r="U167" s="346"/>
      <c r="V167" s="326"/>
      <c r="W167" s="326"/>
      <c r="X167" s="326"/>
      <c r="Y167" s="340"/>
      <c r="Z167" s="346"/>
      <c r="AA167" s="346"/>
      <c r="AB167" s="346"/>
      <c r="AC167" s="346"/>
      <c r="AD167" s="340"/>
      <c r="AE167" s="346"/>
      <c r="AF167" s="346"/>
      <c r="AG167" s="346"/>
      <c r="AH167" s="346"/>
      <c r="AI167" s="340"/>
      <c r="AJ167" s="346"/>
      <c r="AK167" s="346"/>
      <c r="AL167" s="346"/>
      <c r="AM167" s="346"/>
      <c r="AN167" s="340"/>
      <c r="AO167" s="346"/>
      <c r="AP167" s="346"/>
      <c r="AQ167" s="346"/>
      <c r="AR167" s="346"/>
      <c r="AS167" s="340"/>
      <c r="AT167" s="346"/>
      <c r="AU167" s="623"/>
      <c r="AV167" s="625"/>
      <c r="AW167" s="625"/>
      <c r="AX167" s="340"/>
      <c r="AY167" s="346"/>
      <c r="AZ167" s="346"/>
      <c r="BA167" s="346"/>
      <c r="BB167" s="346"/>
      <c r="BC167" s="340"/>
      <c r="BD167" s="346"/>
      <c r="BE167" s="623"/>
      <c r="BF167" s="346"/>
      <c r="BG167" s="346"/>
      <c r="BH167" s="340"/>
      <c r="BI167" s="346"/>
      <c r="BJ167" s="346"/>
      <c r="BK167" s="346"/>
      <c r="BL167" s="346"/>
      <c r="BM167" s="340"/>
      <c r="BN167" s="346"/>
      <c r="BO167" s="346"/>
      <c r="BP167" s="346"/>
      <c r="BQ167" s="346"/>
      <c r="BR167" s="340"/>
      <c r="BS167" s="346">
        <f>BQ167</f>
        <v>0</v>
      </c>
      <c r="BT167" s="346">
        <v>500</v>
      </c>
      <c r="BU167" s="346">
        <f t="shared" si="246"/>
        <v>500</v>
      </c>
      <c r="BV167" s="346">
        <f t="shared" si="246"/>
        <v>500</v>
      </c>
      <c r="BW167" s="340"/>
      <c r="BX167" s="346">
        <f>BV167</f>
        <v>500</v>
      </c>
      <c r="BY167" s="346">
        <f t="shared" si="247"/>
        <v>500</v>
      </c>
      <c r="BZ167" s="346">
        <f t="shared" si="247"/>
        <v>500</v>
      </c>
      <c r="CA167" s="346">
        <f t="shared" si="247"/>
        <v>500</v>
      </c>
      <c r="CB167" s="563"/>
      <c r="CC167" s="346">
        <f>CA167</f>
        <v>500</v>
      </c>
      <c r="CD167" s="346">
        <f t="shared" si="248"/>
        <v>500</v>
      </c>
      <c r="CE167" s="346">
        <f t="shared" si="248"/>
        <v>500</v>
      </c>
      <c r="CF167" s="346">
        <f t="shared" si="248"/>
        <v>500</v>
      </c>
      <c r="CG167" s="563"/>
      <c r="CH167" s="346">
        <f>CF167</f>
        <v>500</v>
      </c>
      <c r="CI167" s="346">
        <f t="shared" si="249"/>
        <v>500</v>
      </c>
      <c r="CJ167" s="346">
        <f t="shared" si="249"/>
        <v>500</v>
      </c>
      <c r="CK167" s="346">
        <f t="shared" si="249"/>
        <v>500</v>
      </c>
      <c r="CL167" s="563"/>
      <c r="CM167" s="346">
        <f>CK167</f>
        <v>500</v>
      </c>
      <c r="CN167" s="346">
        <f t="shared" si="250"/>
        <v>500</v>
      </c>
      <c r="CO167" s="346">
        <f t="shared" si="250"/>
        <v>500</v>
      </c>
      <c r="CP167" s="346">
        <f t="shared" si="250"/>
        <v>500</v>
      </c>
      <c r="CQ167" s="563"/>
      <c r="CR167" s="346">
        <f>CP167</f>
        <v>500</v>
      </c>
      <c r="CS167" s="346">
        <f t="shared" si="251"/>
        <v>500</v>
      </c>
      <c r="CT167" s="346">
        <f t="shared" si="252"/>
        <v>500</v>
      </c>
      <c r="CU167" s="346">
        <f t="shared" si="253"/>
        <v>500</v>
      </c>
      <c r="CV167" s="563"/>
      <c r="CW167" s="346">
        <f>CU167</f>
        <v>500</v>
      </c>
      <c r="CX167" s="346">
        <f t="shared" si="254"/>
        <v>500</v>
      </c>
      <c r="CY167" s="346">
        <f t="shared" si="255"/>
        <v>500</v>
      </c>
      <c r="CZ167" s="346">
        <f t="shared" si="256"/>
        <v>500</v>
      </c>
      <c r="DA167" s="563"/>
      <c r="DB167" s="346">
        <f>CZ167</f>
        <v>500</v>
      </c>
      <c r="DC167" s="346">
        <f t="shared" si="257"/>
        <v>500</v>
      </c>
      <c r="DD167" s="346">
        <f t="shared" si="258"/>
        <v>500</v>
      </c>
      <c r="DE167" s="346">
        <f t="shared" si="259"/>
        <v>500</v>
      </c>
      <c r="DF167" s="563"/>
    </row>
    <row r="168" spans="2:110" x14ac:dyDescent="0.2">
      <c r="B168" s="544" t="s">
        <v>198</v>
      </c>
      <c r="C168" s="145"/>
      <c r="D168" s="145"/>
      <c r="E168" s="145"/>
      <c r="F168" s="145"/>
      <c r="G168" s="145"/>
      <c r="H168" s="145"/>
      <c r="I168" s="145"/>
      <c r="J168" s="145"/>
      <c r="K168" s="145"/>
      <c r="L168" s="145"/>
      <c r="M168" s="145"/>
      <c r="N168" s="145"/>
      <c r="O168" s="145"/>
      <c r="P168" s="145"/>
      <c r="Q168" s="145"/>
      <c r="R168" s="145"/>
      <c r="S168" s="346"/>
      <c r="T168" s="346"/>
      <c r="U168" s="346"/>
      <c r="V168" s="326"/>
      <c r="W168" s="326"/>
      <c r="X168" s="326"/>
      <c r="Y168" s="340"/>
      <c r="Z168" s="346"/>
      <c r="AA168" s="346"/>
      <c r="AB168" s="346"/>
      <c r="AC168" s="346"/>
      <c r="AD168" s="340"/>
      <c r="AE168" s="346"/>
      <c r="AF168" s="346"/>
      <c r="AG168" s="346"/>
      <c r="AH168" s="346"/>
      <c r="AI168" s="340"/>
      <c r="AJ168" s="346"/>
      <c r="AK168" s="346"/>
      <c r="AL168" s="346"/>
      <c r="AM168" s="346"/>
      <c r="AN168" s="340"/>
      <c r="AO168" s="346"/>
      <c r="AP168" s="346"/>
      <c r="AQ168" s="346"/>
      <c r="AR168" s="346"/>
      <c r="AS168" s="340"/>
      <c r="AT168" s="346"/>
      <c r="AU168" s="623"/>
      <c r="AV168" s="625"/>
      <c r="AW168" s="625"/>
      <c r="AX168" s="340"/>
      <c r="AY168" s="346"/>
      <c r="AZ168" s="346"/>
      <c r="BA168" s="346"/>
      <c r="BB168" s="346"/>
      <c r="BC168" s="340"/>
      <c r="BD168" s="346"/>
      <c r="BE168" s="623"/>
      <c r="BF168" s="346"/>
      <c r="BG168" s="346"/>
      <c r="BH168" s="340"/>
      <c r="BI168" s="346"/>
      <c r="BJ168" s="346"/>
      <c r="BK168" s="346"/>
      <c r="BL168" s="346"/>
      <c r="BM168" s="340"/>
      <c r="BN168" s="346"/>
      <c r="BO168" s="346"/>
      <c r="BP168" s="346"/>
      <c r="BQ168" s="346"/>
      <c r="BR168" s="340"/>
      <c r="BS168" s="346">
        <f>BQ170</f>
        <v>0</v>
      </c>
      <c r="BT168" s="346">
        <v>0</v>
      </c>
      <c r="BU168" s="346">
        <f>BT170</f>
        <v>449.8</v>
      </c>
      <c r="BV168" s="346">
        <f>BU170</f>
        <v>449.8</v>
      </c>
      <c r="BW168" s="340"/>
      <c r="BX168" s="346">
        <f>BV170</f>
        <v>449.8</v>
      </c>
      <c r="BY168" s="346">
        <f>BX170</f>
        <v>499.9</v>
      </c>
      <c r="BZ168" s="346">
        <f>BY170</f>
        <v>499.9</v>
      </c>
      <c r="CA168" s="346">
        <f>BZ170</f>
        <v>550</v>
      </c>
      <c r="CB168" s="563"/>
      <c r="CC168" s="346">
        <f>CA170</f>
        <v>498.6</v>
      </c>
      <c r="CD168" s="346">
        <f>CC170</f>
        <v>498.6</v>
      </c>
      <c r="CE168" s="346">
        <f>CD170</f>
        <v>498.6</v>
      </c>
      <c r="CF168" s="346">
        <f>CE170</f>
        <v>499.3</v>
      </c>
      <c r="CG168" s="563"/>
      <c r="CH168" s="346">
        <f>CF170</f>
        <v>499.6</v>
      </c>
      <c r="CI168" s="346">
        <f>CH170</f>
        <v>499.6</v>
      </c>
      <c r="CJ168" s="346">
        <f>CI170</f>
        <v>0.30000000000001137</v>
      </c>
      <c r="CK168" s="346">
        <f>CJ170</f>
        <v>0.30000000000001137</v>
      </c>
      <c r="CL168" s="563"/>
      <c r="CM168" s="346">
        <f>CK170</f>
        <v>0.30000000000001137</v>
      </c>
      <c r="CN168" s="346">
        <f>CM170</f>
        <v>0.30000000000001137</v>
      </c>
      <c r="CO168" s="346">
        <f>CN170</f>
        <v>0.30000000000001137</v>
      </c>
      <c r="CP168" s="346">
        <f>CO170</f>
        <v>0.30000000000001137</v>
      </c>
      <c r="CQ168" s="563"/>
      <c r="CR168" s="346">
        <f>CP170</f>
        <v>0.30000000000001137</v>
      </c>
      <c r="CS168" s="346">
        <f>CR170</f>
        <v>0.30000000000001137</v>
      </c>
      <c r="CT168" s="346">
        <f>CS170</f>
        <v>0.30000000000001137</v>
      </c>
      <c r="CU168" s="346">
        <f>CT170</f>
        <v>0.30000000000001137</v>
      </c>
      <c r="CV168" s="563"/>
      <c r="CW168" s="346">
        <f>CU170</f>
        <v>0.30000000000001137</v>
      </c>
      <c r="CX168" s="346">
        <f>CW170</f>
        <v>0.30000000000001137</v>
      </c>
      <c r="CY168" s="346">
        <f>CX170</f>
        <v>0.30000000000001137</v>
      </c>
      <c r="CZ168" s="346">
        <f>CY170</f>
        <v>0.30000000000001137</v>
      </c>
      <c r="DA168" s="563"/>
      <c r="DB168" s="346">
        <f>CZ170</f>
        <v>0.30000000000001137</v>
      </c>
      <c r="DC168" s="346">
        <f>DB170</f>
        <v>0.30000000000001137</v>
      </c>
      <c r="DD168" s="346">
        <f>DC170</f>
        <v>0.30000000000001137</v>
      </c>
      <c r="DE168" s="346">
        <f>DD170</f>
        <v>0.30000000000001137</v>
      </c>
      <c r="DF168" s="563"/>
    </row>
    <row r="169" spans="2:110" x14ac:dyDescent="0.2">
      <c r="B169" s="589" t="s">
        <v>199</v>
      </c>
      <c r="C169" s="359"/>
      <c r="D169" s="359"/>
      <c r="E169" s="359"/>
      <c r="F169" s="359"/>
      <c r="G169" s="359"/>
      <c r="H169" s="359"/>
      <c r="I169" s="359"/>
      <c r="J169" s="359"/>
      <c r="K169" s="359"/>
      <c r="L169" s="359"/>
      <c r="M169" s="359"/>
      <c r="N169" s="359"/>
      <c r="O169" s="359"/>
      <c r="P169" s="359"/>
      <c r="Q169" s="359"/>
      <c r="R169" s="359"/>
      <c r="S169" s="347"/>
      <c r="T169" s="347"/>
      <c r="U169" s="347"/>
      <c r="V169" s="377"/>
      <c r="W169" s="377"/>
      <c r="X169" s="377"/>
      <c r="Y169" s="343"/>
      <c r="Z169" s="347"/>
      <c r="AA169" s="347"/>
      <c r="AB169" s="347"/>
      <c r="AC169" s="347"/>
      <c r="AD169" s="343"/>
      <c r="AE169" s="347"/>
      <c r="AF169" s="347"/>
      <c r="AG169" s="347"/>
      <c r="AH169" s="347"/>
      <c r="AI169" s="343"/>
      <c r="AJ169" s="347"/>
      <c r="AK169" s="347"/>
      <c r="AL169" s="347"/>
      <c r="AM169" s="347"/>
      <c r="AN169" s="343"/>
      <c r="AO169" s="347"/>
      <c r="AP169" s="347"/>
      <c r="AQ169" s="347"/>
      <c r="AR169" s="347"/>
      <c r="AS169" s="343"/>
      <c r="AT169" s="347"/>
      <c r="AU169" s="629"/>
      <c r="AV169" s="642"/>
      <c r="AW169" s="629"/>
      <c r="AX169" s="343"/>
      <c r="AY169" s="347"/>
      <c r="AZ169" s="347"/>
      <c r="BA169" s="347"/>
      <c r="BB169" s="347"/>
      <c r="BC169" s="343"/>
      <c r="BD169" s="347"/>
      <c r="BE169" s="629"/>
      <c r="BF169" s="347"/>
      <c r="BG169" s="347"/>
      <c r="BH169" s="343"/>
      <c r="BI169" s="347"/>
      <c r="BJ169" s="347"/>
      <c r="BK169" s="347"/>
      <c r="BL169" s="348"/>
      <c r="BM169" s="343"/>
      <c r="BN169" s="348"/>
      <c r="BO169" s="347"/>
      <c r="BP169" s="348"/>
      <c r="BQ169" s="347"/>
      <c r="BR169" s="343"/>
      <c r="BS169" s="347">
        <f>BQ169</f>
        <v>0</v>
      </c>
      <c r="BT169" s="347">
        <f>BT170</f>
        <v>449.8</v>
      </c>
      <c r="BU169" s="347">
        <f>BU170-BU168</f>
        <v>0</v>
      </c>
      <c r="BV169" s="347">
        <f>BV170-BV168</f>
        <v>0</v>
      </c>
      <c r="BW169" s="343"/>
      <c r="BX169" s="347">
        <f>499.9-BX168</f>
        <v>50.099999999999966</v>
      </c>
      <c r="BY169" s="347">
        <v>0</v>
      </c>
      <c r="BZ169" s="347">
        <v>50.099999999999966</v>
      </c>
      <c r="CA169" s="347">
        <f>CA170-CA168</f>
        <v>-51.399999999999977</v>
      </c>
      <c r="CB169" s="585"/>
      <c r="CC169" s="347">
        <v>0</v>
      </c>
      <c r="CD169" s="347">
        <f>CC169</f>
        <v>0</v>
      </c>
      <c r="CE169" s="347">
        <v>0.7</v>
      </c>
      <c r="CF169" s="347">
        <v>0.3</v>
      </c>
      <c r="CG169" s="585"/>
      <c r="CH169" s="1732">
        <v>0</v>
      </c>
      <c r="CI169" s="347">
        <v>-499.3</v>
      </c>
      <c r="CJ169" s="347">
        <v>0</v>
      </c>
      <c r="CK169" s="347">
        <f>CJ169</f>
        <v>0</v>
      </c>
      <c r="CL169" s="585"/>
      <c r="CM169" s="1732">
        <v>0</v>
      </c>
      <c r="CN169" s="347">
        <v>0</v>
      </c>
      <c r="CO169" s="347">
        <f>CN169</f>
        <v>0</v>
      </c>
      <c r="CP169" s="347">
        <f>CO169</f>
        <v>0</v>
      </c>
      <c r="CQ169" s="585"/>
      <c r="CR169" s="1732">
        <v>0</v>
      </c>
      <c r="CS169" s="347">
        <v>0</v>
      </c>
      <c r="CT169" s="347">
        <f>CS169</f>
        <v>0</v>
      </c>
      <c r="CU169" s="347">
        <f>CT169</f>
        <v>0</v>
      </c>
      <c r="CV169" s="585"/>
      <c r="CW169" s="1732">
        <v>0</v>
      </c>
      <c r="CX169" s="347">
        <v>0</v>
      </c>
      <c r="CY169" s="347">
        <f>CX169</f>
        <v>0</v>
      </c>
      <c r="CZ169" s="347">
        <f>CY169</f>
        <v>0</v>
      </c>
      <c r="DA169" s="585"/>
      <c r="DB169" s="1732">
        <v>0</v>
      </c>
      <c r="DC169" s="347">
        <v>0</v>
      </c>
      <c r="DD169" s="347">
        <f>DC169</f>
        <v>0</v>
      </c>
      <c r="DE169" s="347">
        <f>DD169</f>
        <v>0</v>
      </c>
      <c r="DF169" s="585"/>
    </row>
    <row r="170" spans="2:110" x14ac:dyDescent="0.2">
      <c r="B170" s="544" t="s">
        <v>200</v>
      </c>
      <c r="C170" s="145"/>
      <c r="D170" s="145"/>
      <c r="E170" s="145"/>
      <c r="F170" s="145"/>
      <c r="G170" s="145"/>
      <c r="H170" s="145"/>
      <c r="I170" s="145"/>
      <c r="J170" s="145"/>
      <c r="K170" s="145"/>
      <c r="L170" s="145"/>
      <c r="M170" s="145"/>
      <c r="N170" s="145"/>
      <c r="O170" s="145"/>
      <c r="P170" s="145"/>
      <c r="Q170" s="145"/>
      <c r="R170" s="145"/>
      <c r="S170" s="346"/>
      <c r="T170" s="346"/>
      <c r="U170" s="346"/>
      <c r="V170" s="326"/>
      <c r="W170" s="326"/>
      <c r="X170" s="326"/>
      <c r="Y170" s="340"/>
      <c r="Z170" s="346"/>
      <c r="AA170" s="346"/>
      <c r="AB170" s="346"/>
      <c r="AC170" s="346"/>
      <c r="AD170" s="340"/>
      <c r="AE170" s="346"/>
      <c r="AF170" s="346"/>
      <c r="AG170" s="346"/>
      <c r="AH170" s="346"/>
      <c r="AI170" s="340"/>
      <c r="AJ170" s="346"/>
      <c r="AK170" s="346"/>
      <c r="AL170" s="346"/>
      <c r="AM170" s="346"/>
      <c r="AN170" s="340"/>
      <c r="AO170" s="346"/>
      <c r="AP170" s="346"/>
      <c r="AQ170" s="346"/>
      <c r="AR170" s="346"/>
      <c r="AS170" s="340"/>
      <c r="AT170" s="346"/>
      <c r="AU170" s="625"/>
      <c r="AV170" s="625"/>
      <c r="AW170" s="625"/>
      <c r="AX170" s="340"/>
      <c r="AY170" s="346"/>
      <c r="AZ170" s="346"/>
      <c r="BA170" s="346"/>
      <c r="BB170" s="346"/>
      <c r="BC170" s="340"/>
      <c r="BD170" s="346"/>
      <c r="BE170" s="625"/>
      <c r="BF170" s="346"/>
      <c r="BG170" s="346"/>
      <c r="BH170" s="340"/>
      <c r="BI170" s="346"/>
      <c r="BJ170" s="346"/>
      <c r="BK170" s="346"/>
      <c r="BL170" s="346"/>
      <c r="BM170" s="340"/>
      <c r="BN170" s="346"/>
      <c r="BO170" s="346"/>
      <c r="BP170" s="346"/>
      <c r="BQ170" s="346"/>
      <c r="BR170" s="340"/>
      <c r="BS170" s="354">
        <v>0</v>
      </c>
      <c r="BT170" s="354">
        <v>449.8</v>
      </c>
      <c r="BU170" s="354">
        <v>449.8</v>
      </c>
      <c r="BV170" s="346">
        <v>449.8</v>
      </c>
      <c r="BW170" s="340"/>
      <c r="BX170" s="346">
        <f>BX168+BX169</f>
        <v>499.9</v>
      </c>
      <c r="BY170" s="346">
        <f>BY168+BY169</f>
        <v>499.9</v>
      </c>
      <c r="BZ170" s="346">
        <f>BZ168+BZ169</f>
        <v>550</v>
      </c>
      <c r="CA170" s="346">
        <v>498.6</v>
      </c>
      <c r="CB170" s="563"/>
      <c r="CC170" s="346">
        <f>CC168+CC169</f>
        <v>498.6</v>
      </c>
      <c r="CD170" s="346">
        <f>CD168+CD169</f>
        <v>498.6</v>
      </c>
      <c r="CE170" s="346">
        <f>CE168+CE169</f>
        <v>499.3</v>
      </c>
      <c r="CF170" s="346">
        <f>CF168+CF169</f>
        <v>499.6</v>
      </c>
      <c r="CG170" s="563"/>
      <c r="CH170" s="346">
        <f>CH168+CH169</f>
        <v>499.6</v>
      </c>
      <c r="CI170" s="346">
        <f>CI168+CI169</f>
        <v>0.30000000000001137</v>
      </c>
      <c r="CJ170" s="346">
        <f>CJ168+CJ169</f>
        <v>0.30000000000001137</v>
      </c>
      <c r="CK170" s="346">
        <f>CK168+CK169</f>
        <v>0.30000000000001137</v>
      </c>
      <c r="CL170" s="563"/>
      <c r="CM170" s="346">
        <f>CM168+CM169</f>
        <v>0.30000000000001137</v>
      </c>
      <c r="CN170" s="346">
        <f>CN168+CN169</f>
        <v>0.30000000000001137</v>
      </c>
      <c r="CO170" s="346">
        <f>CO168+CO169</f>
        <v>0.30000000000001137</v>
      </c>
      <c r="CP170" s="346">
        <f>CP168+CP169</f>
        <v>0.30000000000001137</v>
      </c>
      <c r="CQ170" s="563"/>
      <c r="CR170" s="346">
        <f>CR168+CR169</f>
        <v>0.30000000000001137</v>
      </c>
      <c r="CS170" s="346">
        <f>CS168+CS169</f>
        <v>0.30000000000001137</v>
      </c>
      <c r="CT170" s="346">
        <f>CT168+CT169</f>
        <v>0.30000000000001137</v>
      </c>
      <c r="CU170" s="346">
        <f>CU168+CU169</f>
        <v>0.30000000000001137</v>
      </c>
      <c r="CV170" s="563"/>
      <c r="CW170" s="346">
        <f>CW168+CW169</f>
        <v>0.30000000000001137</v>
      </c>
      <c r="CX170" s="346">
        <f>CX168+CX169</f>
        <v>0.30000000000001137</v>
      </c>
      <c r="CY170" s="346">
        <f>CY168+CY169</f>
        <v>0.30000000000001137</v>
      </c>
      <c r="CZ170" s="346">
        <f>CZ168+CZ169</f>
        <v>0.30000000000001137</v>
      </c>
      <c r="DA170" s="563"/>
      <c r="DB170" s="346">
        <f>DB168+DB169</f>
        <v>0.30000000000001137</v>
      </c>
      <c r="DC170" s="346">
        <f>DC168+DC169</f>
        <v>0.30000000000001137</v>
      </c>
      <c r="DD170" s="346">
        <f>DD168+DD169</f>
        <v>0.30000000000001137</v>
      </c>
      <c r="DE170" s="346">
        <f>DE168+DE169</f>
        <v>0.30000000000001137</v>
      </c>
      <c r="DF170" s="563"/>
    </row>
    <row r="171" spans="2:110" x14ac:dyDescent="0.2">
      <c r="B171" s="536" t="s">
        <v>201</v>
      </c>
      <c r="C171" s="145"/>
      <c r="D171" s="145"/>
      <c r="E171" s="145"/>
      <c r="F171" s="145"/>
      <c r="G171" s="145"/>
      <c r="H171" s="145"/>
      <c r="I171" s="145"/>
      <c r="J171" s="145"/>
      <c r="K171" s="145"/>
      <c r="L171" s="145"/>
      <c r="M171" s="145"/>
      <c r="N171" s="145"/>
      <c r="O171" s="145"/>
      <c r="P171" s="145"/>
      <c r="Q171" s="145"/>
      <c r="R171" s="145"/>
      <c r="S171" s="346"/>
      <c r="T171" s="346"/>
      <c r="U171" s="346"/>
      <c r="V171" s="326"/>
      <c r="W171" s="326"/>
      <c r="X171" s="326"/>
      <c r="Y171" s="340"/>
      <c r="Z171" s="346"/>
      <c r="AA171" s="346"/>
      <c r="AB171" s="346"/>
      <c r="AC171" s="346"/>
      <c r="AD171" s="340"/>
      <c r="AE171" s="346"/>
      <c r="AF171" s="346"/>
      <c r="AG171" s="346"/>
      <c r="AH171" s="346"/>
      <c r="AI171" s="340"/>
      <c r="AJ171" s="346"/>
      <c r="AK171" s="346"/>
      <c r="AL171" s="346"/>
      <c r="AM171" s="346"/>
      <c r="AN171" s="340"/>
      <c r="AO171" s="346"/>
      <c r="AP171" s="346"/>
      <c r="AQ171" s="346"/>
      <c r="AR171" s="346"/>
      <c r="AS171" s="340"/>
      <c r="AT171" s="346"/>
      <c r="AU171" s="625"/>
      <c r="AV171" s="625"/>
      <c r="AW171" s="625"/>
      <c r="AX171" s="340"/>
      <c r="AY171" s="346"/>
      <c r="AZ171" s="346"/>
      <c r="BA171" s="346"/>
      <c r="BB171" s="346"/>
      <c r="BC171" s="340"/>
      <c r="BD171" s="346"/>
      <c r="BE171" s="625"/>
      <c r="BF171" s="346"/>
      <c r="BG171" s="346"/>
      <c r="BH171" s="340"/>
      <c r="BI171" s="346"/>
      <c r="BJ171" s="346"/>
      <c r="BK171" s="346"/>
      <c r="BL171" s="346"/>
      <c r="BM171" s="340"/>
      <c r="BN171" s="346"/>
      <c r="BO171" s="346"/>
      <c r="BP171" s="346"/>
      <c r="BQ171" s="346"/>
      <c r="BR171" s="340"/>
      <c r="BS171" s="346">
        <f>BS167-BS170</f>
        <v>0</v>
      </c>
      <c r="BT171" s="346">
        <f>BT167-BT170</f>
        <v>50.199999999999989</v>
      </c>
      <c r="BU171" s="346">
        <f>BU167-BU170</f>
        <v>50.199999999999989</v>
      </c>
      <c r="BV171" s="346">
        <f>BV167-BV170</f>
        <v>50.199999999999989</v>
      </c>
      <c r="BW171" s="340"/>
      <c r="BX171" s="346">
        <f>BX167-BX170</f>
        <v>0.10000000000002274</v>
      </c>
      <c r="BY171" s="346">
        <f>BY167-BY170</f>
        <v>0.10000000000002274</v>
      </c>
      <c r="BZ171" s="346">
        <f>BZ167-BZ170</f>
        <v>-50</v>
      </c>
      <c r="CA171" s="346">
        <f>CA167-CA170</f>
        <v>1.3999999999999773</v>
      </c>
      <c r="CB171" s="563"/>
      <c r="CC171" s="346">
        <f>CC167-CC170</f>
        <v>1.3999999999999773</v>
      </c>
      <c r="CD171" s="346">
        <f>CD167-CD170</f>
        <v>1.3999999999999773</v>
      </c>
      <c r="CE171" s="346">
        <f>CE167-CE170</f>
        <v>0.69999999999998863</v>
      </c>
      <c r="CF171" s="346">
        <f>CF167-CF170</f>
        <v>0.39999999999997726</v>
      </c>
      <c r="CG171" s="563"/>
      <c r="CH171" s="346">
        <f>CH167-CH170</f>
        <v>0.39999999999997726</v>
      </c>
      <c r="CI171" s="346">
        <f>CI167-CI170</f>
        <v>499.7</v>
      </c>
      <c r="CJ171" s="346">
        <f>CJ167-CJ170</f>
        <v>499.7</v>
      </c>
      <c r="CK171" s="346">
        <f>CK167-CK170</f>
        <v>499.7</v>
      </c>
      <c r="CL171" s="563"/>
      <c r="CM171" s="346">
        <f>CM167-CM170</f>
        <v>499.7</v>
      </c>
      <c r="CN171" s="346">
        <f>CN167-CN170</f>
        <v>499.7</v>
      </c>
      <c r="CO171" s="346">
        <f>CO167-CO170</f>
        <v>499.7</v>
      </c>
      <c r="CP171" s="346">
        <f>CP167-CP170</f>
        <v>499.7</v>
      </c>
      <c r="CQ171" s="563"/>
      <c r="CR171" s="346">
        <f>CR167-CR170</f>
        <v>499.7</v>
      </c>
      <c r="CS171" s="346">
        <f>CS167-CS170</f>
        <v>499.7</v>
      </c>
      <c r="CT171" s="346">
        <f>CT167-CT170</f>
        <v>499.7</v>
      </c>
      <c r="CU171" s="346">
        <f>CU167-CU170</f>
        <v>499.7</v>
      </c>
      <c r="CV171" s="563"/>
      <c r="CW171" s="346">
        <f>CW167-CW170</f>
        <v>499.7</v>
      </c>
      <c r="CX171" s="346">
        <f>CX167-CX170</f>
        <v>499.7</v>
      </c>
      <c r="CY171" s="346">
        <f>CY167-CY170</f>
        <v>499.7</v>
      </c>
      <c r="CZ171" s="346">
        <f>CZ167-CZ170</f>
        <v>499.7</v>
      </c>
      <c r="DA171" s="563"/>
      <c r="DB171" s="346">
        <f>DB167-DB170</f>
        <v>499.7</v>
      </c>
      <c r="DC171" s="346">
        <f>DC167-DC170</f>
        <v>499.7</v>
      </c>
      <c r="DD171" s="346">
        <f>DD167-DD170</f>
        <v>499.7</v>
      </c>
      <c r="DE171" s="346">
        <f>DE167-DE170</f>
        <v>499.7</v>
      </c>
      <c r="DF171" s="563"/>
    </row>
    <row r="172" spans="2:110" x14ac:dyDescent="0.2">
      <c r="B172" s="544" t="s">
        <v>206</v>
      </c>
      <c r="C172" s="145"/>
      <c r="D172" s="145"/>
      <c r="E172" s="145"/>
      <c r="F172" s="145"/>
      <c r="G172" s="145"/>
      <c r="H172" s="145"/>
      <c r="I172" s="145"/>
      <c r="J172" s="145"/>
      <c r="K172" s="145"/>
      <c r="L172" s="145"/>
      <c r="M172" s="145"/>
      <c r="N172" s="145"/>
      <c r="O172" s="145"/>
      <c r="P172" s="145"/>
      <c r="Q172" s="145"/>
      <c r="R172" s="145"/>
      <c r="S172" s="346"/>
      <c r="T172" s="346"/>
      <c r="U172" s="346"/>
      <c r="V172" s="326"/>
      <c r="W172" s="326"/>
      <c r="X172" s="326"/>
      <c r="Y172" s="340"/>
      <c r="Z172" s="346"/>
      <c r="AA172" s="346"/>
      <c r="AB172" s="346"/>
      <c r="AC172" s="346"/>
      <c r="AD172" s="340"/>
      <c r="AE172" s="346"/>
      <c r="AF172" s="346"/>
      <c r="AG172" s="346"/>
      <c r="AH172" s="346"/>
      <c r="AI172" s="340"/>
      <c r="AJ172" s="346"/>
      <c r="AK172" s="346"/>
      <c r="AL172" s="346"/>
      <c r="AM172" s="346"/>
      <c r="AN172" s="340"/>
      <c r="AO172" s="346"/>
      <c r="AP172" s="346"/>
      <c r="AQ172" s="346"/>
      <c r="AR172" s="346"/>
      <c r="AS172" s="340"/>
      <c r="AT172" s="346"/>
      <c r="AU172" s="625"/>
      <c r="AV172" s="625"/>
      <c r="AW172" s="625"/>
      <c r="AX172" s="340"/>
      <c r="AY172" s="346"/>
      <c r="AZ172" s="346"/>
      <c r="BA172" s="346"/>
      <c r="BB172" s="346"/>
      <c r="BC172" s="340"/>
      <c r="BD172" s="346"/>
      <c r="BE172" s="625"/>
      <c r="BF172" s="346"/>
      <c r="BG172" s="346"/>
      <c r="BH172" s="340"/>
      <c r="BI172" s="346"/>
      <c r="BJ172" s="346"/>
      <c r="BK172" s="346"/>
      <c r="BL172" s="346"/>
      <c r="BM172" s="340"/>
      <c r="BN172" s="346"/>
      <c r="BO172" s="346"/>
      <c r="BP172" s="346"/>
      <c r="BQ172" s="346"/>
      <c r="BR172" s="340"/>
      <c r="BS172" s="346">
        <f>-(AVERAGE(BS170,BS168))*(BS166/4)</f>
        <v>0</v>
      </c>
      <c r="BT172" s="346">
        <f>-(AVERAGE(BT170,BT168))*(BT166/4)</f>
        <v>-0.70281250000000006</v>
      </c>
      <c r="BU172" s="346">
        <f>-(AVERAGE(BU170,BU168))*(BU166/4)</f>
        <v>-1.4056250000000001</v>
      </c>
      <c r="BV172" s="346">
        <f>-(AVERAGE(BV170,BV168))*(BV166/4)</f>
        <v>-1.4056250000000001</v>
      </c>
      <c r="BW172" s="340"/>
      <c r="BX172" s="346">
        <f>-(AVERAGE(BX170,BX168))*(BX166/4)</f>
        <v>-1.4839062500000002</v>
      </c>
      <c r="BY172" s="346">
        <f>-(AVERAGE(BY170,BY168))*(BY166/4)</f>
        <v>-1.5621875000000001</v>
      </c>
      <c r="BZ172" s="346">
        <f>-(AVERAGE(BZ170,BZ168))*(BZ166/4)</f>
        <v>-1.6404687500000001</v>
      </c>
      <c r="CA172" s="346">
        <f>-(AVERAGE(CA170,CA168))*(CA166/4)</f>
        <v>-1.6384375</v>
      </c>
      <c r="CB172" s="563"/>
      <c r="CC172" s="346">
        <f>-(AVERAGE(CC170,CC168))*(CC166/4)</f>
        <v>-1.5581250000000002</v>
      </c>
      <c r="CD172" s="346">
        <f>-(AVERAGE(CD170,CD168))*(CD166/4)</f>
        <v>-1.5581250000000002</v>
      </c>
      <c r="CE172" s="346">
        <f>-(AVERAGE(CE170,CE168))*(CE166/4)</f>
        <v>-1.5592187500000003</v>
      </c>
      <c r="CF172" s="346">
        <f>-(AVERAGE(CF170,CF168))*(CF166/4)</f>
        <v>-1.5607812500000002</v>
      </c>
      <c r="CG172" s="563"/>
      <c r="CH172" s="346">
        <f>-(AVERAGE(CH170,CH168))*(CH166/4)</f>
        <v>-1.5612500000000002</v>
      </c>
      <c r="CI172" s="346">
        <f>-(AVERAGE(CI170,CI168))*(CI166/4)</f>
        <v>-0.78109375000000014</v>
      </c>
      <c r="CJ172" s="346">
        <f>-(AVERAGE(CJ170,CJ168))*(CJ166/4)</f>
        <v>-9.3750000000003553E-4</v>
      </c>
      <c r="CK172" s="346">
        <f>-(AVERAGE(CK170,CK168))*(CK166/4)</f>
        <v>-9.3750000000003553E-4</v>
      </c>
      <c r="CL172" s="563"/>
      <c r="CM172" s="346">
        <f>-(AVERAGE(CM170,CM168))*(CM166/4)</f>
        <v>-9.3750000000003553E-4</v>
      </c>
      <c r="CN172" s="346">
        <f>-(AVERAGE(CN170,CN168))*(CN166/4)</f>
        <v>-9.3750000000003553E-4</v>
      </c>
      <c r="CO172" s="346">
        <f>-(AVERAGE(CO170,CO168))*(CO166/4)</f>
        <v>-9.3750000000003553E-4</v>
      </c>
      <c r="CP172" s="346">
        <f>-(AVERAGE(CP170,CP168))*(CP166/4)</f>
        <v>-9.3750000000003553E-4</v>
      </c>
      <c r="CQ172" s="563"/>
      <c r="CR172" s="346">
        <f>-(AVERAGE(CR170,CR168))*(CR166/4)</f>
        <v>-9.3750000000003553E-4</v>
      </c>
      <c r="CS172" s="346">
        <f>-(AVERAGE(CS170,CS168))*(CS166/4)</f>
        <v>-9.3750000000003553E-4</v>
      </c>
      <c r="CT172" s="346">
        <f>-(AVERAGE(CT170,CT168))*(CT166/4)</f>
        <v>-9.3750000000003553E-4</v>
      </c>
      <c r="CU172" s="346">
        <f>-(AVERAGE(CU170,CU168))*(CU166/4)</f>
        <v>-9.3750000000003553E-4</v>
      </c>
      <c r="CV172" s="563"/>
      <c r="CW172" s="346">
        <f>-(AVERAGE(CW170,CW168))*(CW166/4)</f>
        <v>-9.3750000000003553E-4</v>
      </c>
      <c r="CX172" s="346">
        <f>-(AVERAGE(CX170,CX168))*(CX166/4)</f>
        <v>-9.3750000000003553E-4</v>
      </c>
      <c r="CY172" s="346">
        <f>-(AVERAGE(CY170,CY168))*(CY166/4)</f>
        <v>-9.3750000000003553E-4</v>
      </c>
      <c r="CZ172" s="346">
        <f>-(AVERAGE(CZ170,CZ168))*(CZ166/4)</f>
        <v>-9.3750000000003553E-4</v>
      </c>
      <c r="DA172" s="563"/>
      <c r="DB172" s="346">
        <f>-(AVERAGE(DB170,DB168))*(DB166/4)</f>
        <v>-9.3750000000003553E-4</v>
      </c>
      <c r="DC172" s="346">
        <f>-(AVERAGE(DC170,DC168))*(DC166/4)</f>
        <v>-9.3750000000003553E-4</v>
      </c>
      <c r="DD172" s="346">
        <f>-(AVERAGE(DD170,DD168))*(DD166/4)</f>
        <v>-9.3750000000003553E-4</v>
      </c>
      <c r="DE172" s="346">
        <f>-(AVERAGE(DE170,DE168))*(DE166/4)</f>
        <v>-9.3750000000003553E-4</v>
      </c>
      <c r="DF172" s="563"/>
    </row>
    <row r="173" spans="2:110" ht="12" thickBot="1" x14ac:dyDescent="0.25">
      <c r="B173" s="548" t="s">
        <v>207</v>
      </c>
      <c r="C173" s="205"/>
      <c r="D173" s="205"/>
      <c r="E173" s="205"/>
      <c r="F173" s="205"/>
      <c r="G173" s="205"/>
      <c r="H173" s="205"/>
      <c r="I173" s="205"/>
      <c r="J173" s="205"/>
      <c r="K173" s="205"/>
      <c r="L173" s="205"/>
      <c r="M173" s="205"/>
      <c r="N173" s="205"/>
      <c r="O173" s="205"/>
      <c r="P173" s="205"/>
      <c r="Q173" s="205"/>
      <c r="R173" s="205"/>
      <c r="S173" s="549"/>
      <c r="T173" s="549"/>
      <c r="U173" s="549"/>
      <c r="V173" s="327"/>
      <c r="W173" s="327"/>
      <c r="X173" s="327"/>
      <c r="Y173" s="550"/>
      <c r="Z173" s="549"/>
      <c r="AA173" s="549"/>
      <c r="AB173" s="549"/>
      <c r="AC173" s="549"/>
      <c r="AD173" s="550"/>
      <c r="AE173" s="549"/>
      <c r="AF173" s="549"/>
      <c r="AG173" s="549"/>
      <c r="AH173" s="549"/>
      <c r="AI173" s="550"/>
      <c r="AJ173" s="549"/>
      <c r="AK173" s="549"/>
      <c r="AL173" s="549"/>
      <c r="AM173" s="549"/>
      <c r="AN173" s="550"/>
      <c r="AO173" s="549"/>
      <c r="AP173" s="549"/>
      <c r="AQ173" s="549"/>
      <c r="AR173" s="549"/>
      <c r="AS173" s="550"/>
      <c r="AT173" s="549"/>
      <c r="AU173" s="549"/>
      <c r="AV173" s="549"/>
      <c r="AW173" s="549"/>
      <c r="AX173" s="550"/>
      <c r="AY173" s="549"/>
      <c r="AZ173" s="549"/>
      <c r="BA173" s="549"/>
      <c r="BB173" s="549"/>
      <c r="BC173" s="550"/>
      <c r="BD173" s="549"/>
      <c r="BE173" s="549"/>
      <c r="BF173" s="549"/>
      <c r="BG173" s="549"/>
      <c r="BH173" s="550"/>
      <c r="BI173" s="549"/>
      <c r="BJ173" s="549"/>
      <c r="BK173" s="549"/>
      <c r="BL173" s="549"/>
      <c r="BM173" s="550"/>
      <c r="BN173" s="549"/>
      <c r="BO173" s="549"/>
      <c r="BP173" s="549"/>
      <c r="BQ173" s="549"/>
      <c r="BR173" s="550"/>
      <c r="BS173" s="549">
        <f>-BS165*BS171/4</f>
        <v>0</v>
      </c>
      <c r="BT173" s="549">
        <f>-BT165*BT171/4</f>
        <v>0</v>
      </c>
      <c r="BU173" s="549">
        <f>-BU165*BU171/4</f>
        <v>0</v>
      </c>
      <c r="BV173" s="549">
        <f>-BV165*BV171/4</f>
        <v>0</v>
      </c>
      <c r="BW173" s="550"/>
      <c r="BX173" s="549">
        <f>-BX165*BX171/4</f>
        <v>0</v>
      </c>
      <c r="BY173" s="549">
        <f>-BY165*BY171/4</f>
        <v>0</v>
      </c>
      <c r="BZ173" s="549">
        <f>-BZ165*BZ171/4</f>
        <v>0</v>
      </c>
      <c r="CA173" s="549">
        <f>-CA165*CA171/4</f>
        <v>0</v>
      </c>
      <c r="CB173" s="565"/>
      <c r="CC173" s="549">
        <f>-CC165*CC171/4</f>
        <v>0</v>
      </c>
      <c r="CD173" s="549">
        <f>-CD165*CD171/4</f>
        <v>0</v>
      </c>
      <c r="CE173" s="549">
        <f>-CE165*CE171/4</f>
        <v>0</v>
      </c>
      <c r="CF173" s="549">
        <f>-CF165*CF171/4</f>
        <v>0</v>
      </c>
      <c r="CG173" s="565"/>
      <c r="CH173" s="549">
        <f>-CH165*CH171/4</f>
        <v>0</v>
      </c>
      <c r="CI173" s="549">
        <f>-CI165*CI171/4</f>
        <v>0</v>
      </c>
      <c r="CJ173" s="549">
        <f>-CJ165*CJ171/4</f>
        <v>0</v>
      </c>
      <c r="CK173" s="549">
        <f>-CK165*CK171/4</f>
        <v>0</v>
      </c>
      <c r="CL173" s="565"/>
      <c r="CM173" s="549">
        <f>-CM165*CM171/4</f>
        <v>0</v>
      </c>
      <c r="CN173" s="549">
        <f>-CN165*CN171/4</f>
        <v>0</v>
      </c>
      <c r="CO173" s="549">
        <f>-CO165*CO171/4</f>
        <v>0</v>
      </c>
      <c r="CP173" s="549">
        <f>-CP165*CP171/4</f>
        <v>0</v>
      </c>
      <c r="CQ173" s="565"/>
      <c r="CR173" s="549">
        <f>-CR165*CR171/4</f>
        <v>0</v>
      </c>
      <c r="CS173" s="549">
        <f>-CS165*CS171/4</f>
        <v>0</v>
      </c>
      <c r="CT173" s="549">
        <f>-CT165*CT171/4</f>
        <v>0</v>
      </c>
      <c r="CU173" s="549">
        <f>-CU165*CU171/4</f>
        <v>0</v>
      </c>
      <c r="CV173" s="565"/>
      <c r="CW173" s="549">
        <f>-CW165*CW171/4</f>
        <v>0</v>
      </c>
      <c r="CX173" s="549">
        <f>-CX165*CX171/4</f>
        <v>0</v>
      </c>
      <c r="CY173" s="549">
        <f>-CY165*CY171/4</f>
        <v>0</v>
      </c>
      <c r="CZ173" s="549">
        <f>-CZ165*CZ171/4</f>
        <v>0</v>
      </c>
      <c r="DA173" s="565"/>
      <c r="DB173" s="549">
        <f>-DB165*DB171/4</f>
        <v>0</v>
      </c>
      <c r="DC173" s="549">
        <f>-DC165*DC171/4</f>
        <v>0</v>
      </c>
      <c r="DD173" s="549">
        <f>-DD165*DD171/4</f>
        <v>0</v>
      </c>
      <c r="DE173" s="549">
        <f>-DE165*DE171/4</f>
        <v>0</v>
      </c>
      <c r="DF173" s="565"/>
    </row>
    <row r="174" spans="2:110" ht="12" thickBot="1" x14ac:dyDescent="0.25">
      <c r="B174" s="355"/>
      <c r="C174" s="145"/>
      <c r="D174" s="145"/>
      <c r="E174" s="145"/>
      <c r="F174" s="145"/>
      <c r="G174" s="145"/>
      <c r="H174" s="145"/>
      <c r="I174" s="145"/>
      <c r="J174" s="145"/>
      <c r="K174" s="145"/>
      <c r="L174" s="145"/>
      <c r="M174" s="145"/>
      <c r="N174" s="145"/>
      <c r="O174" s="145"/>
      <c r="P174" s="145"/>
      <c r="Q174" s="145"/>
      <c r="R174" s="145"/>
      <c r="S174" s="346"/>
      <c r="T174" s="346"/>
      <c r="U174" s="346"/>
      <c r="V174" s="326"/>
      <c r="W174" s="326"/>
      <c r="X174" s="326"/>
      <c r="Y174" s="346"/>
      <c r="Z174" s="346"/>
      <c r="AA174" s="346"/>
      <c r="AB174" s="346"/>
      <c r="AC174" s="346"/>
      <c r="AD174" s="346"/>
      <c r="AE174" s="346"/>
      <c r="AF174" s="346"/>
      <c r="AG174" s="346"/>
      <c r="AH174" s="346"/>
      <c r="AI174" s="346"/>
      <c r="AJ174" s="346"/>
      <c r="AK174" s="346"/>
      <c r="AL174" s="346"/>
      <c r="AM174" s="346"/>
      <c r="AN174" s="346"/>
      <c r="AO174" s="346"/>
      <c r="AP174" s="346"/>
      <c r="AQ174" s="346"/>
      <c r="AR174" s="346"/>
      <c r="AS174" s="346"/>
      <c r="AT174" s="346"/>
      <c r="AU174" s="346"/>
      <c r="AV174" s="346"/>
      <c r="AW174" s="346"/>
      <c r="AX174" s="346"/>
      <c r="AY174" s="346"/>
      <c r="AZ174" s="346"/>
      <c r="BA174" s="346"/>
      <c r="BB174" s="346"/>
      <c r="BC174" s="346"/>
      <c r="BD174" s="346"/>
      <c r="BE174" s="346"/>
      <c r="BF174" s="346"/>
      <c r="BG174" s="346"/>
      <c r="BH174" s="346"/>
      <c r="BI174" s="346"/>
      <c r="BJ174" s="346"/>
      <c r="BK174" s="346"/>
      <c r="BL174" s="346"/>
      <c r="BM174" s="346"/>
      <c r="BN174" s="346"/>
      <c r="BO174" s="346"/>
      <c r="BP174" s="346"/>
      <c r="BQ174" s="346"/>
      <c r="BR174" s="346"/>
      <c r="BS174" s="346"/>
      <c r="BT174" s="346"/>
      <c r="BU174" s="346"/>
      <c r="BV174" s="346"/>
      <c r="BW174" s="346"/>
      <c r="BX174" s="346"/>
      <c r="BY174" s="346"/>
      <c r="BZ174" s="346"/>
      <c r="CA174" s="346"/>
      <c r="CB174" s="346"/>
      <c r="CC174" s="346"/>
      <c r="CD174" s="346"/>
      <c r="CE174" s="346"/>
      <c r="CF174" s="346"/>
      <c r="CG174" s="346"/>
      <c r="CH174" s="346"/>
      <c r="CI174" s="346"/>
      <c r="CJ174" s="346"/>
      <c r="CK174" s="346"/>
      <c r="CL174" s="346"/>
      <c r="CM174" s="346"/>
      <c r="CN174" s="346"/>
      <c r="CO174" s="346"/>
      <c r="CP174" s="346"/>
      <c r="CQ174" s="346"/>
      <c r="CR174" s="346"/>
      <c r="CS174" s="346"/>
      <c r="CT174" s="346"/>
      <c r="CU174" s="346"/>
      <c r="CV174" s="346"/>
      <c r="CW174" s="346"/>
      <c r="CX174" s="346"/>
      <c r="CY174" s="346"/>
      <c r="CZ174" s="346"/>
      <c r="DA174" s="346"/>
      <c r="DB174" s="346"/>
      <c r="DC174" s="346"/>
      <c r="DD174" s="346"/>
      <c r="DE174" s="346"/>
      <c r="DF174" s="346"/>
    </row>
    <row r="175" spans="2:110" s="326" customFormat="1" ht="12" thickBot="1" x14ac:dyDescent="0.25">
      <c r="B175" s="981" t="s">
        <v>430</v>
      </c>
      <c r="C175" s="989"/>
      <c r="D175" s="989"/>
      <c r="E175" s="989"/>
      <c r="F175" s="989"/>
      <c r="G175" s="989"/>
      <c r="H175" s="989"/>
      <c r="I175" s="989"/>
      <c r="J175" s="989"/>
      <c r="K175" s="989"/>
      <c r="L175" s="989"/>
      <c r="M175" s="989"/>
      <c r="N175" s="989"/>
      <c r="O175" s="989"/>
      <c r="P175" s="989"/>
      <c r="Q175" s="989"/>
      <c r="R175" s="989"/>
      <c r="S175" s="990"/>
      <c r="T175" s="990"/>
      <c r="U175" s="990"/>
      <c r="V175" s="991"/>
      <c r="W175" s="991"/>
      <c r="X175" s="991"/>
      <c r="Y175" s="990"/>
      <c r="Z175" s="990"/>
      <c r="AA175" s="990"/>
      <c r="AB175" s="990"/>
      <c r="AC175" s="990"/>
      <c r="AD175" s="990"/>
      <c r="AE175" s="990"/>
      <c r="AF175" s="990"/>
      <c r="AG175" s="990"/>
      <c r="AH175" s="990"/>
      <c r="AI175" s="990"/>
      <c r="AJ175" s="990"/>
      <c r="AK175" s="990"/>
      <c r="AL175" s="990"/>
      <c r="AM175" s="990"/>
      <c r="AN175" s="990"/>
      <c r="AO175" s="990"/>
      <c r="AP175" s="990"/>
      <c r="AQ175" s="990"/>
      <c r="AR175" s="990"/>
      <c r="AS175" s="990"/>
      <c r="AT175" s="990"/>
      <c r="AU175" s="990"/>
      <c r="AV175" s="990"/>
      <c r="AW175" s="990"/>
      <c r="AX175" s="990"/>
      <c r="AY175" s="990"/>
      <c r="AZ175" s="990"/>
      <c r="BA175" s="990"/>
      <c r="BB175" s="990"/>
      <c r="BC175" s="990"/>
      <c r="BD175" s="990"/>
      <c r="BE175" s="990"/>
      <c r="BF175" s="990"/>
      <c r="BG175" s="990"/>
      <c r="BH175" s="990"/>
      <c r="BI175" s="990"/>
      <c r="BJ175" s="990"/>
      <c r="BK175" s="990"/>
      <c r="BL175" s="990"/>
      <c r="BM175" s="990"/>
      <c r="BN175" s="990"/>
      <c r="BO175" s="990"/>
      <c r="BP175" s="990"/>
      <c r="BQ175" s="990"/>
      <c r="BR175" s="990"/>
      <c r="BS175" s="990"/>
      <c r="BT175" s="990"/>
      <c r="BU175" s="990"/>
      <c r="BV175" s="990"/>
      <c r="BW175" s="990"/>
      <c r="BX175" s="990"/>
      <c r="BY175" s="990"/>
      <c r="BZ175" s="990"/>
      <c r="CA175" s="990"/>
      <c r="CB175" s="992"/>
      <c r="CC175" s="990"/>
      <c r="CD175" s="990"/>
      <c r="CE175" s="990"/>
      <c r="CF175" s="990"/>
      <c r="CG175" s="992"/>
      <c r="CH175" s="990"/>
      <c r="CI175" s="990"/>
      <c r="CJ175" s="990"/>
      <c r="CK175" s="990"/>
      <c r="CL175" s="992"/>
      <c r="CM175" s="990"/>
      <c r="CN175" s="990"/>
      <c r="CO175" s="990"/>
      <c r="CP175" s="990"/>
      <c r="CQ175" s="992"/>
      <c r="CR175" s="990"/>
      <c r="CS175" s="990"/>
      <c r="CT175" s="990"/>
      <c r="CU175" s="990"/>
      <c r="CV175" s="992"/>
      <c r="CW175" s="990"/>
      <c r="CX175" s="990"/>
      <c r="CY175" s="990"/>
      <c r="CZ175" s="990"/>
      <c r="DA175" s="992"/>
      <c r="DB175" s="990"/>
      <c r="DC175" s="990"/>
      <c r="DD175" s="990"/>
      <c r="DE175" s="990"/>
      <c r="DF175" s="992"/>
    </row>
    <row r="176" spans="2:110" x14ac:dyDescent="0.2">
      <c r="B176" s="591" t="s">
        <v>203</v>
      </c>
      <c r="C176" s="561"/>
      <c r="D176" s="561"/>
      <c r="E176" s="561"/>
      <c r="F176" s="561"/>
      <c r="G176" s="561"/>
      <c r="H176" s="561"/>
      <c r="I176" s="561"/>
      <c r="J176" s="561"/>
      <c r="K176" s="561"/>
      <c r="L176" s="561"/>
      <c r="M176" s="561"/>
      <c r="N176" s="561"/>
      <c r="O176" s="561"/>
      <c r="P176" s="561"/>
      <c r="Q176" s="561"/>
      <c r="R176" s="561"/>
      <c r="S176" s="531"/>
      <c r="T176" s="531"/>
      <c r="U176" s="531"/>
      <c r="V176" s="577"/>
      <c r="W176" s="577"/>
      <c r="X176" s="577"/>
      <c r="Y176" s="532"/>
      <c r="Z176" s="531"/>
      <c r="AA176" s="531"/>
      <c r="AB176" s="531"/>
      <c r="AC176" s="531"/>
      <c r="AD176" s="532"/>
      <c r="AE176" s="531"/>
      <c r="AF176" s="531"/>
      <c r="AG176" s="531"/>
      <c r="AH176" s="531"/>
      <c r="AI176" s="532"/>
      <c r="AJ176" s="531"/>
      <c r="AK176" s="531"/>
      <c r="AL176" s="531"/>
      <c r="AM176" s="531"/>
      <c r="AN176" s="532"/>
      <c r="AO176" s="531"/>
      <c r="AP176" s="531"/>
      <c r="AQ176" s="531"/>
      <c r="AR176" s="531"/>
      <c r="AS176" s="532"/>
      <c r="AT176" s="531"/>
      <c r="AU176" s="588"/>
      <c r="AV176" s="54"/>
      <c r="AW176" s="54"/>
      <c r="AX176" s="532"/>
      <c r="AY176" s="54"/>
      <c r="AZ176" s="54"/>
      <c r="BA176" s="54"/>
      <c r="BB176" s="54"/>
      <c r="BC176" s="532"/>
      <c r="BD176" s="54"/>
      <c r="BE176" s="588"/>
      <c r="BF176" s="54"/>
      <c r="BG176" s="54">
        <f>BF176</f>
        <v>0</v>
      </c>
      <c r="BH176" s="532"/>
      <c r="BI176" s="54">
        <f>BG176</f>
        <v>0</v>
      </c>
      <c r="BJ176" s="54">
        <f t="shared" ref="BJ176:BL178" si="260">BI176</f>
        <v>0</v>
      </c>
      <c r="BK176" s="54">
        <f t="shared" si="260"/>
        <v>0</v>
      </c>
      <c r="BL176" s="54">
        <f t="shared" si="260"/>
        <v>0</v>
      </c>
      <c r="BM176" s="532"/>
      <c r="BN176" s="54">
        <f>BL176</f>
        <v>0</v>
      </c>
      <c r="BO176" s="54">
        <f t="shared" ref="BO176:BQ178" si="261">BN176</f>
        <v>0</v>
      </c>
      <c r="BP176" s="54">
        <f t="shared" si="261"/>
        <v>0</v>
      </c>
      <c r="BQ176" s="54">
        <f t="shared" si="261"/>
        <v>0</v>
      </c>
      <c r="BR176" s="532"/>
      <c r="BS176" s="54">
        <f>BQ176</f>
        <v>0</v>
      </c>
      <c r="BT176" s="54">
        <f t="shared" ref="BT176:BV178" si="262">BS176</f>
        <v>0</v>
      </c>
      <c r="BU176" s="54">
        <f t="shared" si="262"/>
        <v>0</v>
      </c>
      <c r="BV176" s="54">
        <f t="shared" si="262"/>
        <v>0</v>
      </c>
      <c r="BW176" s="532"/>
      <c r="BX176" s="54">
        <f>BV176</f>
        <v>0</v>
      </c>
      <c r="BY176" s="54">
        <f t="shared" ref="BY176:CA178" si="263">BX176</f>
        <v>0</v>
      </c>
      <c r="BZ176" s="54">
        <f t="shared" si="263"/>
        <v>0</v>
      </c>
      <c r="CA176" s="54">
        <f t="shared" si="263"/>
        <v>0</v>
      </c>
      <c r="CB176" s="562"/>
      <c r="CC176" s="54">
        <f>CA176</f>
        <v>0</v>
      </c>
      <c r="CD176" s="54">
        <f t="shared" ref="CD176:CF178" si="264">CC176</f>
        <v>0</v>
      </c>
      <c r="CE176" s="54">
        <f t="shared" si="264"/>
        <v>0</v>
      </c>
      <c r="CF176" s="54">
        <f t="shared" si="264"/>
        <v>0</v>
      </c>
      <c r="CG176" s="562"/>
      <c r="CH176" s="54">
        <f>CF176</f>
        <v>0</v>
      </c>
      <c r="CI176" s="54">
        <f t="shared" ref="CI176:CK178" si="265">CH176</f>
        <v>0</v>
      </c>
      <c r="CJ176" s="54">
        <f t="shared" si="265"/>
        <v>0</v>
      </c>
      <c r="CK176" s="54">
        <f t="shared" si="265"/>
        <v>0</v>
      </c>
      <c r="CL176" s="562"/>
      <c r="CM176" s="54">
        <f>CK176</f>
        <v>0</v>
      </c>
      <c r="CN176" s="54">
        <f t="shared" ref="CN176:CP178" si="266">CM176</f>
        <v>0</v>
      </c>
      <c r="CO176" s="54">
        <f t="shared" si="266"/>
        <v>0</v>
      </c>
      <c r="CP176" s="54">
        <f t="shared" si="266"/>
        <v>0</v>
      </c>
      <c r="CQ176" s="562"/>
      <c r="CR176" s="54">
        <f>CP176</f>
        <v>0</v>
      </c>
      <c r="CS176" s="54">
        <f t="shared" ref="CS176:CS178" si="267">CR176</f>
        <v>0</v>
      </c>
      <c r="CT176" s="54">
        <f t="shared" ref="CT176:CT178" si="268">CS176</f>
        <v>0</v>
      </c>
      <c r="CU176" s="54">
        <f t="shared" ref="CU176:CU178" si="269">CT176</f>
        <v>0</v>
      </c>
      <c r="CV176" s="562"/>
      <c r="CW176" s="54">
        <f>CU176</f>
        <v>0</v>
      </c>
      <c r="CX176" s="54">
        <f t="shared" ref="CX176:CX178" si="270">CW176</f>
        <v>0</v>
      </c>
      <c r="CY176" s="54">
        <f t="shared" ref="CY176:CY178" si="271">CX176</f>
        <v>0</v>
      </c>
      <c r="CZ176" s="54">
        <f t="shared" ref="CZ176:CZ178" si="272">CY176</f>
        <v>0</v>
      </c>
      <c r="DA176" s="562"/>
      <c r="DB176" s="54">
        <f>CZ176</f>
        <v>0</v>
      </c>
      <c r="DC176" s="54">
        <f t="shared" ref="DC176:DC178" si="273">DB176</f>
        <v>0</v>
      </c>
      <c r="DD176" s="54">
        <f t="shared" ref="DD176:DD178" si="274">DC176</f>
        <v>0</v>
      </c>
      <c r="DE176" s="54">
        <f t="shared" ref="DE176:DE178" si="275">DD176</f>
        <v>0</v>
      </c>
      <c r="DF176" s="562"/>
    </row>
    <row r="177" spans="1:110" x14ac:dyDescent="0.2">
      <c r="B177" s="578" t="s">
        <v>204</v>
      </c>
      <c r="C177" s="145"/>
      <c r="D177" s="145"/>
      <c r="E177" s="145"/>
      <c r="F177" s="145"/>
      <c r="G177" s="145"/>
      <c r="H177" s="145"/>
      <c r="I177" s="145"/>
      <c r="J177" s="145"/>
      <c r="K177" s="145"/>
      <c r="L177" s="145"/>
      <c r="M177" s="145"/>
      <c r="N177" s="145"/>
      <c r="O177" s="145"/>
      <c r="P177" s="145"/>
      <c r="Q177" s="145"/>
      <c r="R177" s="145"/>
      <c r="S177" s="346"/>
      <c r="T177" s="346"/>
      <c r="U177" s="346"/>
      <c r="V177" s="326"/>
      <c r="W177" s="326"/>
      <c r="X177" s="326"/>
      <c r="Y177" s="340"/>
      <c r="Z177" s="346"/>
      <c r="AA177" s="346"/>
      <c r="AB177" s="346"/>
      <c r="AC177" s="346"/>
      <c r="AD177" s="340"/>
      <c r="AE177" s="346"/>
      <c r="AF177" s="346"/>
      <c r="AG177" s="346"/>
      <c r="AH177" s="346"/>
      <c r="AI177" s="340"/>
      <c r="AJ177" s="346"/>
      <c r="AK177" s="346"/>
      <c r="AL177" s="346"/>
      <c r="AM177" s="346"/>
      <c r="AN177" s="340"/>
      <c r="AO177" s="346"/>
      <c r="AP177" s="346"/>
      <c r="AQ177" s="346"/>
      <c r="AR177" s="346"/>
      <c r="AS177" s="340"/>
      <c r="AT177" s="346"/>
      <c r="AU177" s="267"/>
      <c r="AV177" s="146"/>
      <c r="AW177" s="146"/>
      <c r="AX177" s="340"/>
      <c r="AY177" s="146"/>
      <c r="AZ177" s="146"/>
      <c r="BA177" s="146"/>
      <c r="BB177" s="146"/>
      <c r="BC177" s="340"/>
      <c r="BD177" s="146"/>
      <c r="BE177" s="267"/>
      <c r="BF177" s="146"/>
      <c r="BG177" s="146">
        <f>BF177</f>
        <v>0</v>
      </c>
      <c r="BH177" s="340"/>
      <c r="BI177" s="146">
        <v>2.6499999999999999E-2</v>
      </c>
      <c r="BJ177" s="146">
        <f t="shared" si="260"/>
        <v>2.6499999999999999E-2</v>
      </c>
      <c r="BK177" s="146">
        <f t="shared" si="260"/>
        <v>2.6499999999999999E-2</v>
      </c>
      <c r="BL177" s="146">
        <f t="shared" si="260"/>
        <v>2.6499999999999999E-2</v>
      </c>
      <c r="BM177" s="340"/>
      <c r="BN177" s="146">
        <f>BL177</f>
        <v>2.6499999999999999E-2</v>
      </c>
      <c r="BO177" s="146">
        <f t="shared" si="261"/>
        <v>2.6499999999999999E-2</v>
      </c>
      <c r="BP177" s="146">
        <f t="shared" si="261"/>
        <v>2.6499999999999999E-2</v>
      </c>
      <c r="BQ177" s="146">
        <f t="shared" si="261"/>
        <v>2.6499999999999999E-2</v>
      </c>
      <c r="BR177" s="340"/>
      <c r="BS177" s="146">
        <f>BQ177</f>
        <v>2.6499999999999999E-2</v>
      </c>
      <c r="BT177" s="146">
        <f t="shared" si="262"/>
        <v>2.6499999999999999E-2</v>
      </c>
      <c r="BU177" s="146">
        <f t="shared" si="262"/>
        <v>2.6499999999999999E-2</v>
      </c>
      <c r="BV177" s="146">
        <f t="shared" si="262"/>
        <v>2.6499999999999999E-2</v>
      </c>
      <c r="BW177" s="340"/>
      <c r="BX177" s="146">
        <f>BV177</f>
        <v>2.6499999999999999E-2</v>
      </c>
      <c r="BY177" s="146">
        <f t="shared" si="263"/>
        <v>2.6499999999999999E-2</v>
      </c>
      <c r="BZ177" s="146">
        <f t="shared" si="263"/>
        <v>2.6499999999999999E-2</v>
      </c>
      <c r="CA177" s="146">
        <f t="shared" si="263"/>
        <v>2.6499999999999999E-2</v>
      </c>
      <c r="CB177" s="563"/>
      <c r="CC177" s="146">
        <f>CA177</f>
        <v>2.6499999999999999E-2</v>
      </c>
      <c r="CD177" s="146">
        <f t="shared" si="264"/>
        <v>2.6499999999999999E-2</v>
      </c>
      <c r="CE177" s="146">
        <f t="shared" si="264"/>
        <v>2.6499999999999999E-2</v>
      </c>
      <c r="CF177" s="146">
        <f t="shared" si="264"/>
        <v>2.6499999999999999E-2</v>
      </c>
      <c r="CG177" s="563"/>
      <c r="CH177" s="146">
        <f>CF177</f>
        <v>2.6499999999999999E-2</v>
      </c>
      <c r="CI177" s="146">
        <f t="shared" si="265"/>
        <v>2.6499999999999999E-2</v>
      </c>
      <c r="CJ177" s="146">
        <f t="shared" si="265"/>
        <v>2.6499999999999999E-2</v>
      </c>
      <c r="CK177" s="146">
        <f t="shared" si="265"/>
        <v>2.6499999999999999E-2</v>
      </c>
      <c r="CL177" s="563"/>
      <c r="CM177" s="146">
        <f>CK177</f>
        <v>2.6499999999999999E-2</v>
      </c>
      <c r="CN177" s="146">
        <f t="shared" si="266"/>
        <v>2.6499999999999999E-2</v>
      </c>
      <c r="CO177" s="146">
        <f t="shared" si="266"/>
        <v>2.6499999999999999E-2</v>
      </c>
      <c r="CP177" s="146">
        <f t="shared" si="266"/>
        <v>2.6499999999999999E-2</v>
      </c>
      <c r="CQ177" s="563"/>
      <c r="CR177" s="146">
        <f>CP177</f>
        <v>2.6499999999999999E-2</v>
      </c>
      <c r="CS177" s="146">
        <f t="shared" si="267"/>
        <v>2.6499999999999999E-2</v>
      </c>
      <c r="CT177" s="146">
        <f t="shared" si="268"/>
        <v>2.6499999999999999E-2</v>
      </c>
      <c r="CU177" s="146">
        <f t="shared" si="269"/>
        <v>2.6499999999999999E-2</v>
      </c>
      <c r="CV177" s="563"/>
      <c r="CW177" s="146">
        <f>CU177</f>
        <v>2.6499999999999999E-2</v>
      </c>
      <c r="CX177" s="146">
        <f t="shared" si="270"/>
        <v>2.6499999999999999E-2</v>
      </c>
      <c r="CY177" s="146">
        <f t="shared" si="271"/>
        <v>2.6499999999999999E-2</v>
      </c>
      <c r="CZ177" s="146">
        <f t="shared" si="272"/>
        <v>2.6499999999999999E-2</v>
      </c>
      <c r="DA177" s="563"/>
      <c r="DB177" s="146">
        <f>CZ177</f>
        <v>2.6499999999999999E-2</v>
      </c>
      <c r="DC177" s="146">
        <f t="shared" si="273"/>
        <v>2.6499999999999999E-2</v>
      </c>
      <c r="DD177" s="146">
        <f t="shared" si="274"/>
        <v>2.6499999999999999E-2</v>
      </c>
      <c r="DE177" s="146">
        <f t="shared" si="275"/>
        <v>2.6499999999999999E-2</v>
      </c>
      <c r="DF177" s="563"/>
    </row>
    <row r="178" spans="1:110" x14ac:dyDescent="0.2">
      <c r="B178" s="536" t="s">
        <v>197</v>
      </c>
      <c r="C178" s="145"/>
      <c r="D178" s="145"/>
      <c r="E178" s="145"/>
      <c r="F178" s="145"/>
      <c r="G178" s="145"/>
      <c r="H178" s="145"/>
      <c r="I178" s="145"/>
      <c r="J178" s="145"/>
      <c r="K178" s="145"/>
      <c r="L178" s="145"/>
      <c r="M178" s="145"/>
      <c r="N178" s="145"/>
      <c r="O178" s="145"/>
      <c r="P178" s="145"/>
      <c r="Q178" s="145"/>
      <c r="R178" s="145"/>
      <c r="S178" s="346"/>
      <c r="T178" s="346"/>
      <c r="U178" s="346"/>
      <c r="V178" s="326"/>
      <c r="W178" s="326"/>
      <c r="X178" s="326"/>
      <c r="Y178" s="340"/>
      <c r="Z178" s="346"/>
      <c r="AA178" s="346"/>
      <c r="AB178" s="346"/>
      <c r="AC178" s="346"/>
      <c r="AD178" s="340"/>
      <c r="AE178" s="346"/>
      <c r="AF178" s="346"/>
      <c r="AG178" s="346"/>
      <c r="AH178" s="346"/>
      <c r="AI178" s="340"/>
      <c r="AJ178" s="346"/>
      <c r="AK178" s="346"/>
      <c r="AL178" s="346"/>
      <c r="AM178" s="346"/>
      <c r="AN178" s="340"/>
      <c r="AO178" s="346"/>
      <c r="AP178" s="346"/>
      <c r="AQ178" s="346"/>
      <c r="AR178" s="346"/>
      <c r="AS178" s="340"/>
      <c r="AT178" s="346"/>
      <c r="AU178" s="623"/>
      <c r="AV178" s="625"/>
      <c r="AW178" s="625"/>
      <c r="AX178" s="340"/>
      <c r="AY178" s="346"/>
      <c r="AZ178" s="346"/>
      <c r="BA178" s="346"/>
      <c r="BB178" s="346"/>
      <c r="BC178" s="340"/>
      <c r="BD178" s="346"/>
      <c r="BE178" s="623"/>
      <c r="BF178" s="346"/>
      <c r="BG178" s="346">
        <f>BF178</f>
        <v>0</v>
      </c>
      <c r="BH178" s="340"/>
      <c r="BI178" s="346">
        <v>1500</v>
      </c>
      <c r="BJ178" s="346">
        <f t="shared" si="260"/>
        <v>1500</v>
      </c>
      <c r="BK178" s="346">
        <f t="shared" si="260"/>
        <v>1500</v>
      </c>
      <c r="BL178" s="346">
        <f t="shared" si="260"/>
        <v>1500</v>
      </c>
      <c r="BM178" s="340"/>
      <c r="BN178" s="346">
        <f>BL178</f>
        <v>1500</v>
      </c>
      <c r="BO178" s="346">
        <f t="shared" si="261"/>
        <v>1500</v>
      </c>
      <c r="BP178" s="346">
        <f t="shared" si="261"/>
        <v>1500</v>
      </c>
      <c r="BQ178" s="346">
        <f t="shared" si="261"/>
        <v>1500</v>
      </c>
      <c r="BR178" s="340"/>
      <c r="BS178" s="346">
        <f>BQ178</f>
        <v>1500</v>
      </c>
      <c r="BT178" s="346">
        <f t="shared" si="262"/>
        <v>1500</v>
      </c>
      <c r="BU178" s="346">
        <f t="shared" si="262"/>
        <v>1500</v>
      </c>
      <c r="BV178" s="346">
        <f t="shared" si="262"/>
        <v>1500</v>
      </c>
      <c r="BW178" s="340"/>
      <c r="BX178" s="346">
        <f>BV178</f>
        <v>1500</v>
      </c>
      <c r="BY178" s="346">
        <f t="shared" si="263"/>
        <v>1500</v>
      </c>
      <c r="BZ178" s="346">
        <f t="shared" si="263"/>
        <v>1500</v>
      </c>
      <c r="CA178" s="346">
        <f t="shared" si="263"/>
        <v>1500</v>
      </c>
      <c r="CB178" s="563"/>
      <c r="CC178" s="346">
        <f>CA178</f>
        <v>1500</v>
      </c>
      <c r="CD178" s="346">
        <f t="shared" si="264"/>
        <v>1500</v>
      </c>
      <c r="CE178" s="346">
        <f t="shared" si="264"/>
        <v>1500</v>
      </c>
      <c r="CF178" s="346">
        <f t="shared" si="264"/>
        <v>1500</v>
      </c>
      <c r="CG178" s="563"/>
      <c r="CH178" s="346">
        <f>CF178</f>
        <v>1500</v>
      </c>
      <c r="CI178" s="346">
        <f t="shared" si="265"/>
        <v>1500</v>
      </c>
      <c r="CJ178" s="346">
        <f t="shared" si="265"/>
        <v>1500</v>
      </c>
      <c r="CK178" s="346">
        <f t="shared" si="265"/>
        <v>1500</v>
      </c>
      <c r="CL178" s="563"/>
      <c r="CM178" s="346">
        <f>CK178</f>
        <v>1500</v>
      </c>
      <c r="CN178" s="346">
        <f t="shared" si="266"/>
        <v>1500</v>
      </c>
      <c r="CO178" s="346">
        <f t="shared" si="266"/>
        <v>1500</v>
      </c>
      <c r="CP178" s="346">
        <f t="shared" si="266"/>
        <v>1500</v>
      </c>
      <c r="CQ178" s="563"/>
      <c r="CR178" s="346">
        <f>CP178</f>
        <v>1500</v>
      </c>
      <c r="CS178" s="346">
        <f t="shared" si="267"/>
        <v>1500</v>
      </c>
      <c r="CT178" s="346">
        <f t="shared" si="268"/>
        <v>1500</v>
      </c>
      <c r="CU178" s="346">
        <f t="shared" si="269"/>
        <v>1500</v>
      </c>
      <c r="CV178" s="563"/>
      <c r="CW178" s="346">
        <f>CU178</f>
        <v>1500</v>
      </c>
      <c r="CX178" s="346">
        <f t="shared" si="270"/>
        <v>1500</v>
      </c>
      <c r="CY178" s="346">
        <f t="shared" si="271"/>
        <v>1500</v>
      </c>
      <c r="CZ178" s="346">
        <f t="shared" si="272"/>
        <v>1500</v>
      </c>
      <c r="DA178" s="563"/>
      <c r="DB178" s="346">
        <f>CZ178</f>
        <v>1500</v>
      </c>
      <c r="DC178" s="346">
        <f t="shared" si="273"/>
        <v>1500</v>
      </c>
      <c r="DD178" s="346">
        <f t="shared" si="274"/>
        <v>1500</v>
      </c>
      <c r="DE178" s="346">
        <f t="shared" si="275"/>
        <v>1500</v>
      </c>
      <c r="DF178" s="563"/>
    </row>
    <row r="179" spans="1:110" x14ac:dyDescent="0.2">
      <c r="B179" s="544" t="s">
        <v>198</v>
      </c>
      <c r="C179" s="145"/>
      <c r="D179" s="145"/>
      <c r="E179" s="145"/>
      <c r="F179" s="145"/>
      <c r="G179" s="145"/>
      <c r="H179" s="145"/>
      <c r="I179" s="145"/>
      <c r="J179" s="145"/>
      <c r="K179" s="145"/>
      <c r="L179" s="145"/>
      <c r="M179" s="145"/>
      <c r="N179" s="145"/>
      <c r="O179" s="145"/>
      <c r="P179" s="145"/>
      <c r="Q179" s="145"/>
      <c r="R179" s="145"/>
      <c r="S179" s="346"/>
      <c r="T179" s="346"/>
      <c r="U179" s="346"/>
      <c r="V179" s="326"/>
      <c r="W179" s="326"/>
      <c r="X179" s="326"/>
      <c r="Y179" s="340"/>
      <c r="Z179" s="346"/>
      <c r="AA179" s="346"/>
      <c r="AB179" s="346"/>
      <c r="AC179" s="346"/>
      <c r="AD179" s="340"/>
      <c r="AE179" s="346"/>
      <c r="AF179" s="346"/>
      <c r="AG179" s="346"/>
      <c r="AH179" s="346"/>
      <c r="AI179" s="340"/>
      <c r="AJ179" s="346"/>
      <c r="AK179" s="346"/>
      <c r="AL179" s="346"/>
      <c r="AM179" s="346"/>
      <c r="AN179" s="340"/>
      <c r="AO179" s="346"/>
      <c r="AP179" s="346"/>
      <c r="AQ179" s="346"/>
      <c r="AR179" s="346"/>
      <c r="AS179" s="340"/>
      <c r="AT179" s="346"/>
      <c r="AU179" s="623"/>
      <c r="AV179" s="625"/>
      <c r="AW179" s="625"/>
      <c r="AX179" s="340"/>
      <c r="AY179" s="346"/>
      <c r="AZ179" s="346"/>
      <c r="BA179" s="346"/>
      <c r="BB179" s="346"/>
      <c r="BC179" s="340"/>
      <c r="BD179" s="346"/>
      <c r="BE179" s="346"/>
      <c r="BF179" s="346"/>
      <c r="BG179" s="346">
        <f>BF181</f>
        <v>0</v>
      </c>
      <c r="BH179" s="340"/>
      <c r="BI179" s="346">
        <f>BG181</f>
        <v>0</v>
      </c>
      <c r="BJ179" s="346">
        <f>BI181</f>
        <v>1486.5</v>
      </c>
      <c r="BK179" s="346">
        <f>BJ181</f>
        <v>1486.5</v>
      </c>
      <c r="BL179" s="346">
        <f>BK181</f>
        <v>1487.2</v>
      </c>
      <c r="BM179" s="340"/>
      <c r="BN179" s="346">
        <f>BL181</f>
        <v>1487.9</v>
      </c>
      <c r="BO179" s="346">
        <f>BN181</f>
        <v>1488.6</v>
      </c>
      <c r="BP179" s="346">
        <f>BO181</f>
        <v>1489.3</v>
      </c>
      <c r="BQ179" s="346">
        <f>BP181</f>
        <v>1490</v>
      </c>
      <c r="BR179" s="340"/>
      <c r="BS179" s="346">
        <f>BQ181</f>
        <v>1490.7</v>
      </c>
      <c r="BT179" s="346">
        <f ca="1">BS181</f>
        <v>1491.4</v>
      </c>
      <c r="BU179" s="346">
        <f>BT181</f>
        <v>1492.1</v>
      </c>
      <c r="BV179" s="346">
        <f>BU181</f>
        <v>1492.9</v>
      </c>
      <c r="BW179" s="340"/>
      <c r="BX179" s="346">
        <f>BV181</f>
        <v>1493.7000000000003</v>
      </c>
      <c r="BY179" s="346">
        <f>BX181</f>
        <v>1494.3</v>
      </c>
      <c r="BZ179" s="346">
        <f>BY181</f>
        <v>1494.8999999999996</v>
      </c>
      <c r="CA179" s="346">
        <f>BZ181</f>
        <v>1495.4999999999993</v>
      </c>
      <c r="CB179" s="563"/>
      <c r="CC179" s="346">
        <f>CA181</f>
        <v>1496.099999999999</v>
      </c>
      <c r="CD179" s="346">
        <f>CC181</f>
        <v>1496.6999999999987</v>
      </c>
      <c r="CE179" s="346">
        <f>CD181</f>
        <v>1497.2999999999984</v>
      </c>
      <c r="CF179" s="346">
        <f>CE181</f>
        <v>0</v>
      </c>
      <c r="CG179" s="563"/>
      <c r="CH179" s="346">
        <v>0</v>
      </c>
      <c r="CI179" s="346">
        <f>CH181</f>
        <v>0</v>
      </c>
      <c r="CJ179" s="346">
        <f>CI181</f>
        <v>0</v>
      </c>
      <c r="CK179" s="346">
        <f>CJ181</f>
        <v>0</v>
      </c>
      <c r="CL179" s="563"/>
      <c r="CM179" s="346">
        <f>CK181</f>
        <v>0</v>
      </c>
      <c r="CN179" s="346">
        <f>CM181</f>
        <v>0</v>
      </c>
      <c r="CO179" s="346">
        <f>CN181</f>
        <v>0</v>
      </c>
      <c r="CP179" s="346">
        <f>CO181</f>
        <v>0</v>
      </c>
      <c r="CQ179" s="563"/>
      <c r="CR179" s="346">
        <f>CP181</f>
        <v>0</v>
      </c>
      <c r="CS179" s="346">
        <f>CR181</f>
        <v>0</v>
      </c>
      <c r="CT179" s="346">
        <f>CS181</f>
        <v>0</v>
      </c>
      <c r="CU179" s="346">
        <f>CT181</f>
        <v>0</v>
      </c>
      <c r="CV179" s="563"/>
      <c r="CW179" s="346">
        <f>CU181</f>
        <v>0</v>
      </c>
      <c r="CX179" s="346">
        <f>CW181</f>
        <v>0</v>
      </c>
      <c r="CY179" s="346">
        <f>CX181</f>
        <v>0</v>
      </c>
      <c r="CZ179" s="346">
        <f>CY181</f>
        <v>0</v>
      </c>
      <c r="DA179" s="563"/>
      <c r="DB179" s="346">
        <f>CZ181</f>
        <v>0</v>
      </c>
      <c r="DC179" s="346">
        <f>DB181</f>
        <v>0</v>
      </c>
      <c r="DD179" s="346">
        <f>DC181</f>
        <v>0</v>
      </c>
      <c r="DE179" s="346">
        <f>DD181</f>
        <v>0</v>
      </c>
      <c r="DF179" s="563"/>
    </row>
    <row r="180" spans="1:110" x14ac:dyDescent="0.2">
      <c r="B180" s="589" t="s">
        <v>199</v>
      </c>
      <c r="C180" s="359"/>
      <c r="D180" s="359"/>
      <c r="E180" s="359"/>
      <c r="F180" s="359"/>
      <c r="G180" s="359"/>
      <c r="H180" s="359"/>
      <c r="I180" s="359"/>
      <c r="J180" s="359"/>
      <c r="K180" s="359"/>
      <c r="L180" s="359"/>
      <c r="M180" s="359"/>
      <c r="N180" s="359"/>
      <c r="O180" s="359"/>
      <c r="P180" s="359"/>
      <c r="Q180" s="359"/>
      <c r="R180" s="359"/>
      <c r="S180" s="347"/>
      <c r="T180" s="347"/>
      <c r="U180" s="347"/>
      <c r="V180" s="377"/>
      <c r="W180" s="377"/>
      <c r="X180" s="377"/>
      <c r="Y180" s="343"/>
      <c r="Z180" s="347"/>
      <c r="AA180" s="347"/>
      <c r="AB180" s="347"/>
      <c r="AC180" s="347"/>
      <c r="AD180" s="343"/>
      <c r="AE180" s="347"/>
      <c r="AF180" s="347"/>
      <c r="AG180" s="347"/>
      <c r="AH180" s="347"/>
      <c r="AI180" s="343"/>
      <c r="AJ180" s="347"/>
      <c r="AK180" s="347"/>
      <c r="AL180" s="347"/>
      <c r="AM180" s="347"/>
      <c r="AN180" s="343"/>
      <c r="AO180" s="347"/>
      <c r="AP180" s="347"/>
      <c r="AQ180" s="347"/>
      <c r="AR180" s="347"/>
      <c r="AS180" s="343"/>
      <c r="AT180" s="347"/>
      <c r="AU180" s="629"/>
      <c r="AV180" s="642"/>
      <c r="AW180" s="629"/>
      <c r="AX180" s="343"/>
      <c r="AY180" s="347"/>
      <c r="AZ180" s="347"/>
      <c r="BA180" s="347"/>
      <c r="BB180" s="347"/>
      <c r="BC180" s="343"/>
      <c r="BD180" s="347"/>
      <c r="BE180" s="629"/>
      <c r="BF180" s="347"/>
      <c r="BG180" s="347">
        <f>BF180</f>
        <v>0</v>
      </c>
      <c r="BH180" s="343"/>
      <c r="BI180" s="347">
        <v>1486.5</v>
      </c>
      <c r="BJ180" s="347">
        <v>0</v>
      </c>
      <c r="BK180" s="347">
        <f>1487.2-BK179</f>
        <v>0.70000000000004547</v>
      </c>
      <c r="BL180" s="348">
        <f>1487.9-BL179</f>
        <v>0.70000000000004547</v>
      </c>
      <c r="BM180" s="343"/>
      <c r="BN180" s="348">
        <f>1488.6-BN179</f>
        <v>0.6999999999998181</v>
      </c>
      <c r="BO180" s="348">
        <f>1489.3-BO179</f>
        <v>0.70000000000004547</v>
      </c>
      <c r="BP180" s="348">
        <f>1490-BP179</f>
        <v>0.70000000000004547</v>
      </c>
      <c r="BQ180" s="347">
        <f>1490.7-BQ179</f>
        <v>0.70000000000004547</v>
      </c>
      <c r="BR180" s="343"/>
      <c r="BS180" s="347">
        <f ca="1">BS181-BS179</f>
        <v>0.70000000000004547</v>
      </c>
      <c r="BT180" s="347">
        <f ca="1">BT181-BT179</f>
        <v>0.6999999999998181</v>
      </c>
      <c r="BU180" s="347">
        <f>BU181-BU179</f>
        <v>0.8000000000001819</v>
      </c>
      <c r="BV180" s="347">
        <f>BU180</f>
        <v>0.8000000000001819</v>
      </c>
      <c r="BW180" s="343"/>
      <c r="BX180" s="347">
        <f>1494.3-BX179</f>
        <v>0.59999999999968168</v>
      </c>
      <c r="BY180" s="347">
        <f>BX180</f>
        <v>0.59999999999968168</v>
      </c>
      <c r="BZ180" s="347">
        <f>BY180</f>
        <v>0.59999999999968168</v>
      </c>
      <c r="CA180" s="347">
        <f>BZ180</f>
        <v>0.59999999999968168</v>
      </c>
      <c r="CB180" s="585"/>
      <c r="CC180" s="347">
        <f>CA180</f>
        <v>0.59999999999968168</v>
      </c>
      <c r="CD180" s="347">
        <f>CC180</f>
        <v>0.59999999999968168</v>
      </c>
      <c r="CE180" s="347">
        <v>-1497.3</v>
      </c>
      <c r="CF180" s="347">
        <v>0</v>
      </c>
      <c r="CG180" s="585"/>
      <c r="CH180" s="347">
        <f>-CH179</f>
        <v>0</v>
      </c>
      <c r="CI180" s="347">
        <v>0</v>
      </c>
      <c r="CJ180" s="347">
        <v>0</v>
      </c>
      <c r="CK180" s="347">
        <v>0</v>
      </c>
      <c r="CL180" s="585"/>
      <c r="CM180" s="347">
        <v>0</v>
      </c>
      <c r="CN180" s="347">
        <v>0</v>
      </c>
      <c r="CO180" s="347">
        <v>0</v>
      </c>
      <c r="CP180" s="347">
        <v>0</v>
      </c>
      <c r="CQ180" s="585"/>
      <c r="CR180" s="347">
        <v>0</v>
      </c>
      <c r="CS180" s="347">
        <v>0</v>
      </c>
      <c r="CT180" s="347">
        <v>0</v>
      </c>
      <c r="CU180" s="347">
        <v>0</v>
      </c>
      <c r="CV180" s="585"/>
      <c r="CW180" s="347">
        <v>0</v>
      </c>
      <c r="CX180" s="347">
        <v>0</v>
      </c>
      <c r="CY180" s="347">
        <v>0</v>
      </c>
      <c r="CZ180" s="347">
        <v>0</v>
      </c>
      <c r="DA180" s="585"/>
      <c r="DB180" s="347">
        <v>0</v>
      </c>
      <c r="DC180" s="347">
        <v>0</v>
      </c>
      <c r="DD180" s="347">
        <v>0</v>
      </c>
      <c r="DE180" s="347">
        <v>0</v>
      </c>
      <c r="DF180" s="585"/>
    </row>
    <row r="181" spans="1:110" x14ac:dyDescent="0.2">
      <c r="B181" s="544" t="s">
        <v>200</v>
      </c>
      <c r="C181" s="145"/>
      <c r="D181" s="145"/>
      <c r="E181" s="145"/>
      <c r="F181" s="145"/>
      <c r="G181" s="145"/>
      <c r="H181" s="145"/>
      <c r="I181" s="145"/>
      <c r="J181" s="145"/>
      <c r="K181" s="145"/>
      <c r="L181" s="145"/>
      <c r="M181" s="145"/>
      <c r="N181" s="145"/>
      <c r="O181" s="145"/>
      <c r="P181" s="145"/>
      <c r="Q181" s="145"/>
      <c r="R181" s="145"/>
      <c r="S181" s="346"/>
      <c r="T181" s="346"/>
      <c r="U181" s="346"/>
      <c r="V181" s="326"/>
      <c r="W181" s="326"/>
      <c r="X181" s="326"/>
      <c r="Y181" s="340"/>
      <c r="Z181" s="346"/>
      <c r="AA181" s="346"/>
      <c r="AB181" s="346"/>
      <c r="AC181" s="346"/>
      <c r="AD181" s="340"/>
      <c r="AE181" s="346"/>
      <c r="AF181" s="346"/>
      <c r="AG181" s="346"/>
      <c r="AH181" s="346"/>
      <c r="AI181" s="340"/>
      <c r="AJ181" s="346"/>
      <c r="AK181" s="346"/>
      <c r="AL181" s="346"/>
      <c r="AM181" s="346"/>
      <c r="AN181" s="340"/>
      <c r="AO181" s="346"/>
      <c r="AP181" s="346"/>
      <c r="AQ181" s="346"/>
      <c r="AR181" s="346"/>
      <c r="AS181" s="340"/>
      <c r="AT181" s="346"/>
      <c r="AU181" s="625"/>
      <c r="AV181" s="625"/>
      <c r="AW181" s="625"/>
      <c r="AX181" s="340"/>
      <c r="AY181" s="346"/>
      <c r="AZ181" s="346"/>
      <c r="BA181" s="346"/>
      <c r="BB181" s="346"/>
      <c r="BC181" s="340"/>
      <c r="BD181" s="346"/>
      <c r="BE181" s="625"/>
      <c r="BF181" s="346"/>
      <c r="BG181" s="346">
        <f>BG179+BG180</f>
        <v>0</v>
      </c>
      <c r="BH181" s="340"/>
      <c r="BI181" s="346">
        <f>BI179+BI180</f>
        <v>1486.5</v>
      </c>
      <c r="BJ181" s="346">
        <f>BJ179+BJ180</f>
        <v>1486.5</v>
      </c>
      <c r="BK181" s="346">
        <f>BK179+BK180</f>
        <v>1487.2</v>
      </c>
      <c r="BL181" s="346">
        <f>BL179+BL180</f>
        <v>1487.9</v>
      </c>
      <c r="BM181" s="340"/>
      <c r="BN181" s="346">
        <f>BN179+BN180</f>
        <v>1488.6</v>
      </c>
      <c r="BO181" s="346">
        <f>BO179+BO180</f>
        <v>1489.3</v>
      </c>
      <c r="BP181" s="346">
        <f>BP179+BP180</f>
        <v>1490</v>
      </c>
      <c r="BQ181" s="346">
        <f>BQ179+BQ180</f>
        <v>1490.7</v>
      </c>
      <c r="BR181" s="340"/>
      <c r="BS181" s="354">
        <f ca="1">BS179+BS180</f>
        <v>1491.4</v>
      </c>
      <c r="BT181" s="354">
        <v>1492.1</v>
      </c>
      <c r="BU181" s="354">
        <v>1492.9</v>
      </c>
      <c r="BV181" s="346">
        <f>BV179+BV180</f>
        <v>1493.7000000000003</v>
      </c>
      <c r="BW181" s="340"/>
      <c r="BX181" s="346">
        <f>BX179+BX180</f>
        <v>1494.3</v>
      </c>
      <c r="BY181" s="346">
        <f>BY179+BY180</f>
        <v>1494.8999999999996</v>
      </c>
      <c r="BZ181" s="346">
        <f>BZ179+BZ180</f>
        <v>1495.4999999999993</v>
      </c>
      <c r="CA181" s="346">
        <f>CA179+CA180</f>
        <v>1496.099999999999</v>
      </c>
      <c r="CB181" s="563"/>
      <c r="CC181" s="346">
        <f>CC179+CC180</f>
        <v>1496.6999999999987</v>
      </c>
      <c r="CD181" s="346">
        <f>CD179+CD180</f>
        <v>1497.2999999999984</v>
      </c>
      <c r="CE181" s="346">
        <f>CE179+CE180</f>
        <v>0</v>
      </c>
      <c r="CF181" s="346">
        <f>CF179+CF180</f>
        <v>0</v>
      </c>
      <c r="CG181" s="563"/>
      <c r="CH181" s="346">
        <f>CH179+CH180</f>
        <v>0</v>
      </c>
      <c r="CI181" s="346">
        <f>CI179+CI180</f>
        <v>0</v>
      </c>
      <c r="CJ181" s="346">
        <f>CJ179+CJ180</f>
        <v>0</v>
      </c>
      <c r="CK181" s="346">
        <f>CK179+CK180</f>
        <v>0</v>
      </c>
      <c r="CL181" s="563"/>
      <c r="CM181" s="346">
        <f>CM179+CM180</f>
        <v>0</v>
      </c>
      <c r="CN181" s="346">
        <f>CN179+CN180</f>
        <v>0</v>
      </c>
      <c r="CO181" s="346">
        <f>CO179+CO180</f>
        <v>0</v>
      </c>
      <c r="CP181" s="346">
        <f>CP179+CP180</f>
        <v>0</v>
      </c>
      <c r="CQ181" s="563"/>
      <c r="CR181" s="346">
        <f>CR179+CR180</f>
        <v>0</v>
      </c>
      <c r="CS181" s="346">
        <f>CS179+CS180</f>
        <v>0</v>
      </c>
      <c r="CT181" s="346">
        <f>CT179+CT180</f>
        <v>0</v>
      </c>
      <c r="CU181" s="346">
        <f>CU179+CU180</f>
        <v>0</v>
      </c>
      <c r="CV181" s="563"/>
      <c r="CW181" s="346">
        <f>CW179+CW180</f>
        <v>0</v>
      </c>
      <c r="CX181" s="346">
        <f>CX179+CX180</f>
        <v>0</v>
      </c>
      <c r="CY181" s="346">
        <f>CY179+CY180</f>
        <v>0</v>
      </c>
      <c r="CZ181" s="346">
        <f>CZ179+CZ180</f>
        <v>0</v>
      </c>
      <c r="DA181" s="563"/>
      <c r="DB181" s="346">
        <f>DB179+DB180</f>
        <v>0</v>
      </c>
      <c r="DC181" s="346">
        <f>DC179+DC180</f>
        <v>0</v>
      </c>
      <c r="DD181" s="346">
        <f>DD179+DD180</f>
        <v>0</v>
      </c>
      <c r="DE181" s="346">
        <f>DE179+DE180</f>
        <v>0</v>
      </c>
      <c r="DF181" s="563"/>
    </row>
    <row r="182" spans="1:110" x14ac:dyDescent="0.2">
      <c r="B182" s="536" t="s">
        <v>201</v>
      </c>
      <c r="C182" s="145"/>
      <c r="D182" s="145"/>
      <c r="E182" s="145"/>
      <c r="F182" s="145"/>
      <c r="G182" s="145"/>
      <c r="H182" s="145"/>
      <c r="I182" s="145"/>
      <c r="J182" s="145"/>
      <c r="K182" s="145"/>
      <c r="L182" s="145"/>
      <c r="M182" s="145"/>
      <c r="N182" s="145"/>
      <c r="O182" s="145"/>
      <c r="P182" s="145"/>
      <c r="Q182" s="145"/>
      <c r="R182" s="145"/>
      <c r="S182" s="346"/>
      <c r="T182" s="346"/>
      <c r="U182" s="346"/>
      <c r="V182" s="326"/>
      <c r="W182" s="326"/>
      <c r="X182" s="326"/>
      <c r="Y182" s="340"/>
      <c r="Z182" s="346"/>
      <c r="AA182" s="346"/>
      <c r="AB182" s="346"/>
      <c r="AC182" s="346"/>
      <c r="AD182" s="340"/>
      <c r="AE182" s="346"/>
      <c r="AF182" s="346"/>
      <c r="AG182" s="346"/>
      <c r="AH182" s="346"/>
      <c r="AI182" s="340"/>
      <c r="AJ182" s="346"/>
      <c r="AK182" s="346"/>
      <c r="AL182" s="346"/>
      <c r="AM182" s="346"/>
      <c r="AN182" s="340"/>
      <c r="AO182" s="346"/>
      <c r="AP182" s="346"/>
      <c r="AQ182" s="346"/>
      <c r="AR182" s="346"/>
      <c r="AS182" s="340"/>
      <c r="AT182" s="346"/>
      <c r="AU182" s="625"/>
      <c r="AV182" s="625"/>
      <c r="AW182" s="625"/>
      <c r="AX182" s="340"/>
      <c r="AY182" s="346"/>
      <c r="AZ182" s="346"/>
      <c r="BA182" s="346"/>
      <c r="BB182" s="346"/>
      <c r="BC182" s="340"/>
      <c r="BD182" s="346"/>
      <c r="BE182" s="625"/>
      <c r="BF182" s="346"/>
      <c r="BG182" s="346">
        <f>BG178-BG181</f>
        <v>0</v>
      </c>
      <c r="BH182" s="340"/>
      <c r="BI182" s="346">
        <f>BI178-BI181</f>
        <v>13.5</v>
      </c>
      <c r="BJ182" s="346">
        <f>BJ178-BJ181</f>
        <v>13.5</v>
      </c>
      <c r="BK182" s="346">
        <f>BK178-BK181</f>
        <v>12.799999999999955</v>
      </c>
      <c r="BL182" s="346">
        <f>BL178-BL181</f>
        <v>12.099999999999909</v>
      </c>
      <c r="BM182" s="340"/>
      <c r="BN182" s="346">
        <f>BN178-BN181</f>
        <v>11.400000000000091</v>
      </c>
      <c r="BO182" s="346">
        <f>BO178-BO181</f>
        <v>10.700000000000045</v>
      </c>
      <c r="BP182" s="346">
        <f>BP178-BP181</f>
        <v>10</v>
      </c>
      <c r="BQ182" s="346">
        <f>BQ178-BQ181</f>
        <v>9.2999999999999545</v>
      </c>
      <c r="BR182" s="340"/>
      <c r="BS182" s="346">
        <f ca="1">BS178-BS181</f>
        <v>8.5999999999999091</v>
      </c>
      <c r="BT182" s="346">
        <f>BT178-BT181</f>
        <v>7.9000000000000909</v>
      </c>
      <c r="BU182" s="346">
        <f>BU178-BU181</f>
        <v>7.0999999999999091</v>
      </c>
      <c r="BV182" s="346">
        <f>BV178-BV181</f>
        <v>6.2999999999997272</v>
      </c>
      <c r="BW182" s="340"/>
      <c r="BX182" s="346">
        <f>BX178-BX181</f>
        <v>5.7000000000000455</v>
      </c>
      <c r="BY182" s="346">
        <f>BY178-BY181</f>
        <v>5.1000000000003638</v>
      </c>
      <c r="BZ182" s="346">
        <f>BZ178-BZ181</f>
        <v>4.5000000000006821</v>
      </c>
      <c r="CA182" s="346">
        <f>CA178-CA181</f>
        <v>3.9000000000010004</v>
      </c>
      <c r="CB182" s="563"/>
      <c r="CC182" s="346">
        <f>CC178-CC181</f>
        <v>3.3000000000013188</v>
      </c>
      <c r="CD182" s="346">
        <f>CD178-CD181</f>
        <v>2.7000000000016371</v>
      </c>
      <c r="CE182" s="346">
        <f>CE178-CE181</f>
        <v>1500</v>
      </c>
      <c r="CF182" s="346">
        <f>CF178-CF181</f>
        <v>1500</v>
      </c>
      <c r="CG182" s="563"/>
      <c r="CH182" s="346">
        <f>CH178-CH181</f>
        <v>1500</v>
      </c>
      <c r="CI182" s="346">
        <f>CI178-CI181</f>
        <v>1500</v>
      </c>
      <c r="CJ182" s="346">
        <f>CJ178-CJ181</f>
        <v>1500</v>
      </c>
      <c r="CK182" s="346">
        <f>CK178-CK181</f>
        <v>1500</v>
      </c>
      <c r="CL182" s="563"/>
      <c r="CM182" s="346">
        <f>CM178-CM181</f>
        <v>1500</v>
      </c>
      <c r="CN182" s="346">
        <f>CN178-CN181</f>
        <v>1500</v>
      </c>
      <c r="CO182" s="346">
        <f>CO178-CO181</f>
        <v>1500</v>
      </c>
      <c r="CP182" s="346">
        <f>CP178-CP181</f>
        <v>1500</v>
      </c>
      <c r="CQ182" s="563"/>
      <c r="CR182" s="346">
        <f>CR178-CR181</f>
        <v>1500</v>
      </c>
      <c r="CS182" s="346">
        <f>CS178-CS181</f>
        <v>1500</v>
      </c>
      <c r="CT182" s="346">
        <f>CT178-CT181</f>
        <v>1500</v>
      </c>
      <c r="CU182" s="346">
        <f>CU178-CU181</f>
        <v>1500</v>
      </c>
      <c r="CV182" s="563"/>
      <c r="CW182" s="346">
        <f>CW178-CW181</f>
        <v>1500</v>
      </c>
      <c r="CX182" s="346">
        <f>CX178-CX181</f>
        <v>1500</v>
      </c>
      <c r="CY182" s="346">
        <f>CY178-CY181</f>
        <v>1500</v>
      </c>
      <c r="CZ182" s="346">
        <f>CZ178-CZ181</f>
        <v>1500</v>
      </c>
      <c r="DA182" s="563"/>
      <c r="DB182" s="346">
        <f>DB178-DB181</f>
        <v>1500</v>
      </c>
      <c r="DC182" s="346">
        <f>DC178-DC181</f>
        <v>1500</v>
      </c>
      <c r="DD182" s="346">
        <f>DD178-DD181</f>
        <v>1500</v>
      </c>
      <c r="DE182" s="346">
        <f>DE178-DE181</f>
        <v>1500</v>
      </c>
      <c r="DF182" s="563"/>
    </row>
    <row r="183" spans="1:110" x14ac:dyDescent="0.2">
      <c r="B183" s="544" t="s">
        <v>206</v>
      </c>
      <c r="C183" s="145"/>
      <c r="D183" s="145"/>
      <c r="E183" s="145"/>
      <c r="F183" s="145"/>
      <c r="G183" s="145"/>
      <c r="H183" s="145"/>
      <c r="I183" s="145"/>
      <c r="J183" s="145"/>
      <c r="K183" s="145"/>
      <c r="L183" s="145"/>
      <c r="M183" s="145"/>
      <c r="N183" s="145"/>
      <c r="O183" s="145"/>
      <c r="P183" s="145"/>
      <c r="Q183" s="145"/>
      <c r="R183" s="145"/>
      <c r="S183" s="346"/>
      <c r="T183" s="346"/>
      <c r="U183" s="346"/>
      <c r="V183" s="326"/>
      <c r="W183" s="326"/>
      <c r="X183" s="326"/>
      <c r="Y183" s="340"/>
      <c r="Z183" s="346"/>
      <c r="AA183" s="346"/>
      <c r="AB183" s="346"/>
      <c r="AC183" s="346"/>
      <c r="AD183" s="340"/>
      <c r="AE183" s="346"/>
      <c r="AF183" s="346"/>
      <c r="AG183" s="346"/>
      <c r="AH183" s="346"/>
      <c r="AI183" s="340"/>
      <c r="AJ183" s="346"/>
      <c r="AK183" s="346"/>
      <c r="AL183" s="346"/>
      <c r="AM183" s="346"/>
      <c r="AN183" s="340"/>
      <c r="AO183" s="346"/>
      <c r="AP183" s="346"/>
      <c r="AQ183" s="346"/>
      <c r="AR183" s="346"/>
      <c r="AS183" s="340"/>
      <c r="AT183" s="346"/>
      <c r="AU183" s="625"/>
      <c r="AV183" s="625"/>
      <c r="AW183" s="625"/>
      <c r="AX183" s="340"/>
      <c r="AY183" s="346"/>
      <c r="AZ183" s="346"/>
      <c r="BA183" s="346"/>
      <c r="BB183" s="346"/>
      <c r="BC183" s="340"/>
      <c r="BD183" s="346"/>
      <c r="BE183" s="625"/>
      <c r="BF183" s="346"/>
      <c r="BG183" s="346">
        <f>-(AVERAGE(BG181,BG179))*(BG177/4)</f>
        <v>0</v>
      </c>
      <c r="BH183" s="340"/>
      <c r="BI183" s="346">
        <f>-(AVERAGE(BI181,BI179))*(BI177/4)</f>
        <v>-4.9240312499999996</v>
      </c>
      <c r="BJ183" s="346">
        <f>-(AVERAGE(BJ181,BJ179))*(BJ177/4)</f>
        <v>-9.8480624999999993</v>
      </c>
      <c r="BK183" s="346">
        <f>-(AVERAGE(BK181,BK179))*(BK177/4)</f>
        <v>-9.8503812499999999</v>
      </c>
      <c r="BL183" s="346">
        <f>-(AVERAGE(BL181,BL179))*(BL177/4)</f>
        <v>-9.855018750000001</v>
      </c>
      <c r="BM183" s="340"/>
      <c r="BN183" s="346">
        <f>-(AVERAGE(BN181,BN179))*(BN177/4)</f>
        <v>-9.8596562500000005</v>
      </c>
      <c r="BO183" s="346">
        <f>-(AVERAGE(BO181,BO179))*(BO177/4)</f>
        <v>-9.8642937499999981</v>
      </c>
      <c r="BP183" s="346">
        <f>-(AVERAGE(BP181,BP179))*(BP177/4)</f>
        <v>-9.868931250000001</v>
      </c>
      <c r="BQ183" s="346">
        <f>-(AVERAGE(BQ181,BQ179))*(BQ177/4)</f>
        <v>-9.8735687499999987</v>
      </c>
      <c r="BR183" s="340"/>
      <c r="BS183" s="346">
        <f ca="1">-(AVERAGE(BS181,BS179))*(BS177/4)</f>
        <v>-9.8782062500000016</v>
      </c>
      <c r="BT183" s="346">
        <f ca="1">-(AVERAGE(BT181,BT179))*(BT177/4)</f>
        <v>-9.8828437499999993</v>
      </c>
      <c r="BU183" s="346">
        <f>-(AVERAGE(BU181,BU179))*(BU177/4)</f>
        <v>-9.887812499999999</v>
      </c>
      <c r="BV183" s="346">
        <f>-(AVERAGE(BV181,BV179))*(BV177/4)</f>
        <v>-9.8931125000000009</v>
      </c>
      <c r="BW183" s="340"/>
      <c r="BX183" s="346">
        <f>-(AVERAGE(BX181,BX179))*(BX177/4)</f>
        <v>-9.8977500000000003</v>
      </c>
      <c r="BY183" s="346">
        <f>-(AVERAGE(BY181,BY179))*(BY177/4)</f>
        <v>-9.901724999999999</v>
      </c>
      <c r="BZ183" s="346">
        <f>-(AVERAGE(BZ181,BZ179))*(BZ177/4)</f>
        <v>-9.905699999999996</v>
      </c>
      <c r="CA183" s="346">
        <f>-(AVERAGE(CA181,CA179))*(CA177/4)</f>
        <v>-9.9096749999999947</v>
      </c>
      <c r="CB183" s="563"/>
      <c r="CC183" s="346">
        <f>-(AVERAGE(CC181,CC179))*(CC177/4)</f>
        <v>-9.9136499999999916</v>
      </c>
      <c r="CD183" s="346">
        <f>-(AVERAGE(CD181,CD179))*(CD177/4)</f>
        <v>-9.9176249999999904</v>
      </c>
      <c r="CE183" s="346">
        <f>-(AVERAGE(CE181,CE179))*(CE177/4)</f>
        <v>-4.9598062499999944</v>
      </c>
      <c r="CF183" s="346">
        <f>-(AVERAGE(CF181,CF179))*(CF177/4)</f>
        <v>0</v>
      </c>
      <c r="CG183" s="563"/>
      <c r="CH183" s="346">
        <f>-(AVERAGE(CH181,CH179))*(CH177/4)</f>
        <v>0</v>
      </c>
      <c r="CI183" s="346">
        <f>-(AVERAGE(CI181,CI179))*(CI177/4)</f>
        <v>0</v>
      </c>
      <c r="CJ183" s="346">
        <f>-(AVERAGE(CJ181,CJ179))*(CJ177/4)</f>
        <v>0</v>
      </c>
      <c r="CK183" s="346">
        <f>-(AVERAGE(CK181,CK179))*(CK177/4)</f>
        <v>0</v>
      </c>
      <c r="CL183" s="563"/>
      <c r="CM183" s="346">
        <f>-(AVERAGE(CM181,CM179))*(CM177/4)</f>
        <v>0</v>
      </c>
      <c r="CN183" s="346">
        <f>-(AVERAGE(CN181,CN179))*(CN177/4)</f>
        <v>0</v>
      </c>
      <c r="CO183" s="346">
        <f>-(AVERAGE(CO181,CO179))*(CO177/4)</f>
        <v>0</v>
      </c>
      <c r="CP183" s="346">
        <f>-(AVERAGE(CP181,CP179))*(CP177/4)</f>
        <v>0</v>
      </c>
      <c r="CQ183" s="563"/>
      <c r="CR183" s="346">
        <f>-(AVERAGE(CR181,CR179))*(CR177/4)</f>
        <v>0</v>
      </c>
      <c r="CS183" s="346">
        <f>-(AVERAGE(CS181,CS179))*(CS177/4)</f>
        <v>0</v>
      </c>
      <c r="CT183" s="346">
        <f>-(AVERAGE(CT181,CT179))*(CT177/4)</f>
        <v>0</v>
      </c>
      <c r="CU183" s="346">
        <f>-(AVERAGE(CU181,CU179))*(CU177/4)</f>
        <v>0</v>
      </c>
      <c r="CV183" s="563"/>
      <c r="CW183" s="346">
        <f>-(AVERAGE(CW181,CW179))*(CW177/4)</f>
        <v>0</v>
      </c>
      <c r="CX183" s="346">
        <f>-(AVERAGE(CX181,CX179))*(CX177/4)</f>
        <v>0</v>
      </c>
      <c r="CY183" s="346">
        <f>-(AVERAGE(CY181,CY179))*(CY177/4)</f>
        <v>0</v>
      </c>
      <c r="CZ183" s="346">
        <f>-(AVERAGE(CZ181,CZ179))*(CZ177/4)</f>
        <v>0</v>
      </c>
      <c r="DA183" s="563"/>
      <c r="DB183" s="346">
        <f>-(AVERAGE(DB181,DB179))*(DB177/4)</f>
        <v>0</v>
      </c>
      <c r="DC183" s="346">
        <f>-(AVERAGE(DC181,DC179))*(DC177/4)</f>
        <v>0</v>
      </c>
      <c r="DD183" s="346">
        <f>-(AVERAGE(DD181,DD179))*(DD177/4)</f>
        <v>0</v>
      </c>
      <c r="DE183" s="346">
        <f>-(AVERAGE(DE181,DE179))*(DE177/4)</f>
        <v>0</v>
      </c>
      <c r="DF183" s="563"/>
    </row>
    <row r="184" spans="1:110" ht="12" thickBot="1" x14ac:dyDescent="0.25">
      <c r="B184" s="548" t="s">
        <v>207</v>
      </c>
      <c r="C184" s="205"/>
      <c r="D184" s="205"/>
      <c r="E184" s="205"/>
      <c r="F184" s="205"/>
      <c r="G184" s="205"/>
      <c r="H184" s="205"/>
      <c r="I184" s="205"/>
      <c r="J184" s="205"/>
      <c r="K184" s="205"/>
      <c r="L184" s="205"/>
      <c r="M184" s="205"/>
      <c r="N184" s="205"/>
      <c r="O184" s="205"/>
      <c r="P184" s="205"/>
      <c r="Q184" s="205"/>
      <c r="R184" s="205"/>
      <c r="S184" s="549"/>
      <c r="T184" s="549"/>
      <c r="U184" s="549"/>
      <c r="V184" s="327"/>
      <c r="W184" s="327"/>
      <c r="X184" s="327"/>
      <c r="Y184" s="550"/>
      <c r="Z184" s="549"/>
      <c r="AA184" s="549"/>
      <c r="AB184" s="549"/>
      <c r="AC184" s="549"/>
      <c r="AD184" s="550"/>
      <c r="AE184" s="549"/>
      <c r="AF184" s="549"/>
      <c r="AG184" s="549"/>
      <c r="AH184" s="549"/>
      <c r="AI184" s="550"/>
      <c r="AJ184" s="549"/>
      <c r="AK184" s="549"/>
      <c r="AL184" s="549"/>
      <c r="AM184" s="549"/>
      <c r="AN184" s="550"/>
      <c r="AO184" s="549"/>
      <c r="AP184" s="549"/>
      <c r="AQ184" s="549"/>
      <c r="AR184" s="549"/>
      <c r="AS184" s="550"/>
      <c r="AT184" s="549"/>
      <c r="AU184" s="549"/>
      <c r="AV184" s="549"/>
      <c r="AW184" s="549"/>
      <c r="AX184" s="550"/>
      <c r="AY184" s="549"/>
      <c r="AZ184" s="549"/>
      <c r="BA184" s="549"/>
      <c r="BB184" s="549"/>
      <c r="BC184" s="550"/>
      <c r="BD184" s="549"/>
      <c r="BE184" s="549"/>
      <c r="BF184" s="549"/>
      <c r="BG184" s="549">
        <f>-BG176*BG182/4</f>
        <v>0</v>
      </c>
      <c r="BH184" s="550"/>
      <c r="BI184" s="549">
        <f>-BI176*BI182/4</f>
        <v>0</v>
      </c>
      <c r="BJ184" s="549">
        <f>-BJ176*BJ182/4</f>
        <v>0</v>
      </c>
      <c r="BK184" s="549">
        <f>-BK176*BK182/4</f>
        <v>0</v>
      </c>
      <c r="BL184" s="549">
        <f>-BL176*BL182/4</f>
        <v>0</v>
      </c>
      <c r="BM184" s="550"/>
      <c r="BN184" s="549">
        <f>-BN176*BN182/4</f>
        <v>0</v>
      </c>
      <c r="BO184" s="549">
        <f>-BO176*BO182/4</f>
        <v>0</v>
      </c>
      <c r="BP184" s="549">
        <f>-BP176*BP182/4</f>
        <v>0</v>
      </c>
      <c r="BQ184" s="549">
        <f>-BQ176*BQ182/4</f>
        <v>0</v>
      </c>
      <c r="BR184" s="550"/>
      <c r="BS184" s="549">
        <f ca="1">-BS176*BS182/4</f>
        <v>0</v>
      </c>
      <c r="BT184" s="549">
        <f>-BT176*BT182/4</f>
        <v>0</v>
      </c>
      <c r="BU184" s="549">
        <f>-BU176*BU182/4</f>
        <v>0</v>
      </c>
      <c r="BV184" s="549">
        <f>-BV176*BV182/4</f>
        <v>0</v>
      </c>
      <c r="BW184" s="550"/>
      <c r="BX184" s="549">
        <f>-BX176*BX182/4</f>
        <v>0</v>
      </c>
      <c r="BY184" s="549">
        <f>-BY176*BY182/4</f>
        <v>0</v>
      </c>
      <c r="BZ184" s="549">
        <f>-BZ176*BZ182/4</f>
        <v>0</v>
      </c>
      <c r="CA184" s="549">
        <f>-CA176*CA182/4</f>
        <v>0</v>
      </c>
      <c r="CB184" s="565"/>
      <c r="CC184" s="549">
        <f>-CC176*CC182/4</f>
        <v>0</v>
      </c>
      <c r="CD184" s="549">
        <f>-CD176*CD182/4</f>
        <v>0</v>
      </c>
      <c r="CE184" s="549">
        <f>-CE176*CE182/4</f>
        <v>0</v>
      </c>
      <c r="CF184" s="549">
        <f>-CF176*CF182/4</f>
        <v>0</v>
      </c>
      <c r="CG184" s="565"/>
      <c r="CH184" s="549">
        <f>-CH176*CH182/4</f>
        <v>0</v>
      </c>
      <c r="CI184" s="549">
        <f>-CI176*CI182/4</f>
        <v>0</v>
      </c>
      <c r="CJ184" s="549">
        <f>-CJ176*CJ182/4</f>
        <v>0</v>
      </c>
      <c r="CK184" s="549">
        <f>-CK176*CK182/4</f>
        <v>0</v>
      </c>
      <c r="CL184" s="565"/>
      <c r="CM184" s="549">
        <f>-CM176*CM182/4</f>
        <v>0</v>
      </c>
      <c r="CN184" s="549">
        <f>-CN176*CN182/4</f>
        <v>0</v>
      </c>
      <c r="CO184" s="549">
        <f>-CO176*CO182/4</f>
        <v>0</v>
      </c>
      <c r="CP184" s="549">
        <f>-CP176*CP182/4</f>
        <v>0</v>
      </c>
      <c r="CQ184" s="565"/>
      <c r="CR184" s="549">
        <f>-CR176*CR182/4</f>
        <v>0</v>
      </c>
      <c r="CS184" s="549">
        <f>-CS176*CS182/4</f>
        <v>0</v>
      </c>
      <c r="CT184" s="549">
        <f>-CT176*CT182/4</f>
        <v>0</v>
      </c>
      <c r="CU184" s="549">
        <f>-CU176*CU182/4</f>
        <v>0</v>
      </c>
      <c r="CV184" s="565"/>
      <c r="CW184" s="549">
        <f>-CW176*CW182/4</f>
        <v>0</v>
      </c>
      <c r="CX184" s="549">
        <f>-CX176*CX182/4</f>
        <v>0</v>
      </c>
      <c r="CY184" s="549">
        <f>-CY176*CY182/4</f>
        <v>0</v>
      </c>
      <c r="CZ184" s="549">
        <f>-CZ176*CZ182/4</f>
        <v>0</v>
      </c>
      <c r="DA184" s="565"/>
      <c r="DB184" s="549">
        <f>-DB176*DB182/4</f>
        <v>0</v>
      </c>
      <c r="DC184" s="549">
        <f>-DC176*DC182/4</f>
        <v>0</v>
      </c>
      <c r="DD184" s="549">
        <f>-DD176*DD182/4</f>
        <v>0</v>
      </c>
      <c r="DE184" s="549">
        <f>-DE176*DE182/4</f>
        <v>0</v>
      </c>
      <c r="DF184" s="565"/>
    </row>
    <row r="185" spans="1:110" ht="12" thickBot="1" x14ac:dyDescent="0.25">
      <c r="B185" s="548"/>
      <c r="C185" s="205"/>
      <c r="D185" s="205"/>
      <c r="E185" s="205"/>
      <c r="F185" s="205"/>
      <c r="G185" s="205"/>
      <c r="H185" s="205"/>
      <c r="I185" s="205"/>
      <c r="J185" s="205"/>
      <c r="K185" s="205"/>
      <c r="L185" s="205"/>
      <c r="M185" s="205"/>
      <c r="N185" s="205"/>
      <c r="O185" s="205"/>
      <c r="P185" s="205"/>
      <c r="Q185" s="205"/>
      <c r="R185" s="205"/>
      <c r="S185" s="549"/>
      <c r="T185" s="549"/>
      <c r="U185" s="549"/>
      <c r="V185" s="327"/>
      <c r="W185" s="327"/>
      <c r="X185" s="327"/>
      <c r="Y185" s="549"/>
      <c r="Z185" s="549"/>
      <c r="AA185" s="549"/>
      <c r="AB185" s="549"/>
      <c r="AC185" s="549"/>
      <c r="AD185" s="549"/>
      <c r="AE185" s="549"/>
      <c r="AF185" s="549"/>
      <c r="AG185" s="549"/>
      <c r="AH185" s="549"/>
      <c r="AI185" s="549"/>
      <c r="AJ185" s="549"/>
      <c r="AK185" s="549"/>
      <c r="AL185" s="549"/>
      <c r="AM185" s="549"/>
      <c r="AN185" s="549"/>
      <c r="AO185" s="549"/>
      <c r="AP185" s="549"/>
      <c r="AQ185" s="549"/>
      <c r="AR185" s="549"/>
      <c r="AS185" s="549"/>
      <c r="AT185" s="549"/>
      <c r="AU185" s="549"/>
      <c r="AV185" s="549"/>
      <c r="AW185" s="549"/>
      <c r="AX185" s="549"/>
      <c r="AY185" s="549"/>
      <c r="AZ185" s="549"/>
      <c r="BA185" s="549"/>
      <c r="BB185" s="549"/>
      <c r="BC185" s="549"/>
      <c r="BD185" s="549"/>
      <c r="BE185" s="549"/>
      <c r="BF185" s="549"/>
      <c r="BG185" s="549"/>
      <c r="BH185" s="549"/>
      <c r="BI185" s="549"/>
      <c r="BJ185" s="549"/>
      <c r="BK185" s="549"/>
      <c r="BL185" s="549"/>
      <c r="BM185" s="549"/>
      <c r="BN185" s="549"/>
      <c r="BO185" s="549"/>
      <c r="BP185" s="549"/>
      <c r="BQ185" s="549"/>
      <c r="BR185" s="549"/>
      <c r="BS185" s="549"/>
      <c r="BT185" s="549"/>
      <c r="BU185" s="549"/>
      <c r="BV185" s="549"/>
      <c r="BW185" s="549"/>
      <c r="BX185" s="549"/>
      <c r="BY185" s="549"/>
      <c r="BZ185" s="549"/>
      <c r="CA185" s="549"/>
      <c r="CB185" s="1711"/>
      <c r="CC185" s="549"/>
      <c r="CD185" s="549"/>
      <c r="CE185" s="549"/>
      <c r="CF185" s="549"/>
      <c r="CG185" s="1711"/>
      <c r="CH185" s="549"/>
      <c r="CI185" s="549"/>
      <c r="CJ185" s="549"/>
      <c r="CK185" s="549"/>
      <c r="CL185" s="1711"/>
      <c r="CM185" s="549"/>
      <c r="CN185" s="549"/>
      <c r="CO185" s="549"/>
      <c r="CP185" s="549"/>
      <c r="CQ185" s="1711"/>
      <c r="CR185" s="549"/>
      <c r="CS185" s="549"/>
      <c r="CT185" s="549"/>
      <c r="CU185" s="549"/>
      <c r="CV185" s="1711"/>
      <c r="CW185" s="549"/>
      <c r="CX185" s="549"/>
      <c r="CY185" s="549"/>
      <c r="CZ185" s="549"/>
      <c r="DA185" s="1711"/>
      <c r="DB185" s="549"/>
      <c r="DC185" s="549"/>
      <c r="DD185" s="549"/>
      <c r="DE185" s="549"/>
      <c r="DF185" s="1711"/>
    </row>
    <row r="186" spans="1:110" s="1273" customFormat="1" ht="13.5" thickBot="1" x14ac:dyDescent="0.25">
      <c r="B186" s="1274" t="s">
        <v>408</v>
      </c>
      <c r="C186" s="1316"/>
      <c r="D186" s="1316"/>
      <c r="E186" s="1316"/>
      <c r="F186" s="1316"/>
      <c r="G186" s="1316"/>
      <c r="H186" s="1316"/>
      <c r="I186" s="1316"/>
      <c r="J186" s="1316"/>
      <c r="K186" s="1316"/>
      <c r="L186" s="1316"/>
      <c r="M186" s="1316"/>
      <c r="N186" s="1316"/>
      <c r="O186" s="1316"/>
      <c r="P186" s="1316"/>
      <c r="Q186" s="1316"/>
      <c r="R186" s="1316"/>
      <c r="S186" s="1317"/>
      <c r="T186" s="1317"/>
      <c r="U186" s="1317"/>
      <c r="V186" s="1317"/>
      <c r="W186" s="1317"/>
      <c r="X186" s="1317"/>
      <c r="Y186" s="1317"/>
      <c r="Z186" s="1317"/>
      <c r="AA186" s="1317"/>
      <c r="AB186" s="1317"/>
      <c r="AC186" s="1317"/>
      <c r="AD186" s="1317"/>
      <c r="AE186" s="1317"/>
      <c r="AF186" s="1317"/>
      <c r="AG186" s="1317"/>
      <c r="AH186" s="1317"/>
      <c r="AI186" s="1317"/>
      <c r="AJ186" s="1317"/>
      <c r="AK186" s="1317"/>
      <c r="AL186" s="1317"/>
      <c r="AM186" s="1317"/>
      <c r="AN186" s="1317"/>
      <c r="AO186" s="1317"/>
      <c r="AP186" s="1317"/>
      <c r="AQ186" s="1317"/>
      <c r="AR186" s="1317"/>
      <c r="AS186" s="1317"/>
      <c r="AT186" s="1317"/>
      <c r="AU186" s="1317"/>
      <c r="AV186" s="1317"/>
      <c r="AW186" s="1317"/>
      <c r="AX186" s="1317"/>
      <c r="AY186" s="1317"/>
      <c r="AZ186" s="1317"/>
      <c r="BA186" s="1317"/>
      <c r="BB186" s="1317"/>
      <c r="BC186" s="1317"/>
      <c r="BD186" s="1317"/>
      <c r="BE186" s="1317"/>
      <c r="BF186" s="1317"/>
      <c r="BG186" s="1317"/>
      <c r="BH186" s="1317"/>
      <c r="BI186" s="1317"/>
      <c r="BJ186" s="1317"/>
      <c r="BK186" s="1317"/>
      <c r="BL186" s="1317"/>
      <c r="BM186" s="1317"/>
      <c r="BN186" s="1317"/>
      <c r="BO186" s="1317"/>
      <c r="BP186" s="1317"/>
      <c r="BQ186" s="1317"/>
      <c r="BR186" s="1317"/>
      <c r="BS186" s="1317"/>
      <c r="BT186" s="1317"/>
      <c r="BU186" s="1317"/>
      <c r="BV186" s="1317"/>
      <c r="BW186" s="1317"/>
      <c r="BX186" s="1317"/>
      <c r="BY186" s="1317"/>
      <c r="BZ186" s="1317"/>
      <c r="CA186" s="1317"/>
      <c r="CB186" s="1318"/>
      <c r="CC186" s="1317"/>
      <c r="CD186" s="1317"/>
      <c r="CE186" s="1317"/>
      <c r="CF186" s="1317"/>
      <c r="CG186" s="1318"/>
      <c r="CH186" s="1317"/>
      <c r="CI186" s="1317"/>
      <c r="CJ186" s="1317"/>
      <c r="CK186" s="1317"/>
      <c r="CL186" s="1318"/>
      <c r="CM186" s="1317"/>
      <c r="CN186" s="1317"/>
      <c r="CO186" s="1317"/>
      <c r="CP186" s="1317"/>
      <c r="CQ186" s="1318"/>
      <c r="CR186" s="1317"/>
      <c r="CS186" s="1317"/>
      <c r="CT186" s="1317"/>
      <c r="CU186" s="1317"/>
      <c r="CV186" s="1318"/>
      <c r="CW186" s="1317"/>
      <c r="CX186" s="1317"/>
      <c r="CY186" s="1317"/>
      <c r="CZ186" s="1317"/>
      <c r="DA186" s="1318"/>
      <c r="DB186" s="1317"/>
      <c r="DC186" s="1317"/>
      <c r="DD186" s="1317"/>
      <c r="DE186" s="1317"/>
      <c r="DF186" s="1318"/>
    </row>
    <row r="187" spans="1:110" s="1289" customFormat="1" ht="12.75" x14ac:dyDescent="0.2">
      <c r="A187" s="1273"/>
      <c r="B187" s="1280" t="s">
        <v>327</v>
      </c>
      <c r="C187" s="1319">
        <v>7.1249999999999994E-2</v>
      </c>
      <c r="D187" s="1282"/>
      <c r="E187" s="1282"/>
      <c r="F187" s="1282"/>
      <c r="G187" s="1282"/>
      <c r="H187" s="1282"/>
      <c r="I187" s="1282"/>
      <c r="J187" s="1282"/>
      <c r="K187" s="1282"/>
      <c r="L187" s="1282"/>
      <c r="M187" s="1282"/>
      <c r="N187" s="1282"/>
      <c r="O187" s="1282"/>
      <c r="P187" s="1282"/>
      <c r="Q187" s="1282"/>
      <c r="R187" s="1282"/>
      <c r="S187" s="1283"/>
      <c r="T187" s="1284"/>
      <c r="U187" s="1283"/>
      <c r="V187" s="1283"/>
      <c r="W187" s="1283"/>
      <c r="X187" s="1320"/>
      <c r="Y187" s="1284"/>
      <c r="Z187" s="1285"/>
      <c r="AA187" s="1285"/>
      <c r="AB187" s="1285"/>
      <c r="AC187" s="1285"/>
      <c r="AD187" s="1284"/>
      <c r="AE187" s="1285"/>
      <c r="AF187" s="1285"/>
      <c r="AG187" s="1285"/>
      <c r="AH187" s="1286"/>
      <c r="AI187" s="1284"/>
      <c r="AJ187" s="1285"/>
      <c r="AK187" s="1285"/>
      <c r="AL187" s="1286"/>
      <c r="AM187" s="1285"/>
      <c r="AN187" s="1284"/>
      <c r="AO187" s="1285">
        <f>C187</f>
        <v>7.1249999999999994E-2</v>
      </c>
      <c r="AP187" s="1285">
        <f t="shared" ref="AP187:AR188" si="276">AO187</f>
        <v>7.1249999999999994E-2</v>
      </c>
      <c r="AQ187" s="1285">
        <f t="shared" si="276"/>
        <v>7.1249999999999994E-2</v>
      </c>
      <c r="AR187" s="1285">
        <f t="shared" si="276"/>
        <v>7.1249999999999994E-2</v>
      </c>
      <c r="AS187" s="1287"/>
      <c r="AT187" s="1285">
        <f>AR187</f>
        <v>7.1249999999999994E-2</v>
      </c>
      <c r="AU187" s="1285">
        <f t="shared" ref="AU187:AW188" si="277">AT187</f>
        <v>7.1249999999999994E-2</v>
      </c>
      <c r="AV187" s="1285">
        <f t="shared" si="277"/>
        <v>7.1249999999999994E-2</v>
      </c>
      <c r="AW187" s="1285">
        <f t="shared" si="277"/>
        <v>7.1249999999999994E-2</v>
      </c>
      <c r="AX187" s="1284"/>
      <c r="AY187" s="1285">
        <f>AW187</f>
        <v>7.1249999999999994E-2</v>
      </c>
      <c r="AZ187" s="1285">
        <f t="shared" ref="AZ187:BB188" si="278">AY187</f>
        <v>7.1249999999999994E-2</v>
      </c>
      <c r="BA187" s="1285">
        <f t="shared" si="278"/>
        <v>7.1249999999999994E-2</v>
      </c>
      <c r="BB187" s="1285">
        <f t="shared" si="278"/>
        <v>7.1249999999999994E-2</v>
      </c>
      <c r="BC187" s="1287"/>
      <c r="BD187" s="1285">
        <f>BB187</f>
        <v>7.1249999999999994E-2</v>
      </c>
      <c r="BE187" s="1285">
        <f t="shared" ref="BE187:BG188" si="279">BD187</f>
        <v>7.1249999999999994E-2</v>
      </c>
      <c r="BF187" s="1285">
        <f t="shared" si="279"/>
        <v>7.1249999999999994E-2</v>
      </c>
      <c r="BG187" s="1285">
        <f t="shared" si="279"/>
        <v>7.1249999999999994E-2</v>
      </c>
      <c r="BH187" s="1284"/>
      <c r="BI187" s="1285">
        <f>BG187</f>
        <v>7.1249999999999994E-2</v>
      </c>
      <c r="BJ187" s="1514">
        <f t="shared" ref="BJ187:BL188" si="280">BI187</f>
        <v>7.1249999999999994E-2</v>
      </c>
      <c r="BK187" s="1285">
        <f t="shared" si="280"/>
        <v>7.1249999999999994E-2</v>
      </c>
      <c r="BL187" s="1285">
        <f t="shared" si="280"/>
        <v>7.1249999999999994E-2</v>
      </c>
      <c r="BM187" s="1287"/>
      <c r="BN187" s="1285">
        <f>BL187</f>
        <v>7.1249999999999994E-2</v>
      </c>
      <c r="BO187" s="1285">
        <f t="shared" ref="BO187:BQ188" si="281">BN187</f>
        <v>7.1249999999999994E-2</v>
      </c>
      <c r="BP187" s="1285">
        <f t="shared" si="281"/>
        <v>7.1249999999999994E-2</v>
      </c>
      <c r="BQ187" s="1285">
        <f t="shared" si="281"/>
        <v>7.1249999999999994E-2</v>
      </c>
      <c r="BR187" s="1288"/>
      <c r="BS187" s="1285">
        <f>BQ187</f>
        <v>7.1249999999999994E-2</v>
      </c>
      <c r="BT187" s="1285">
        <f t="shared" ref="BT187:BV188" si="282">BS187</f>
        <v>7.1249999999999994E-2</v>
      </c>
      <c r="BU187" s="1285">
        <f t="shared" si="282"/>
        <v>7.1249999999999994E-2</v>
      </c>
      <c r="BV187" s="1285">
        <f t="shared" si="282"/>
        <v>7.1249999999999994E-2</v>
      </c>
      <c r="BW187" s="1288"/>
      <c r="BX187" s="1285">
        <f>BV187</f>
        <v>7.1249999999999994E-2</v>
      </c>
      <c r="BY187" s="1285">
        <f t="shared" ref="BY187:CA188" si="283">BX187</f>
        <v>7.1249999999999994E-2</v>
      </c>
      <c r="BZ187" s="1285">
        <f t="shared" si="283"/>
        <v>7.1249999999999994E-2</v>
      </c>
      <c r="CA187" s="1285">
        <f t="shared" si="283"/>
        <v>7.1249999999999994E-2</v>
      </c>
      <c r="CB187" s="1288"/>
      <c r="CC187" s="1285">
        <f>CA187</f>
        <v>7.1249999999999994E-2</v>
      </c>
      <c r="CD187" s="1285">
        <f t="shared" ref="CD187:CF188" si="284">CC187</f>
        <v>7.1249999999999994E-2</v>
      </c>
      <c r="CE187" s="1285">
        <f t="shared" si="284"/>
        <v>7.1249999999999994E-2</v>
      </c>
      <c r="CF187" s="1285">
        <f t="shared" si="284"/>
        <v>7.1249999999999994E-2</v>
      </c>
      <c r="CG187" s="1288"/>
      <c r="CH187" s="1285">
        <f>CF187</f>
        <v>7.1249999999999994E-2</v>
      </c>
      <c r="CI187" s="1285">
        <f t="shared" ref="CI187:CK188" si="285">CH187</f>
        <v>7.1249999999999994E-2</v>
      </c>
      <c r="CJ187" s="1285">
        <f t="shared" si="285"/>
        <v>7.1249999999999994E-2</v>
      </c>
      <c r="CK187" s="1285">
        <f t="shared" si="285"/>
        <v>7.1249999999999994E-2</v>
      </c>
      <c r="CL187" s="1288"/>
      <c r="CM187" s="1285">
        <f>CK187</f>
        <v>7.1249999999999994E-2</v>
      </c>
      <c r="CN187" s="1285">
        <f t="shared" ref="CN187:CP188" si="286">CM187</f>
        <v>7.1249999999999994E-2</v>
      </c>
      <c r="CO187" s="1285">
        <f t="shared" si="286"/>
        <v>7.1249999999999994E-2</v>
      </c>
      <c r="CP187" s="1285">
        <f t="shared" si="286"/>
        <v>7.1249999999999994E-2</v>
      </c>
      <c r="CQ187" s="1288"/>
      <c r="CR187" s="1285">
        <f>CP187</f>
        <v>7.1249999999999994E-2</v>
      </c>
      <c r="CS187" s="1285">
        <f t="shared" ref="CS187:CS188" si="287">CR187</f>
        <v>7.1249999999999994E-2</v>
      </c>
      <c r="CT187" s="1285">
        <f t="shared" ref="CT187:CT188" si="288">CS187</f>
        <v>7.1249999999999994E-2</v>
      </c>
      <c r="CU187" s="1285">
        <f t="shared" ref="CU187:CU188" si="289">CT187</f>
        <v>7.1249999999999994E-2</v>
      </c>
      <c r="CV187" s="1288"/>
      <c r="CW187" s="1285">
        <f>CU187</f>
        <v>7.1249999999999994E-2</v>
      </c>
      <c r="CX187" s="1285">
        <f t="shared" ref="CX187:CX188" si="290">CW187</f>
        <v>7.1249999999999994E-2</v>
      </c>
      <c r="CY187" s="1285">
        <f t="shared" ref="CY187:CY188" si="291">CX187</f>
        <v>7.1249999999999994E-2</v>
      </c>
      <c r="CZ187" s="1285">
        <f t="shared" ref="CZ187:CZ188" si="292">CY187</f>
        <v>7.1249999999999994E-2</v>
      </c>
      <c r="DA187" s="1288"/>
      <c r="DB187" s="1285">
        <f>CZ187</f>
        <v>7.1249999999999994E-2</v>
      </c>
      <c r="DC187" s="1285">
        <f t="shared" ref="DC187:DC188" si="293">DB187</f>
        <v>7.1249999999999994E-2</v>
      </c>
      <c r="DD187" s="1285">
        <f t="shared" ref="DD187:DD188" si="294">DC187</f>
        <v>7.1249999999999994E-2</v>
      </c>
      <c r="DE187" s="1285">
        <f t="shared" ref="DE187:DE188" si="295">DD187</f>
        <v>7.1249999999999994E-2</v>
      </c>
      <c r="DF187" s="1288"/>
    </row>
    <row r="188" spans="1:110" s="1289" customFormat="1" ht="12.75" x14ac:dyDescent="0.2">
      <c r="A188" s="1273"/>
      <c r="B188" s="1290" t="s">
        <v>405</v>
      </c>
      <c r="D188" s="1292"/>
      <c r="E188" s="1292"/>
      <c r="F188" s="1292"/>
      <c r="G188" s="1292"/>
      <c r="H188" s="1292"/>
      <c r="I188" s="1292"/>
      <c r="J188" s="1292"/>
      <c r="K188" s="1292"/>
      <c r="L188" s="1292"/>
      <c r="M188" s="1292"/>
      <c r="N188" s="1292"/>
      <c r="O188" s="1292"/>
      <c r="P188" s="1292"/>
      <c r="Q188" s="1292"/>
      <c r="R188" s="1292"/>
      <c r="S188" s="1293"/>
      <c r="T188" s="1294"/>
      <c r="U188" s="1293"/>
      <c r="V188" s="1293"/>
      <c r="W188" s="1293"/>
      <c r="X188" s="1293"/>
      <c r="Y188" s="1294"/>
      <c r="Z188" s="1293"/>
      <c r="AA188" s="1293"/>
      <c r="AB188" s="1293"/>
      <c r="AC188" s="1293"/>
      <c r="AD188" s="1294"/>
      <c r="AE188" s="1293"/>
      <c r="AF188" s="1293"/>
      <c r="AG188" s="1293"/>
      <c r="AH188" s="1293"/>
      <c r="AI188" s="1294"/>
      <c r="AJ188" s="1293"/>
      <c r="AK188" s="1293"/>
      <c r="AL188" s="1293"/>
      <c r="AM188" s="1293"/>
      <c r="AN188" s="1294"/>
      <c r="AO188" s="1293">
        <f>AM188</f>
        <v>0</v>
      </c>
      <c r="AP188" s="1293">
        <f t="shared" si="276"/>
        <v>0</v>
      </c>
      <c r="AQ188" s="1293">
        <f t="shared" si="276"/>
        <v>0</v>
      </c>
      <c r="AR188" s="1293">
        <f t="shared" si="276"/>
        <v>0</v>
      </c>
      <c r="AS188" s="1303"/>
      <c r="AT188" s="1293">
        <f>AR188</f>
        <v>0</v>
      </c>
      <c r="AU188" s="1293">
        <f t="shared" si="277"/>
        <v>0</v>
      </c>
      <c r="AV188" s="1293">
        <f t="shared" si="277"/>
        <v>0</v>
      </c>
      <c r="AW188" s="1293">
        <f t="shared" si="277"/>
        <v>0</v>
      </c>
      <c r="AX188" s="1294"/>
      <c r="AY188" s="1293">
        <f>AW188</f>
        <v>0</v>
      </c>
      <c r="AZ188" s="1293">
        <f t="shared" si="278"/>
        <v>0</v>
      </c>
      <c r="BA188" s="1293">
        <f t="shared" si="278"/>
        <v>0</v>
      </c>
      <c r="BB188" s="1293">
        <f t="shared" si="278"/>
        <v>0</v>
      </c>
      <c r="BC188" s="1303"/>
      <c r="BD188" s="1293">
        <f>BB188</f>
        <v>0</v>
      </c>
      <c r="BE188" s="1293">
        <f t="shared" si="279"/>
        <v>0</v>
      </c>
      <c r="BF188" s="1293">
        <f t="shared" si="279"/>
        <v>0</v>
      </c>
      <c r="BG188" s="1293">
        <f t="shared" si="279"/>
        <v>0</v>
      </c>
      <c r="BH188" s="1294"/>
      <c r="BI188" s="1293">
        <f>BG188</f>
        <v>0</v>
      </c>
      <c r="BJ188" s="1293">
        <f t="shared" si="280"/>
        <v>0</v>
      </c>
      <c r="BK188" s="1293">
        <f t="shared" si="280"/>
        <v>0</v>
      </c>
      <c r="BL188" s="1293">
        <f t="shared" si="280"/>
        <v>0</v>
      </c>
      <c r="BM188" s="1303"/>
      <c r="BN188" s="1293">
        <f>BL188</f>
        <v>0</v>
      </c>
      <c r="BO188" s="1293">
        <f t="shared" si="281"/>
        <v>0</v>
      </c>
      <c r="BP188" s="1293">
        <f t="shared" si="281"/>
        <v>0</v>
      </c>
      <c r="BQ188" s="1293">
        <f t="shared" si="281"/>
        <v>0</v>
      </c>
      <c r="BR188" s="1304"/>
      <c r="BS188" s="1293">
        <f>BQ188</f>
        <v>0</v>
      </c>
      <c r="BT188" s="1293">
        <f t="shared" si="282"/>
        <v>0</v>
      </c>
      <c r="BU188" s="1293">
        <f t="shared" si="282"/>
        <v>0</v>
      </c>
      <c r="BV188" s="1293">
        <f t="shared" si="282"/>
        <v>0</v>
      </c>
      <c r="BW188" s="1304"/>
      <c r="BX188" s="1293">
        <f>BV188</f>
        <v>0</v>
      </c>
      <c r="BY188" s="1293">
        <f t="shared" si="283"/>
        <v>0</v>
      </c>
      <c r="BZ188" s="1293">
        <f t="shared" si="283"/>
        <v>0</v>
      </c>
      <c r="CA188" s="1293">
        <f t="shared" si="283"/>
        <v>0</v>
      </c>
      <c r="CB188" s="1304"/>
      <c r="CC188" s="1293">
        <f>CA188</f>
        <v>0</v>
      </c>
      <c r="CD188" s="1293">
        <f t="shared" si="284"/>
        <v>0</v>
      </c>
      <c r="CE188" s="1293">
        <f t="shared" si="284"/>
        <v>0</v>
      </c>
      <c r="CF188" s="1293">
        <f t="shared" si="284"/>
        <v>0</v>
      </c>
      <c r="CG188" s="1304"/>
      <c r="CH188" s="1293">
        <f>CF188</f>
        <v>0</v>
      </c>
      <c r="CI188" s="1293">
        <f t="shared" si="285"/>
        <v>0</v>
      </c>
      <c r="CJ188" s="1293">
        <f t="shared" si="285"/>
        <v>0</v>
      </c>
      <c r="CK188" s="1293">
        <f t="shared" si="285"/>
        <v>0</v>
      </c>
      <c r="CL188" s="1304"/>
      <c r="CM188" s="1293">
        <f>CK188</f>
        <v>0</v>
      </c>
      <c r="CN188" s="1293">
        <f t="shared" si="286"/>
        <v>0</v>
      </c>
      <c r="CO188" s="1293">
        <f t="shared" si="286"/>
        <v>0</v>
      </c>
      <c r="CP188" s="1293">
        <f t="shared" si="286"/>
        <v>0</v>
      </c>
      <c r="CQ188" s="1304"/>
      <c r="CR188" s="1293">
        <f>CP188</f>
        <v>0</v>
      </c>
      <c r="CS188" s="1293">
        <f t="shared" si="287"/>
        <v>0</v>
      </c>
      <c r="CT188" s="1293">
        <f t="shared" si="288"/>
        <v>0</v>
      </c>
      <c r="CU188" s="1293">
        <f t="shared" si="289"/>
        <v>0</v>
      </c>
      <c r="CV188" s="1304"/>
      <c r="CW188" s="1293">
        <f>CU188</f>
        <v>0</v>
      </c>
      <c r="CX188" s="1293">
        <f t="shared" si="290"/>
        <v>0</v>
      </c>
      <c r="CY188" s="1293">
        <f t="shared" si="291"/>
        <v>0</v>
      </c>
      <c r="CZ188" s="1293">
        <f t="shared" si="292"/>
        <v>0</v>
      </c>
      <c r="DA188" s="1304"/>
      <c r="DB188" s="1293">
        <f>CZ188</f>
        <v>0</v>
      </c>
      <c r="DC188" s="1293">
        <f t="shared" si="293"/>
        <v>0</v>
      </c>
      <c r="DD188" s="1293">
        <f t="shared" si="294"/>
        <v>0</v>
      </c>
      <c r="DE188" s="1293">
        <f t="shared" si="295"/>
        <v>0</v>
      </c>
      <c r="DF188" s="1304"/>
    </row>
    <row r="189" spans="1:110" s="1289" customFormat="1" ht="12.75" x14ac:dyDescent="0.2">
      <c r="A189" s="1273"/>
      <c r="B189" s="1290" t="s">
        <v>198</v>
      </c>
      <c r="C189" s="1273"/>
      <c r="D189" s="1301"/>
      <c r="E189" s="1301"/>
      <c r="F189" s="1301"/>
      <c r="G189" s="1301"/>
      <c r="H189" s="1301"/>
      <c r="I189" s="1301"/>
      <c r="J189" s="1301"/>
      <c r="K189" s="1301"/>
      <c r="L189" s="1301"/>
      <c r="M189" s="1301"/>
      <c r="N189" s="1301"/>
      <c r="O189" s="1301"/>
      <c r="P189" s="1301"/>
      <c r="Q189" s="1301"/>
      <c r="R189" s="1301"/>
      <c r="S189" s="1293"/>
      <c r="T189" s="1294"/>
      <c r="U189" s="1293">
        <f>+T191</f>
        <v>0</v>
      </c>
      <c r="V189" s="1293">
        <f>+U191</f>
        <v>0</v>
      </c>
      <c r="W189" s="1293">
        <f>+V191</f>
        <v>0</v>
      </c>
      <c r="X189" s="1293"/>
      <c r="Y189" s="1294">
        <f>T191</f>
        <v>0</v>
      </c>
      <c r="Z189" s="1293"/>
      <c r="AA189" s="1293"/>
      <c r="AB189" s="1293"/>
      <c r="AC189" s="1293"/>
      <c r="AD189" s="1294">
        <f>Y191</f>
        <v>0</v>
      </c>
      <c r="AE189" s="1293"/>
      <c r="AF189" s="1293"/>
      <c r="AG189" s="1293"/>
      <c r="AH189" s="1293"/>
      <c r="AI189" s="1294">
        <f>AD191</f>
        <v>0</v>
      </c>
      <c r="AJ189" s="1293"/>
      <c r="AK189" s="1293"/>
      <c r="AL189" s="1293"/>
      <c r="AM189" s="1293"/>
      <c r="AN189" s="1294">
        <f>AI191</f>
        <v>0</v>
      </c>
      <c r="AO189" s="1293">
        <f>+AN191</f>
        <v>0</v>
      </c>
      <c r="AP189" s="1293">
        <f>+AO191</f>
        <v>1187.5</v>
      </c>
      <c r="AQ189" s="1293">
        <f>+AP191</f>
        <v>1187.7</v>
      </c>
      <c r="AR189" s="1293">
        <f>+AQ191</f>
        <v>1187.9000000000001</v>
      </c>
      <c r="AS189" s="1303">
        <f>AN191</f>
        <v>0</v>
      </c>
      <c r="AT189" s="1293">
        <f>+AS191</f>
        <v>1188.2</v>
      </c>
      <c r="AU189" s="1293">
        <f>+AT191</f>
        <v>1188.6000000000001</v>
      </c>
      <c r="AV189" s="1293">
        <f>+AU191</f>
        <v>1188.6000000000001</v>
      </c>
      <c r="AW189" s="1293">
        <f>+AV191</f>
        <v>1188.9000000000001</v>
      </c>
      <c r="AX189" s="1294">
        <f>AS191</f>
        <v>1188.2</v>
      </c>
      <c r="AY189" s="1293">
        <f>+AX191</f>
        <v>1189.1000000000001</v>
      </c>
      <c r="AZ189" s="1293">
        <f>+AY191</f>
        <v>1189.4000000000001</v>
      </c>
      <c r="BA189" s="1293">
        <f>+AZ191</f>
        <v>1189.6000000000001</v>
      </c>
      <c r="BB189" s="1293">
        <f>+BA191</f>
        <v>1189.9000000000001</v>
      </c>
      <c r="BC189" s="1303">
        <f>AX191</f>
        <v>1189.1000000000001</v>
      </c>
      <c r="BD189" s="1293">
        <f>+BC191</f>
        <v>1190.1000000000001</v>
      </c>
      <c r="BE189" s="1293">
        <f>+BD191</f>
        <v>1190.4000000000001</v>
      </c>
      <c r="BF189" s="1293">
        <f>+BE191</f>
        <v>1190.6000000000001</v>
      </c>
      <c r="BG189" s="1293">
        <f>+BF191</f>
        <v>1190.9000000000001</v>
      </c>
      <c r="BH189" s="1294">
        <f>BC191</f>
        <v>1190.1000000000001</v>
      </c>
      <c r="BI189" s="1293">
        <f>+BH191</f>
        <v>1190.9000000000001</v>
      </c>
      <c r="BJ189" s="1293">
        <f>+BI191</f>
        <v>1190.9000000000001</v>
      </c>
      <c r="BK189" s="1293">
        <f>+BJ191</f>
        <v>1436.3</v>
      </c>
      <c r="BL189" s="1293">
        <f>+BK191</f>
        <v>1426.9</v>
      </c>
      <c r="BM189" s="1303">
        <f>BH191</f>
        <v>1190.9000000000001</v>
      </c>
      <c r="BN189" s="1293">
        <f>+BM191</f>
        <v>1417.2</v>
      </c>
      <c r="BO189" s="1293">
        <f>+BN191</f>
        <v>1407.8</v>
      </c>
      <c r="BP189" s="1293">
        <f>+BO191</f>
        <v>1398.1</v>
      </c>
      <c r="BQ189" s="1293">
        <f>+BP191</f>
        <v>1388.3</v>
      </c>
      <c r="BR189" s="1304">
        <f>BM191</f>
        <v>1417.2</v>
      </c>
      <c r="BS189" s="1293">
        <f>+BR191</f>
        <v>1378.5</v>
      </c>
      <c r="BT189" s="1293">
        <f>+BS191</f>
        <v>1368.6</v>
      </c>
      <c r="BU189" s="1293">
        <f>+BT191</f>
        <v>1358.6</v>
      </c>
      <c r="BV189" s="1293">
        <f>+BU191</f>
        <v>1348.6</v>
      </c>
      <c r="BW189" s="1304">
        <f>BR191</f>
        <v>1378.5</v>
      </c>
      <c r="BX189" s="1293">
        <f>+BW191</f>
        <v>1338.4</v>
      </c>
      <c r="BY189" s="1293">
        <f>+BX191</f>
        <v>1328.2</v>
      </c>
      <c r="BZ189" s="1293">
        <f>+BY191</f>
        <v>1317.8</v>
      </c>
      <c r="CA189" s="1293">
        <f>+BZ191</f>
        <v>1317.8</v>
      </c>
      <c r="CB189" s="1304">
        <f>BW191</f>
        <v>1338.4</v>
      </c>
      <c r="CC189" s="1293">
        <f>+CB191</f>
        <v>1296.9000000000001</v>
      </c>
      <c r="CD189" s="1293">
        <f>+CC191</f>
        <v>1296.9000000000001</v>
      </c>
      <c r="CE189" s="1293">
        <f>+CD191</f>
        <v>1275.9000000000001</v>
      </c>
      <c r="CF189" s="1293">
        <f>+CE191</f>
        <v>876.30000000000007</v>
      </c>
      <c r="CG189" s="1304">
        <f>CB191</f>
        <v>1296.9000000000001</v>
      </c>
      <c r="CH189" s="1293">
        <f>+CG191</f>
        <v>868.80000000000007</v>
      </c>
      <c r="CI189" s="1293">
        <f>+CH191</f>
        <v>868.80000000000007</v>
      </c>
      <c r="CJ189" s="1293">
        <f>+CI191</f>
        <v>868.80000000000007</v>
      </c>
      <c r="CK189" s="1293">
        <f>+CJ191</f>
        <v>868.80000000000007</v>
      </c>
      <c r="CL189" s="1304">
        <f>CG191</f>
        <v>868.80000000000007</v>
      </c>
      <c r="CM189" s="1293">
        <f>+CL191</f>
        <v>868.80000000000007</v>
      </c>
      <c r="CN189" s="1293">
        <f>+CM191</f>
        <v>0</v>
      </c>
      <c r="CO189" s="1293">
        <f>+CN191</f>
        <v>0</v>
      </c>
      <c r="CP189" s="1293">
        <f>+CO191</f>
        <v>0</v>
      </c>
      <c r="CQ189" s="1304">
        <f>CL191</f>
        <v>868.80000000000007</v>
      </c>
      <c r="CR189" s="1293">
        <f>+CQ191</f>
        <v>0</v>
      </c>
      <c r="CS189" s="1293">
        <f>+CR191</f>
        <v>0</v>
      </c>
      <c r="CT189" s="1293">
        <f>+CS191</f>
        <v>0</v>
      </c>
      <c r="CU189" s="1293">
        <f>+CT191</f>
        <v>0</v>
      </c>
      <c r="CV189" s="1304">
        <f>CQ191</f>
        <v>0</v>
      </c>
      <c r="CW189" s="1293">
        <f>+CV191</f>
        <v>0</v>
      </c>
      <c r="CX189" s="1293">
        <f>+CW191</f>
        <v>0</v>
      </c>
      <c r="CY189" s="1293">
        <f>+CX191</f>
        <v>0</v>
      </c>
      <c r="CZ189" s="1293">
        <f>+CY191</f>
        <v>0</v>
      </c>
      <c r="DA189" s="1304">
        <f>CV191</f>
        <v>0</v>
      </c>
      <c r="DB189" s="1293">
        <f>+DA191</f>
        <v>0</v>
      </c>
      <c r="DC189" s="1293">
        <f>+DB191</f>
        <v>0</v>
      </c>
      <c r="DD189" s="1293">
        <f>+DC191</f>
        <v>0</v>
      </c>
      <c r="DE189" s="1293">
        <f>+DD191</f>
        <v>0</v>
      </c>
      <c r="DF189" s="1304">
        <f>DA191</f>
        <v>0</v>
      </c>
    </row>
    <row r="190" spans="1:110" s="1289" customFormat="1" ht="12.75" x14ac:dyDescent="0.2">
      <c r="A190" s="1273"/>
      <c r="B190" s="1290" t="s">
        <v>199</v>
      </c>
      <c r="C190" s="1298"/>
      <c r="D190" s="1298"/>
      <c r="E190" s="1298"/>
      <c r="F190" s="1298"/>
      <c r="G190" s="1298"/>
      <c r="H190" s="1298"/>
      <c r="I190" s="1298"/>
      <c r="J190" s="1298"/>
      <c r="K190" s="1298"/>
      <c r="L190" s="1298"/>
      <c r="M190" s="1298"/>
      <c r="N190" s="1298"/>
      <c r="O190" s="1298"/>
      <c r="P190" s="1298"/>
      <c r="Q190" s="1298"/>
      <c r="R190" s="1298"/>
      <c r="S190" s="1305"/>
      <c r="T190" s="1306"/>
      <c r="U190" s="1305">
        <v>0</v>
      </c>
      <c r="V190" s="1305"/>
      <c r="W190" s="1305"/>
      <c r="X190" s="1305"/>
      <c r="Y190" s="1306">
        <v>0</v>
      </c>
      <c r="Z190" s="1307"/>
      <c r="AA190" s="1307"/>
      <c r="AB190" s="1307"/>
      <c r="AC190" s="1307"/>
      <c r="AD190" s="1306">
        <f>+SUM(Z190:AC190)</f>
        <v>0</v>
      </c>
      <c r="AE190" s="1307"/>
      <c r="AF190" s="1307"/>
      <c r="AG190" s="1307"/>
      <c r="AH190" s="1307"/>
      <c r="AI190" s="1306">
        <f>+SUM(AE190:AH190)</f>
        <v>0</v>
      </c>
      <c r="AJ190" s="1307"/>
      <c r="AK190" s="1307"/>
      <c r="AL190" s="1307"/>
      <c r="AM190" s="1307"/>
      <c r="AN190" s="1306">
        <f>+SUM(AJ190:AM190)</f>
        <v>0</v>
      </c>
      <c r="AO190" s="1307">
        <v>1187.5</v>
      </c>
      <c r="AP190" s="1307">
        <v>0.2</v>
      </c>
      <c r="AQ190" s="1307">
        <v>0.2</v>
      </c>
      <c r="AR190" s="1307">
        <v>0.3</v>
      </c>
      <c r="AS190" s="1308">
        <f>+SUM(AO190:AR190)</f>
        <v>1188.2</v>
      </c>
      <c r="AT190" s="1307">
        <v>0.4</v>
      </c>
      <c r="AU190" s="1307"/>
      <c r="AV190" s="1307">
        <v>0.3</v>
      </c>
      <c r="AW190" s="1307">
        <v>0.2</v>
      </c>
      <c r="AX190" s="1306">
        <f>+SUM(AT190:AW190)</f>
        <v>0.89999999999999991</v>
      </c>
      <c r="AY190" s="1307">
        <v>0.3</v>
      </c>
      <c r="AZ190" s="1307">
        <v>0.2</v>
      </c>
      <c r="BA190" s="1307">
        <v>0.3</v>
      </c>
      <c r="BB190" s="1307">
        <v>0.2</v>
      </c>
      <c r="BC190" s="1308">
        <f>+SUM(AY190:BB190)</f>
        <v>1</v>
      </c>
      <c r="BD190" s="1307">
        <v>0.3</v>
      </c>
      <c r="BE190" s="1307">
        <v>0.2</v>
      </c>
      <c r="BF190" s="1307">
        <v>0.3</v>
      </c>
      <c r="BG190" s="1307">
        <v>0</v>
      </c>
      <c r="BH190" s="1306">
        <f>+SUM(BD190:BG190)</f>
        <v>0.8</v>
      </c>
      <c r="BI190" s="1307">
        <v>0</v>
      </c>
      <c r="BJ190" s="1307">
        <f>1436.3-BJ189</f>
        <v>245.39999999999986</v>
      </c>
      <c r="BK190" s="1307">
        <f>1426.9-BK189</f>
        <v>-9.3999999999998636</v>
      </c>
      <c r="BL190" s="1307">
        <f>1417.2-BL189</f>
        <v>-9.7000000000000455</v>
      </c>
      <c r="BM190" s="1308">
        <f>+SUM(BI190:BL190)</f>
        <v>226.29999999999995</v>
      </c>
      <c r="BN190" s="1307">
        <f>1407.8-BN189</f>
        <v>-9.4000000000000909</v>
      </c>
      <c r="BO190" s="1307">
        <f>1398.1-BO189</f>
        <v>-9.7000000000000455</v>
      </c>
      <c r="BP190" s="1307">
        <f>1388.3-BP189</f>
        <v>-9.7999999999999545</v>
      </c>
      <c r="BQ190" s="1307">
        <f>1378.5-BQ189</f>
        <v>-9.7999999999999545</v>
      </c>
      <c r="BR190" s="1309">
        <f>+SUM(BN190:BQ190)</f>
        <v>-38.700000000000045</v>
      </c>
      <c r="BS190" s="1307">
        <f>BS191-BS189</f>
        <v>-9.9000000000000909</v>
      </c>
      <c r="BT190" s="1307">
        <f>BT191-BT189</f>
        <v>-10</v>
      </c>
      <c r="BU190" s="1307">
        <f>BU191-BU189</f>
        <v>-10</v>
      </c>
      <c r="BV190" s="1307">
        <f>BV191-BV189</f>
        <v>-10.199999999999818</v>
      </c>
      <c r="BW190" s="1309">
        <f>+SUM(BS190:BV190)</f>
        <v>-40.099999999999909</v>
      </c>
      <c r="BX190" s="1307">
        <f>1328.2-BX189</f>
        <v>-10.200000000000045</v>
      </c>
      <c r="BY190" s="1307">
        <f>-(BY189-1317.8)</f>
        <v>-10.400000000000091</v>
      </c>
      <c r="BZ190" s="1307">
        <v>0</v>
      </c>
      <c r="CA190" s="1307">
        <f>CA191-CA189</f>
        <v>-20.899999999999864</v>
      </c>
      <c r="CB190" s="1309">
        <f>+SUM(BX190:CA190)</f>
        <v>-41.5</v>
      </c>
      <c r="CC190" s="1307">
        <v>0</v>
      </c>
      <c r="CD190" s="1307">
        <v>-21</v>
      </c>
      <c r="CE190" s="1307">
        <v>-399.6</v>
      </c>
      <c r="CF190" s="1307">
        <v>-7.5</v>
      </c>
      <c r="CG190" s="1309">
        <f>+SUM(CC190:CF190)</f>
        <v>-428.1</v>
      </c>
      <c r="CH190" s="1307">
        <v>0</v>
      </c>
      <c r="CI190" s="1307">
        <v>0</v>
      </c>
      <c r="CJ190" s="1307">
        <v>0</v>
      </c>
      <c r="CK190" s="1307">
        <v>0</v>
      </c>
      <c r="CL190" s="1309">
        <f>+SUM(CH190:CK190)</f>
        <v>0</v>
      </c>
      <c r="CM190" s="1307">
        <f>-CM189</f>
        <v>-868.80000000000007</v>
      </c>
      <c r="CN190" s="1307">
        <v>0</v>
      </c>
      <c r="CO190" s="1307">
        <v>0</v>
      </c>
      <c r="CP190" s="1307">
        <v>0</v>
      </c>
      <c r="CQ190" s="1309">
        <f>+SUM(CM190:CP190)</f>
        <v>-868.80000000000007</v>
      </c>
      <c r="CR190" s="1307">
        <f>-CR189</f>
        <v>0</v>
      </c>
      <c r="CS190" s="1307">
        <v>0</v>
      </c>
      <c r="CT190" s="1307">
        <v>0</v>
      </c>
      <c r="CU190" s="1307">
        <v>0</v>
      </c>
      <c r="CV190" s="1309">
        <f>+SUM(CR190:CU190)</f>
        <v>0</v>
      </c>
      <c r="CW190" s="1307">
        <f>-CW189</f>
        <v>0</v>
      </c>
      <c r="CX190" s="1307">
        <v>0</v>
      </c>
      <c r="CY190" s="1307">
        <v>0</v>
      </c>
      <c r="CZ190" s="1307">
        <v>0</v>
      </c>
      <c r="DA190" s="1309">
        <f>+SUM(CW190:CZ190)</f>
        <v>0</v>
      </c>
      <c r="DB190" s="1307">
        <f>-DB189</f>
        <v>0</v>
      </c>
      <c r="DC190" s="1307">
        <v>0</v>
      </c>
      <c r="DD190" s="1307">
        <v>0</v>
      </c>
      <c r="DE190" s="1307">
        <v>0</v>
      </c>
      <c r="DF190" s="1309">
        <f>+SUM(DB190:DE190)</f>
        <v>0</v>
      </c>
    </row>
    <row r="191" spans="1:110" s="1289" customFormat="1" ht="12.75" x14ac:dyDescent="0.2">
      <c r="A191" s="1273"/>
      <c r="B191" s="1290" t="s">
        <v>200</v>
      </c>
      <c r="C191" s="1298"/>
      <c r="D191" s="1298"/>
      <c r="E191" s="1298"/>
      <c r="F191" s="1298"/>
      <c r="G191" s="1298"/>
      <c r="H191" s="1298"/>
      <c r="I191" s="1298"/>
      <c r="J191" s="1298"/>
      <c r="K191" s="1298"/>
      <c r="L191" s="1298"/>
      <c r="M191" s="1298"/>
      <c r="N191" s="1298"/>
      <c r="O191" s="1298"/>
      <c r="P191" s="1298"/>
      <c r="Q191" s="1298"/>
      <c r="R191" s="1298"/>
      <c r="S191" s="1293">
        <v>0</v>
      </c>
      <c r="T191" s="1293">
        <f>+S191</f>
        <v>0</v>
      </c>
      <c r="U191" s="1293">
        <f t="shared" ref="U191:BW191" si="296">U189+U190</f>
        <v>0</v>
      </c>
      <c r="V191" s="1293">
        <f t="shared" si="296"/>
        <v>0</v>
      </c>
      <c r="W191" s="1293">
        <f t="shared" si="296"/>
        <v>0</v>
      </c>
      <c r="X191" s="1293">
        <f t="shared" si="296"/>
        <v>0</v>
      </c>
      <c r="Y191" s="1294">
        <f t="shared" si="296"/>
        <v>0</v>
      </c>
      <c r="Z191" s="1293">
        <f t="shared" si="296"/>
        <v>0</v>
      </c>
      <c r="AA191" s="1293">
        <f t="shared" si="296"/>
        <v>0</v>
      </c>
      <c r="AB191" s="1293">
        <f t="shared" si="296"/>
        <v>0</v>
      </c>
      <c r="AC191" s="1293">
        <f t="shared" si="296"/>
        <v>0</v>
      </c>
      <c r="AD191" s="1294">
        <f t="shared" si="296"/>
        <v>0</v>
      </c>
      <c r="AE191" s="1293">
        <f t="shared" si="296"/>
        <v>0</v>
      </c>
      <c r="AF191" s="1293">
        <f t="shared" si="296"/>
        <v>0</v>
      </c>
      <c r="AG191" s="1293">
        <f t="shared" si="296"/>
        <v>0</v>
      </c>
      <c r="AH191" s="1293">
        <f t="shared" si="296"/>
        <v>0</v>
      </c>
      <c r="AI191" s="1294">
        <f t="shared" si="296"/>
        <v>0</v>
      </c>
      <c r="AJ191" s="1293">
        <f t="shared" si="296"/>
        <v>0</v>
      </c>
      <c r="AK191" s="1293">
        <f t="shared" si="296"/>
        <v>0</v>
      </c>
      <c r="AL191" s="1293">
        <f t="shared" si="296"/>
        <v>0</v>
      </c>
      <c r="AM191" s="1293">
        <f t="shared" si="296"/>
        <v>0</v>
      </c>
      <c r="AN191" s="1294">
        <f t="shared" si="296"/>
        <v>0</v>
      </c>
      <c r="AO191" s="1293">
        <f t="shared" si="296"/>
        <v>1187.5</v>
      </c>
      <c r="AP191" s="1293">
        <f t="shared" si="296"/>
        <v>1187.7</v>
      </c>
      <c r="AQ191" s="1293">
        <f t="shared" si="296"/>
        <v>1187.9000000000001</v>
      </c>
      <c r="AR191" s="1293">
        <f t="shared" si="296"/>
        <v>1188.2</v>
      </c>
      <c r="AS191" s="1303">
        <f t="shared" si="296"/>
        <v>1188.2</v>
      </c>
      <c r="AT191" s="1293">
        <f t="shared" si="296"/>
        <v>1188.6000000000001</v>
      </c>
      <c r="AU191" s="1293">
        <f t="shared" si="296"/>
        <v>1188.6000000000001</v>
      </c>
      <c r="AV191" s="1293">
        <f t="shared" si="296"/>
        <v>1188.9000000000001</v>
      </c>
      <c r="AW191" s="1293">
        <f t="shared" si="296"/>
        <v>1189.1000000000001</v>
      </c>
      <c r="AX191" s="1294">
        <f t="shared" si="296"/>
        <v>1189.1000000000001</v>
      </c>
      <c r="AY191" s="1293">
        <f t="shared" si="296"/>
        <v>1189.4000000000001</v>
      </c>
      <c r="AZ191" s="1293">
        <f t="shared" si="296"/>
        <v>1189.6000000000001</v>
      </c>
      <c r="BA191" s="1293">
        <f t="shared" si="296"/>
        <v>1189.9000000000001</v>
      </c>
      <c r="BB191" s="1293">
        <f t="shared" si="296"/>
        <v>1190.1000000000001</v>
      </c>
      <c r="BC191" s="1303">
        <f t="shared" si="296"/>
        <v>1190.1000000000001</v>
      </c>
      <c r="BD191" s="1293">
        <f t="shared" si="296"/>
        <v>1190.4000000000001</v>
      </c>
      <c r="BE191" s="1293">
        <f t="shared" si="296"/>
        <v>1190.6000000000001</v>
      </c>
      <c r="BF191" s="1293">
        <f t="shared" si="296"/>
        <v>1190.9000000000001</v>
      </c>
      <c r="BG191" s="1293">
        <f t="shared" si="296"/>
        <v>1190.9000000000001</v>
      </c>
      <c r="BH191" s="1294">
        <f t="shared" si="296"/>
        <v>1190.9000000000001</v>
      </c>
      <c r="BI191" s="1293">
        <f t="shared" si="296"/>
        <v>1190.9000000000001</v>
      </c>
      <c r="BJ191" s="1293">
        <f t="shared" si="296"/>
        <v>1436.3</v>
      </c>
      <c r="BK191" s="1293">
        <f t="shared" si="296"/>
        <v>1426.9</v>
      </c>
      <c r="BL191" s="1293">
        <f t="shared" si="296"/>
        <v>1417.2</v>
      </c>
      <c r="BM191" s="1303">
        <f t="shared" si="296"/>
        <v>1417.2</v>
      </c>
      <c r="BN191" s="1293">
        <f t="shared" si="296"/>
        <v>1407.8</v>
      </c>
      <c r="BO191" s="1293">
        <f t="shared" si="296"/>
        <v>1398.1</v>
      </c>
      <c r="BP191" s="1293">
        <f t="shared" si="296"/>
        <v>1388.3</v>
      </c>
      <c r="BQ191" s="1293">
        <f t="shared" si="296"/>
        <v>1378.5</v>
      </c>
      <c r="BR191" s="1304">
        <f t="shared" si="296"/>
        <v>1378.5</v>
      </c>
      <c r="BS191" s="1293">
        <v>1368.6</v>
      </c>
      <c r="BT191" s="354">
        <f>1358.6</f>
        <v>1358.6</v>
      </c>
      <c r="BU191" s="1293">
        <v>1348.6</v>
      </c>
      <c r="BV191" s="1293">
        <v>1338.4</v>
      </c>
      <c r="BW191" s="1304">
        <f t="shared" si="296"/>
        <v>1338.4</v>
      </c>
      <c r="BX191" s="1293">
        <f t="shared" ref="BX191:CG191" si="297">BX189+BX190</f>
        <v>1328.2</v>
      </c>
      <c r="BY191" s="1712">
        <f t="shared" si="297"/>
        <v>1317.8</v>
      </c>
      <c r="BZ191" s="1293">
        <f t="shared" si="297"/>
        <v>1317.8</v>
      </c>
      <c r="CA191" s="1293">
        <v>1296.9000000000001</v>
      </c>
      <c r="CB191" s="1304">
        <f t="shared" si="297"/>
        <v>1296.9000000000001</v>
      </c>
      <c r="CC191" s="1293">
        <f t="shared" si="297"/>
        <v>1296.9000000000001</v>
      </c>
      <c r="CD191" s="1293">
        <f t="shared" si="297"/>
        <v>1275.9000000000001</v>
      </c>
      <c r="CE191" s="1293">
        <f t="shared" si="297"/>
        <v>876.30000000000007</v>
      </c>
      <c r="CF191" s="1293">
        <f t="shared" si="297"/>
        <v>868.80000000000007</v>
      </c>
      <c r="CG191" s="1304">
        <f t="shared" si="297"/>
        <v>868.80000000000007</v>
      </c>
      <c r="CH191" s="1293">
        <f t="shared" ref="CH191:CQ191" si="298">CH189+CH190</f>
        <v>868.80000000000007</v>
      </c>
      <c r="CI191" s="1293">
        <f t="shared" si="298"/>
        <v>868.80000000000007</v>
      </c>
      <c r="CJ191" s="1293">
        <f t="shared" si="298"/>
        <v>868.80000000000007</v>
      </c>
      <c r="CK191" s="1293">
        <f t="shared" si="298"/>
        <v>868.80000000000007</v>
      </c>
      <c r="CL191" s="1304">
        <f t="shared" si="298"/>
        <v>868.80000000000007</v>
      </c>
      <c r="CM191" s="1293">
        <f t="shared" si="298"/>
        <v>0</v>
      </c>
      <c r="CN191" s="1293">
        <f t="shared" si="298"/>
        <v>0</v>
      </c>
      <c r="CO191" s="1293">
        <f t="shared" si="298"/>
        <v>0</v>
      </c>
      <c r="CP191" s="1293">
        <f t="shared" si="298"/>
        <v>0</v>
      </c>
      <c r="CQ191" s="1304">
        <f t="shared" si="298"/>
        <v>0</v>
      </c>
      <c r="CR191" s="1293">
        <f t="shared" ref="CR191:CV191" si="299">CR189+CR190</f>
        <v>0</v>
      </c>
      <c r="CS191" s="1293">
        <f t="shared" si="299"/>
        <v>0</v>
      </c>
      <c r="CT191" s="1293">
        <f t="shared" si="299"/>
        <v>0</v>
      </c>
      <c r="CU191" s="1293">
        <f t="shared" si="299"/>
        <v>0</v>
      </c>
      <c r="CV191" s="1304">
        <f t="shared" si="299"/>
        <v>0</v>
      </c>
      <c r="CW191" s="1293">
        <f t="shared" ref="CW191:DF191" si="300">CW189+CW190</f>
        <v>0</v>
      </c>
      <c r="CX191" s="1293">
        <f t="shared" si="300"/>
        <v>0</v>
      </c>
      <c r="CY191" s="1293">
        <f t="shared" si="300"/>
        <v>0</v>
      </c>
      <c r="CZ191" s="1293">
        <f t="shared" si="300"/>
        <v>0</v>
      </c>
      <c r="DA191" s="1304">
        <f t="shared" si="300"/>
        <v>0</v>
      </c>
      <c r="DB191" s="1293">
        <f t="shared" si="300"/>
        <v>0</v>
      </c>
      <c r="DC191" s="1293">
        <f t="shared" si="300"/>
        <v>0</v>
      </c>
      <c r="DD191" s="1293">
        <f t="shared" si="300"/>
        <v>0</v>
      </c>
      <c r="DE191" s="1293">
        <f t="shared" si="300"/>
        <v>0</v>
      </c>
      <c r="DF191" s="1304">
        <f t="shared" si="300"/>
        <v>0</v>
      </c>
    </row>
    <row r="192" spans="1:110" s="1289" customFormat="1" ht="13.5" thickBot="1" x14ac:dyDescent="0.25">
      <c r="A192" s="1273"/>
      <c r="B192" s="1310" t="s">
        <v>147</v>
      </c>
      <c r="C192" s="1311"/>
      <c r="D192" s="1311"/>
      <c r="E192" s="1311"/>
      <c r="F192" s="1311"/>
      <c r="G192" s="1311"/>
      <c r="H192" s="1311"/>
      <c r="I192" s="1311"/>
      <c r="J192" s="1311"/>
      <c r="K192" s="1311"/>
      <c r="L192" s="1311"/>
      <c r="M192" s="1311"/>
      <c r="N192" s="1311"/>
      <c r="O192" s="1311"/>
      <c r="P192" s="1311"/>
      <c r="Q192" s="1311"/>
      <c r="R192" s="1311"/>
      <c r="S192" s="1312"/>
      <c r="T192" s="1313"/>
      <c r="U192" s="1312">
        <f>-(AVERAGE(U191,U189))*(($C187+U102)/4)</f>
        <v>0</v>
      </c>
      <c r="V192" s="1312">
        <f>-(AVERAGE(V191,V189))*(($C187+V102)/4)</f>
        <v>0</v>
      </c>
      <c r="W192" s="1312">
        <f>-(AVERAGE(W191,W189))*(($C187+W102)/4)</f>
        <v>0</v>
      </c>
      <c r="X192" s="1312">
        <f>-(AVERAGE(X191,X189))*(($C187+X102)/4)</f>
        <v>0</v>
      </c>
      <c r="Y192" s="1313">
        <v>0</v>
      </c>
      <c r="Z192" s="1312">
        <f>-(AVERAGE(Z191,Z189))*(($C187+Z102)/4)</f>
        <v>0</v>
      </c>
      <c r="AA192" s="1312">
        <f>-(AVERAGE(AA191,AA189))*(($C187+AA102)/4)</f>
        <v>0</v>
      </c>
      <c r="AB192" s="1312">
        <f>-(AVERAGE(AB191,AB189))*((AB187)/4)</f>
        <v>0</v>
      </c>
      <c r="AC192" s="1312">
        <f>-(AVERAGE(AC191,AC189))*((AC187)/4)</f>
        <v>0</v>
      </c>
      <c r="AD192" s="1313">
        <f>SUM(Z192:AC192)</f>
        <v>0</v>
      </c>
      <c r="AE192" s="1312">
        <f>-(AVERAGE(AE191,AE189))*((AE187)/4)</f>
        <v>0</v>
      </c>
      <c r="AF192" s="1312">
        <f>-(AVERAGE(AF191,AF189))*((AF187)/4)</f>
        <v>0</v>
      </c>
      <c r="AG192" s="1312">
        <f>-(AVERAGE(AG191,AG189))*((AG187)/4)</f>
        <v>0</v>
      </c>
      <c r="AH192" s="1312">
        <f>-(AVERAGE(AH191,AH189))*((AH187)/4)</f>
        <v>0</v>
      </c>
      <c r="AI192" s="1313">
        <f>SUM(AE192:AH192)</f>
        <v>0</v>
      </c>
      <c r="AJ192" s="1312">
        <f>-(AVERAGE(AJ191,AJ189))*((AJ187)/4)</f>
        <v>0</v>
      </c>
      <c r="AK192" s="1312">
        <f>-(AVERAGE(AK191,AK189))*((AK187)/4)</f>
        <v>0</v>
      </c>
      <c r="AL192" s="1312">
        <f>-(AVERAGE(AL191,AL189))*((AL187)/4)</f>
        <v>0</v>
      </c>
      <c r="AM192" s="1312">
        <f>-(AVERAGE(AM191,AM189))*((AM187)/4)</f>
        <v>0</v>
      </c>
      <c r="AN192" s="1313">
        <f>SUM(AJ192:AM192)</f>
        <v>0</v>
      </c>
      <c r="AO192" s="1312">
        <f>-(AVERAGE(AO191,AO189))*((AO187)/4)</f>
        <v>-10.576171874999998</v>
      </c>
      <c r="AP192" s="1312">
        <f>-(AVERAGE(AP191,AP189))*((AP187)/4)</f>
        <v>-21.154124999999997</v>
      </c>
      <c r="AQ192" s="1312">
        <f>-(AVERAGE(AQ191,AQ189))*((AQ187)/4)</f>
        <v>-21.157687500000002</v>
      </c>
      <c r="AR192" s="1312">
        <f>-(AVERAGE(AR191,AR189))*((AR187)/4)</f>
        <v>-21.162140625000003</v>
      </c>
      <c r="AS192" s="1315">
        <f>SUM(AO192:AR192)</f>
        <v>-74.050124999999994</v>
      </c>
      <c r="AT192" s="1312">
        <f>-(AVERAGE(AT191,AT189))*((AT187)/4)</f>
        <v>-21.168375000000001</v>
      </c>
      <c r="AU192" s="1312">
        <f>-(AVERAGE(AU191,AU189))*((AU187)/4)</f>
        <v>-21.171937500000002</v>
      </c>
      <c r="AV192" s="1312">
        <f>-(AVERAGE(AV191,AV189))*((AV187)/4)</f>
        <v>-21.174609374999999</v>
      </c>
      <c r="AW192" s="1312">
        <f>-(AVERAGE(AW191,AW189))*((AW187)/4)</f>
        <v>-21.179062499999997</v>
      </c>
      <c r="AX192" s="1313">
        <f>SUM(AT192:AW192)</f>
        <v>-84.693984374999999</v>
      </c>
      <c r="AY192" s="1312">
        <f>-(AVERAGE(AY191,AY189))*((AY187)/4)</f>
        <v>-21.183515624999998</v>
      </c>
      <c r="AZ192" s="1312">
        <f>-(AVERAGE(AZ191,AZ189))*((AZ187)/4)</f>
        <v>-21.18796875</v>
      </c>
      <c r="BA192" s="1312">
        <f>-(AVERAGE(BA191,BA189))*((BA187)/4)</f>
        <v>-21.192421874999997</v>
      </c>
      <c r="BB192" s="1312">
        <f>-(AVERAGE(BB191,BB189))*((BB187)/4)</f>
        <v>-21.196874999999999</v>
      </c>
      <c r="BC192" s="1315">
        <f>SUM(AY192:BB192)</f>
        <v>-84.76078124999998</v>
      </c>
      <c r="BD192" s="1312">
        <f>-(AVERAGE(BD191,BD189))*((BD187)/4)</f>
        <v>-21.201328125</v>
      </c>
      <c r="BE192" s="1312">
        <f>-(AVERAGE(BE191,BE189))*((BE187)/4)</f>
        <v>-21.205781249999998</v>
      </c>
      <c r="BF192" s="1312">
        <f>-(AVERAGE(BF191,BF189))*((BF187)/4)</f>
        <v>-21.210234374999999</v>
      </c>
      <c r="BG192" s="1312">
        <f>-(AVERAGE(BG191,BG189))*((BG187)/4)</f>
        <v>-21.21290625</v>
      </c>
      <c r="BH192" s="1313">
        <f>SUM(BD192:BG192)</f>
        <v>-84.830249999999992</v>
      </c>
      <c r="BI192" s="1312"/>
      <c r="BJ192" s="1312">
        <f>-(AVERAGE(BJ191,BJ189))*((BJ187)/4)</f>
        <v>-23.398499999999995</v>
      </c>
      <c r="BK192" s="1312">
        <f>-(AVERAGE(BK191,BK189))*((BK187)/4)</f>
        <v>-25.500374999999995</v>
      </c>
      <c r="BL192" s="1312">
        <f>-(AVERAGE(BL191,BL189))*((BL187)/4)</f>
        <v>-25.330265625000003</v>
      </c>
      <c r="BM192" s="1315">
        <f>SUM(BI192:BL192)</f>
        <v>-74.229140624999985</v>
      </c>
      <c r="BN192" s="1578">
        <f>-(AVERAGE(BN191,BN189))*((BN187)/4)</f>
        <v>-25.160156249999996</v>
      </c>
      <c r="BO192" s="1312">
        <f>-(AVERAGE(BO191,BO189))*((BO187)/4)</f>
        <v>-24.990046874999994</v>
      </c>
      <c r="BP192" s="1312">
        <f>-(AVERAGE(BP191,BP189))*((BP187)/4)</f>
        <v>-24.816374999999994</v>
      </c>
      <c r="BQ192" s="1312">
        <f>-(AVERAGE(BQ191,BQ189))*((BQ187)/4)</f>
        <v>-24.6418125</v>
      </c>
      <c r="BR192" s="1314">
        <f>SUM(BN192:BQ192)</f>
        <v>-99.608390624999984</v>
      </c>
      <c r="BS192" s="1312">
        <f>-(AVERAGE(BS191,BS189))*((BS187)/4)</f>
        <v>-24.466359374999996</v>
      </c>
      <c r="BT192" s="1312">
        <f>-(AVERAGE(BT191,BT189))*((BT187)/4)</f>
        <v>-24.289124999999995</v>
      </c>
      <c r="BU192" s="1312">
        <f>-(AVERAGE(BU191,BU189))*((BU187)/4)</f>
        <v>-24.110999999999997</v>
      </c>
      <c r="BV192" s="1312">
        <f>-(AVERAGE(BV191,BV189))*((BV187)/4)</f>
        <v>-23.931093749999999</v>
      </c>
      <c r="BW192" s="1314">
        <f>SUM(BS192:BV192)</f>
        <v>-96.797578125000001</v>
      </c>
      <c r="BX192" s="1312">
        <f>-(AVERAGE(BX191,BX189))*((BX187)/4)</f>
        <v>-23.74940625</v>
      </c>
      <c r="BY192" s="1578">
        <f>-(AVERAGE(BY191,BY189))*((BY187)/4)</f>
        <v>-23.565937499999997</v>
      </c>
      <c r="BZ192" s="1312">
        <f>-(AVERAGE(BZ191,BZ189))*((BZ187)/4)</f>
        <v>-23.473312499999999</v>
      </c>
      <c r="CA192" s="1312">
        <f>-(AVERAGE(CA191,CA189))*((CA187)/4)</f>
        <v>-23.287171874999995</v>
      </c>
      <c r="CB192" s="1314">
        <f>SUM(BX192:CA192)</f>
        <v>-94.075828125000001</v>
      </c>
      <c r="CC192" s="1312">
        <f>-(AVERAGE(CC191,CC189))*((CC187)/4)</f>
        <v>-23.101031249999998</v>
      </c>
      <c r="CD192" s="1312">
        <f>-(AVERAGE(CD191,CD189))*((CD187)/4)</f>
        <v>-22.913999999999998</v>
      </c>
      <c r="CE192" s="1312">
        <f>-(AVERAGE(CE191,CE189))*((CE187)/4)</f>
        <v>-19.168031250000002</v>
      </c>
      <c r="CF192" s="1312">
        <f>-(AVERAGE(CF191,CF189))*((CF187)/4)</f>
        <v>-15.542296875</v>
      </c>
      <c r="CG192" s="1314">
        <f>SUM(CC192:CF192)</f>
        <v>-80.725359374999996</v>
      </c>
      <c r="CH192" s="1312">
        <f>-(AVERAGE(CH191,CH189))*((CH187)/4)</f>
        <v>-15.4755</v>
      </c>
      <c r="CI192" s="1312">
        <f>-(AVERAGE(CI191,CI189))*((CI187)/4)</f>
        <v>-15.4755</v>
      </c>
      <c r="CJ192" s="1312">
        <f>-(AVERAGE(CJ191,CJ189))*((CJ187)/4)</f>
        <v>-15.4755</v>
      </c>
      <c r="CK192" s="1312">
        <f>-(AVERAGE(CK191,CK189))*((CK187)/4)</f>
        <v>-15.4755</v>
      </c>
      <c r="CL192" s="1314">
        <f>SUM(CH192:CK192)</f>
        <v>-61.902000000000001</v>
      </c>
      <c r="CM192" s="1312">
        <f>-(AVERAGE(CM191,CM189))*((CM187)/4)</f>
        <v>-7.7377500000000001</v>
      </c>
      <c r="CN192" s="1312">
        <f>-(AVERAGE(CN191,CN189))*((CN187)/4)</f>
        <v>0</v>
      </c>
      <c r="CO192" s="1312">
        <f>-(AVERAGE(CO191,CO189))*((CO187)/4)</f>
        <v>0</v>
      </c>
      <c r="CP192" s="1312">
        <f>-(AVERAGE(CP191,CP189))*((CP187)/4)</f>
        <v>0</v>
      </c>
      <c r="CQ192" s="1314">
        <f>SUM(CM192:CP192)</f>
        <v>-7.7377500000000001</v>
      </c>
      <c r="CR192" s="1312">
        <f>-(AVERAGE(CR191,CR189))*((CR187)/4)</f>
        <v>0</v>
      </c>
      <c r="CS192" s="1312">
        <f>-(AVERAGE(CS191,CS189))*((CS187)/4)</f>
        <v>0</v>
      </c>
      <c r="CT192" s="1312">
        <f>-(AVERAGE(CT191,CT189))*((CT187)/4)</f>
        <v>0</v>
      </c>
      <c r="CU192" s="1312">
        <f>-(AVERAGE(CU191,CU189))*((CU187)/4)</f>
        <v>0</v>
      </c>
      <c r="CV192" s="1314">
        <f>SUM(CR192:CU192)</f>
        <v>0</v>
      </c>
      <c r="CW192" s="1312">
        <f>-(AVERAGE(CW191,CW189))*((CW187)/4)</f>
        <v>0</v>
      </c>
      <c r="CX192" s="1312">
        <f>-(AVERAGE(CX191,CX189))*((CX187)/4)</f>
        <v>0</v>
      </c>
      <c r="CY192" s="1312">
        <f>-(AVERAGE(CY191,CY189))*((CY187)/4)</f>
        <v>0</v>
      </c>
      <c r="CZ192" s="1312">
        <f>-(AVERAGE(CZ191,CZ189))*((CZ187)/4)</f>
        <v>0</v>
      </c>
      <c r="DA192" s="1314">
        <f>SUM(CW192:CZ192)</f>
        <v>0</v>
      </c>
      <c r="DB192" s="1312">
        <f>-(AVERAGE(DB191,DB189))*((DB187)/4)</f>
        <v>0</v>
      </c>
      <c r="DC192" s="1312">
        <f>-(AVERAGE(DC191,DC189))*((DC187)/4)</f>
        <v>0</v>
      </c>
      <c r="DD192" s="1312">
        <f>-(AVERAGE(DD191,DD189))*((DD187)/4)</f>
        <v>0</v>
      </c>
      <c r="DE192" s="1312">
        <f>-(AVERAGE(DE191,DE189))*((DE187)/4)</f>
        <v>0</v>
      </c>
      <c r="DF192" s="1314">
        <f>SUM(DB192:DE192)</f>
        <v>0</v>
      </c>
    </row>
    <row r="193" spans="1:110" s="1289" customFormat="1" ht="13.5" thickBot="1" x14ac:dyDescent="0.25">
      <c r="A193" s="1273"/>
      <c r="B193" s="1273"/>
      <c r="C193" s="1298"/>
      <c r="D193" s="1298"/>
      <c r="E193" s="1298"/>
      <c r="F193" s="1298"/>
      <c r="G193" s="1298"/>
      <c r="H193" s="1298"/>
      <c r="I193" s="1298"/>
      <c r="J193" s="1298"/>
      <c r="K193" s="1298"/>
      <c r="L193" s="1298"/>
      <c r="M193" s="1298"/>
      <c r="N193" s="1298"/>
      <c r="O193" s="1298"/>
      <c r="P193" s="1298"/>
      <c r="Q193" s="1298"/>
      <c r="R193" s="1298"/>
      <c r="S193" s="1293"/>
      <c r="T193" s="1293"/>
      <c r="U193" s="1293"/>
      <c r="V193" s="1293"/>
      <c r="W193" s="1293"/>
      <c r="X193" s="1293"/>
      <c r="Y193" s="1293"/>
      <c r="Z193" s="1293"/>
      <c r="AA193" s="1293"/>
      <c r="AB193" s="1293"/>
      <c r="AC193" s="1293"/>
      <c r="AD193" s="1293"/>
      <c r="AE193" s="1293"/>
      <c r="AF193" s="1293"/>
      <c r="AG193" s="1293"/>
      <c r="AH193" s="1293"/>
      <c r="AI193" s="1293"/>
      <c r="AJ193" s="1293"/>
      <c r="AK193" s="1293"/>
      <c r="AL193" s="1293"/>
      <c r="AM193" s="1293"/>
      <c r="AN193" s="1293"/>
      <c r="AO193" s="1293"/>
      <c r="AP193" s="1293"/>
      <c r="AQ193" s="1293"/>
      <c r="AR193" s="1293"/>
      <c r="AS193" s="1293"/>
      <c r="AT193" s="1293"/>
      <c r="AU193" s="1293"/>
      <c r="AV193" s="1293"/>
      <c r="AW193" s="1293"/>
      <c r="AX193" s="1293"/>
      <c r="AY193" s="1293"/>
      <c r="AZ193" s="1293"/>
      <c r="BA193" s="1293"/>
      <c r="BB193" s="1293"/>
      <c r="BC193" s="1293"/>
      <c r="BD193" s="1293"/>
      <c r="BE193" s="1293"/>
      <c r="BF193" s="1293"/>
      <c r="BG193" s="1293"/>
      <c r="BH193" s="1293"/>
      <c r="BI193" s="1293"/>
      <c r="BJ193" s="1293"/>
      <c r="BK193" s="1293"/>
      <c r="BL193" s="1293"/>
      <c r="BM193" s="1293"/>
      <c r="BN193" s="1712"/>
      <c r="BO193" s="1293"/>
      <c r="BP193" s="1293"/>
      <c r="BQ193" s="1293"/>
      <c r="BR193" s="1293"/>
      <c r="BS193" s="1293"/>
      <c r="BT193" s="1293"/>
      <c r="BU193" s="1293"/>
      <c r="BV193" s="1293"/>
      <c r="BW193" s="1293"/>
      <c r="BX193" s="1293"/>
      <c r="BY193" s="1293"/>
      <c r="BZ193" s="1293"/>
      <c r="CA193" s="1293"/>
      <c r="CB193" s="1293"/>
      <c r="CC193" s="1293"/>
      <c r="CD193" s="1293"/>
      <c r="CE193" s="1293"/>
      <c r="CF193" s="1293"/>
      <c r="CG193" s="1293"/>
      <c r="CH193" s="1293"/>
      <c r="CI193" s="1293"/>
      <c r="CJ193" s="1293"/>
      <c r="CK193" s="1293"/>
      <c r="CL193" s="1293"/>
      <c r="CM193" s="1293"/>
      <c r="CN193" s="1293"/>
      <c r="CO193" s="1293"/>
      <c r="CP193" s="1293"/>
      <c r="CQ193" s="1293"/>
      <c r="CR193" s="1293"/>
      <c r="CS193" s="1293"/>
      <c r="CT193" s="1293"/>
      <c r="CU193" s="1293"/>
      <c r="CV193" s="1293"/>
      <c r="CW193" s="1293"/>
      <c r="CX193" s="1293"/>
      <c r="CY193" s="1293"/>
      <c r="CZ193" s="1293"/>
      <c r="DA193" s="1293"/>
      <c r="DB193" s="1293"/>
      <c r="DC193" s="1293"/>
      <c r="DD193" s="1293"/>
      <c r="DE193" s="1293"/>
      <c r="DF193" s="1293"/>
    </row>
    <row r="194" spans="1:110" s="326" customFormat="1" ht="12" thickBot="1" x14ac:dyDescent="0.25">
      <c r="B194" s="981" t="s">
        <v>588</v>
      </c>
      <c r="C194" s="989"/>
      <c r="D194" s="989"/>
      <c r="E194" s="989"/>
      <c r="F194" s="989"/>
      <c r="G194" s="989"/>
      <c r="H194" s="989"/>
      <c r="I194" s="989"/>
      <c r="J194" s="989"/>
      <c r="K194" s="989"/>
      <c r="L194" s="989"/>
      <c r="M194" s="989"/>
      <c r="N194" s="989"/>
      <c r="O194" s="989"/>
      <c r="P194" s="989"/>
      <c r="Q194" s="989"/>
      <c r="R194" s="989"/>
      <c r="S194" s="990"/>
      <c r="T194" s="990"/>
      <c r="U194" s="990"/>
      <c r="V194" s="991"/>
      <c r="W194" s="991"/>
      <c r="X194" s="991"/>
      <c r="Y194" s="990"/>
      <c r="Z194" s="990"/>
      <c r="AA194" s="990"/>
      <c r="AB194" s="990"/>
      <c r="AC194" s="990"/>
      <c r="AD194" s="990"/>
      <c r="AE194" s="990"/>
      <c r="AF194" s="990"/>
      <c r="AG194" s="990"/>
      <c r="AH194" s="990"/>
      <c r="AI194" s="990"/>
      <c r="AJ194" s="990"/>
      <c r="AK194" s="990"/>
      <c r="AL194" s="990"/>
      <c r="AM194" s="990"/>
      <c r="AN194" s="990"/>
      <c r="AO194" s="990"/>
      <c r="AP194" s="990"/>
      <c r="AQ194" s="990"/>
      <c r="AR194" s="990"/>
      <c r="AS194" s="990"/>
      <c r="AT194" s="990"/>
      <c r="AU194" s="990"/>
      <c r="AV194" s="990"/>
      <c r="AW194" s="990"/>
      <c r="AX194" s="990"/>
      <c r="AY194" s="990"/>
      <c r="AZ194" s="990"/>
      <c r="BA194" s="990"/>
      <c r="BB194" s="990"/>
      <c r="BC194" s="990"/>
      <c r="BD194" s="990"/>
      <c r="BE194" s="990"/>
      <c r="BF194" s="990"/>
      <c r="BG194" s="990"/>
      <c r="BH194" s="990"/>
      <c r="BI194" s="990"/>
      <c r="BJ194" s="990"/>
      <c r="BK194" s="990"/>
      <c r="BL194" s="990"/>
      <c r="BM194" s="990"/>
      <c r="BN194" s="990"/>
      <c r="BO194" s="990"/>
      <c r="BP194" s="990"/>
      <c r="BQ194" s="990"/>
      <c r="BR194" s="990"/>
      <c r="BS194" s="990"/>
      <c r="BT194" s="990"/>
      <c r="BU194" s="990"/>
      <c r="BV194" s="990"/>
      <c r="BW194" s="990"/>
      <c r="BX194" s="990"/>
      <c r="BY194" s="990"/>
      <c r="BZ194" s="990"/>
      <c r="CA194" s="990"/>
      <c r="CB194" s="992"/>
      <c r="CC194" s="990"/>
      <c r="CD194" s="990"/>
      <c r="CE194" s="990"/>
      <c r="CF194" s="990"/>
      <c r="CG194" s="992"/>
      <c r="CH194" s="990"/>
      <c r="CI194" s="990"/>
      <c r="CJ194" s="990"/>
      <c r="CK194" s="990"/>
      <c r="CL194" s="992"/>
      <c r="CM194" s="990"/>
      <c r="CN194" s="990"/>
      <c r="CO194" s="990"/>
      <c r="CP194" s="990"/>
      <c r="CQ194" s="992"/>
      <c r="CR194" s="990"/>
      <c r="CS194" s="990"/>
      <c r="CT194" s="990"/>
      <c r="CU194" s="990"/>
      <c r="CV194" s="992"/>
      <c r="CW194" s="990"/>
      <c r="CX194" s="990"/>
      <c r="CY194" s="990"/>
      <c r="CZ194" s="990"/>
      <c r="DA194" s="992"/>
      <c r="DB194" s="990"/>
      <c r="DC194" s="990"/>
      <c r="DD194" s="990"/>
      <c r="DE194" s="990"/>
      <c r="DF194" s="992"/>
    </row>
    <row r="195" spans="1:110" x14ac:dyDescent="0.2">
      <c r="B195" s="591" t="s">
        <v>203</v>
      </c>
      <c r="C195" s="561"/>
      <c r="D195" s="561"/>
      <c r="E195" s="561"/>
      <c r="F195" s="561"/>
      <c r="G195" s="561"/>
      <c r="H195" s="561"/>
      <c r="I195" s="561"/>
      <c r="J195" s="561"/>
      <c r="K195" s="561"/>
      <c r="L195" s="561"/>
      <c r="M195" s="561"/>
      <c r="N195" s="561"/>
      <c r="O195" s="561"/>
      <c r="P195" s="561"/>
      <c r="Q195" s="561"/>
      <c r="R195" s="561"/>
      <c r="S195" s="531"/>
      <c r="T195" s="531"/>
      <c r="U195" s="531"/>
      <c r="V195" s="577"/>
      <c r="W195" s="577"/>
      <c r="X195" s="577"/>
      <c r="Y195" s="532"/>
      <c r="Z195" s="531"/>
      <c r="AA195" s="531"/>
      <c r="AB195" s="531"/>
      <c r="AC195" s="531"/>
      <c r="AD195" s="532"/>
      <c r="AE195" s="531"/>
      <c r="AF195" s="531"/>
      <c r="AG195" s="531"/>
      <c r="AH195" s="531"/>
      <c r="AI195" s="532"/>
      <c r="AJ195" s="531"/>
      <c r="AK195" s="531"/>
      <c r="AL195" s="531"/>
      <c r="AM195" s="531"/>
      <c r="AN195" s="532"/>
      <c r="AO195" s="531"/>
      <c r="AP195" s="531"/>
      <c r="AQ195" s="531"/>
      <c r="AR195" s="531"/>
      <c r="AS195" s="532"/>
      <c r="AT195" s="531"/>
      <c r="AU195" s="588"/>
      <c r="AV195" s="54"/>
      <c r="AW195" s="54"/>
      <c r="AX195" s="532"/>
      <c r="AY195" s="54"/>
      <c r="AZ195" s="54"/>
      <c r="BA195" s="54"/>
      <c r="BB195" s="54"/>
      <c r="BC195" s="532"/>
      <c r="BD195" s="54"/>
      <c r="BE195" s="588"/>
      <c r="BF195" s="54"/>
      <c r="BG195" s="54"/>
      <c r="BH195" s="532"/>
      <c r="BI195" s="54"/>
      <c r="BJ195" s="54"/>
      <c r="BK195" s="54"/>
      <c r="BL195" s="54"/>
      <c r="BM195" s="532"/>
      <c r="BN195" s="54"/>
      <c r="BO195" s="54"/>
      <c r="BP195" s="54"/>
      <c r="BQ195" s="54"/>
      <c r="BR195" s="532"/>
      <c r="BS195" s="54"/>
      <c r="BT195" s="54">
        <v>0</v>
      </c>
      <c r="BU195" s="54">
        <f t="shared" ref="BU195:BV197" si="301">BT195</f>
        <v>0</v>
      </c>
      <c r="BV195" s="54">
        <f t="shared" si="301"/>
        <v>0</v>
      </c>
      <c r="BW195" s="532"/>
      <c r="BX195" s="54">
        <f>BV195</f>
        <v>0</v>
      </c>
      <c r="BY195" s="54">
        <f t="shared" ref="BY195:CA197" si="302">BX195</f>
        <v>0</v>
      </c>
      <c r="BZ195" s="54">
        <f t="shared" si="302"/>
        <v>0</v>
      </c>
      <c r="CA195" s="54">
        <f t="shared" si="302"/>
        <v>0</v>
      </c>
      <c r="CB195" s="562"/>
      <c r="CC195" s="54">
        <f>CA195</f>
        <v>0</v>
      </c>
      <c r="CD195" s="54">
        <f t="shared" ref="CD195:CF197" si="303">CC195</f>
        <v>0</v>
      </c>
      <c r="CE195" s="54">
        <f t="shared" si="303"/>
        <v>0</v>
      </c>
      <c r="CF195" s="54">
        <f t="shared" si="303"/>
        <v>0</v>
      </c>
      <c r="CG195" s="562"/>
      <c r="CH195" s="54">
        <f>CF195</f>
        <v>0</v>
      </c>
      <c r="CI195" s="54">
        <f t="shared" ref="CI195:CK197" si="304">CH195</f>
        <v>0</v>
      </c>
      <c r="CJ195" s="54">
        <f t="shared" si="304"/>
        <v>0</v>
      </c>
      <c r="CK195" s="54">
        <f t="shared" si="304"/>
        <v>0</v>
      </c>
      <c r="CL195" s="562"/>
      <c r="CM195" s="54">
        <f>CK195</f>
        <v>0</v>
      </c>
      <c r="CN195" s="54">
        <f t="shared" ref="CN195:CP197" si="305">CM195</f>
        <v>0</v>
      </c>
      <c r="CO195" s="54">
        <f t="shared" si="305"/>
        <v>0</v>
      </c>
      <c r="CP195" s="54">
        <f t="shared" si="305"/>
        <v>0</v>
      </c>
      <c r="CQ195" s="562"/>
      <c r="CR195" s="54">
        <f>CP195</f>
        <v>0</v>
      </c>
      <c r="CS195" s="54">
        <f t="shared" ref="CS195:CS197" si="306">CR195</f>
        <v>0</v>
      </c>
      <c r="CT195" s="54">
        <f t="shared" ref="CT195:CT197" si="307">CS195</f>
        <v>0</v>
      </c>
      <c r="CU195" s="54">
        <f t="shared" ref="CU195:CU197" si="308">CT195</f>
        <v>0</v>
      </c>
      <c r="CV195" s="562"/>
      <c r="CW195" s="54">
        <f>CU195</f>
        <v>0</v>
      </c>
      <c r="CX195" s="54">
        <f t="shared" ref="CX195:CX197" si="309">CW195</f>
        <v>0</v>
      </c>
      <c r="CY195" s="54">
        <f t="shared" ref="CY195:CY197" si="310">CX195</f>
        <v>0</v>
      </c>
      <c r="CZ195" s="54">
        <f t="shared" ref="CZ195:CZ197" si="311">CY195</f>
        <v>0</v>
      </c>
      <c r="DA195" s="562"/>
      <c r="DB195" s="54">
        <f>CZ195</f>
        <v>0</v>
      </c>
      <c r="DC195" s="54">
        <f t="shared" ref="DC195:DC197" si="312">DB195</f>
        <v>0</v>
      </c>
      <c r="DD195" s="54">
        <f t="shared" ref="DD195:DD197" si="313">DC195</f>
        <v>0</v>
      </c>
      <c r="DE195" s="54">
        <f t="shared" ref="DE195:DE197" si="314">DD195</f>
        <v>0</v>
      </c>
      <c r="DF195" s="562"/>
    </row>
    <row r="196" spans="1:110" x14ac:dyDescent="0.2">
      <c r="B196" s="578" t="s">
        <v>204</v>
      </c>
      <c r="C196" s="145"/>
      <c r="D196" s="145"/>
      <c r="E196" s="145"/>
      <c r="F196" s="145"/>
      <c r="G196" s="145"/>
      <c r="H196" s="145"/>
      <c r="I196" s="145"/>
      <c r="J196" s="145"/>
      <c r="K196" s="145"/>
      <c r="L196" s="145"/>
      <c r="M196" s="145"/>
      <c r="N196" s="145"/>
      <c r="O196" s="145"/>
      <c r="P196" s="145"/>
      <c r="Q196" s="145"/>
      <c r="R196" s="145"/>
      <c r="S196" s="346"/>
      <c r="T196" s="346"/>
      <c r="U196" s="346"/>
      <c r="V196" s="326"/>
      <c r="W196" s="326"/>
      <c r="X196" s="326"/>
      <c r="Y196" s="340"/>
      <c r="Z196" s="346"/>
      <c r="AA196" s="346"/>
      <c r="AB196" s="346"/>
      <c r="AC196" s="346"/>
      <c r="AD196" s="340"/>
      <c r="AE196" s="346"/>
      <c r="AF196" s="346"/>
      <c r="AG196" s="346"/>
      <c r="AH196" s="346"/>
      <c r="AI196" s="340"/>
      <c r="AJ196" s="346"/>
      <c r="AK196" s="346"/>
      <c r="AL196" s="346"/>
      <c r="AM196" s="346"/>
      <c r="AN196" s="340"/>
      <c r="AO196" s="346"/>
      <c r="AP196" s="346"/>
      <c r="AQ196" s="346"/>
      <c r="AR196" s="346"/>
      <c r="AS196" s="340"/>
      <c r="AT196" s="346"/>
      <c r="AU196" s="267"/>
      <c r="AV196" s="146"/>
      <c r="AW196" s="146"/>
      <c r="AX196" s="340"/>
      <c r="AY196" s="146"/>
      <c r="AZ196" s="146"/>
      <c r="BA196" s="146"/>
      <c r="BB196" s="146"/>
      <c r="BC196" s="340"/>
      <c r="BD196" s="146"/>
      <c r="BE196" s="267"/>
      <c r="BF196" s="146"/>
      <c r="BG196" s="146"/>
      <c r="BH196" s="340"/>
      <c r="BI196" s="146"/>
      <c r="BJ196" s="146"/>
      <c r="BK196" s="146"/>
      <c r="BL196" s="146"/>
      <c r="BM196" s="340"/>
      <c r="BN196" s="146"/>
      <c r="BO196" s="146"/>
      <c r="BP196" s="146"/>
      <c r="BQ196" s="146"/>
      <c r="BR196" s="340"/>
      <c r="BS196" s="146"/>
      <c r="BT196" s="146">
        <v>2.2499999999999999E-2</v>
      </c>
      <c r="BU196" s="146">
        <f t="shared" si="301"/>
        <v>2.2499999999999999E-2</v>
      </c>
      <c r="BV196" s="146">
        <f t="shared" si="301"/>
        <v>2.2499999999999999E-2</v>
      </c>
      <c r="BW196" s="340"/>
      <c r="BX196" s="146">
        <f>BV196</f>
        <v>2.2499999999999999E-2</v>
      </c>
      <c r="BY196" s="146">
        <f t="shared" si="302"/>
        <v>2.2499999999999999E-2</v>
      </c>
      <c r="BZ196" s="146">
        <f t="shared" si="302"/>
        <v>2.2499999999999999E-2</v>
      </c>
      <c r="CA196" s="146">
        <f t="shared" si="302"/>
        <v>2.2499999999999999E-2</v>
      </c>
      <c r="CB196" s="563"/>
      <c r="CC196" s="146">
        <f>CA196</f>
        <v>2.2499999999999999E-2</v>
      </c>
      <c r="CD196" s="146">
        <f t="shared" si="303"/>
        <v>2.2499999999999999E-2</v>
      </c>
      <c r="CE196" s="146">
        <f t="shared" si="303"/>
        <v>2.2499999999999999E-2</v>
      </c>
      <c r="CF196" s="146">
        <f t="shared" si="303"/>
        <v>2.2499999999999999E-2</v>
      </c>
      <c r="CG196" s="563"/>
      <c r="CH196" s="146">
        <f>CF196</f>
        <v>2.2499999999999999E-2</v>
      </c>
      <c r="CI196" s="146">
        <f t="shared" si="304"/>
        <v>2.2499999999999999E-2</v>
      </c>
      <c r="CJ196" s="146">
        <f t="shared" si="304"/>
        <v>2.2499999999999999E-2</v>
      </c>
      <c r="CK196" s="146">
        <f t="shared" si="304"/>
        <v>2.2499999999999999E-2</v>
      </c>
      <c r="CL196" s="563"/>
      <c r="CM196" s="146">
        <f>CK196</f>
        <v>2.2499999999999999E-2</v>
      </c>
      <c r="CN196" s="146">
        <f t="shared" si="305"/>
        <v>2.2499999999999999E-2</v>
      </c>
      <c r="CO196" s="146">
        <f t="shared" si="305"/>
        <v>2.2499999999999999E-2</v>
      </c>
      <c r="CP196" s="146">
        <f t="shared" si="305"/>
        <v>2.2499999999999999E-2</v>
      </c>
      <c r="CQ196" s="563"/>
      <c r="CR196" s="146">
        <f>CP196</f>
        <v>2.2499999999999999E-2</v>
      </c>
      <c r="CS196" s="146">
        <f t="shared" si="306"/>
        <v>2.2499999999999999E-2</v>
      </c>
      <c r="CT196" s="146">
        <f t="shared" si="307"/>
        <v>2.2499999999999999E-2</v>
      </c>
      <c r="CU196" s="146">
        <f t="shared" si="308"/>
        <v>2.2499999999999999E-2</v>
      </c>
      <c r="CV196" s="563"/>
      <c r="CW196" s="146">
        <f>CU196</f>
        <v>2.2499999999999999E-2</v>
      </c>
      <c r="CX196" s="146">
        <f t="shared" si="309"/>
        <v>2.2499999999999999E-2</v>
      </c>
      <c r="CY196" s="146">
        <f t="shared" si="310"/>
        <v>2.2499999999999999E-2</v>
      </c>
      <c r="CZ196" s="146">
        <f t="shared" si="311"/>
        <v>2.2499999999999999E-2</v>
      </c>
      <c r="DA196" s="563"/>
      <c r="DB196" s="146">
        <f>CZ196</f>
        <v>2.2499999999999999E-2</v>
      </c>
      <c r="DC196" s="146">
        <f t="shared" si="312"/>
        <v>2.2499999999999999E-2</v>
      </c>
      <c r="DD196" s="146">
        <f t="shared" si="313"/>
        <v>2.2499999999999999E-2</v>
      </c>
      <c r="DE196" s="146">
        <f t="shared" si="314"/>
        <v>2.2499999999999999E-2</v>
      </c>
      <c r="DF196" s="563"/>
    </row>
    <row r="197" spans="1:110" x14ac:dyDescent="0.2">
      <c r="B197" s="536" t="s">
        <v>197</v>
      </c>
      <c r="C197" s="145"/>
      <c r="D197" s="145"/>
      <c r="E197" s="145"/>
      <c r="F197" s="145"/>
      <c r="G197" s="145"/>
      <c r="H197" s="145"/>
      <c r="I197" s="145"/>
      <c r="J197" s="145"/>
      <c r="K197" s="145"/>
      <c r="L197" s="145"/>
      <c r="M197" s="145"/>
      <c r="N197" s="145"/>
      <c r="O197" s="145"/>
      <c r="P197" s="145"/>
      <c r="Q197" s="145"/>
      <c r="R197" s="145"/>
      <c r="S197" s="346"/>
      <c r="T197" s="346"/>
      <c r="U197" s="346"/>
      <c r="V197" s="326"/>
      <c r="W197" s="326"/>
      <c r="X197" s="326"/>
      <c r="Y197" s="340"/>
      <c r="Z197" s="346"/>
      <c r="AA197" s="346"/>
      <c r="AB197" s="346"/>
      <c r="AC197" s="346"/>
      <c r="AD197" s="340"/>
      <c r="AE197" s="346"/>
      <c r="AF197" s="346"/>
      <c r="AG197" s="346"/>
      <c r="AH197" s="346"/>
      <c r="AI197" s="340"/>
      <c r="AJ197" s="346"/>
      <c r="AK197" s="346"/>
      <c r="AL197" s="346"/>
      <c r="AM197" s="346"/>
      <c r="AN197" s="340"/>
      <c r="AO197" s="346"/>
      <c r="AP197" s="346"/>
      <c r="AQ197" s="346"/>
      <c r="AR197" s="346"/>
      <c r="AS197" s="340"/>
      <c r="AT197" s="346"/>
      <c r="AU197" s="623"/>
      <c r="AV197" s="625"/>
      <c r="AW197" s="625"/>
      <c r="AX197" s="340"/>
      <c r="AY197" s="346"/>
      <c r="AZ197" s="346"/>
      <c r="BA197" s="346"/>
      <c r="BB197" s="346"/>
      <c r="BC197" s="340"/>
      <c r="BD197" s="346"/>
      <c r="BE197" s="623"/>
      <c r="BF197" s="346"/>
      <c r="BG197" s="346"/>
      <c r="BH197" s="340"/>
      <c r="BI197" s="346"/>
      <c r="BJ197" s="346"/>
      <c r="BK197" s="346"/>
      <c r="BL197" s="346"/>
      <c r="BM197" s="340"/>
      <c r="BN197" s="346"/>
      <c r="BO197" s="346"/>
      <c r="BP197" s="346"/>
      <c r="BQ197" s="346"/>
      <c r="BR197" s="340"/>
      <c r="BS197" s="346">
        <f>BQ197</f>
        <v>0</v>
      </c>
      <c r="BT197" s="346">
        <v>1000</v>
      </c>
      <c r="BU197" s="346">
        <f t="shared" si="301"/>
        <v>1000</v>
      </c>
      <c r="BV197" s="346">
        <f t="shared" si="301"/>
        <v>1000</v>
      </c>
      <c r="BW197" s="340"/>
      <c r="BX197" s="346">
        <f>BV197</f>
        <v>1000</v>
      </c>
      <c r="BY197" s="346">
        <f t="shared" si="302"/>
        <v>1000</v>
      </c>
      <c r="BZ197" s="346">
        <f t="shared" si="302"/>
        <v>1000</v>
      </c>
      <c r="CA197" s="346">
        <f t="shared" si="302"/>
        <v>1000</v>
      </c>
      <c r="CB197" s="563"/>
      <c r="CC197" s="346">
        <f>CA197</f>
        <v>1000</v>
      </c>
      <c r="CD197" s="346">
        <f t="shared" si="303"/>
        <v>1000</v>
      </c>
      <c r="CE197" s="346">
        <f t="shared" si="303"/>
        <v>1000</v>
      </c>
      <c r="CF197" s="346">
        <f t="shared" si="303"/>
        <v>1000</v>
      </c>
      <c r="CG197" s="563"/>
      <c r="CH197" s="346">
        <f>CF197</f>
        <v>1000</v>
      </c>
      <c r="CI197" s="346">
        <f t="shared" si="304"/>
        <v>1000</v>
      </c>
      <c r="CJ197" s="346">
        <f t="shared" si="304"/>
        <v>1000</v>
      </c>
      <c r="CK197" s="346">
        <f t="shared" si="304"/>
        <v>1000</v>
      </c>
      <c r="CL197" s="563"/>
      <c r="CM197" s="346">
        <f>CK197</f>
        <v>1000</v>
      </c>
      <c r="CN197" s="346">
        <f t="shared" si="305"/>
        <v>1000</v>
      </c>
      <c r="CO197" s="346">
        <f t="shared" si="305"/>
        <v>1000</v>
      </c>
      <c r="CP197" s="346">
        <f t="shared" si="305"/>
        <v>1000</v>
      </c>
      <c r="CQ197" s="563"/>
      <c r="CR197" s="346">
        <f>CP197</f>
        <v>1000</v>
      </c>
      <c r="CS197" s="346">
        <f t="shared" si="306"/>
        <v>1000</v>
      </c>
      <c r="CT197" s="346">
        <f t="shared" si="307"/>
        <v>1000</v>
      </c>
      <c r="CU197" s="346">
        <f t="shared" si="308"/>
        <v>1000</v>
      </c>
      <c r="CV197" s="563"/>
      <c r="CW197" s="346">
        <f>CU197</f>
        <v>1000</v>
      </c>
      <c r="CX197" s="346">
        <f t="shared" si="309"/>
        <v>1000</v>
      </c>
      <c r="CY197" s="346">
        <f t="shared" si="310"/>
        <v>1000</v>
      </c>
      <c r="CZ197" s="346">
        <f t="shared" si="311"/>
        <v>1000</v>
      </c>
      <c r="DA197" s="563"/>
      <c r="DB197" s="346">
        <f>CZ197</f>
        <v>1000</v>
      </c>
      <c r="DC197" s="346">
        <f t="shared" si="312"/>
        <v>1000</v>
      </c>
      <c r="DD197" s="346">
        <f t="shared" si="313"/>
        <v>1000</v>
      </c>
      <c r="DE197" s="346">
        <f t="shared" si="314"/>
        <v>1000</v>
      </c>
      <c r="DF197" s="563"/>
    </row>
    <row r="198" spans="1:110" x14ac:dyDescent="0.2">
      <c r="B198" s="544" t="s">
        <v>198</v>
      </c>
      <c r="C198" s="145"/>
      <c r="D198" s="145"/>
      <c r="E198" s="145"/>
      <c r="F198" s="145"/>
      <c r="G198" s="145"/>
      <c r="H198" s="145"/>
      <c r="I198" s="145"/>
      <c r="J198" s="145"/>
      <c r="K198" s="145"/>
      <c r="L198" s="145"/>
      <c r="M198" s="145"/>
      <c r="N198" s="145"/>
      <c r="O198" s="145"/>
      <c r="P198" s="145"/>
      <c r="Q198" s="145"/>
      <c r="R198" s="145"/>
      <c r="S198" s="346"/>
      <c r="T198" s="346"/>
      <c r="U198" s="346"/>
      <c r="V198" s="326"/>
      <c r="W198" s="326"/>
      <c r="X198" s="326"/>
      <c r="Y198" s="340"/>
      <c r="Z198" s="346"/>
      <c r="AA198" s="346"/>
      <c r="AB198" s="346"/>
      <c r="AC198" s="346"/>
      <c r="AD198" s="340"/>
      <c r="AE198" s="346"/>
      <c r="AF198" s="346"/>
      <c r="AG198" s="346"/>
      <c r="AH198" s="346"/>
      <c r="AI198" s="340"/>
      <c r="AJ198" s="346"/>
      <c r="AK198" s="346"/>
      <c r="AL198" s="346"/>
      <c r="AM198" s="346"/>
      <c r="AN198" s="340"/>
      <c r="AO198" s="346"/>
      <c r="AP198" s="346"/>
      <c r="AQ198" s="346"/>
      <c r="AR198" s="346"/>
      <c r="AS198" s="340"/>
      <c r="AT198" s="346"/>
      <c r="AU198" s="623"/>
      <c r="AV198" s="625"/>
      <c r="AW198" s="625"/>
      <c r="AX198" s="340"/>
      <c r="AY198" s="346"/>
      <c r="AZ198" s="346"/>
      <c r="BA198" s="346"/>
      <c r="BB198" s="346"/>
      <c r="BC198" s="340"/>
      <c r="BD198" s="346"/>
      <c r="BE198" s="623"/>
      <c r="BF198" s="346"/>
      <c r="BG198" s="346"/>
      <c r="BH198" s="340"/>
      <c r="BI198" s="346"/>
      <c r="BJ198" s="346"/>
      <c r="BK198" s="346"/>
      <c r="BL198" s="346"/>
      <c r="BM198" s="340"/>
      <c r="BN198" s="346"/>
      <c r="BO198" s="346"/>
      <c r="BP198" s="346"/>
      <c r="BQ198" s="346"/>
      <c r="BR198" s="340"/>
      <c r="BS198" s="346">
        <f>BQ200</f>
        <v>0</v>
      </c>
      <c r="BT198" s="346">
        <v>0</v>
      </c>
      <c r="BU198" s="346">
        <f>BT200</f>
        <v>997.6</v>
      </c>
      <c r="BV198" s="346">
        <f>BU200</f>
        <v>997.7</v>
      </c>
      <c r="BW198" s="340"/>
      <c r="BX198" s="346">
        <f>BV200</f>
        <v>997.9</v>
      </c>
      <c r="BY198" s="346">
        <f>BX200</f>
        <v>998</v>
      </c>
      <c r="BZ198" s="346">
        <f>BY200</f>
        <v>998.1</v>
      </c>
      <c r="CA198" s="346">
        <f>BZ200</f>
        <v>998.2</v>
      </c>
      <c r="CB198" s="563"/>
      <c r="CC198" s="346">
        <f>CA200</f>
        <v>998.30000000000007</v>
      </c>
      <c r="CD198" s="346">
        <f>CC200</f>
        <v>998.40000000000009</v>
      </c>
      <c r="CE198" s="346">
        <f>CD200</f>
        <v>998.50000000000011</v>
      </c>
      <c r="CF198" s="346">
        <f>CE200</f>
        <v>994.60000000000014</v>
      </c>
      <c r="CG198" s="563"/>
      <c r="CH198" s="346">
        <f>CF200</f>
        <v>995.10000000000014</v>
      </c>
      <c r="CI198" s="346">
        <f>CH200</f>
        <v>995.10000000000014</v>
      </c>
      <c r="CJ198" s="346">
        <f>CI200</f>
        <v>995.10000000000014</v>
      </c>
      <c r="CK198" s="346">
        <f>CJ200</f>
        <v>995.10000000000014</v>
      </c>
      <c r="CL198" s="563"/>
      <c r="CM198" s="346">
        <f>CK200</f>
        <v>995.10000000000014</v>
      </c>
      <c r="CN198" s="346">
        <f>CM200</f>
        <v>995.10000000000014</v>
      </c>
      <c r="CO198" s="346">
        <f>CN200</f>
        <v>995.10000000000014</v>
      </c>
      <c r="CP198" s="346">
        <f>CO200</f>
        <v>995.10000000000014</v>
      </c>
      <c r="CQ198" s="563"/>
      <c r="CR198" s="346">
        <f>CP200</f>
        <v>995.10000000000014</v>
      </c>
      <c r="CS198" s="346">
        <f>CR200</f>
        <v>995.10000000000014</v>
      </c>
      <c r="CT198" s="346">
        <f>CS200</f>
        <v>0</v>
      </c>
      <c r="CU198" s="346">
        <f>CT200</f>
        <v>0</v>
      </c>
      <c r="CV198" s="563"/>
      <c r="CW198" s="346">
        <f>CU200</f>
        <v>0</v>
      </c>
      <c r="CX198" s="346">
        <f>CW200</f>
        <v>0</v>
      </c>
      <c r="CY198" s="346">
        <f>CX200</f>
        <v>-995.1</v>
      </c>
      <c r="CZ198" s="346">
        <f>CY200</f>
        <v>-995.1</v>
      </c>
      <c r="DA198" s="563"/>
      <c r="DB198" s="346">
        <f>CZ200</f>
        <v>-995.1</v>
      </c>
      <c r="DC198" s="346">
        <f>DB200</f>
        <v>-995.1</v>
      </c>
      <c r="DD198" s="346">
        <f>DC200</f>
        <v>-1990.2</v>
      </c>
      <c r="DE198" s="346">
        <f>DD200</f>
        <v>-1990.2</v>
      </c>
      <c r="DF198" s="563"/>
    </row>
    <row r="199" spans="1:110" x14ac:dyDescent="0.2">
      <c r="B199" s="589" t="s">
        <v>199</v>
      </c>
      <c r="C199" s="359"/>
      <c r="D199" s="359"/>
      <c r="E199" s="359"/>
      <c r="F199" s="359"/>
      <c r="G199" s="359"/>
      <c r="H199" s="359"/>
      <c r="I199" s="359"/>
      <c r="J199" s="359"/>
      <c r="K199" s="359"/>
      <c r="L199" s="359"/>
      <c r="M199" s="359"/>
      <c r="N199" s="359"/>
      <c r="O199" s="359"/>
      <c r="P199" s="359"/>
      <c r="Q199" s="359"/>
      <c r="R199" s="359"/>
      <c r="S199" s="347"/>
      <c r="T199" s="347"/>
      <c r="U199" s="347"/>
      <c r="V199" s="377"/>
      <c r="W199" s="377"/>
      <c r="X199" s="377"/>
      <c r="Y199" s="343"/>
      <c r="Z199" s="347"/>
      <c r="AA199" s="347"/>
      <c r="AB199" s="347"/>
      <c r="AC199" s="347"/>
      <c r="AD199" s="343"/>
      <c r="AE199" s="347"/>
      <c r="AF199" s="347"/>
      <c r="AG199" s="347"/>
      <c r="AH199" s="347"/>
      <c r="AI199" s="343"/>
      <c r="AJ199" s="347"/>
      <c r="AK199" s="347"/>
      <c r="AL199" s="347"/>
      <c r="AM199" s="347"/>
      <c r="AN199" s="343"/>
      <c r="AO199" s="347"/>
      <c r="AP199" s="347"/>
      <c r="AQ199" s="347"/>
      <c r="AR199" s="347"/>
      <c r="AS199" s="343"/>
      <c r="AT199" s="347"/>
      <c r="AU199" s="629"/>
      <c r="AV199" s="642"/>
      <c r="AW199" s="629"/>
      <c r="AX199" s="343"/>
      <c r="AY199" s="347"/>
      <c r="AZ199" s="347"/>
      <c r="BA199" s="347"/>
      <c r="BB199" s="347"/>
      <c r="BC199" s="343"/>
      <c r="BD199" s="347"/>
      <c r="BE199" s="629"/>
      <c r="BF199" s="347"/>
      <c r="BG199" s="347"/>
      <c r="BH199" s="343"/>
      <c r="BI199" s="347"/>
      <c r="BJ199" s="347"/>
      <c r="BK199" s="347"/>
      <c r="BL199" s="348"/>
      <c r="BM199" s="343"/>
      <c r="BN199" s="348"/>
      <c r="BO199" s="347"/>
      <c r="BP199" s="348"/>
      <c r="BQ199" s="347"/>
      <c r="BR199" s="343"/>
      <c r="BS199" s="347">
        <f>BQ199</f>
        <v>0</v>
      </c>
      <c r="BT199" s="347">
        <v>997.6</v>
      </c>
      <c r="BU199" s="347">
        <f>BU200-BU198</f>
        <v>0.10000000000002274</v>
      </c>
      <c r="BV199" s="347">
        <f>BV200-BV198</f>
        <v>0.19999999999993179</v>
      </c>
      <c r="BW199" s="343"/>
      <c r="BX199" s="347">
        <f>998-BX198</f>
        <v>0.10000000000002274</v>
      </c>
      <c r="BY199" s="347">
        <f>BX199</f>
        <v>0.10000000000002274</v>
      </c>
      <c r="BZ199" s="347">
        <f>BY199</f>
        <v>0.10000000000002274</v>
      </c>
      <c r="CA199" s="347">
        <f>BZ199</f>
        <v>0.10000000000002274</v>
      </c>
      <c r="CB199" s="585"/>
      <c r="CC199" s="347">
        <f>CA199</f>
        <v>0.10000000000002274</v>
      </c>
      <c r="CD199" s="347">
        <f>CC199</f>
        <v>0.10000000000002274</v>
      </c>
      <c r="CE199" s="347">
        <v>-3.9</v>
      </c>
      <c r="CF199" s="347">
        <v>0.5</v>
      </c>
      <c r="CG199" s="585"/>
      <c r="CH199" s="347">
        <v>0</v>
      </c>
      <c r="CI199" s="347">
        <f>CH199</f>
        <v>0</v>
      </c>
      <c r="CJ199" s="347">
        <f>CI199</f>
        <v>0</v>
      </c>
      <c r="CK199" s="347">
        <f>CJ199</f>
        <v>0</v>
      </c>
      <c r="CL199" s="585"/>
      <c r="CM199" s="347">
        <f>CK199</f>
        <v>0</v>
      </c>
      <c r="CN199" s="347">
        <f>CM199</f>
        <v>0</v>
      </c>
      <c r="CO199" s="347">
        <f>CN199</f>
        <v>0</v>
      </c>
      <c r="CP199" s="347">
        <f>CO199</f>
        <v>0</v>
      </c>
      <c r="CQ199" s="585"/>
      <c r="CR199" s="347">
        <f>CP199</f>
        <v>0</v>
      </c>
      <c r="CS199" s="347">
        <v>-995.1</v>
      </c>
      <c r="CT199" s="347">
        <v>0</v>
      </c>
      <c r="CU199" s="347">
        <f>CT199</f>
        <v>0</v>
      </c>
      <c r="CV199" s="585"/>
      <c r="CW199" s="347">
        <f>CU199</f>
        <v>0</v>
      </c>
      <c r="CX199" s="347">
        <v>-995.1</v>
      </c>
      <c r="CY199" s="347">
        <v>0</v>
      </c>
      <c r="CZ199" s="347">
        <f>CY199</f>
        <v>0</v>
      </c>
      <c r="DA199" s="585"/>
      <c r="DB199" s="347">
        <f>CZ199</f>
        <v>0</v>
      </c>
      <c r="DC199" s="347">
        <v>-995.1</v>
      </c>
      <c r="DD199" s="347">
        <v>0</v>
      </c>
      <c r="DE199" s="347">
        <f>DD199</f>
        <v>0</v>
      </c>
      <c r="DF199" s="585"/>
    </row>
    <row r="200" spans="1:110" x14ac:dyDescent="0.2">
      <c r="B200" s="544" t="s">
        <v>200</v>
      </c>
      <c r="C200" s="145"/>
      <c r="D200" s="145"/>
      <c r="E200" s="145"/>
      <c r="F200" s="145"/>
      <c r="G200" s="145"/>
      <c r="H200" s="145"/>
      <c r="I200" s="145"/>
      <c r="J200" s="145"/>
      <c r="K200" s="145"/>
      <c r="L200" s="145"/>
      <c r="M200" s="145"/>
      <c r="N200" s="145"/>
      <c r="O200" s="145"/>
      <c r="P200" s="145"/>
      <c r="Q200" s="145"/>
      <c r="R200" s="145"/>
      <c r="S200" s="346"/>
      <c r="T200" s="346"/>
      <c r="U200" s="346"/>
      <c r="V200" s="326"/>
      <c r="W200" s="326"/>
      <c r="X200" s="326"/>
      <c r="Y200" s="340"/>
      <c r="Z200" s="346"/>
      <c r="AA200" s="346"/>
      <c r="AB200" s="346"/>
      <c r="AC200" s="346"/>
      <c r="AD200" s="340"/>
      <c r="AE200" s="346"/>
      <c r="AF200" s="346"/>
      <c r="AG200" s="346"/>
      <c r="AH200" s="346"/>
      <c r="AI200" s="340"/>
      <c r="AJ200" s="346"/>
      <c r="AK200" s="346"/>
      <c r="AL200" s="346"/>
      <c r="AM200" s="346"/>
      <c r="AN200" s="340"/>
      <c r="AO200" s="346"/>
      <c r="AP200" s="346"/>
      <c r="AQ200" s="346"/>
      <c r="AR200" s="346"/>
      <c r="AS200" s="340"/>
      <c r="AT200" s="346"/>
      <c r="AU200" s="625"/>
      <c r="AV200" s="625"/>
      <c r="AW200" s="625"/>
      <c r="AX200" s="340"/>
      <c r="AY200" s="346"/>
      <c r="AZ200" s="346"/>
      <c r="BA200" s="346"/>
      <c r="BB200" s="346"/>
      <c r="BC200" s="340"/>
      <c r="BD200" s="346"/>
      <c r="BE200" s="625"/>
      <c r="BF200" s="346"/>
      <c r="BG200" s="346"/>
      <c r="BH200" s="340"/>
      <c r="BI200" s="346"/>
      <c r="BJ200" s="346"/>
      <c r="BK200" s="346"/>
      <c r="BL200" s="346"/>
      <c r="BM200" s="340"/>
      <c r="BN200" s="346"/>
      <c r="BO200" s="346"/>
      <c r="BP200" s="346"/>
      <c r="BQ200" s="346"/>
      <c r="BR200" s="340"/>
      <c r="BS200" s="354">
        <v>0</v>
      </c>
      <c r="BT200" s="346">
        <f>BT198+BT199</f>
        <v>997.6</v>
      </c>
      <c r="BU200" s="346">
        <v>997.7</v>
      </c>
      <c r="BV200" s="346">
        <v>997.9</v>
      </c>
      <c r="BW200" s="340"/>
      <c r="BX200" s="346">
        <f>BX198+BX199</f>
        <v>998</v>
      </c>
      <c r="BY200" s="346">
        <f>BY198+BY199</f>
        <v>998.1</v>
      </c>
      <c r="BZ200" s="346">
        <f>BZ198+BZ199</f>
        <v>998.2</v>
      </c>
      <c r="CA200" s="346">
        <f>CA198+CA199</f>
        <v>998.30000000000007</v>
      </c>
      <c r="CB200" s="563"/>
      <c r="CC200" s="346">
        <f>CC198+CC199</f>
        <v>998.40000000000009</v>
      </c>
      <c r="CD200" s="346">
        <f>CD198+CD199</f>
        <v>998.50000000000011</v>
      </c>
      <c r="CE200" s="346">
        <f>CE198+CE199</f>
        <v>994.60000000000014</v>
      </c>
      <c r="CF200" s="346">
        <f>CF198+CF199</f>
        <v>995.10000000000014</v>
      </c>
      <c r="CG200" s="563"/>
      <c r="CH200" s="346">
        <f>CH198+CH199</f>
        <v>995.10000000000014</v>
      </c>
      <c r="CI200" s="346">
        <f>CI198+CI199</f>
        <v>995.10000000000014</v>
      </c>
      <c r="CJ200" s="346">
        <f>CJ198+CJ199</f>
        <v>995.10000000000014</v>
      </c>
      <c r="CK200" s="346">
        <f>CK198+CK199</f>
        <v>995.10000000000014</v>
      </c>
      <c r="CL200" s="563"/>
      <c r="CM200" s="346">
        <f>CM198+CM199</f>
        <v>995.10000000000014</v>
      </c>
      <c r="CN200" s="346">
        <f>CN198+CN199</f>
        <v>995.10000000000014</v>
      </c>
      <c r="CO200" s="346">
        <f>CO198+CO199</f>
        <v>995.10000000000014</v>
      </c>
      <c r="CP200" s="346">
        <f>CP198+CP199</f>
        <v>995.10000000000014</v>
      </c>
      <c r="CQ200" s="563"/>
      <c r="CR200" s="346">
        <f>CR198+CR199</f>
        <v>995.10000000000014</v>
      </c>
      <c r="CS200" s="346">
        <f>CS198+CS199</f>
        <v>0</v>
      </c>
      <c r="CT200" s="346">
        <f>CT198+CT199</f>
        <v>0</v>
      </c>
      <c r="CU200" s="346">
        <f>CU198+CU199</f>
        <v>0</v>
      </c>
      <c r="CV200" s="563"/>
      <c r="CW200" s="346">
        <f>CW198+CW199</f>
        <v>0</v>
      </c>
      <c r="CX200" s="346">
        <f>CX198+CX199</f>
        <v>-995.1</v>
      </c>
      <c r="CY200" s="346">
        <f>CY198+CY199</f>
        <v>-995.1</v>
      </c>
      <c r="CZ200" s="346">
        <f>CZ198+CZ199</f>
        <v>-995.1</v>
      </c>
      <c r="DA200" s="563"/>
      <c r="DB200" s="346">
        <f>DB198+DB199</f>
        <v>-995.1</v>
      </c>
      <c r="DC200" s="346">
        <f>DC198+DC199</f>
        <v>-1990.2</v>
      </c>
      <c r="DD200" s="346">
        <f>DD198+DD199</f>
        <v>-1990.2</v>
      </c>
      <c r="DE200" s="346">
        <f>DE198+DE199</f>
        <v>-1990.2</v>
      </c>
      <c r="DF200" s="563"/>
    </row>
    <row r="201" spans="1:110" x14ac:dyDescent="0.2">
      <c r="B201" s="536" t="s">
        <v>201</v>
      </c>
      <c r="C201" s="145"/>
      <c r="D201" s="145"/>
      <c r="E201" s="145"/>
      <c r="F201" s="145"/>
      <c r="G201" s="145"/>
      <c r="H201" s="145"/>
      <c r="I201" s="145"/>
      <c r="J201" s="145"/>
      <c r="K201" s="145"/>
      <c r="L201" s="145"/>
      <c r="M201" s="145"/>
      <c r="N201" s="145"/>
      <c r="O201" s="145"/>
      <c r="P201" s="145"/>
      <c r="Q201" s="145"/>
      <c r="R201" s="145"/>
      <c r="S201" s="346"/>
      <c r="T201" s="346"/>
      <c r="U201" s="346"/>
      <c r="V201" s="326"/>
      <c r="W201" s="326"/>
      <c r="X201" s="326"/>
      <c r="Y201" s="340"/>
      <c r="Z201" s="346"/>
      <c r="AA201" s="346"/>
      <c r="AB201" s="346"/>
      <c r="AC201" s="346"/>
      <c r="AD201" s="340"/>
      <c r="AE201" s="346"/>
      <c r="AF201" s="346"/>
      <c r="AG201" s="346"/>
      <c r="AH201" s="346"/>
      <c r="AI201" s="340"/>
      <c r="AJ201" s="346"/>
      <c r="AK201" s="346"/>
      <c r="AL201" s="346"/>
      <c r="AM201" s="346"/>
      <c r="AN201" s="340"/>
      <c r="AO201" s="346"/>
      <c r="AP201" s="346"/>
      <c r="AQ201" s="346"/>
      <c r="AR201" s="346"/>
      <c r="AS201" s="340"/>
      <c r="AT201" s="346"/>
      <c r="AU201" s="625"/>
      <c r="AV201" s="625"/>
      <c r="AW201" s="625"/>
      <c r="AX201" s="340"/>
      <c r="AY201" s="346"/>
      <c r="AZ201" s="346"/>
      <c r="BA201" s="346"/>
      <c r="BB201" s="346"/>
      <c r="BC201" s="340"/>
      <c r="BD201" s="346"/>
      <c r="BE201" s="625"/>
      <c r="BF201" s="346"/>
      <c r="BG201" s="346"/>
      <c r="BH201" s="340"/>
      <c r="BI201" s="346"/>
      <c r="BJ201" s="346"/>
      <c r="BK201" s="346"/>
      <c r="BL201" s="346"/>
      <c r="BM201" s="340"/>
      <c r="BN201" s="346"/>
      <c r="BO201" s="346"/>
      <c r="BP201" s="346"/>
      <c r="BQ201" s="346"/>
      <c r="BR201" s="340"/>
      <c r="BS201" s="346">
        <f>BS197-BS200</f>
        <v>0</v>
      </c>
      <c r="BT201" s="346">
        <f>BT197-BT200</f>
        <v>2.3999999999999773</v>
      </c>
      <c r="BU201" s="346">
        <f>BU197-BU200</f>
        <v>2.2999999999999545</v>
      </c>
      <c r="BV201" s="346">
        <f>BV197-BV200</f>
        <v>2.1000000000000227</v>
      </c>
      <c r="BW201" s="340"/>
      <c r="BX201" s="346">
        <f>BX197-BX200</f>
        <v>2</v>
      </c>
      <c r="BY201" s="346">
        <f>BY197-BY200</f>
        <v>1.8999999999999773</v>
      </c>
      <c r="BZ201" s="346">
        <f>BZ197-BZ200</f>
        <v>1.7999999999999545</v>
      </c>
      <c r="CA201" s="346">
        <f>CA197-CA200</f>
        <v>1.6999999999999318</v>
      </c>
      <c r="CB201" s="563"/>
      <c r="CC201" s="346">
        <f>CC197-CC200</f>
        <v>1.5999999999999091</v>
      </c>
      <c r="CD201" s="346">
        <f>CD197-CD200</f>
        <v>1.4999999999998863</v>
      </c>
      <c r="CE201" s="346">
        <f>CE197-CE200</f>
        <v>5.3999999999998636</v>
      </c>
      <c r="CF201" s="346">
        <f>CF197-CF200</f>
        <v>4.8999999999998636</v>
      </c>
      <c r="CG201" s="563"/>
      <c r="CH201" s="346">
        <f>CH197-CH200</f>
        <v>4.8999999999998636</v>
      </c>
      <c r="CI201" s="346">
        <f>CI197-CI200</f>
        <v>4.8999999999998636</v>
      </c>
      <c r="CJ201" s="346">
        <f>CJ197-CJ200</f>
        <v>4.8999999999998636</v>
      </c>
      <c r="CK201" s="346">
        <f>CK197-CK200</f>
        <v>4.8999999999998636</v>
      </c>
      <c r="CL201" s="563"/>
      <c r="CM201" s="346">
        <f>CM197-CM200</f>
        <v>4.8999999999998636</v>
      </c>
      <c r="CN201" s="346">
        <f>CN197-CN200</f>
        <v>4.8999999999998636</v>
      </c>
      <c r="CO201" s="346">
        <f>CO197-CO200</f>
        <v>4.8999999999998636</v>
      </c>
      <c r="CP201" s="346">
        <f>CP197-CP200</f>
        <v>4.8999999999998636</v>
      </c>
      <c r="CQ201" s="563"/>
      <c r="CR201" s="346">
        <f>CR197-CR200</f>
        <v>4.8999999999998636</v>
      </c>
      <c r="CS201" s="346">
        <f>CS197-CS200</f>
        <v>1000</v>
      </c>
      <c r="CT201" s="346">
        <f>CT197-CT200</f>
        <v>1000</v>
      </c>
      <c r="CU201" s="346">
        <f>CU197-CU200</f>
        <v>1000</v>
      </c>
      <c r="CV201" s="563"/>
      <c r="CW201" s="346">
        <f>CW197-CW200</f>
        <v>1000</v>
      </c>
      <c r="CX201" s="346">
        <f>CX197-CX200</f>
        <v>1995.1</v>
      </c>
      <c r="CY201" s="346">
        <f>CY197-CY200</f>
        <v>1995.1</v>
      </c>
      <c r="CZ201" s="346">
        <f>CZ197-CZ200</f>
        <v>1995.1</v>
      </c>
      <c r="DA201" s="563"/>
      <c r="DB201" s="346">
        <f>DB197-DB200</f>
        <v>1995.1</v>
      </c>
      <c r="DC201" s="346">
        <f>DC197-DC200</f>
        <v>2990.2</v>
      </c>
      <c r="DD201" s="346">
        <f>DD197-DD200</f>
        <v>2990.2</v>
      </c>
      <c r="DE201" s="346">
        <f>DE197-DE200</f>
        <v>2990.2</v>
      </c>
      <c r="DF201" s="563"/>
    </row>
    <row r="202" spans="1:110" x14ac:dyDescent="0.2">
      <c r="B202" s="544" t="s">
        <v>206</v>
      </c>
      <c r="C202" s="145"/>
      <c r="D202" s="145"/>
      <c r="E202" s="145"/>
      <c r="F202" s="145"/>
      <c r="G202" s="145"/>
      <c r="H202" s="145"/>
      <c r="I202" s="145"/>
      <c r="J202" s="145"/>
      <c r="K202" s="145"/>
      <c r="L202" s="145"/>
      <c r="M202" s="145"/>
      <c r="N202" s="145"/>
      <c r="O202" s="145"/>
      <c r="P202" s="145"/>
      <c r="Q202" s="145"/>
      <c r="R202" s="145"/>
      <c r="S202" s="346"/>
      <c r="T202" s="346"/>
      <c r="U202" s="346"/>
      <c r="V202" s="326"/>
      <c r="W202" s="326"/>
      <c r="X202" s="326"/>
      <c r="Y202" s="340"/>
      <c r="Z202" s="346"/>
      <c r="AA202" s="346"/>
      <c r="AB202" s="346"/>
      <c r="AC202" s="346"/>
      <c r="AD202" s="340"/>
      <c r="AE202" s="346"/>
      <c r="AF202" s="346"/>
      <c r="AG202" s="346"/>
      <c r="AH202" s="346"/>
      <c r="AI202" s="340"/>
      <c r="AJ202" s="346"/>
      <c r="AK202" s="346"/>
      <c r="AL202" s="346"/>
      <c r="AM202" s="346"/>
      <c r="AN202" s="340"/>
      <c r="AO202" s="346"/>
      <c r="AP202" s="346"/>
      <c r="AQ202" s="346"/>
      <c r="AR202" s="346"/>
      <c r="AS202" s="340"/>
      <c r="AT202" s="346"/>
      <c r="AU202" s="625"/>
      <c r="AV202" s="625"/>
      <c r="AW202" s="625"/>
      <c r="AX202" s="340"/>
      <c r="AY202" s="346"/>
      <c r="AZ202" s="346"/>
      <c r="BA202" s="346"/>
      <c r="BB202" s="346"/>
      <c r="BC202" s="340"/>
      <c r="BD202" s="346"/>
      <c r="BE202" s="625"/>
      <c r="BF202" s="346"/>
      <c r="BG202" s="346"/>
      <c r="BH202" s="340"/>
      <c r="BI202" s="346"/>
      <c r="BJ202" s="346"/>
      <c r="BK202" s="346"/>
      <c r="BL202" s="346"/>
      <c r="BM202" s="340"/>
      <c r="BN202" s="346"/>
      <c r="BO202" s="346"/>
      <c r="BP202" s="346"/>
      <c r="BQ202" s="346"/>
      <c r="BR202" s="340"/>
      <c r="BS202" s="346">
        <f>-(AVERAGE(BS200,BS198))*(BS196/4)</f>
        <v>0</v>
      </c>
      <c r="BT202" s="346">
        <f>-(AVERAGE(BT200,BT198))*(BT196/4)</f>
        <v>-2.8057499999999997</v>
      </c>
      <c r="BU202" s="346">
        <f>-(AVERAGE(BU200,BU198))*(BU196/4)</f>
        <v>-5.6117812499999999</v>
      </c>
      <c r="BV202" s="346">
        <f>-(AVERAGE(BV200,BV198))*(BV196/4)</f>
        <v>-5.6126249999999995</v>
      </c>
      <c r="BW202" s="340"/>
      <c r="BX202" s="346">
        <f>-(AVERAGE(BX200,BX198))*(BX196/4)</f>
        <v>-5.61346875</v>
      </c>
      <c r="BY202" s="346">
        <f>-(AVERAGE(BY200,BY198))*(BY196/4)</f>
        <v>-5.6140312499999991</v>
      </c>
      <c r="BZ202" s="346">
        <f>-(AVERAGE(BZ200,BZ198))*(BZ196/4)</f>
        <v>-5.61459375</v>
      </c>
      <c r="CA202" s="346">
        <f>-(AVERAGE(CA200,CA198))*(CA196/4)</f>
        <v>-5.6151562500000001</v>
      </c>
      <c r="CB202" s="563"/>
      <c r="CC202" s="346">
        <f>-(AVERAGE(CC200,CC198))*(CC196/4)</f>
        <v>-5.615718750000001</v>
      </c>
      <c r="CD202" s="346">
        <f>-(AVERAGE(CD200,CD198))*(CD196/4)</f>
        <v>-5.6162812500000001</v>
      </c>
      <c r="CE202" s="346">
        <f>-(AVERAGE(CE200,CE198))*(CE196/4)</f>
        <v>-5.6055937500000006</v>
      </c>
      <c r="CF202" s="346">
        <f>-(AVERAGE(CF200,CF198))*(CF196/4)</f>
        <v>-5.5960312500000002</v>
      </c>
      <c r="CG202" s="563"/>
      <c r="CH202" s="346">
        <f>-(AVERAGE(CH200,CH198))*(CH196/4)</f>
        <v>-5.5974375000000007</v>
      </c>
      <c r="CI202" s="346">
        <f>-(AVERAGE(CI200,CI198))*(CI196/4)</f>
        <v>-5.5974375000000007</v>
      </c>
      <c r="CJ202" s="346">
        <f>-(AVERAGE(CJ200,CJ198))*(CJ196/4)</f>
        <v>-5.5974375000000007</v>
      </c>
      <c r="CK202" s="346">
        <f>-(AVERAGE(CK200,CK198))*(CK196/4)</f>
        <v>-5.5974375000000007</v>
      </c>
      <c r="CL202" s="563"/>
      <c r="CM202" s="346">
        <f>-(AVERAGE(CM200,CM198))*(CM196/4)</f>
        <v>-5.5974375000000007</v>
      </c>
      <c r="CN202" s="346">
        <f>-(AVERAGE(CN200,CN198))*(CN196/4)</f>
        <v>-5.5974375000000007</v>
      </c>
      <c r="CO202" s="346">
        <f>-(AVERAGE(CO200,CO198))*(CO196/4)</f>
        <v>-5.5974375000000007</v>
      </c>
      <c r="CP202" s="346">
        <f>-(AVERAGE(CP200,CP198))*(CP196/4)</f>
        <v>-5.5974375000000007</v>
      </c>
      <c r="CQ202" s="563"/>
      <c r="CR202" s="346">
        <f>-(AVERAGE(CR200,CR198))*(CR196/4)</f>
        <v>-5.5974375000000007</v>
      </c>
      <c r="CS202" s="346">
        <f>-(AVERAGE(CS200,CS198))*(CS196/4)</f>
        <v>-2.7987187500000004</v>
      </c>
      <c r="CT202" s="346">
        <f>-(AVERAGE(CT200,CT198))*(CT196/4)</f>
        <v>0</v>
      </c>
      <c r="CU202" s="346">
        <f>-(AVERAGE(CU200,CU198))*(CU196/4)</f>
        <v>0</v>
      </c>
      <c r="CV202" s="563"/>
      <c r="CW202" s="346">
        <f>-(AVERAGE(CW200,CW198))*(CW196/4)</f>
        <v>0</v>
      </c>
      <c r="CX202" s="346">
        <f>-(AVERAGE(CX200,CX198))*(CX196/4)</f>
        <v>2.7987187499999999</v>
      </c>
      <c r="CY202" s="346">
        <f>-(AVERAGE(CY200,CY198))*(CY196/4)</f>
        <v>5.5974374999999998</v>
      </c>
      <c r="CZ202" s="346">
        <f>-(AVERAGE(CZ200,CZ198))*(CZ196/4)</f>
        <v>5.5974374999999998</v>
      </c>
      <c r="DA202" s="563"/>
      <c r="DB202" s="346">
        <f>-(AVERAGE(DB200,DB198))*(DB196/4)</f>
        <v>5.5974374999999998</v>
      </c>
      <c r="DC202" s="346">
        <f>-(AVERAGE(DC200,DC198))*(DC196/4)</f>
        <v>8.3961562500000007</v>
      </c>
      <c r="DD202" s="346">
        <f>-(AVERAGE(DD200,DD198))*(DD196/4)</f>
        <v>11.194875</v>
      </c>
      <c r="DE202" s="346">
        <f>-(AVERAGE(DE200,DE198))*(DE196/4)</f>
        <v>11.194875</v>
      </c>
      <c r="DF202" s="563"/>
    </row>
    <row r="203" spans="1:110" ht="12" thickBot="1" x14ac:dyDescent="0.25">
      <c r="B203" s="548" t="s">
        <v>207</v>
      </c>
      <c r="C203" s="205"/>
      <c r="D203" s="205"/>
      <c r="E203" s="205"/>
      <c r="F203" s="205"/>
      <c r="G203" s="205"/>
      <c r="H203" s="205"/>
      <c r="I203" s="205"/>
      <c r="J203" s="205"/>
      <c r="K203" s="205"/>
      <c r="L203" s="205"/>
      <c r="M203" s="205"/>
      <c r="N203" s="205"/>
      <c r="O203" s="205"/>
      <c r="P203" s="205"/>
      <c r="Q203" s="205"/>
      <c r="R203" s="205"/>
      <c r="S203" s="549"/>
      <c r="T203" s="549"/>
      <c r="U203" s="549"/>
      <c r="V203" s="327"/>
      <c r="W203" s="327"/>
      <c r="X203" s="327"/>
      <c r="Y203" s="550"/>
      <c r="Z203" s="549"/>
      <c r="AA203" s="549"/>
      <c r="AB203" s="549"/>
      <c r="AC203" s="549"/>
      <c r="AD203" s="550"/>
      <c r="AE203" s="549"/>
      <c r="AF203" s="549"/>
      <c r="AG203" s="549"/>
      <c r="AH203" s="549"/>
      <c r="AI203" s="550"/>
      <c r="AJ203" s="549"/>
      <c r="AK203" s="549"/>
      <c r="AL203" s="549"/>
      <c r="AM203" s="549"/>
      <c r="AN203" s="550"/>
      <c r="AO203" s="549"/>
      <c r="AP203" s="549"/>
      <c r="AQ203" s="549"/>
      <c r="AR203" s="549"/>
      <c r="AS203" s="550"/>
      <c r="AT203" s="549"/>
      <c r="AU203" s="549"/>
      <c r="AV203" s="549"/>
      <c r="AW203" s="549"/>
      <c r="AX203" s="550"/>
      <c r="AY203" s="549"/>
      <c r="AZ203" s="549"/>
      <c r="BA203" s="549"/>
      <c r="BB203" s="549"/>
      <c r="BC203" s="550"/>
      <c r="BD203" s="549"/>
      <c r="BE203" s="549"/>
      <c r="BF203" s="549"/>
      <c r="BG203" s="549"/>
      <c r="BH203" s="550"/>
      <c r="BI203" s="549"/>
      <c r="BJ203" s="549"/>
      <c r="BK203" s="549"/>
      <c r="BL203" s="549"/>
      <c r="BM203" s="550"/>
      <c r="BN203" s="549"/>
      <c r="BO203" s="549"/>
      <c r="BP203" s="549"/>
      <c r="BQ203" s="549"/>
      <c r="BR203" s="550"/>
      <c r="BS203" s="549">
        <f>-BS195*BS201/4</f>
        <v>0</v>
      </c>
      <c r="BT203" s="549">
        <f>-BT195*BT201/4</f>
        <v>0</v>
      </c>
      <c r="BU203" s="549">
        <f>-BU195*BU201/4</f>
        <v>0</v>
      </c>
      <c r="BV203" s="549">
        <f>-BV195*BV201/4</f>
        <v>0</v>
      </c>
      <c r="BW203" s="550"/>
      <c r="BX203" s="549">
        <f>-BX195*BX201/4</f>
        <v>0</v>
      </c>
      <c r="BY203" s="549">
        <f>-BY195*BY201/4</f>
        <v>0</v>
      </c>
      <c r="BZ203" s="549">
        <f>-BZ195*BZ201/4</f>
        <v>0</v>
      </c>
      <c r="CA203" s="549">
        <f>-CA195*CA201/4</f>
        <v>0</v>
      </c>
      <c r="CB203" s="565"/>
      <c r="CC203" s="549">
        <f>-CC195*CC201/4</f>
        <v>0</v>
      </c>
      <c r="CD203" s="549">
        <f>-CD195*CD201/4</f>
        <v>0</v>
      </c>
      <c r="CE203" s="549">
        <f>-CE195*CE201/4</f>
        <v>0</v>
      </c>
      <c r="CF203" s="549">
        <f>-CF195*CF201/4</f>
        <v>0</v>
      </c>
      <c r="CG203" s="565"/>
      <c r="CH203" s="549">
        <f>-CH195*CH201/4</f>
        <v>0</v>
      </c>
      <c r="CI203" s="549">
        <f>-CI195*CI201/4</f>
        <v>0</v>
      </c>
      <c r="CJ203" s="549">
        <f>-CJ195*CJ201/4</f>
        <v>0</v>
      </c>
      <c r="CK203" s="549">
        <f>-CK195*CK201/4</f>
        <v>0</v>
      </c>
      <c r="CL203" s="565"/>
      <c r="CM203" s="549">
        <f>-CM195*CM201/4</f>
        <v>0</v>
      </c>
      <c r="CN203" s="549">
        <f>-CN195*CN201/4</f>
        <v>0</v>
      </c>
      <c r="CO203" s="549">
        <f>-CO195*CO201/4</f>
        <v>0</v>
      </c>
      <c r="CP203" s="549">
        <f>-CP195*CP201/4</f>
        <v>0</v>
      </c>
      <c r="CQ203" s="565"/>
      <c r="CR203" s="549">
        <f>-CR195*CR201/4</f>
        <v>0</v>
      </c>
      <c r="CS203" s="549">
        <f>-CS195*CS201/4</f>
        <v>0</v>
      </c>
      <c r="CT203" s="549">
        <f>-CT195*CT201/4</f>
        <v>0</v>
      </c>
      <c r="CU203" s="549">
        <f>-CU195*CU201/4</f>
        <v>0</v>
      </c>
      <c r="CV203" s="565"/>
      <c r="CW203" s="549">
        <f>-CW195*CW201/4</f>
        <v>0</v>
      </c>
      <c r="CX203" s="549">
        <f>-CX195*CX201/4</f>
        <v>0</v>
      </c>
      <c r="CY203" s="549">
        <f>-CY195*CY201/4</f>
        <v>0</v>
      </c>
      <c r="CZ203" s="549">
        <f>-CZ195*CZ201/4</f>
        <v>0</v>
      </c>
      <c r="DA203" s="565"/>
      <c r="DB203" s="549">
        <f>-DB195*DB201/4</f>
        <v>0</v>
      </c>
      <c r="DC203" s="549">
        <f>-DC195*DC201/4</f>
        <v>0</v>
      </c>
      <c r="DD203" s="549">
        <f>-DD195*DD201/4</f>
        <v>0</v>
      </c>
      <c r="DE203" s="549">
        <f>-DE195*DE201/4</f>
        <v>0</v>
      </c>
      <c r="DF203" s="565"/>
    </row>
    <row r="204" spans="1:110" ht="12" thickBot="1" x14ac:dyDescent="0.25">
      <c r="B204" s="355"/>
      <c r="C204" s="145"/>
      <c r="D204" s="145"/>
      <c r="E204" s="145"/>
      <c r="F204" s="145"/>
      <c r="G204" s="145"/>
      <c r="H204" s="145"/>
      <c r="I204" s="145"/>
      <c r="J204" s="145"/>
      <c r="K204" s="145"/>
      <c r="L204" s="145"/>
      <c r="M204" s="145"/>
      <c r="N204" s="145"/>
      <c r="O204" s="145"/>
      <c r="P204" s="145"/>
      <c r="Q204" s="145"/>
      <c r="R204" s="145"/>
      <c r="S204" s="346"/>
      <c r="T204" s="346"/>
      <c r="U204" s="346"/>
      <c r="V204" s="326"/>
      <c r="W204" s="326"/>
      <c r="X204" s="326"/>
      <c r="Y204" s="346"/>
      <c r="Z204" s="346"/>
      <c r="AA204" s="346"/>
      <c r="AB204" s="346"/>
      <c r="AC204" s="346"/>
      <c r="AD204" s="346"/>
      <c r="AE204" s="346"/>
      <c r="AF204" s="346"/>
      <c r="AG204" s="346"/>
      <c r="AH204" s="346"/>
      <c r="AI204" s="346"/>
      <c r="AJ204" s="346"/>
      <c r="AK204" s="346"/>
      <c r="AL204" s="346"/>
      <c r="AM204" s="346"/>
      <c r="AN204" s="346"/>
      <c r="AO204" s="346"/>
      <c r="AP204" s="346"/>
      <c r="AQ204" s="346"/>
      <c r="AR204" s="346"/>
      <c r="AS204" s="346"/>
      <c r="AT204" s="346"/>
      <c r="AU204" s="346"/>
      <c r="AV204" s="346"/>
      <c r="AW204" s="346"/>
      <c r="AX204" s="346"/>
      <c r="AY204" s="346"/>
      <c r="AZ204" s="346"/>
      <c r="BA204" s="346"/>
      <c r="BB204" s="346"/>
      <c r="BC204" s="346"/>
      <c r="BD204" s="346"/>
      <c r="BE204" s="346"/>
      <c r="BF204" s="346"/>
      <c r="BG204" s="346"/>
      <c r="BH204" s="346"/>
      <c r="BI204" s="346"/>
      <c r="BJ204" s="346"/>
      <c r="BK204" s="346"/>
      <c r="BL204" s="346"/>
      <c r="BM204" s="346"/>
      <c r="BN204" s="346"/>
      <c r="BO204" s="346"/>
      <c r="BP204" s="346"/>
      <c r="BQ204" s="346"/>
      <c r="BR204" s="346"/>
      <c r="BS204" s="346"/>
      <c r="BT204" s="346"/>
      <c r="BU204" s="346"/>
      <c r="BV204" s="346"/>
      <c r="BW204" s="346"/>
      <c r="BX204" s="346"/>
      <c r="BY204" s="346"/>
      <c r="BZ204" s="346"/>
      <c r="CA204" s="346"/>
      <c r="CB204" s="346"/>
      <c r="CC204" s="346"/>
      <c r="CD204" s="346"/>
      <c r="CE204" s="346"/>
      <c r="CF204" s="346"/>
      <c r="CG204" s="346"/>
      <c r="CH204" s="346"/>
      <c r="CI204" s="346"/>
      <c r="CJ204" s="346"/>
      <c r="CK204" s="346"/>
      <c r="CL204" s="346"/>
      <c r="CM204" s="346"/>
      <c r="CN204" s="346"/>
      <c r="CO204" s="346"/>
      <c r="CP204" s="346"/>
      <c r="CQ204" s="346"/>
      <c r="CR204" s="346"/>
      <c r="CS204" s="346"/>
      <c r="CT204" s="346"/>
      <c r="CU204" s="346"/>
      <c r="CV204" s="346"/>
      <c r="CW204" s="346"/>
      <c r="CX204" s="346"/>
      <c r="CY204" s="346"/>
      <c r="CZ204" s="346"/>
      <c r="DA204" s="346"/>
      <c r="DB204" s="346"/>
      <c r="DC204" s="346"/>
      <c r="DD204" s="346"/>
      <c r="DE204" s="346"/>
      <c r="DF204" s="346"/>
    </row>
    <row r="205" spans="1:110" s="326" customFormat="1" ht="12" thickBot="1" x14ac:dyDescent="0.25">
      <c r="B205" s="981" t="s">
        <v>231</v>
      </c>
      <c r="C205" s="989"/>
      <c r="D205" s="989"/>
      <c r="E205" s="989"/>
      <c r="F205" s="989"/>
      <c r="G205" s="989"/>
      <c r="H205" s="989"/>
      <c r="I205" s="989"/>
      <c r="J205" s="989"/>
      <c r="K205" s="989"/>
      <c r="L205" s="989"/>
      <c r="M205" s="989"/>
      <c r="N205" s="989"/>
      <c r="O205" s="989"/>
      <c r="P205" s="989"/>
      <c r="Q205" s="989"/>
      <c r="R205" s="989"/>
      <c r="S205" s="990"/>
      <c r="T205" s="990"/>
      <c r="U205" s="990"/>
      <c r="V205" s="991"/>
      <c r="W205" s="991"/>
      <c r="X205" s="991"/>
      <c r="Y205" s="990"/>
      <c r="Z205" s="990"/>
      <c r="AA205" s="990"/>
      <c r="AB205" s="990"/>
      <c r="AC205" s="990"/>
      <c r="AD205" s="990"/>
      <c r="AE205" s="990"/>
      <c r="AF205" s="990"/>
      <c r="AG205" s="990"/>
      <c r="AH205" s="990"/>
      <c r="AI205" s="990"/>
      <c r="AJ205" s="990"/>
      <c r="AK205" s="990"/>
      <c r="AL205" s="990"/>
      <c r="AM205" s="990"/>
      <c r="AN205" s="990"/>
      <c r="AO205" s="990"/>
      <c r="AP205" s="990"/>
      <c r="AQ205" s="990"/>
      <c r="AR205" s="990"/>
      <c r="AS205" s="990"/>
      <c r="AT205" s="990"/>
      <c r="AU205" s="990"/>
      <c r="AV205" s="990"/>
      <c r="AW205" s="990"/>
      <c r="AX205" s="990"/>
      <c r="AY205" s="990"/>
      <c r="AZ205" s="990"/>
      <c r="BA205" s="990"/>
      <c r="BB205" s="990"/>
      <c r="BC205" s="990"/>
      <c r="BD205" s="990"/>
      <c r="BE205" s="990"/>
      <c r="BF205" s="990"/>
      <c r="BG205" s="990"/>
      <c r="BH205" s="990"/>
      <c r="BI205" s="990"/>
      <c r="BJ205" s="990"/>
      <c r="BK205" s="990"/>
      <c r="BL205" s="990"/>
      <c r="BM205" s="990"/>
      <c r="BN205" s="990"/>
      <c r="BO205" s="990"/>
      <c r="BP205" s="990"/>
      <c r="BQ205" s="990"/>
      <c r="BR205" s="990"/>
      <c r="BS205" s="990"/>
      <c r="BT205" s="990"/>
      <c r="BU205" s="990"/>
      <c r="BV205" s="990"/>
      <c r="BW205" s="990"/>
      <c r="BX205" s="990"/>
      <c r="BY205" s="990"/>
      <c r="BZ205" s="990"/>
      <c r="CA205" s="990"/>
      <c r="CB205" s="992"/>
      <c r="CC205" s="990"/>
      <c r="CD205" s="990"/>
      <c r="CE205" s="990"/>
      <c r="CF205" s="990"/>
      <c r="CG205" s="992"/>
      <c r="CH205" s="990"/>
      <c r="CI205" s="990"/>
      <c r="CJ205" s="990"/>
      <c r="CK205" s="990"/>
      <c r="CL205" s="992"/>
      <c r="CM205" s="990"/>
      <c r="CN205" s="990"/>
      <c r="CO205" s="990"/>
      <c r="CP205" s="990"/>
      <c r="CQ205" s="992"/>
      <c r="CR205" s="990"/>
      <c r="CS205" s="990"/>
      <c r="CT205" s="990"/>
      <c r="CU205" s="990"/>
      <c r="CV205" s="992"/>
      <c r="CW205" s="990"/>
      <c r="CX205" s="990"/>
      <c r="CY205" s="990"/>
      <c r="CZ205" s="990"/>
      <c r="DA205" s="992"/>
      <c r="DB205" s="990"/>
      <c r="DC205" s="990"/>
      <c r="DD205" s="990"/>
      <c r="DE205" s="990"/>
      <c r="DF205" s="992"/>
    </row>
    <row r="206" spans="1:110" x14ac:dyDescent="0.2">
      <c r="B206" s="591" t="s">
        <v>203</v>
      </c>
      <c r="C206" s="561"/>
      <c r="D206" s="561"/>
      <c r="E206" s="561"/>
      <c r="F206" s="561"/>
      <c r="G206" s="561"/>
      <c r="H206" s="561"/>
      <c r="I206" s="561"/>
      <c r="J206" s="561"/>
      <c r="K206" s="561"/>
      <c r="L206" s="561"/>
      <c r="M206" s="561"/>
      <c r="N206" s="561"/>
      <c r="O206" s="561"/>
      <c r="P206" s="561"/>
      <c r="Q206" s="561"/>
      <c r="R206" s="561"/>
      <c r="S206" s="531"/>
      <c r="T206" s="531"/>
      <c r="U206" s="531"/>
      <c r="V206" s="577"/>
      <c r="W206" s="577"/>
      <c r="X206" s="577"/>
      <c r="Y206" s="532"/>
      <c r="Z206" s="531"/>
      <c r="AA206" s="531"/>
      <c r="AB206" s="531"/>
      <c r="AC206" s="531"/>
      <c r="AD206" s="532"/>
      <c r="AE206" s="531"/>
      <c r="AF206" s="531"/>
      <c r="AG206" s="531"/>
      <c r="AH206" s="531"/>
      <c r="AI206" s="532"/>
      <c r="AJ206" s="531"/>
      <c r="AK206" s="531"/>
      <c r="AL206" s="531"/>
      <c r="AM206" s="531"/>
      <c r="AN206" s="532"/>
      <c r="AO206" s="531"/>
      <c r="AP206" s="531"/>
      <c r="AQ206" s="531"/>
      <c r="AR206" s="531"/>
      <c r="AS206" s="532"/>
      <c r="AT206" s="531"/>
      <c r="AU206" s="588">
        <v>0</v>
      </c>
      <c r="AV206" s="54">
        <f t="shared" ref="AV206:AW208" si="315">AU206</f>
        <v>0</v>
      </c>
      <c r="AW206" s="54">
        <f t="shared" si="315"/>
        <v>0</v>
      </c>
      <c r="AX206" s="532"/>
      <c r="AY206" s="54">
        <f>AW206</f>
        <v>0</v>
      </c>
      <c r="AZ206" s="54">
        <f t="shared" ref="AZ206:BB208" si="316">AY206</f>
        <v>0</v>
      </c>
      <c r="BA206" s="54">
        <f t="shared" si="316"/>
        <v>0</v>
      </c>
      <c r="BB206" s="54">
        <f t="shared" si="316"/>
        <v>0</v>
      </c>
      <c r="BC206" s="532"/>
      <c r="BD206" s="54">
        <f>BB206</f>
        <v>0</v>
      </c>
      <c r="BE206" s="54">
        <f t="shared" ref="BE206:BG208" si="317">BD206</f>
        <v>0</v>
      </c>
      <c r="BF206" s="54">
        <f t="shared" si="317"/>
        <v>0</v>
      </c>
      <c r="BG206" s="54">
        <f t="shared" si="317"/>
        <v>0</v>
      </c>
      <c r="BH206" s="532"/>
      <c r="BI206" s="54">
        <f>BG206</f>
        <v>0</v>
      </c>
      <c r="BJ206" s="54">
        <f t="shared" ref="BJ206:BL208" si="318">BI206</f>
        <v>0</v>
      </c>
      <c r="BK206" s="54">
        <f t="shared" si="318"/>
        <v>0</v>
      </c>
      <c r="BL206" s="54">
        <f t="shared" si="318"/>
        <v>0</v>
      </c>
      <c r="BM206" s="532"/>
      <c r="BN206" s="54">
        <f>BL206</f>
        <v>0</v>
      </c>
      <c r="BO206" s="54">
        <f t="shared" ref="BO206:BQ208" si="319">BN206</f>
        <v>0</v>
      </c>
      <c r="BP206" s="54">
        <f t="shared" si="319"/>
        <v>0</v>
      </c>
      <c r="BQ206" s="54">
        <f t="shared" si="319"/>
        <v>0</v>
      </c>
      <c r="BR206" s="532"/>
      <c r="BS206" s="54">
        <f>BQ206</f>
        <v>0</v>
      </c>
      <c r="BT206" s="54">
        <f t="shared" ref="BT206:BV208" si="320">BS206</f>
        <v>0</v>
      </c>
      <c r="BU206" s="54">
        <f t="shared" si="320"/>
        <v>0</v>
      </c>
      <c r="BV206" s="54">
        <f t="shared" si="320"/>
        <v>0</v>
      </c>
      <c r="BW206" s="532"/>
      <c r="BX206" s="54">
        <f>BV206</f>
        <v>0</v>
      </c>
      <c r="BY206" s="54">
        <f t="shared" ref="BY206:CA208" si="321">BX206</f>
        <v>0</v>
      </c>
      <c r="BZ206" s="54">
        <f t="shared" si="321"/>
        <v>0</v>
      </c>
      <c r="CA206" s="54">
        <f t="shared" si="321"/>
        <v>0</v>
      </c>
      <c r="CB206" s="562"/>
      <c r="CC206" s="54">
        <f>CA206</f>
        <v>0</v>
      </c>
      <c r="CD206" s="54">
        <f t="shared" ref="CD206:CF208" si="322">CC206</f>
        <v>0</v>
      </c>
      <c r="CE206" s="54">
        <f t="shared" si="322"/>
        <v>0</v>
      </c>
      <c r="CF206" s="54">
        <f t="shared" si="322"/>
        <v>0</v>
      </c>
      <c r="CG206" s="562"/>
      <c r="CH206" s="54">
        <f>CF206</f>
        <v>0</v>
      </c>
      <c r="CI206" s="54">
        <f t="shared" ref="CI206:CK208" si="323">CH206</f>
        <v>0</v>
      </c>
      <c r="CJ206" s="54">
        <f t="shared" si="323"/>
        <v>0</v>
      </c>
      <c r="CK206" s="54">
        <f t="shared" si="323"/>
        <v>0</v>
      </c>
      <c r="CL206" s="562"/>
      <c r="CM206" s="54">
        <f>CK206</f>
        <v>0</v>
      </c>
      <c r="CN206" s="54">
        <f t="shared" ref="CN206:CP208" si="324">CM206</f>
        <v>0</v>
      </c>
      <c r="CO206" s="54">
        <f t="shared" si="324"/>
        <v>0</v>
      </c>
      <c r="CP206" s="54">
        <f t="shared" si="324"/>
        <v>0</v>
      </c>
      <c r="CQ206" s="562"/>
      <c r="CR206" s="54">
        <f>CP206</f>
        <v>0</v>
      </c>
      <c r="CS206" s="54">
        <f t="shared" ref="CS206:CS208" si="325">CR206</f>
        <v>0</v>
      </c>
      <c r="CT206" s="54">
        <f t="shared" ref="CT206:CT208" si="326">CS206</f>
        <v>0</v>
      </c>
      <c r="CU206" s="54">
        <f t="shared" ref="CU206:CU208" si="327">CT206</f>
        <v>0</v>
      </c>
      <c r="CV206" s="562"/>
      <c r="CW206" s="54">
        <f>CU206</f>
        <v>0</v>
      </c>
      <c r="CX206" s="54">
        <f t="shared" ref="CX206:CX208" si="328">CW206</f>
        <v>0</v>
      </c>
      <c r="CY206" s="54">
        <f t="shared" ref="CY206:CY208" si="329">CX206</f>
        <v>0</v>
      </c>
      <c r="CZ206" s="54">
        <f t="shared" ref="CZ206:CZ208" si="330">CY206</f>
        <v>0</v>
      </c>
      <c r="DA206" s="562"/>
      <c r="DB206" s="54">
        <f>CZ206</f>
        <v>0</v>
      </c>
      <c r="DC206" s="54">
        <f t="shared" ref="DC206:DC208" si="331">DB206</f>
        <v>0</v>
      </c>
      <c r="DD206" s="54">
        <f t="shared" ref="DD206:DD208" si="332">DC206</f>
        <v>0</v>
      </c>
      <c r="DE206" s="54">
        <f t="shared" ref="DE206:DE208" si="333">DD206</f>
        <v>0</v>
      </c>
      <c r="DF206" s="562"/>
    </row>
    <row r="207" spans="1:110" x14ac:dyDescent="0.2">
      <c r="B207" s="578" t="s">
        <v>204</v>
      </c>
      <c r="C207" s="145"/>
      <c r="D207" s="145"/>
      <c r="E207" s="145"/>
      <c r="F207" s="145"/>
      <c r="G207" s="145"/>
      <c r="H207" s="145"/>
      <c r="I207" s="145"/>
      <c r="J207" s="145"/>
      <c r="K207" s="145"/>
      <c r="L207" s="145"/>
      <c r="M207" s="145"/>
      <c r="N207" s="145"/>
      <c r="O207" s="145"/>
      <c r="P207" s="145"/>
      <c r="Q207" s="145"/>
      <c r="R207" s="145"/>
      <c r="S207" s="346"/>
      <c r="T207" s="346"/>
      <c r="U207" s="346"/>
      <c r="V207" s="326"/>
      <c r="W207" s="326"/>
      <c r="X207" s="326"/>
      <c r="Y207" s="340"/>
      <c r="Z207" s="346"/>
      <c r="AA207" s="346"/>
      <c r="AB207" s="346"/>
      <c r="AC207" s="346"/>
      <c r="AD207" s="340"/>
      <c r="AE207" s="346"/>
      <c r="AF207" s="346"/>
      <c r="AG207" s="346"/>
      <c r="AH207" s="346"/>
      <c r="AI207" s="340"/>
      <c r="AJ207" s="346"/>
      <c r="AK207" s="346"/>
      <c r="AL207" s="346"/>
      <c r="AM207" s="346"/>
      <c r="AN207" s="340"/>
      <c r="AO207" s="346"/>
      <c r="AP207" s="346"/>
      <c r="AQ207" s="346"/>
      <c r="AR207" s="346"/>
      <c r="AS207" s="340"/>
      <c r="AT207" s="346"/>
      <c r="AU207" s="267">
        <v>7.2499999999999995E-2</v>
      </c>
      <c r="AV207" s="146">
        <f t="shared" si="315"/>
        <v>7.2499999999999995E-2</v>
      </c>
      <c r="AW207" s="146">
        <f t="shared" si="315"/>
        <v>7.2499999999999995E-2</v>
      </c>
      <c r="AX207" s="340"/>
      <c r="AY207" s="146">
        <f>AW207</f>
        <v>7.2499999999999995E-2</v>
      </c>
      <c r="AZ207" s="146">
        <f t="shared" si="316"/>
        <v>7.2499999999999995E-2</v>
      </c>
      <c r="BA207" s="146">
        <f t="shared" si="316"/>
        <v>7.2499999999999995E-2</v>
      </c>
      <c r="BB207" s="146">
        <f t="shared" si="316"/>
        <v>7.2499999999999995E-2</v>
      </c>
      <c r="BC207" s="340"/>
      <c r="BD207" s="146">
        <f>BB207</f>
        <v>7.2499999999999995E-2</v>
      </c>
      <c r="BE207" s="146">
        <f t="shared" si="317"/>
        <v>7.2499999999999995E-2</v>
      </c>
      <c r="BF207" s="146">
        <f t="shared" si="317"/>
        <v>7.2499999999999995E-2</v>
      </c>
      <c r="BG207" s="146">
        <f t="shared" si="317"/>
        <v>7.2499999999999995E-2</v>
      </c>
      <c r="BH207" s="340"/>
      <c r="BI207" s="146">
        <f>BG207</f>
        <v>7.2499999999999995E-2</v>
      </c>
      <c r="BJ207" s="146">
        <f t="shared" si="318"/>
        <v>7.2499999999999995E-2</v>
      </c>
      <c r="BK207" s="146">
        <f t="shared" si="318"/>
        <v>7.2499999999999995E-2</v>
      </c>
      <c r="BL207" s="146">
        <f t="shared" si="318"/>
        <v>7.2499999999999995E-2</v>
      </c>
      <c r="BM207" s="340"/>
      <c r="BN207" s="146">
        <f>BL207</f>
        <v>7.2499999999999995E-2</v>
      </c>
      <c r="BO207" s="146">
        <f t="shared" si="319"/>
        <v>7.2499999999999995E-2</v>
      </c>
      <c r="BP207" s="146">
        <f t="shared" si="319"/>
        <v>7.2499999999999995E-2</v>
      </c>
      <c r="BQ207" s="146">
        <f t="shared" si="319"/>
        <v>7.2499999999999995E-2</v>
      </c>
      <c r="BR207" s="340"/>
      <c r="BS207" s="146">
        <f>BQ207</f>
        <v>7.2499999999999995E-2</v>
      </c>
      <c r="BT207" s="146">
        <f t="shared" si="320"/>
        <v>7.2499999999999995E-2</v>
      </c>
      <c r="BU207" s="146">
        <f t="shared" si="320"/>
        <v>7.2499999999999995E-2</v>
      </c>
      <c r="BV207" s="146">
        <f t="shared" si="320"/>
        <v>7.2499999999999995E-2</v>
      </c>
      <c r="BW207" s="340"/>
      <c r="BX207" s="146">
        <f>BV207</f>
        <v>7.2499999999999995E-2</v>
      </c>
      <c r="BY207" s="146">
        <f t="shared" si="321"/>
        <v>7.2499999999999995E-2</v>
      </c>
      <c r="BZ207" s="146">
        <f t="shared" si="321"/>
        <v>7.2499999999999995E-2</v>
      </c>
      <c r="CA207" s="146">
        <f t="shared" si="321"/>
        <v>7.2499999999999995E-2</v>
      </c>
      <c r="CB207" s="563"/>
      <c r="CC207" s="146">
        <f>CA207</f>
        <v>7.2499999999999995E-2</v>
      </c>
      <c r="CD207" s="146">
        <f t="shared" si="322"/>
        <v>7.2499999999999995E-2</v>
      </c>
      <c r="CE207" s="146">
        <f t="shared" si="322"/>
        <v>7.2499999999999995E-2</v>
      </c>
      <c r="CF207" s="146">
        <f t="shared" si="322"/>
        <v>7.2499999999999995E-2</v>
      </c>
      <c r="CG207" s="563"/>
      <c r="CH207" s="146">
        <f>CF207</f>
        <v>7.2499999999999995E-2</v>
      </c>
      <c r="CI207" s="146">
        <f t="shared" si="323"/>
        <v>7.2499999999999995E-2</v>
      </c>
      <c r="CJ207" s="146">
        <f t="shared" si="323"/>
        <v>7.2499999999999995E-2</v>
      </c>
      <c r="CK207" s="146">
        <f t="shared" si="323"/>
        <v>7.2499999999999995E-2</v>
      </c>
      <c r="CL207" s="563"/>
      <c r="CM207" s="146">
        <f>CK207</f>
        <v>7.2499999999999995E-2</v>
      </c>
      <c r="CN207" s="146">
        <f t="shared" si="324"/>
        <v>7.2499999999999995E-2</v>
      </c>
      <c r="CO207" s="146">
        <f t="shared" si="324"/>
        <v>7.2499999999999995E-2</v>
      </c>
      <c r="CP207" s="146">
        <f t="shared" si="324"/>
        <v>7.2499999999999995E-2</v>
      </c>
      <c r="CQ207" s="563"/>
      <c r="CR207" s="146">
        <f>CP207</f>
        <v>7.2499999999999995E-2</v>
      </c>
      <c r="CS207" s="146">
        <f t="shared" si="325"/>
        <v>7.2499999999999995E-2</v>
      </c>
      <c r="CT207" s="146">
        <f t="shared" si="326"/>
        <v>7.2499999999999995E-2</v>
      </c>
      <c r="CU207" s="146">
        <f t="shared" si="327"/>
        <v>7.2499999999999995E-2</v>
      </c>
      <c r="CV207" s="563"/>
      <c r="CW207" s="146">
        <f>CU207</f>
        <v>7.2499999999999995E-2</v>
      </c>
      <c r="CX207" s="146">
        <f t="shared" si="328"/>
        <v>7.2499999999999995E-2</v>
      </c>
      <c r="CY207" s="146">
        <f t="shared" si="329"/>
        <v>7.2499999999999995E-2</v>
      </c>
      <c r="CZ207" s="146">
        <f t="shared" si="330"/>
        <v>7.2499999999999995E-2</v>
      </c>
      <c r="DA207" s="563"/>
      <c r="DB207" s="146">
        <f>CZ207</f>
        <v>7.2499999999999995E-2</v>
      </c>
      <c r="DC207" s="146">
        <f t="shared" si="331"/>
        <v>7.2499999999999995E-2</v>
      </c>
      <c r="DD207" s="146">
        <f t="shared" si="332"/>
        <v>7.2499999999999995E-2</v>
      </c>
      <c r="DE207" s="146">
        <f t="shared" si="333"/>
        <v>7.2499999999999995E-2</v>
      </c>
      <c r="DF207" s="563"/>
    </row>
    <row r="208" spans="1:110" x14ac:dyDescent="0.2">
      <c r="B208" s="536" t="s">
        <v>197</v>
      </c>
      <c r="C208" s="145"/>
      <c r="D208" s="145"/>
      <c r="E208" s="145"/>
      <c r="F208" s="145"/>
      <c r="G208" s="145"/>
      <c r="H208" s="145"/>
      <c r="I208" s="145"/>
      <c r="J208" s="145"/>
      <c r="K208" s="145"/>
      <c r="L208" s="145"/>
      <c r="M208" s="145"/>
      <c r="N208" s="145"/>
      <c r="O208" s="145"/>
      <c r="P208" s="145"/>
      <c r="Q208" s="145"/>
      <c r="R208" s="145"/>
      <c r="S208" s="346"/>
      <c r="T208" s="346"/>
      <c r="U208" s="346"/>
      <c r="V208" s="326"/>
      <c r="W208" s="326"/>
      <c r="X208" s="326"/>
      <c r="Y208" s="340"/>
      <c r="Z208" s="346"/>
      <c r="AA208" s="346"/>
      <c r="AB208" s="346"/>
      <c r="AC208" s="346"/>
      <c r="AD208" s="340"/>
      <c r="AE208" s="346"/>
      <c r="AF208" s="346"/>
      <c r="AG208" s="346"/>
      <c r="AH208" s="346"/>
      <c r="AI208" s="340"/>
      <c r="AJ208" s="346"/>
      <c r="AK208" s="346"/>
      <c r="AL208" s="346"/>
      <c r="AM208" s="346"/>
      <c r="AN208" s="340"/>
      <c r="AO208" s="346"/>
      <c r="AP208" s="346"/>
      <c r="AQ208" s="346"/>
      <c r="AR208" s="346"/>
      <c r="AS208" s="340"/>
      <c r="AT208" s="346"/>
      <c r="AU208" s="623">
        <v>496.7</v>
      </c>
      <c r="AV208" s="625">
        <f t="shared" si="315"/>
        <v>496.7</v>
      </c>
      <c r="AW208" s="625">
        <f t="shared" si="315"/>
        <v>496.7</v>
      </c>
      <c r="AX208" s="340"/>
      <c r="AY208" s="346">
        <f>AW208</f>
        <v>496.7</v>
      </c>
      <c r="AZ208" s="346">
        <f t="shared" si="316"/>
        <v>496.7</v>
      </c>
      <c r="BA208" s="346">
        <f t="shared" si="316"/>
        <v>496.7</v>
      </c>
      <c r="BB208" s="346">
        <f t="shared" si="316"/>
        <v>496.7</v>
      </c>
      <c r="BC208" s="340"/>
      <c r="BD208" s="346">
        <f>BB208</f>
        <v>496.7</v>
      </c>
      <c r="BE208" s="346">
        <f t="shared" si="317"/>
        <v>496.7</v>
      </c>
      <c r="BF208" s="346">
        <f t="shared" si="317"/>
        <v>496.7</v>
      </c>
      <c r="BG208" s="346">
        <f t="shared" si="317"/>
        <v>496.7</v>
      </c>
      <c r="BH208" s="340"/>
      <c r="BI208" s="346">
        <f>BG208</f>
        <v>496.7</v>
      </c>
      <c r="BJ208" s="346">
        <f t="shared" si="318"/>
        <v>496.7</v>
      </c>
      <c r="BK208" s="346">
        <f t="shared" si="318"/>
        <v>496.7</v>
      </c>
      <c r="BL208" s="346">
        <f t="shared" si="318"/>
        <v>496.7</v>
      </c>
      <c r="BM208" s="340"/>
      <c r="BN208" s="346">
        <f>BL208</f>
        <v>496.7</v>
      </c>
      <c r="BO208" s="346">
        <f t="shared" si="319"/>
        <v>496.7</v>
      </c>
      <c r="BP208" s="346">
        <f t="shared" si="319"/>
        <v>496.7</v>
      </c>
      <c r="BQ208" s="346">
        <f t="shared" si="319"/>
        <v>496.7</v>
      </c>
      <c r="BR208" s="340"/>
      <c r="BS208" s="346">
        <f>BQ208</f>
        <v>496.7</v>
      </c>
      <c r="BT208" s="346">
        <f t="shared" si="320"/>
        <v>496.7</v>
      </c>
      <c r="BU208" s="346">
        <f t="shared" si="320"/>
        <v>496.7</v>
      </c>
      <c r="BV208" s="346">
        <f t="shared" si="320"/>
        <v>496.7</v>
      </c>
      <c r="BW208" s="340"/>
      <c r="BX208" s="346">
        <f>BV208</f>
        <v>496.7</v>
      </c>
      <c r="BY208" s="346">
        <f t="shared" si="321"/>
        <v>496.7</v>
      </c>
      <c r="BZ208" s="346">
        <f t="shared" si="321"/>
        <v>496.7</v>
      </c>
      <c r="CA208" s="346">
        <f t="shared" si="321"/>
        <v>496.7</v>
      </c>
      <c r="CB208" s="563"/>
      <c r="CC208" s="346">
        <f>CA208</f>
        <v>496.7</v>
      </c>
      <c r="CD208" s="346">
        <f t="shared" si="322"/>
        <v>496.7</v>
      </c>
      <c r="CE208" s="346">
        <f t="shared" si="322"/>
        <v>496.7</v>
      </c>
      <c r="CF208" s="346">
        <f t="shared" si="322"/>
        <v>496.7</v>
      </c>
      <c r="CG208" s="563"/>
      <c r="CH208" s="346">
        <f>CF208</f>
        <v>496.7</v>
      </c>
      <c r="CI208" s="346">
        <f t="shared" si="323"/>
        <v>496.7</v>
      </c>
      <c r="CJ208" s="346">
        <f t="shared" si="323"/>
        <v>496.7</v>
      </c>
      <c r="CK208" s="346">
        <f t="shared" si="323"/>
        <v>496.7</v>
      </c>
      <c r="CL208" s="563"/>
      <c r="CM208" s="346">
        <f>CK208</f>
        <v>496.7</v>
      </c>
      <c r="CN208" s="346">
        <f t="shared" si="324"/>
        <v>496.7</v>
      </c>
      <c r="CO208" s="346">
        <f t="shared" si="324"/>
        <v>496.7</v>
      </c>
      <c r="CP208" s="346">
        <f t="shared" si="324"/>
        <v>496.7</v>
      </c>
      <c r="CQ208" s="563"/>
      <c r="CR208" s="346">
        <f>CP208</f>
        <v>496.7</v>
      </c>
      <c r="CS208" s="346">
        <f t="shared" si="325"/>
        <v>496.7</v>
      </c>
      <c r="CT208" s="346">
        <f t="shared" si="326"/>
        <v>496.7</v>
      </c>
      <c r="CU208" s="346">
        <f t="shared" si="327"/>
        <v>496.7</v>
      </c>
      <c r="CV208" s="563"/>
      <c r="CW208" s="346">
        <f>CU208</f>
        <v>496.7</v>
      </c>
      <c r="CX208" s="346">
        <f t="shared" si="328"/>
        <v>496.7</v>
      </c>
      <c r="CY208" s="346">
        <f t="shared" si="329"/>
        <v>496.7</v>
      </c>
      <c r="CZ208" s="346">
        <f t="shared" si="330"/>
        <v>496.7</v>
      </c>
      <c r="DA208" s="563"/>
      <c r="DB208" s="346">
        <f>CZ208</f>
        <v>496.7</v>
      </c>
      <c r="DC208" s="346">
        <f t="shared" si="331"/>
        <v>496.7</v>
      </c>
      <c r="DD208" s="346">
        <f t="shared" si="332"/>
        <v>496.7</v>
      </c>
      <c r="DE208" s="346">
        <f t="shared" si="333"/>
        <v>496.7</v>
      </c>
      <c r="DF208" s="563"/>
    </row>
    <row r="209" spans="1:110" x14ac:dyDescent="0.2">
      <c r="B209" s="544" t="s">
        <v>198</v>
      </c>
      <c r="C209" s="145"/>
      <c r="D209" s="145"/>
      <c r="E209" s="145"/>
      <c r="F209" s="145"/>
      <c r="G209" s="145"/>
      <c r="H209" s="145"/>
      <c r="I209" s="145"/>
      <c r="J209" s="145"/>
      <c r="K209" s="145"/>
      <c r="L209" s="145"/>
      <c r="M209" s="145"/>
      <c r="N209" s="145"/>
      <c r="O209" s="145"/>
      <c r="P209" s="145"/>
      <c r="Q209" s="145"/>
      <c r="R209" s="145"/>
      <c r="S209" s="346"/>
      <c r="T209" s="346"/>
      <c r="U209" s="346"/>
      <c r="V209" s="326"/>
      <c r="W209" s="326"/>
      <c r="X209" s="326"/>
      <c r="Y209" s="340"/>
      <c r="Z209" s="346"/>
      <c r="AA209" s="346"/>
      <c r="AB209" s="346"/>
      <c r="AC209" s="346"/>
      <c r="AD209" s="340"/>
      <c r="AE209" s="346"/>
      <c r="AF209" s="346"/>
      <c r="AG209" s="346"/>
      <c r="AH209" s="346"/>
      <c r="AI209" s="340"/>
      <c r="AJ209" s="346"/>
      <c r="AK209" s="346"/>
      <c r="AL209" s="346"/>
      <c r="AM209" s="346"/>
      <c r="AN209" s="340"/>
      <c r="AO209" s="346"/>
      <c r="AP209" s="346"/>
      <c r="AQ209" s="346"/>
      <c r="AR209" s="346"/>
      <c r="AS209" s="340"/>
      <c r="AT209" s="346"/>
      <c r="AU209" s="623">
        <v>0</v>
      </c>
      <c r="AV209" s="625">
        <f>AU211</f>
        <v>496.7</v>
      </c>
      <c r="AW209" s="625">
        <f>AV211</f>
        <v>496.7</v>
      </c>
      <c r="AX209" s="340"/>
      <c r="AY209" s="346">
        <f>AW211</f>
        <v>496.8</v>
      </c>
      <c r="AZ209" s="346">
        <f>AY211</f>
        <v>496.90000000000003</v>
      </c>
      <c r="BA209" s="346">
        <f>AZ211</f>
        <v>496.90000000000003</v>
      </c>
      <c r="BB209" s="346">
        <f>BA211</f>
        <v>497.00000000000006</v>
      </c>
      <c r="BC209" s="340"/>
      <c r="BD209" s="346">
        <f>BB211</f>
        <v>497.10000000000008</v>
      </c>
      <c r="BE209" s="346">
        <f>BD211</f>
        <v>497.10000000000008</v>
      </c>
      <c r="BF209" s="346">
        <f>BE211</f>
        <v>497.2000000000001</v>
      </c>
      <c r="BG209" s="346">
        <f>BF211</f>
        <v>497.2000000000001</v>
      </c>
      <c r="BH209" s="340"/>
      <c r="BI209" s="346">
        <f>BG211</f>
        <v>497.2000000000001</v>
      </c>
      <c r="BJ209" s="346">
        <f>BI211</f>
        <v>497.2000000000001</v>
      </c>
      <c r="BK209" s="346">
        <f>BJ211</f>
        <v>497.40000000000009</v>
      </c>
      <c r="BL209" s="346">
        <f>BK211</f>
        <v>497.5</v>
      </c>
      <c r="BM209" s="340"/>
      <c r="BN209" s="346">
        <f>BL211</f>
        <v>497.6</v>
      </c>
      <c r="BO209" s="346">
        <f>BN211</f>
        <v>497.6</v>
      </c>
      <c r="BP209" s="346">
        <f>BO211</f>
        <v>497.7</v>
      </c>
      <c r="BQ209" s="346">
        <f>BP211</f>
        <v>497.8</v>
      </c>
      <c r="BR209" s="340"/>
      <c r="BS209" s="346">
        <f>BQ211</f>
        <v>497.9</v>
      </c>
      <c r="BT209" s="346">
        <f>BS211</f>
        <v>498</v>
      </c>
      <c r="BU209" s="346">
        <f>BT211</f>
        <v>498.1</v>
      </c>
      <c r="BV209" s="346">
        <f>BU211</f>
        <v>498.1</v>
      </c>
      <c r="BW209" s="340"/>
      <c r="BX209" s="346">
        <f>BV211</f>
        <v>498.2</v>
      </c>
      <c r="BY209" s="346">
        <f>BX211</f>
        <v>498.3</v>
      </c>
      <c r="BZ209" s="346">
        <f>BY211</f>
        <v>498.40000000000003</v>
      </c>
      <c r="CA209" s="346">
        <f>BZ211</f>
        <v>498.50000000000006</v>
      </c>
      <c r="CB209" s="563"/>
      <c r="CC209" s="346">
        <f>CA211</f>
        <v>498.60000000000008</v>
      </c>
      <c r="CD209" s="346">
        <f>CC211</f>
        <v>498.7000000000001</v>
      </c>
      <c r="CE209" s="346">
        <f>CD211</f>
        <v>498.80000000000013</v>
      </c>
      <c r="CF209" s="346">
        <f>CE211</f>
        <v>336.14300000000014</v>
      </c>
      <c r="CG209" s="563"/>
      <c r="CH209" s="346">
        <f>CF211</f>
        <v>336.20300000000015</v>
      </c>
      <c r="CI209" s="346">
        <f>CH211</f>
        <v>336.20300000000015</v>
      </c>
      <c r="CJ209" s="346">
        <f>CI211</f>
        <v>336.20300000000015</v>
      </c>
      <c r="CK209" s="346">
        <f>CJ211</f>
        <v>336.20300000000015</v>
      </c>
      <c r="CL209" s="563"/>
      <c r="CM209" s="346">
        <f>CK211</f>
        <v>336.20300000000015</v>
      </c>
      <c r="CN209" s="346">
        <f>CM211</f>
        <v>336.20300000000015</v>
      </c>
      <c r="CO209" s="346">
        <f>CN211</f>
        <v>336.20300000000015</v>
      </c>
      <c r="CP209" s="346">
        <f>CO211</f>
        <v>336.20300000000015</v>
      </c>
      <c r="CQ209" s="563"/>
      <c r="CR209" s="346">
        <f>CP211</f>
        <v>336.20300000000015</v>
      </c>
      <c r="CS209" s="346">
        <f>CR211</f>
        <v>336.20300000000015</v>
      </c>
      <c r="CT209" s="346">
        <f>CS211</f>
        <v>0</v>
      </c>
      <c r="CU209" s="346">
        <f>CT211</f>
        <v>0</v>
      </c>
      <c r="CV209" s="563"/>
      <c r="CW209" s="346">
        <f>CU211</f>
        <v>0</v>
      </c>
      <c r="CX209" s="346">
        <f>CW211</f>
        <v>0</v>
      </c>
      <c r="CY209" s="346">
        <f>CX211</f>
        <v>-336.20299999999997</v>
      </c>
      <c r="CZ209" s="346">
        <f>CY211</f>
        <v>-336.20299999999997</v>
      </c>
      <c r="DA209" s="563"/>
      <c r="DB209" s="346">
        <f>CZ211</f>
        <v>-336.20299999999997</v>
      </c>
      <c r="DC209" s="346">
        <f>DB211</f>
        <v>-336.20299999999997</v>
      </c>
      <c r="DD209" s="346">
        <f>DC211</f>
        <v>-672.40599999999995</v>
      </c>
      <c r="DE209" s="346">
        <f>DD211</f>
        <v>-672.40599999999995</v>
      </c>
      <c r="DF209" s="563"/>
    </row>
    <row r="210" spans="1:110" x14ac:dyDescent="0.2">
      <c r="B210" s="589" t="s">
        <v>199</v>
      </c>
      <c r="C210" s="359"/>
      <c r="D210" s="359"/>
      <c r="E210" s="359"/>
      <c r="F210" s="359"/>
      <c r="G210" s="359"/>
      <c r="H210" s="359"/>
      <c r="I210" s="359"/>
      <c r="J210" s="359"/>
      <c r="K210" s="359"/>
      <c r="L210" s="359"/>
      <c r="M210" s="359"/>
      <c r="N210" s="359"/>
      <c r="O210" s="359"/>
      <c r="P210" s="359"/>
      <c r="Q210" s="359"/>
      <c r="R210" s="359"/>
      <c r="S210" s="347"/>
      <c r="T210" s="347"/>
      <c r="U210" s="347"/>
      <c r="V210" s="377"/>
      <c r="W210" s="377"/>
      <c r="X210" s="377"/>
      <c r="Y210" s="343"/>
      <c r="Z210" s="347"/>
      <c r="AA210" s="347"/>
      <c r="AB210" s="347"/>
      <c r="AC210" s="347"/>
      <c r="AD210" s="343"/>
      <c r="AE210" s="347"/>
      <c r="AF210" s="347"/>
      <c r="AG210" s="347"/>
      <c r="AH210" s="347"/>
      <c r="AI210" s="343"/>
      <c r="AJ210" s="347"/>
      <c r="AK210" s="347"/>
      <c r="AL210" s="347"/>
      <c r="AM210" s="347"/>
      <c r="AN210" s="343"/>
      <c r="AO210" s="347"/>
      <c r="AP210" s="347"/>
      <c r="AQ210" s="347"/>
      <c r="AR210" s="347"/>
      <c r="AS210" s="343"/>
      <c r="AT210" s="347"/>
      <c r="AU210" s="629">
        <v>496.7</v>
      </c>
      <c r="AV210" s="642">
        <v>0</v>
      </c>
      <c r="AW210" s="629">
        <v>0.1</v>
      </c>
      <c r="AX210" s="343"/>
      <c r="AY210" s="347">
        <f>AW210</f>
        <v>0.1</v>
      </c>
      <c r="AZ210" s="347">
        <v>0</v>
      </c>
      <c r="BA210" s="347">
        <v>0.1</v>
      </c>
      <c r="BB210" s="347">
        <f>BA210</f>
        <v>0.1</v>
      </c>
      <c r="BC210" s="343"/>
      <c r="BD210" s="347">
        <v>0</v>
      </c>
      <c r="BE210" s="347">
        <v>0.1</v>
      </c>
      <c r="BF210" s="347"/>
      <c r="BG210" s="347">
        <f>BF210</f>
        <v>0</v>
      </c>
      <c r="BH210" s="343"/>
      <c r="BI210" s="347">
        <f>BG210</f>
        <v>0</v>
      </c>
      <c r="BJ210" s="347">
        <v>0.2</v>
      </c>
      <c r="BK210" s="347">
        <f>497.5-BK209</f>
        <v>9.9999999999909051E-2</v>
      </c>
      <c r="BL210" s="348">
        <f>497.6-BL209</f>
        <v>0.10000000000002274</v>
      </c>
      <c r="BM210" s="343"/>
      <c r="BN210" s="348">
        <v>0</v>
      </c>
      <c r="BO210" s="348">
        <f>497.7-BO209</f>
        <v>9.9999999999965894E-2</v>
      </c>
      <c r="BP210" s="348">
        <f>497.8-BP209</f>
        <v>0.10000000000002274</v>
      </c>
      <c r="BQ210" s="348">
        <f>497.9-BQ209</f>
        <v>9.9999999999965894E-2</v>
      </c>
      <c r="BR210" s="343"/>
      <c r="BS210" s="347">
        <f>BQ210</f>
        <v>9.9999999999965894E-2</v>
      </c>
      <c r="BT210" s="347">
        <f>BR210</f>
        <v>0</v>
      </c>
      <c r="BU210" s="347">
        <f>BU211-BU209</f>
        <v>0</v>
      </c>
      <c r="BV210" s="347">
        <f>BV211-BV209</f>
        <v>9.9999999999965894E-2</v>
      </c>
      <c r="BW210" s="343"/>
      <c r="BX210" s="347">
        <f>498.3-BX209</f>
        <v>0.10000000000002274</v>
      </c>
      <c r="BY210" s="347">
        <f>BX210</f>
        <v>0.10000000000002274</v>
      </c>
      <c r="BZ210" s="347">
        <f>BY210</f>
        <v>0.10000000000002274</v>
      </c>
      <c r="CA210" s="347">
        <f>BZ210</f>
        <v>0.10000000000002274</v>
      </c>
      <c r="CB210" s="585"/>
      <c r="CC210" s="347">
        <f>CA210</f>
        <v>0.10000000000002274</v>
      </c>
      <c r="CD210" s="347">
        <f>CC210</f>
        <v>0.10000000000002274</v>
      </c>
      <c r="CE210" s="347">
        <v>-162.65700000000001</v>
      </c>
      <c r="CF210" s="347">
        <v>0.06</v>
      </c>
      <c r="CG210" s="585"/>
      <c r="CH210" s="347">
        <v>0</v>
      </c>
      <c r="CI210" s="347">
        <f>CH210</f>
        <v>0</v>
      </c>
      <c r="CJ210" s="347">
        <f>CI210</f>
        <v>0</v>
      </c>
      <c r="CK210" s="347">
        <f>CJ210</f>
        <v>0</v>
      </c>
      <c r="CL210" s="585"/>
      <c r="CM210" s="347">
        <f>CK210</f>
        <v>0</v>
      </c>
      <c r="CN210" s="347">
        <f>CM210</f>
        <v>0</v>
      </c>
      <c r="CO210" s="347">
        <f>CN210</f>
        <v>0</v>
      </c>
      <c r="CP210" s="347">
        <f>CO210</f>
        <v>0</v>
      </c>
      <c r="CQ210" s="585"/>
      <c r="CR210" s="347">
        <f>CP210</f>
        <v>0</v>
      </c>
      <c r="CS210" s="347">
        <v>-336.20299999999997</v>
      </c>
      <c r="CT210" s="347">
        <v>0</v>
      </c>
      <c r="CU210" s="347">
        <f>CT210</f>
        <v>0</v>
      </c>
      <c r="CV210" s="585"/>
      <c r="CW210" s="347">
        <f>CU210</f>
        <v>0</v>
      </c>
      <c r="CX210" s="347">
        <v>-336.20299999999997</v>
      </c>
      <c r="CY210" s="347">
        <v>0</v>
      </c>
      <c r="CZ210" s="347">
        <f>CY210</f>
        <v>0</v>
      </c>
      <c r="DA210" s="585"/>
      <c r="DB210" s="347">
        <f>CZ210</f>
        <v>0</v>
      </c>
      <c r="DC210" s="347">
        <v>-336.20299999999997</v>
      </c>
      <c r="DD210" s="347">
        <v>0</v>
      </c>
      <c r="DE210" s="347">
        <f>DD210</f>
        <v>0</v>
      </c>
      <c r="DF210" s="585"/>
    </row>
    <row r="211" spans="1:110" x14ac:dyDescent="0.2">
      <c r="B211" s="544" t="s">
        <v>200</v>
      </c>
      <c r="C211" s="145"/>
      <c r="D211" s="145"/>
      <c r="E211" s="145"/>
      <c r="F211" s="145"/>
      <c r="G211" s="145"/>
      <c r="H211" s="145"/>
      <c r="I211" s="145"/>
      <c r="J211" s="145"/>
      <c r="K211" s="145"/>
      <c r="L211" s="145"/>
      <c r="M211" s="145"/>
      <c r="N211" s="145"/>
      <c r="O211" s="145"/>
      <c r="P211" s="145"/>
      <c r="Q211" s="145"/>
      <c r="R211" s="145"/>
      <c r="S211" s="346"/>
      <c r="T211" s="346"/>
      <c r="U211" s="346"/>
      <c r="V211" s="326"/>
      <c r="W211" s="326"/>
      <c r="X211" s="326"/>
      <c r="Y211" s="340"/>
      <c r="Z211" s="346"/>
      <c r="AA211" s="346"/>
      <c r="AB211" s="346"/>
      <c r="AC211" s="346"/>
      <c r="AD211" s="340"/>
      <c r="AE211" s="346"/>
      <c r="AF211" s="346"/>
      <c r="AG211" s="346"/>
      <c r="AH211" s="346"/>
      <c r="AI211" s="340"/>
      <c r="AJ211" s="346"/>
      <c r="AK211" s="346"/>
      <c r="AL211" s="346"/>
      <c r="AM211" s="346"/>
      <c r="AN211" s="340"/>
      <c r="AO211" s="346"/>
      <c r="AP211" s="346"/>
      <c r="AQ211" s="346"/>
      <c r="AR211" s="346"/>
      <c r="AS211" s="340"/>
      <c r="AT211" s="346"/>
      <c r="AU211" s="625">
        <f>AU209+AU210</f>
        <v>496.7</v>
      </c>
      <c r="AV211" s="625">
        <f>AV209+AV210</f>
        <v>496.7</v>
      </c>
      <c r="AW211" s="625">
        <f>AW209+AW210</f>
        <v>496.8</v>
      </c>
      <c r="AX211" s="340"/>
      <c r="AY211" s="346">
        <f>AY209+AY210</f>
        <v>496.90000000000003</v>
      </c>
      <c r="AZ211" s="346">
        <f>AZ209+AZ210</f>
        <v>496.90000000000003</v>
      </c>
      <c r="BA211" s="346">
        <f>BA209+BA210</f>
        <v>497.00000000000006</v>
      </c>
      <c r="BB211" s="346">
        <f>BB209+BB210</f>
        <v>497.10000000000008</v>
      </c>
      <c r="BC211" s="340"/>
      <c r="BD211" s="346">
        <f>BD209+BD210</f>
        <v>497.10000000000008</v>
      </c>
      <c r="BE211" s="346">
        <f>BE209+BE210</f>
        <v>497.2000000000001</v>
      </c>
      <c r="BF211" s="346">
        <f>BF209+BF210</f>
        <v>497.2000000000001</v>
      </c>
      <c r="BG211" s="346">
        <f>BG209+BG210</f>
        <v>497.2000000000001</v>
      </c>
      <c r="BH211" s="340"/>
      <c r="BI211" s="346">
        <f>BI209+BI210</f>
        <v>497.2000000000001</v>
      </c>
      <c r="BJ211" s="346">
        <f>BJ209+BJ210</f>
        <v>497.40000000000009</v>
      </c>
      <c r="BK211" s="346">
        <f>BK209+BK210</f>
        <v>497.5</v>
      </c>
      <c r="BL211" s="346">
        <f>BL209+BL210</f>
        <v>497.6</v>
      </c>
      <c r="BM211" s="340"/>
      <c r="BN211" s="346">
        <f>BN209+BN210</f>
        <v>497.6</v>
      </c>
      <c r="BO211" s="346">
        <f>BO209+BO210</f>
        <v>497.7</v>
      </c>
      <c r="BP211" s="346">
        <f>BP209+BP210</f>
        <v>497.8</v>
      </c>
      <c r="BQ211" s="346">
        <f>BQ209+BQ210</f>
        <v>497.9</v>
      </c>
      <c r="BR211" s="340"/>
      <c r="BS211" s="354">
        <v>498</v>
      </c>
      <c r="BT211" s="354">
        <v>498.1</v>
      </c>
      <c r="BU211" s="354">
        <v>498.1</v>
      </c>
      <c r="BV211" s="346">
        <v>498.2</v>
      </c>
      <c r="BW211" s="340"/>
      <c r="BX211" s="346">
        <f>BX209+BX210</f>
        <v>498.3</v>
      </c>
      <c r="BY211" s="346">
        <f>BY209+BY210</f>
        <v>498.40000000000003</v>
      </c>
      <c r="BZ211" s="346">
        <f>BZ209+BZ210</f>
        <v>498.50000000000006</v>
      </c>
      <c r="CA211" s="346">
        <f>CA209+CA210</f>
        <v>498.60000000000008</v>
      </c>
      <c r="CB211" s="563"/>
      <c r="CC211" s="346">
        <f>CC209+CC210</f>
        <v>498.7000000000001</v>
      </c>
      <c r="CD211" s="346">
        <f>CD209+CD210</f>
        <v>498.80000000000013</v>
      </c>
      <c r="CE211" s="346">
        <f>CE209+CE210</f>
        <v>336.14300000000014</v>
      </c>
      <c r="CF211" s="346">
        <f>CF209+CF210</f>
        <v>336.20300000000015</v>
      </c>
      <c r="CG211" s="563"/>
      <c r="CH211" s="346">
        <f>CH209+CH210</f>
        <v>336.20300000000015</v>
      </c>
      <c r="CI211" s="346">
        <f>CI209+CI210</f>
        <v>336.20300000000015</v>
      </c>
      <c r="CJ211" s="346">
        <f>CJ209+CJ210</f>
        <v>336.20300000000015</v>
      </c>
      <c r="CK211" s="346">
        <f>CK209+CK210</f>
        <v>336.20300000000015</v>
      </c>
      <c r="CL211" s="563"/>
      <c r="CM211" s="346">
        <f>CM209+CM210</f>
        <v>336.20300000000015</v>
      </c>
      <c r="CN211" s="346">
        <f>CN209+CN210</f>
        <v>336.20300000000015</v>
      </c>
      <c r="CO211" s="346">
        <f>CO209+CO210</f>
        <v>336.20300000000015</v>
      </c>
      <c r="CP211" s="346">
        <f>CP209+CP210</f>
        <v>336.20300000000015</v>
      </c>
      <c r="CQ211" s="563"/>
      <c r="CR211" s="346">
        <f>CR209+CR210</f>
        <v>336.20300000000015</v>
      </c>
      <c r="CS211" s="346">
        <f>CS209+CS210</f>
        <v>0</v>
      </c>
      <c r="CT211" s="346">
        <f>CT209+CT210</f>
        <v>0</v>
      </c>
      <c r="CU211" s="346">
        <f>CU209+CU210</f>
        <v>0</v>
      </c>
      <c r="CV211" s="563"/>
      <c r="CW211" s="346">
        <f>CW209+CW210</f>
        <v>0</v>
      </c>
      <c r="CX211" s="346">
        <f>CX209+CX210</f>
        <v>-336.20299999999997</v>
      </c>
      <c r="CY211" s="346">
        <f>CY209+CY210</f>
        <v>-336.20299999999997</v>
      </c>
      <c r="CZ211" s="346">
        <f>CZ209+CZ210</f>
        <v>-336.20299999999997</v>
      </c>
      <c r="DA211" s="563"/>
      <c r="DB211" s="346">
        <f>DB209+DB210</f>
        <v>-336.20299999999997</v>
      </c>
      <c r="DC211" s="346">
        <f>DC209+DC210</f>
        <v>-672.40599999999995</v>
      </c>
      <c r="DD211" s="346">
        <f>DD209+DD210</f>
        <v>-672.40599999999995</v>
      </c>
      <c r="DE211" s="346">
        <f>DE209+DE210</f>
        <v>-672.40599999999995</v>
      </c>
      <c r="DF211" s="563"/>
    </row>
    <row r="212" spans="1:110" x14ac:dyDescent="0.2">
      <c r="B212" s="536" t="s">
        <v>201</v>
      </c>
      <c r="C212" s="145"/>
      <c r="D212" s="145"/>
      <c r="E212" s="145"/>
      <c r="F212" s="145"/>
      <c r="G212" s="145"/>
      <c r="H212" s="145"/>
      <c r="I212" s="145"/>
      <c r="J212" s="145"/>
      <c r="K212" s="145"/>
      <c r="L212" s="145"/>
      <c r="M212" s="145"/>
      <c r="N212" s="145"/>
      <c r="O212" s="145"/>
      <c r="P212" s="145"/>
      <c r="Q212" s="145"/>
      <c r="R212" s="145"/>
      <c r="S212" s="346"/>
      <c r="T212" s="346"/>
      <c r="U212" s="346"/>
      <c r="V212" s="326"/>
      <c r="W212" s="326"/>
      <c r="X212" s="326"/>
      <c r="Y212" s="340"/>
      <c r="Z212" s="346"/>
      <c r="AA212" s="346"/>
      <c r="AB212" s="346"/>
      <c r="AC212" s="346"/>
      <c r="AD212" s="340"/>
      <c r="AE212" s="346"/>
      <c r="AF212" s="346"/>
      <c r="AG212" s="346"/>
      <c r="AH212" s="346"/>
      <c r="AI212" s="340"/>
      <c r="AJ212" s="346"/>
      <c r="AK212" s="346"/>
      <c r="AL212" s="346"/>
      <c r="AM212" s="346"/>
      <c r="AN212" s="340"/>
      <c r="AO212" s="346"/>
      <c r="AP212" s="346"/>
      <c r="AQ212" s="346"/>
      <c r="AR212" s="346"/>
      <c r="AS212" s="340"/>
      <c r="AT212" s="346"/>
      <c r="AU212" s="625">
        <f>AU208-AU211</f>
        <v>0</v>
      </c>
      <c r="AV212" s="625">
        <f>AV208-AV211</f>
        <v>0</v>
      </c>
      <c r="AW212" s="625">
        <f>AW208-AW211</f>
        <v>-0.10000000000002274</v>
      </c>
      <c r="AX212" s="340"/>
      <c r="AY212" s="346">
        <f>AY208-AY211</f>
        <v>-0.20000000000004547</v>
      </c>
      <c r="AZ212" s="346">
        <f>AZ208-AZ211</f>
        <v>-0.20000000000004547</v>
      </c>
      <c r="BA212" s="346">
        <f>BA208-BA211</f>
        <v>-0.30000000000006821</v>
      </c>
      <c r="BB212" s="346">
        <f>BB208-BB211</f>
        <v>-0.40000000000009095</v>
      </c>
      <c r="BC212" s="340"/>
      <c r="BD212" s="346">
        <f>BD208-BD211</f>
        <v>-0.40000000000009095</v>
      </c>
      <c r="BE212" s="346">
        <f>BE208-BE211</f>
        <v>-0.50000000000011369</v>
      </c>
      <c r="BF212" s="346">
        <f>BF208-BF211</f>
        <v>-0.50000000000011369</v>
      </c>
      <c r="BG212" s="346">
        <f>BG208-BG211</f>
        <v>-0.50000000000011369</v>
      </c>
      <c r="BH212" s="340"/>
      <c r="BI212" s="346">
        <f>BI208-BI211</f>
        <v>-0.50000000000011369</v>
      </c>
      <c r="BJ212" s="346">
        <f>BJ208-BJ211</f>
        <v>-0.70000000000010232</v>
      </c>
      <c r="BK212" s="346">
        <f>BK208-BK211</f>
        <v>-0.80000000000001137</v>
      </c>
      <c r="BL212" s="346">
        <f>BL208-BL211</f>
        <v>-0.90000000000003411</v>
      </c>
      <c r="BM212" s="340"/>
      <c r="BN212" s="346">
        <f>BN208-BN211</f>
        <v>-0.90000000000003411</v>
      </c>
      <c r="BO212" s="346">
        <f>BO208-BO211</f>
        <v>-1</v>
      </c>
      <c r="BP212" s="346">
        <f>BP208-BP211</f>
        <v>-1.1000000000000227</v>
      </c>
      <c r="BQ212" s="346">
        <f>BQ208-BQ211</f>
        <v>-1.1999999999999886</v>
      </c>
      <c r="BR212" s="340"/>
      <c r="BS212" s="346">
        <f>BS208-BS211</f>
        <v>-1.3000000000000114</v>
      </c>
      <c r="BT212" s="346">
        <f>BT208-BT211</f>
        <v>-1.4000000000000341</v>
      </c>
      <c r="BU212" s="346">
        <f>BU208-BU211</f>
        <v>-1.4000000000000341</v>
      </c>
      <c r="BV212" s="346">
        <f>BV208-BV211</f>
        <v>-1.5</v>
      </c>
      <c r="BW212" s="340"/>
      <c r="BX212" s="346">
        <f>BX208-BX211</f>
        <v>-1.6000000000000227</v>
      </c>
      <c r="BY212" s="346">
        <f>BY208-BY211</f>
        <v>-1.7000000000000455</v>
      </c>
      <c r="BZ212" s="346">
        <f>BZ208-BZ211</f>
        <v>-1.8000000000000682</v>
      </c>
      <c r="CA212" s="346">
        <f>CA208-CA211</f>
        <v>-1.9000000000000909</v>
      </c>
      <c r="CB212" s="563"/>
      <c r="CC212" s="346">
        <f>CC208-CC211</f>
        <v>-2.0000000000001137</v>
      </c>
      <c r="CD212" s="346">
        <f>CD208-CD211</f>
        <v>-2.1000000000001364</v>
      </c>
      <c r="CE212" s="346">
        <f>CE208-CE211</f>
        <v>160.55699999999985</v>
      </c>
      <c r="CF212" s="346">
        <f>CF208-CF211</f>
        <v>160.49699999999984</v>
      </c>
      <c r="CG212" s="563"/>
      <c r="CH212" s="346">
        <f>CH208-CH211</f>
        <v>160.49699999999984</v>
      </c>
      <c r="CI212" s="346">
        <f>CI208-CI211</f>
        <v>160.49699999999984</v>
      </c>
      <c r="CJ212" s="346">
        <f>CJ208-CJ211</f>
        <v>160.49699999999984</v>
      </c>
      <c r="CK212" s="346">
        <f>CK208-CK211</f>
        <v>160.49699999999984</v>
      </c>
      <c r="CL212" s="563"/>
      <c r="CM212" s="346">
        <f>CM208-CM211</f>
        <v>160.49699999999984</v>
      </c>
      <c r="CN212" s="346">
        <f>CN208-CN211</f>
        <v>160.49699999999984</v>
      </c>
      <c r="CO212" s="346">
        <f>CO208-CO211</f>
        <v>160.49699999999984</v>
      </c>
      <c r="CP212" s="346">
        <f>CP208-CP211</f>
        <v>160.49699999999984</v>
      </c>
      <c r="CQ212" s="563"/>
      <c r="CR212" s="346">
        <f>CR208-CR211</f>
        <v>160.49699999999984</v>
      </c>
      <c r="CS212" s="346">
        <f>CS208-CS211</f>
        <v>496.7</v>
      </c>
      <c r="CT212" s="346">
        <f>CT208-CT211</f>
        <v>496.7</v>
      </c>
      <c r="CU212" s="346">
        <f>CU208-CU211</f>
        <v>496.7</v>
      </c>
      <c r="CV212" s="563"/>
      <c r="CW212" s="346">
        <f>CW208-CW211</f>
        <v>496.7</v>
      </c>
      <c r="CX212" s="346">
        <f>CX208-CX211</f>
        <v>832.90300000000002</v>
      </c>
      <c r="CY212" s="346">
        <f>CY208-CY211</f>
        <v>832.90300000000002</v>
      </c>
      <c r="CZ212" s="346">
        <f>CZ208-CZ211</f>
        <v>832.90300000000002</v>
      </c>
      <c r="DA212" s="563"/>
      <c r="DB212" s="346">
        <f>DB208-DB211</f>
        <v>832.90300000000002</v>
      </c>
      <c r="DC212" s="346">
        <f>DC208-DC211</f>
        <v>1169.106</v>
      </c>
      <c r="DD212" s="346">
        <f>DD208-DD211</f>
        <v>1169.106</v>
      </c>
      <c r="DE212" s="346">
        <f>DE208-DE211</f>
        <v>1169.106</v>
      </c>
      <c r="DF212" s="563"/>
    </row>
    <row r="213" spans="1:110" x14ac:dyDescent="0.2">
      <c r="B213" s="544" t="s">
        <v>206</v>
      </c>
      <c r="C213" s="145"/>
      <c r="D213" s="145"/>
      <c r="E213" s="145"/>
      <c r="F213" s="145"/>
      <c r="G213" s="145"/>
      <c r="H213" s="145"/>
      <c r="I213" s="145"/>
      <c r="J213" s="145"/>
      <c r="K213" s="145"/>
      <c r="L213" s="145"/>
      <c r="M213" s="145"/>
      <c r="N213" s="145"/>
      <c r="O213" s="145"/>
      <c r="P213" s="145"/>
      <c r="Q213" s="145"/>
      <c r="R213" s="145"/>
      <c r="S213" s="346"/>
      <c r="T213" s="346"/>
      <c r="U213" s="346"/>
      <c r="V213" s="326"/>
      <c r="W213" s="326"/>
      <c r="X213" s="326"/>
      <c r="Y213" s="340"/>
      <c r="Z213" s="346"/>
      <c r="AA213" s="346"/>
      <c r="AB213" s="346"/>
      <c r="AC213" s="346"/>
      <c r="AD213" s="340"/>
      <c r="AE213" s="346"/>
      <c r="AF213" s="346"/>
      <c r="AG213" s="346"/>
      <c r="AH213" s="346"/>
      <c r="AI213" s="340"/>
      <c r="AJ213" s="346"/>
      <c r="AK213" s="346"/>
      <c r="AL213" s="346"/>
      <c r="AM213" s="346"/>
      <c r="AN213" s="340"/>
      <c r="AO213" s="346"/>
      <c r="AP213" s="346"/>
      <c r="AQ213" s="346"/>
      <c r="AR213" s="346"/>
      <c r="AS213" s="340"/>
      <c r="AT213" s="346"/>
      <c r="AU213" s="625">
        <f>-AU211/3*(AU207/4)</f>
        <v>-3.0008958333333329</v>
      </c>
      <c r="AV213" s="625">
        <f t="shared" ref="AV213:BL213" si="334">-(AVERAGE(AV211,AV209))*(AV207/4)</f>
        <v>-9.0026874999999986</v>
      </c>
      <c r="AW213" s="625">
        <f t="shared" si="334"/>
        <v>-9.0035937499999985</v>
      </c>
      <c r="AX213" s="340"/>
      <c r="AY213" s="346">
        <f t="shared" si="334"/>
        <v>-9.0054062500000001</v>
      </c>
      <c r="AZ213" s="346">
        <f t="shared" si="334"/>
        <v>-9.0063124999999999</v>
      </c>
      <c r="BA213" s="346">
        <f t="shared" si="334"/>
        <v>-9.0072187499999998</v>
      </c>
      <c r="BB213" s="346">
        <f t="shared" si="334"/>
        <v>-9.0090312500000014</v>
      </c>
      <c r="BC213" s="340"/>
      <c r="BD213" s="346">
        <f t="shared" si="334"/>
        <v>-9.0099375000000013</v>
      </c>
      <c r="BE213" s="346">
        <f t="shared" si="334"/>
        <v>-9.0108437500000012</v>
      </c>
      <c r="BF213" s="346">
        <f t="shared" si="334"/>
        <v>-9.011750000000001</v>
      </c>
      <c r="BG213" s="346">
        <f t="shared" si="334"/>
        <v>-9.011750000000001</v>
      </c>
      <c r="BH213" s="340"/>
      <c r="BI213" s="346">
        <f t="shared" si="334"/>
        <v>-9.011750000000001</v>
      </c>
      <c r="BJ213" s="346">
        <f t="shared" si="334"/>
        <v>-9.0135625000000008</v>
      </c>
      <c r="BK213" s="346">
        <f t="shared" si="334"/>
        <v>-9.0162812500000005</v>
      </c>
      <c r="BL213" s="346">
        <f t="shared" si="334"/>
        <v>-9.0180937500000002</v>
      </c>
      <c r="BM213" s="340"/>
      <c r="BN213" s="346">
        <f>-(AVERAGE(BN211,BN209))*(BN207/4)</f>
        <v>-9.0190000000000001</v>
      </c>
      <c r="BO213" s="346">
        <f>-(AVERAGE(BO211,BO209))*(BO207/4)</f>
        <v>-9.0199062499999982</v>
      </c>
      <c r="BP213" s="346">
        <f>-(AVERAGE(BP211,BP209))*(BP207/4)</f>
        <v>-9.0217187499999998</v>
      </c>
      <c r="BQ213" s="346">
        <f>-(AVERAGE(BQ211,BQ209))*(BQ207/4)</f>
        <v>-9.0235312499999996</v>
      </c>
      <c r="BR213" s="340"/>
      <c r="BS213" s="346">
        <f>-(AVERAGE(BS211,BS209))*(BS207/4)</f>
        <v>-9.0253437499999993</v>
      </c>
      <c r="BT213" s="346">
        <f>-(AVERAGE(BT211,BT209))*(BT207/4)</f>
        <v>-9.0271562499999991</v>
      </c>
      <c r="BU213" s="346">
        <f>-(AVERAGE(BU211,BU209))*(BU207/4)</f>
        <v>-9.028062499999999</v>
      </c>
      <c r="BV213" s="346">
        <f>-(AVERAGE(BV211,BV209))*(BV207/4)</f>
        <v>-9.0289687499999989</v>
      </c>
      <c r="BW213" s="340"/>
      <c r="BX213" s="346">
        <f>-(AVERAGE(BX211,BX209))*(BX207/4)</f>
        <v>-9.0307812499999986</v>
      </c>
      <c r="BY213" s="346">
        <f>-(AVERAGE(BY211,BY209))*(BY207/4)</f>
        <v>-9.0325937500000002</v>
      </c>
      <c r="BZ213" s="346">
        <f>-(AVERAGE(BZ211,BZ209))*(BZ207/4)</f>
        <v>-9.03440625</v>
      </c>
      <c r="CA213" s="346">
        <f>-(AVERAGE(CA211,CA209))*(CA207/4)</f>
        <v>-9.0362187499999997</v>
      </c>
      <c r="CB213" s="563"/>
      <c r="CC213" s="346">
        <f>-(AVERAGE(CC211,CC209))*(CC207/4)</f>
        <v>-9.0380312500000013</v>
      </c>
      <c r="CD213" s="346">
        <f>-(AVERAGE(CD211,CD209))*(CD207/4)</f>
        <v>-9.0398437500000011</v>
      </c>
      <c r="CE213" s="346">
        <f>-(AVERAGE(CE211,CE209))*(CE207/4)</f>
        <v>-7.5666709375000014</v>
      </c>
      <c r="CF213" s="346">
        <f>-(AVERAGE(CF211,CF209))*(CF207/4)</f>
        <v>-6.0931356250000013</v>
      </c>
      <c r="CG213" s="563"/>
      <c r="CH213" s="346">
        <f>-(AVERAGE(CH211,CH209))*(CH207/4)</f>
        <v>-6.0936793750000025</v>
      </c>
      <c r="CI213" s="346">
        <f>-(AVERAGE(CI211,CI209))*(CI207/4)</f>
        <v>-6.0936793750000025</v>
      </c>
      <c r="CJ213" s="346">
        <f>-(AVERAGE(CJ211,CJ209))*(CJ207/4)</f>
        <v>-6.0936793750000025</v>
      </c>
      <c r="CK213" s="346">
        <f>-(AVERAGE(CK211,CK209))*(CK207/4)</f>
        <v>-6.0936793750000025</v>
      </c>
      <c r="CL213" s="563"/>
      <c r="CM213" s="346">
        <f>-(AVERAGE(CM211,CM209))*(CM207/4)</f>
        <v>-6.0936793750000025</v>
      </c>
      <c r="CN213" s="346">
        <f>-(AVERAGE(CN211,CN209))*(CN207/4)</f>
        <v>-6.0936793750000025</v>
      </c>
      <c r="CO213" s="346">
        <f>-(AVERAGE(CO211,CO209))*(CO207/4)</f>
        <v>-6.0936793750000025</v>
      </c>
      <c r="CP213" s="346">
        <f>-(AVERAGE(CP211,CP209))*(CP207/4)</f>
        <v>-6.0936793750000025</v>
      </c>
      <c r="CQ213" s="563"/>
      <c r="CR213" s="346">
        <f>-(AVERAGE(CR211,CR209))*(CR207/4)</f>
        <v>-6.0936793750000025</v>
      </c>
      <c r="CS213" s="346">
        <f>-(AVERAGE(CS211,CS209))*(CS207/4)</f>
        <v>-3.0468396875000012</v>
      </c>
      <c r="CT213" s="346">
        <f>-(AVERAGE(CT211,CT209))*(CT207/4)</f>
        <v>0</v>
      </c>
      <c r="CU213" s="346">
        <f>-(AVERAGE(CU211,CU209))*(CU207/4)</f>
        <v>0</v>
      </c>
      <c r="CV213" s="563"/>
      <c r="CW213" s="346">
        <f>-(AVERAGE(CW211,CW209))*(CW207/4)</f>
        <v>0</v>
      </c>
      <c r="CX213" s="346">
        <f>-(AVERAGE(CX211,CX209))*(CX207/4)</f>
        <v>3.0468396874999994</v>
      </c>
      <c r="CY213" s="346">
        <f>-(AVERAGE(CY211,CY209))*(CY207/4)</f>
        <v>6.0936793749999989</v>
      </c>
      <c r="CZ213" s="346">
        <f>-(AVERAGE(CZ211,CZ209))*(CZ207/4)</f>
        <v>6.0936793749999989</v>
      </c>
      <c r="DA213" s="563"/>
      <c r="DB213" s="346">
        <f>-(AVERAGE(DB211,DB209))*(DB207/4)</f>
        <v>6.0936793749999989</v>
      </c>
      <c r="DC213" s="346">
        <f>-(AVERAGE(DC211,DC209))*(DC207/4)</f>
        <v>9.1405190624999992</v>
      </c>
      <c r="DD213" s="346">
        <f>-(AVERAGE(DD211,DD209))*(DD207/4)</f>
        <v>12.187358749999998</v>
      </c>
      <c r="DE213" s="346">
        <f>-(AVERAGE(DE211,DE209))*(DE207/4)</f>
        <v>12.187358749999998</v>
      </c>
      <c r="DF213" s="563"/>
    </row>
    <row r="214" spans="1:110" ht="12" thickBot="1" x14ac:dyDescent="0.25">
      <c r="B214" s="548" t="s">
        <v>207</v>
      </c>
      <c r="C214" s="205"/>
      <c r="D214" s="205"/>
      <c r="E214" s="205"/>
      <c r="F214" s="205"/>
      <c r="G214" s="205"/>
      <c r="H214" s="205"/>
      <c r="I214" s="205"/>
      <c r="J214" s="205"/>
      <c r="K214" s="205"/>
      <c r="L214" s="205"/>
      <c r="M214" s="205"/>
      <c r="N214" s="205"/>
      <c r="O214" s="205"/>
      <c r="P214" s="205"/>
      <c r="Q214" s="205"/>
      <c r="R214" s="205"/>
      <c r="S214" s="549"/>
      <c r="T214" s="549"/>
      <c r="U214" s="549"/>
      <c r="V214" s="327"/>
      <c r="W214" s="327"/>
      <c r="X214" s="327"/>
      <c r="Y214" s="550"/>
      <c r="Z214" s="549"/>
      <c r="AA214" s="549"/>
      <c r="AB214" s="549"/>
      <c r="AC214" s="549"/>
      <c r="AD214" s="550"/>
      <c r="AE214" s="549"/>
      <c r="AF214" s="549"/>
      <c r="AG214" s="549"/>
      <c r="AH214" s="549"/>
      <c r="AI214" s="550"/>
      <c r="AJ214" s="549"/>
      <c r="AK214" s="549"/>
      <c r="AL214" s="549"/>
      <c r="AM214" s="549"/>
      <c r="AN214" s="550"/>
      <c r="AO214" s="549"/>
      <c r="AP214" s="549"/>
      <c r="AQ214" s="549"/>
      <c r="AR214" s="549"/>
      <c r="AS214" s="550"/>
      <c r="AT214" s="549"/>
      <c r="AU214" s="549">
        <f>-AU206*AU212/4</f>
        <v>0</v>
      </c>
      <c r="AV214" s="549">
        <f t="shared" ref="AV214:BL214" si="335">-AV206*AV212/4</f>
        <v>0</v>
      </c>
      <c r="AW214" s="549">
        <f t="shared" si="335"/>
        <v>0</v>
      </c>
      <c r="AX214" s="550"/>
      <c r="AY214" s="549">
        <f t="shared" si="335"/>
        <v>0</v>
      </c>
      <c r="AZ214" s="549">
        <f t="shared" si="335"/>
        <v>0</v>
      </c>
      <c r="BA214" s="549">
        <f t="shared" si="335"/>
        <v>0</v>
      </c>
      <c r="BB214" s="549">
        <f t="shared" si="335"/>
        <v>0</v>
      </c>
      <c r="BC214" s="550"/>
      <c r="BD214" s="549">
        <f t="shared" si="335"/>
        <v>0</v>
      </c>
      <c r="BE214" s="549">
        <f t="shared" si="335"/>
        <v>0</v>
      </c>
      <c r="BF214" s="549">
        <f t="shared" si="335"/>
        <v>0</v>
      </c>
      <c r="BG214" s="549">
        <f t="shared" si="335"/>
        <v>0</v>
      </c>
      <c r="BH214" s="550"/>
      <c r="BI214" s="549">
        <f t="shared" si="335"/>
        <v>0</v>
      </c>
      <c r="BJ214" s="549">
        <f t="shared" si="335"/>
        <v>0</v>
      </c>
      <c r="BK214" s="549">
        <f t="shared" si="335"/>
        <v>0</v>
      </c>
      <c r="BL214" s="549">
        <f t="shared" si="335"/>
        <v>0</v>
      </c>
      <c r="BM214" s="550"/>
      <c r="BN214" s="549">
        <f>-BN206*BN212/4</f>
        <v>0</v>
      </c>
      <c r="BO214" s="549">
        <f>-BO206*BO212/4</f>
        <v>0</v>
      </c>
      <c r="BP214" s="549">
        <f>-BP206*BP212/4</f>
        <v>0</v>
      </c>
      <c r="BQ214" s="549">
        <f>-BQ206*BQ212/4</f>
        <v>0</v>
      </c>
      <c r="BR214" s="550"/>
      <c r="BS214" s="549">
        <f>-BS206*BS212/4</f>
        <v>0</v>
      </c>
      <c r="BT214" s="549">
        <f>-BT206*BT212/4</f>
        <v>0</v>
      </c>
      <c r="BU214" s="549">
        <f>-BU206*BU212/4</f>
        <v>0</v>
      </c>
      <c r="BV214" s="549">
        <f>-BV206*BV212/4</f>
        <v>0</v>
      </c>
      <c r="BW214" s="550"/>
      <c r="BX214" s="549">
        <f>-BX206*BX212/4</f>
        <v>0</v>
      </c>
      <c r="BY214" s="549">
        <f>-BY206*BY212/4</f>
        <v>0</v>
      </c>
      <c r="BZ214" s="549">
        <f>-BZ206*BZ212/4</f>
        <v>0</v>
      </c>
      <c r="CA214" s="549">
        <f>-CA206*CA212/4</f>
        <v>0</v>
      </c>
      <c r="CB214" s="565"/>
      <c r="CC214" s="549">
        <f>-CC206*CC212/4</f>
        <v>0</v>
      </c>
      <c r="CD214" s="549">
        <f>-CD206*CD212/4</f>
        <v>0</v>
      </c>
      <c r="CE214" s="549">
        <f>-CE206*CE212/4</f>
        <v>0</v>
      </c>
      <c r="CF214" s="549">
        <f>-CF206*CF212/4</f>
        <v>0</v>
      </c>
      <c r="CG214" s="565"/>
      <c r="CH214" s="549">
        <f>-CH206*CH212/4</f>
        <v>0</v>
      </c>
      <c r="CI214" s="549">
        <f>-CI206*CI212/4</f>
        <v>0</v>
      </c>
      <c r="CJ214" s="549">
        <f>-CJ206*CJ212/4</f>
        <v>0</v>
      </c>
      <c r="CK214" s="549">
        <f>-CK206*CK212/4</f>
        <v>0</v>
      </c>
      <c r="CL214" s="565"/>
      <c r="CM214" s="549">
        <f>-CM206*CM212/4</f>
        <v>0</v>
      </c>
      <c r="CN214" s="549">
        <f>-CN206*CN212/4</f>
        <v>0</v>
      </c>
      <c r="CO214" s="549">
        <f>-CO206*CO212/4</f>
        <v>0</v>
      </c>
      <c r="CP214" s="549">
        <f>-CP206*CP212/4</f>
        <v>0</v>
      </c>
      <c r="CQ214" s="565"/>
      <c r="CR214" s="549">
        <f>-CR206*CR212/4</f>
        <v>0</v>
      </c>
      <c r="CS214" s="549">
        <f>-CS206*CS212/4</f>
        <v>0</v>
      </c>
      <c r="CT214" s="549">
        <f>-CT206*CT212/4</f>
        <v>0</v>
      </c>
      <c r="CU214" s="549">
        <f>-CU206*CU212/4</f>
        <v>0</v>
      </c>
      <c r="CV214" s="565"/>
      <c r="CW214" s="549">
        <f>-CW206*CW212/4</f>
        <v>0</v>
      </c>
      <c r="CX214" s="549">
        <f>-CX206*CX212/4</f>
        <v>0</v>
      </c>
      <c r="CY214" s="549">
        <f>-CY206*CY212/4</f>
        <v>0</v>
      </c>
      <c r="CZ214" s="549">
        <f>-CZ206*CZ212/4</f>
        <v>0</v>
      </c>
      <c r="DA214" s="565"/>
      <c r="DB214" s="549">
        <f>-DB206*DB212/4</f>
        <v>0</v>
      </c>
      <c r="DC214" s="549">
        <f>-DC206*DC212/4</f>
        <v>0</v>
      </c>
      <c r="DD214" s="549">
        <f>-DD206*DD212/4</f>
        <v>0</v>
      </c>
      <c r="DE214" s="549">
        <f>-DE206*DE212/4</f>
        <v>0</v>
      </c>
      <c r="DF214" s="565"/>
    </row>
    <row r="215" spans="1:110" s="1289" customFormat="1" ht="13.5" thickBot="1" x14ac:dyDescent="0.25">
      <c r="A215" s="1273"/>
      <c r="B215" s="1273"/>
      <c r="C215" s="1298"/>
      <c r="D215" s="1298"/>
      <c r="E215" s="1298"/>
      <c r="F215" s="1298"/>
      <c r="G215" s="1298"/>
      <c r="H215" s="1298"/>
      <c r="I215" s="1298"/>
      <c r="J215" s="1298"/>
      <c r="K215" s="1298"/>
      <c r="L215" s="1298"/>
      <c r="M215" s="1298"/>
      <c r="N215" s="1298"/>
      <c r="O215" s="1298"/>
      <c r="P215" s="1298"/>
      <c r="Q215" s="1298"/>
      <c r="R215" s="1298"/>
      <c r="S215" s="1293"/>
      <c r="T215" s="1293"/>
      <c r="U215" s="1293"/>
      <c r="V215" s="1293"/>
      <c r="W215" s="1293"/>
      <c r="X215" s="1293"/>
      <c r="Y215" s="1293"/>
      <c r="Z215" s="1293"/>
      <c r="AA215" s="1293"/>
      <c r="AB215" s="1293"/>
      <c r="AC215" s="1293"/>
      <c r="AD215" s="1293"/>
      <c r="AE215" s="1293"/>
      <c r="AF215" s="1293"/>
      <c r="AG215" s="1293"/>
      <c r="AH215" s="1293"/>
      <c r="AI215" s="1293"/>
      <c r="AJ215" s="1293"/>
      <c r="AK215" s="1293"/>
      <c r="AL215" s="1293"/>
      <c r="AM215" s="1293"/>
      <c r="AN215" s="1293"/>
      <c r="AO215" s="1293"/>
      <c r="AP215" s="1293"/>
      <c r="AQ215" s="1293"/>
      <c r="AR215" s="1293"/>
      <c r="AS215" s="1293"/>
      <c r="AT215" s="1293"/>
      <c r="AU215" s="1293"/>
      <c r="AV215" s="1293"/>
      <c r="AW215" s="1293"/>
      <c r="AX215" s="1293"/>
      <c r="AY215" s="1293"/>
      <c r="AZ215" s="1293"/>
      <c r="BA215" s="1293"/>
      <c r="BB215" s="1293"/>
      <c r="BC215" s="1293"/>
      <c r="BD215" s="1293"/>
      <c r="BE215" s="1293"/>
      <c r="BF215" s="1293"/>
      <c r="BG215" s="1293"/>
      <c r="BH215" s="1293"/>
      <c r="BI215" s="1293"/>
      <c r="BJ215" s="1293"/>
      <c r="BK215" s="1293"/>
      <c r="BL215" s="1293"/>
      <c r="BM215" s="1293"/>
      <c r="BN215" s="1712"/>
      <c r="BO215" s="1293"/>
      <c r="BP215" s="1293"/>
      <c r="BQ215" s="1293"/>
      <c r="BR215" s="1293"/>
      <c r="BS215" s="1293"/>
      <c r="BT215" s="1293"/>
      <c r="BU215" s="1293"/>
      <c r="BV215" s="1293"/>
      <c r="BW215" s="1293"/>
      <c r="BX215" s="1293"/>
      <c r="BY215" s="1293"/>
      <c r="BZ215" s="1293"/>
      <c r="CA215" s="1293"/>
      <c r="CB215" s="1293"/>
      <c r="CC215" s="1293"/>
      <c r="CD215" s="1293"/>
      <c r="CE215" s="1293"/>
      <c r="CF215" s="1293"/>
      <c r="CG215" s="1293"/>
      <c r="CH215" s="1293"/>
      <c r="CI215" s="1293"/>
      <c r="CJ215" s="1293"/>
      <c r="CK215" s="1293"/>
      <c r="CL215" s="1293"/>
      <c r="CM215" s="1293"/>
      <c r="CN215" s="1293"/>
      <c r="CO215" s="1293"/>
      <c r="CP215" s="1293"/>
      <c r="CQ215" s="1293"/>
      <c r="CR215" s="1293"/>
      <c r="CS215" s="1293"/>
      <c r="CT215" s="1293"/>
      <c r="CU215" s="1293"/>
      <c r="CV215" s="1293"/>
      <c r="CW215" s="1293"/>
      <c r="CX215" s="1293"/>
      <c r="CY215" s="1293"/>
      <c r="CZ215" s="1293"/>
      <c r="DA215" s="1293"/>
      <c r="DB215" s="1293"/>
      <c r="DC215" s="1293"/>
      <c r="DD215" s="1293"/>
      <c r="DE215" s="1293"/>
      <c r="DF215" s="1293"/>
    </row>
    <row r="216" spans="1:110" s="1273" customFormat="1" ht="13.5" thickBot="1" x14ac:dyDescent="0.25">
      <c r="B216" s="1274" t="s">
        <v>1</v>
      </c>
      <c r="C216" s="1316"/>
      <c r="D216" s="1316"/>
      <c r="E216" s="1316"/>
      <c r="F216" s="1316"/>
      <c r="G216" s="1316"/>
      <c r="H216" s="1316"/>
      <c r="I216" s="1316"/>
      <c r="J216" s="1316"/>
      <c r="K216" s="1316"/>
      <c r="L216" s="1316"/>
      <c r="M216" s="1316"/>
      <c r="N216" s="1316"/>
      <c r="O216" s="1316"/>
      <c r="P216" s="1316"/>
      <c r="Q216" s="1316"/>
      <c r="R216" s="1316"/>
      <c r="S216" s="1317"/>
      <c r="T216" s="1317"/>
      <c r="U216" s="1317"/>
      <c r="V216" s="1317"/>
      <c r="W216" s="1317"/>
      <c r="X216" s="1317"/>
      <c r="Y216" s="1317"/>
      <c r="Z216" s="1317"/>
      <c r="AA216" s="1317"/>
      <c r="AB216" s="1317"/>
      <c r="AC216" s="1317"/>
      <c r="AD216" s="1317"/>
      <c r="AE216" s="1317"/>
      <c r="AF216" s="1317"/>
      <c r="AG216" s="1317"/>
      <c r="AH216" s="1317"/>
      <c r="AI216" s="1317"/>
      <c r="AJ216" s="1317"/>
      <c r="AK216" s="1317"/>
      <c r="AL216" s="1317"/>
      <c r="AM216" s="1317"/>
      <c r="AN216" s="1317"/>
      <c r="AO216" s="1317"/>
      <c r="AP216" s="1317"/>
      <c r="AQ216" s="1317"/>
      <c r="AR216" s="1317"/>
      <c r="AS216" s="1317"/>
      <c r="AT216" s="1317"/>
      <c r="AU216" s="1317"/>
      <c r="AV216" s="1317"/>
      <c r="AW216" s="1317"/>
      <c r="AX216" s="1317"/>
      <c r="AY216" s="1317"/>
      <c r="AZ216" s="1317"/>
      <c r="BA216" s="1317"/>
      <c r="BB216" s="1317"/>
      <c r="BC216" s="1317"/>
      <c r="BD216" s="1317"/>
      <c r="BE216" s="1317"/>
      <c r="BF216" s="1317"/>
      <c r="BG216" s="1317"/>
      <c r="BH216" s="1317"/>
      <c r="BI216" s="1317"/>
      <c r="BJ216" s="1317"/>
      <c r="BK216" s="1317"/>
      <c r="BL216" s="1317"/>
      <c r="BM216" s="1317"/>
      <c r="BN216" s="1317"/>
      <c r="BO216" s="1317"/>
      <c r="BP216" s="1317"/>
      <c r="BQ216" s="1317"/>
      <c r="BR216" s="1317"/>
      <c r="BS216" s="1317"/>
      <c r="BT216" s="1317"/>
      <c r="BU216" s="1317"/>
      <c r="BV216" s="1317"/>
      <c r="BW216" s="1317"/>
      <c r="BX216" s="1317"/>
      <c r="BY216" s="1317"/>
      <c r="BZ216" s="1317"/>
      <c r="CA216" s="1317"/>
      <c r="CB216" s="1318"/>
      <c r="CC216" s="1317"/>
      <c r="CD216" s="1317"/>
      <c r="CE216" s="1317"/>
      <c r="CF216" s="1317"/>
      <c r="CG216" s="1318"/>
      <c r="CH216" s="1317"/>
      <c r="CI216" s="1317"/>
      <c r="CJ216" s="1317"/>
      <c r="CK216" s="1317"/>
      <c r="CL216" s="1318"/>
      <c r="CM216" s="1317"/>
      <c r="CN216" s="1317"/>
      <c r="CO216" s="1317"/>
      <c r="CP216" s="1317"/>
      <c r="CQ216" s="1318"/>
      <c r="CR216" s="1317"/>
      <c r="CS216" s="1317"/>
      <c r="CT216" s="1317"/>
      <c r="CU216" s="1317"/>
      <c r="CV216" s="1318"/>
      <c r="CW216" s="1317"/>
      <c r="CX216" s="1317"/>
      <c r="CY216" s="1317"/>
      <c r="CZ216" s="1317"/>
      <c r="DA216" s="1318"/>
      <c r="DB216" s="1317"/>
      <c r="DC216" s="1317"/>
      <c r="DD216" s="1317"/>
      <c r="DE216" s="1317"/>
      <c r="DF216" s="1318"/>
    </row>
    <row r="217" spans="1:110" s="1289" customFormat="1" ht="12.75" x14ac:dyDescent="0.2">
      <c r="A217" s="1273"/>
      <c r="B217" s="1280" t="s">
        <v>327</v>
      </c>
      <c r="C217" s="1319">
        <v>4.1250000000000002E-2</v>
      </c>
      <c r="D217" s="1282"/>
      <c r="E217" s="1282"/>
      <c r="F217" s="1282"/>
      <c r="G217" s="1282"/>
      <c r="H217" s="1282"/>
      <c r="I217" s="1282"/>
      <c r="J217" s="1282"/>
      <c r="K217" s="1282"/>
      <c r="L217" s="1282"/>
      <c r="M217" s="1282"/>
      <c r="N217" s="1282"/>
      <c r="O217" s="1282"/>
      <c r="P217" s="1282"/>
      <c r="Q217" s="1282"/>
      <c r="R217" s="1282"/>
      <c r="S217" s="1283"/>
      <c r="T217" s="1284"/>
      <c r="U217" s="1283"/>
      <c r="V217" s="1283"/>
      <c r="W217" s="1283"/>
      <c r="X217" s="1320"/>
      <c r="Y217" s="1284"/>
      <c r="Z217" s="1285"/>
      <c r="AA217" s="1285"/>
      <c r="AB217" s="1285"/>
      <c r="AC217" s="1285"/>
      <c r="AD217" s="1284"/>
      <c r="AE217" s="1285"/>
      <c r="AF217" s="1285"/>
      <c r="AG217" s="1285"/>
      <c r="AH217" s="1286"/>
      <c r="AI217" s="1284"/>
      <c r="AJ217" s="1285"/>
      <c r="AK217" s="1285"/>
      <c r="AL217" s="1286"/>
      <c r="AM217" s="1285"/>
      <c r="AN217" s="1284"/>
      <c r="AO217" s="1285"/>
      <c r="AP217" s="1285"/>
      <c r="AQ217" s="1285"/>
      <c r="AR217" s="1285"/>
      <c r="AS217" s="1287"/>
      <c r="AT217" s="1285"/>
      <c r="AU217" s="1285"/>
      <c r="AV217" s="1285"/>
      <c r="AW217" s="1285"/>
      <c r="AX217" s="1284"/>
      <c r="AY217" s="1285"/>
      <c r="AZ217" s="1285"/>
      <c r="BA217" s="1285">
        <f>C217</f>
        <v>4.1250000000000002E-2</v>
      </c>
      <c r="BB217" s="1285">
        <f>BA217</f>
        <v>4.1250000000000002E-2</v>
      </c>
      <c r="BC217" s="1287"/>
      <c r="BD217" s="1285">
        <f>BB217</f>
        <v>4.1250000000000002E-2</v>
      </c>
      <c r="BE217" s="1285">
        <f t="shared" ref="BE217:BG218" si="336">BD217</f>
        <v>4.1250000000000002E-2</v>
      </c>
      <c r="BF217" s="1285">
        <f t="shared" si="336"/>
        <v>4.1250000000000002E-2</v>
      </c>
      <c r="BG217" s="1285">
        <f t="shared" si="336"/>
        <v>4.1250000000000002E-2</v>
      </c>
      <c r="BH217" s="1284"/>
      <c r="BI217" s="1285">
        <f>BG217</f>
        <v>4.1250000000000002E-2</v>
      </c>
      <c r="BJ217" s="1285">
        <f t="shared" ref="BJ217:BL218" si="337">BI217</f>
        <v>4.1250000000000002E-2</v>
      </c>
      <c r="BK217" s="1285">
        <f t="shared" si="337"/>
        <v>4.1250000000000002E-2</v>
      </c>
      <c r="BL217" s="1285">
        <f t="shared" si="337"/>
        <v>4.1250000000000002E-2</v>
      </c>
      <c r="BM217" s="1287"/>
      <c r="BN217" s="1285">
        <f>BL217</f>
        <v>4.1250000000000002E-2</v>
      </c>
      <c r="BO217" s="1285">
        <f t="shared" ref="BO217:BQ218" si="338">BN217</f>
        <v>4.1250000000000002E-2</v>
      </c>
      <c r="BP217" s="1285">
        <f t="shared" si="338"/>
        <v>4.1250000000000002E-2</v>
      </c>
      <c r="BQ217" s="1285">
        <f t="shared" si="338"/>
        <v>4.1250000000000002E-2</v>
      </c>
      <c r="BR217" s="1288"/>
      <c r="BS217" s="1285">
        <f>BQ217</f>
        <v>4.1250000000000002E-2</v>
      </c>
      <c r="BT217" s="1285">
        <f t="shared" ref="BT217:BV218" si="339">BS217</f>
        <v>4.1250000000000002E-2</v>
      </c>
      <c r="BU217" s="1285">
        <f t="shared" si="339"/>
        <v>4.1250000000000002E-2</v>
      </c>
      <c r="BV217" s="1285">
        <f t="shared" si="339"/>
        <v>4.1250000000000002E-2</v>
      </c>
      <c r="BW217" s="1288"/>
      <c r="BX217" s="1285">
        <f>BV217</f>
        <v>4.1250000000000002E-2</v>
      </c>
      <c r="BY217" s="1285">
        <f t="shared" ref="BY217:CA218" si="340">BX217</f>
        <v>4.1250000000000002E-2</v>
      </c>
      <c r="BZ217" s="1285">
        <f t="shared" si="340"/>
        <v>4.1250000000000002E-2</v>
      </c>
      <c r="CA217" s="1285">
        <f t="shared" si="340"/>
        <v>4.1250000000000002E-2</v>
      </c>
      <c r="CB217" s="1288"/>
      <c r="CC217" s="1285">
        <f>CA217</f>
        <v>4.1250000000000002E-2</v>
      </c>
      <c r="CD217" s="1285">
        <f t="shared" ref="CD217:CF218" si="341">CC217</f>
        <v>4.1250000000000002E-2</v>
      </c>
      <c r="CE217" s="1285">
        <f t="shared" si="341"/>
        <v>4.1250000000000002E-2</v>
      </c>
      <c r="CF217" s="1285">
        <f t="shared" si="341"/>
        <v>4.1250000000000002E-2</v>
      </c>
      <c r="CG217" s="1288"/>
      <c r="CH217" s="1285">
        <f>CF217</f>
        <v>4.1250000000000002E-2</v>
      </c>
      <c r="CI217" s="1285">
        <f t="shared" ref="CI217:CK218" si="342">CH217</f>
        <v>4.1250000000000002E-2</v>
      </c>
      <c r="CJ217" s="1285">
        <f t="shared" si="342"/>
        <v>4.1250000000000002E-2</v>
      </c>
      <c r="CK217" s="1285">
        <f t="shared" si="342"/>
        <v>4.1250000000000002E-2</v>
      </c>
      <c r="CL217" s="1288"/>
      <c r="CM217" s="1285">
        <f>CK217</f>
        <v>4.1250000000000002E-2</v>
      </c>
      <c r="CN217" s="1285">
        <f t="shared" ref="CN217:CP218" si="343">CM217</f>
        <v>4.1250000000000002E-2</v>
      </c>
      <c r="CO217" s="1285">
        <f t="shared" si="343"/>
        <v>4.1250000000000002E-2</v>
      </c>
      <c r="CP217" s="1285">
        <f t="shared" si="343"/>
        <v>4.1250000000000002E-2</v>
      </c>
      <c r="CQ217" s="1288"/>
      <c r="CR217" s="1285">
        <f>CP217</f>
        <v>4.1250000000000002E-2</v>
      </c>
      <c r="CS217" s="1285">
        <f t="shared" ref="CS217:CS218" si="344">CR217</f>
        <v>4.1250000000000002E-2</v>
      </c>
      <c r="CT217" s="1285">
        <f t="shared" ref="CT217:CT218" si="345">CS217</f>
        <v>4.1250000000000002E-2</v>
      </c>
      <c r="CU217" s="1285">
        <f t="shared" ref="CU217:CU218" si="346">CT217</f>
        <v>4.1250000000000002E-2</v>
      </c>
      <c r="CV217" s="1288"/>
      <c r="CW217" s="1285">
        <f>CU217</f>
        <v>4.1250000000000002E-2</v>
      </c>
      <c r="CX217" s="1285">
        <f t="shared" ref="CX217:CX218" si="347">CW217</f>
        <v>4.1250000000000002E-2</v>
      </c>
      <c r="CY217" s="1285">
        <f t="shared" ref="CY217:CY218" si="348">CX217</f>
        <v>4.1250000000000002E-2</v>
      </c>
      <c r="CZ217" s="1285">
        <f t="shared" ref="CZ217:CZ218" si="349">CY217</f>
        <v>4.1250000000000002E-2</v>
      </c>
      <c r="DA217" s="1288"/>
      <c r="DB217" s="1285">
        <f>CZ217</f>
        <v>4.1250000000000002E-2</v>
      </c>
      <c r="DC217" s="1285">
        <f t="shared" ref="DC217:DC218" si="350">DB217</f>
        <v>4.1250000000000002E-2</v>
      </c>
      <c r="DD217" s="1285">
        <f t="shared" ref="DD217:DD218" si="351">DC217</f>
        <v>4.1250000000000002E-2</v>
      </c>
      <c r="DE217" s="1285">
        <f t="shared" ref="DE217:DE218" si="352">DD217</f>
        <v>4.1250000000000002E-2</v>
      </c>
      <c r="DF217" s="1288"/>
    </row>
    <row r="218" spans="1:110" s="1289" customFormat="1" ht="12.75" x14ac:dyDescent="0.2">
      <c r="A218" s="1273"/>
      <c r="B218" s="1290" t="s">
        <v>405</v>
      </c>
      <c r="D218" s="1292"/>
      <c r="E218" s="1292"/>
      <c r="F218" s="1292"/>
      <c r="G218" s="1292"/>
      <c r="H218" s="1292"/>
      <c r="I218" s="1292"/>
      <c r="J218" s="1292"/>
      <c r="K218" s="1292"/>
      <c r="L218" s="1292"/>
      <c r="M218" s="1292"/>
      <c r="N218" s="1292"/>
      <c r="O218" s="1292"/>
      <c r="P218" s="1292"/>
      <c r="Q218" s="1292"/>
      <c r="R218" s="1292"/>
      <c r="S218" s="1293"/>
      <c r="T218" s="1294"/>
      <c r="U218" s="1293"/>
      <c r="V218" s="1293"/>
      <c r="W218" s="1293"/>
      <c r="X218" s="1293"/>
      <c r="Y218" s="1294"/>
      <c r="Z218" s="1293"/>
      <c r="AA218" s="1293"/>
      <c r="AB218" s="1293"/>
      <c r="AC218" s="1293"/>
      <c r="AD218" s="1294"/>
      <c r="AE218" s="1293"/>
      <c r="AF218" s="1293"/>
      <c r="AG218" s="1293"/>
      <c r="AH218" s="1293"/>
      <c r="AI218" s="1294"/>
      <c r="AJ218" s="1293"/>
      <c r="AK218" s="1293"/>
      <c r="AL218" s="1293"/>
      <c r="AM218" s="1293"/>
      <c r="AN218" s="1294"/>
      <c r="AO218" s="1293"/>
      <c r="AP218" s="1293"/>
      <c r="AQ218" s="1293"/>
      <c r="AR218" s="1293"/>
      <c r="AS218" s="1303"/>
      <c r="AT218" s="1293"/>
      <c r="AU218" s="1293"/>
      <c r="AV218" s="1293"/>
      <c r="AW218" s="1293"/>
      <c r="AX218" s="1294"/>
      <c r="AY218" s="1293"/>
      <c r="AZ218" s="1293"/>
      <c r="BA218" s="1293">
        <v>0</v>
      </c>
      <c r="BB218" s="1293">
        <f>BA218</f>
        <v>0</v>
      </c>
      <c r="BC218" s="1303"/>
      <c r="BD218" s="1293">
        <f>BB218</f>
        <v>0</v>
      </c>
      <c r="BE218" s="1293">
        <f t="shared" si="336"/>
        <v>0</v>
      </c>
      <c r="BF218" s="1293">
        <f t="shared" si="336"/>
        <v>0</v>
      </c>
      <c r="BG218" s="1293">
        <f t="shared" si="336"/>
        <v>0</v>
      </c>
      <c r="BH218" s="1294"/>
      <c r="BI218" s="1293">
        <f>BG218</f>
        <v>0</v>
      </c>
      <c r="BJ218" s="1293">
        <f t="shared" si="337"/>
        <v>0</v>
      </c>
      <c r="BK218" s="1293">
        <f t="shared" si="337"/>
        <v>0</v>
      </c>
      <c r="BL218" s="1293">
        <f t="shared" si="337"/>
        <v>0</v>
      </c>
      <c r="BM218" s="1303"/>
      <c r="BN218" s="1293">
        <f>BL218</f>
        <v>0</v>
      </c>
      <c r="BO218" s="1293">
        <f t="shared" si="338"/>
        <v>0</v>
      </c>
      <c r="BP218" s="1293">
        <f t="shared" si="338"/>
        <v>0</v>
      </c>
      <c r="BQ218" s="1293">
        <f t="shared" si="338"/>
        <v>0</v>
      </c>
      <c r="BR218" s="1304"/>
      <c r="BS218" s="1293">
        <f>BQ218</f>
        <v>0</v>
      </c>
      <c r="BT218" s="1293">
        <f t="shared" si="339"/>
        <v>0</v>
      </c>
      <c r="BU218" s="1293">
        <f t="shared" si="339"/>
        <v>0</v>
      </c>
      <c r="BV218" s="1293">
        <f t="shared" si="339"/>
        <v>0</v>
      </c>
      <c r="BW218" s="1304"/>
      <c r="BX218" s="1293">
        <f>BV218</f>
        <v>0</v>
      </c>
      <c r="BY218" s="1293">
        <f t="shared" si="340"/>
        <v>0</v>
      </c>
      <c r="BZ218" s="1293">
        <f t="shared" si="340"/>
        <v>0</v>
      </c>
      <c r="CA218" s="1293">
        <f t="shared" si="340"/>
        <v>0</v>
      </c>
      <c r="CB218" s="1304"/>
      <c r="CC218" s="1293">
        <f>CA218</f>
        <v>0</v>
      </c>
      <c r="CD218" s="1293">
        <f t="shared" si="341"/>
        <v>0</v>
      </c>
      <c r="CE218" s="1293">
        <f t="shared" si="341"/>
        <v>0</v>
      </c>
      <c r="CF218" s="1293">
        <f t="shared" si="341"/>
        <v>0</v>
      </c>
      <c r="CG218" s="1304"/>
      <c r="CH218" s="1293">
        <f>CF218</f>
        <v>0</v>
      </c>
      <c r="CI218" s="1293">
        <f t="shared" si="342"/>
        <v>0</v>
      </c>
      <c r="CJ218" s="1293">
        <f t="shared" si="342"/>
        <v>0</v>
      </c>
      <c r="CK218" s="1293">
        <f t="shared" si="342"/>
        <v>0</v>
      </c>
      <c r="CL218" s="1304"/>
      <c r="CM218" s="1293">
        <f>CK218</f>
        <v>0</v>
      </c>
      <c r="CN218" s="1293">
        <f t="shared" si="343"/>
        <v>0</v>
      </c>
      <c r="CO218" s="1293">
        <f t="shared" si="343"/>
        <v>0</v>
      </c>
      <c r="CP218" s="1293">
        <f t="shared" si="343"/>
        <v>0</v>
      </c>
      <c r="CQ218" s="1304"/>
      <c r="CR218" s="1293">
        <f>CP218</f>
        <v>0</v>
      </c>
      <c r="CS218" s="1293">
        <f t="shared" si="344"/>
        <v>0</v>
      </c>
      <c r="CT218" s="1293">
        <f t="shared" si="345"/>
        <v>0</v>
      </c>
      <c r="CU218" s="1293">
        <f t="shared" si="346"/>
        <v>0</v>
      </c>
      <c r="CV218" s="1304"/>
      <c r="CW218" s="1293">
        <f>CU218</f>
        <v>0</v>
      </c>
      <c r="CX218" s="1293">
        <f t="shared" si="347"/>
        <v>0</v>
      </c>
      <c r="CY218" s="1293">
        <f t="shared" si="348"/>
        <v>0</v>
      </c>
      <c r="CZ218" s="1293">
        <f t="shared" si="349"/>
        <v>0</v>
      </c>
      <c r="DA218" s="1304"/>
      <c r="DB218" s="1293">
        <f>CZ218</f>
        <v>0</v>
      </c>
      <c r="DC218" s="1293">
        <f t="shared" si="350"/>
        <v>0</v>
      </c>
      <c r="DD218" s="1293">
        <f t="shared" si="351"/>
        <v>0</v>
      </c>
      <c r="DE218" s="1293">
        <f t="shared" si="352"/>
        <v>0</v>
      </c>
      <c r="DF218" s="1304"/>
    </row>
    <row r="219" spans="1:110" s="1289" customFormat="1" ht="12.75" x14ac:dyDescent="0.2">
      <c r="A219" s="1273"/>
      <c r="B219" s="1290" t="s">
        <v>198</v>
      </c>
      <c r="C219" s="1273"/>
      <c r="D219" s="1301"/>
      <c r="E219" s="1301"/>
      <c r="F219" s="1301"/>
      <c r="G219" s="1301"/>
      <c r="H219" s="1301"/>
      <c r="I219" s="1301"/>
      <c r="J219" s="1301"/>
      <c r="K219" s="1301"/>
      <c r="L219" s="1301"/>
      <c r="M219" s="1301"/>
      <c r="N219" s="1301"/>
      <c r="O219" s="1301"/>
      <c r="P219" s="1301"/>
      <c r="Q219" s="1301"/>
      <c r="R219" s="1301"/>
      <c r="S219" s="1293"/>
      <c r="T219" s="1294"/>
      <c r="U219" s="1293"/>
      <c r="V219" s="1293"/>
      <c r="W219" s="1293"/>
      <c r="X219" s="1293"/>
      <c r="Y219" s="1294"/>
      <c r="Z219" s="1293"/>
      <c r="AA219" s="1293"/>
      <c r="AB219" s="1293"/>
      <c r="AC219" s="1293"/>
      <c r="AD219" s="1294"/>
      <c r="AE219" s="1293"/>
      <c r="AF219" s="1293"/>
      <c r="AG219" s="1293"/>
      <c r="AH219" s="1293"/>
      <c r="AI219" s="1294"/>
      <c r="AJ219" s="1293"/>
      <c r="AK219" s="1293"/>
      <c r="AL219" s="1293"/>
      <c r="AM219" s="1293"/>
      <c r="AN219" s="1294"/>
      <c r="AO219" s="1293"/>
      <c r="AP219" s="1293"/>
      <c r="AQ219" s="1293"/>
      <c r="AR219" s="1293"/>
      <c r="AS219" s="1303"/>
      <c r="AT219" s="1293"/>
      <c r="AU219" s="1293"/>
      <c r="AV219" s="1293"/>
      <c r="AW219" s="1293"/>
      <c r="AX219" s="1294"/>
      <c r="AY219" s="1293"/>
      <c r="AZ219" s="1293"/>
      <c r="BA219" s="1293">
        <v>498.9</v>
      </c>
      <c r="BB219" s="1293">
        <f>+BA221</f>
        <v>498.9</v>
      </c>
      <c r="BC219" s="1303">
        <f>BA219</f>
        <v>498.9</v>
      </c>
      <c r="BD219" s="1293">
        <f>+BC221</f>
        <v>498.9</v>
      </c>
      <c r="BE219" s="1293">
        <f>+BD221</f>
        <v>498.9</v>
      </c>
      <c r="BF219" s="1293">
        <f>+BE221</f>
        <v>499</v>
      </c>
      <c r="BG219" s="1293">
        <f>+BF221</f>
        <v>499</v>
      </c>
      <c r="BH219" s="1294">
        <f>BC221</f>
        <v>498.9</v>
      </c>
      <c r="BI219" s="1293">
        <f>+BH221</f>
        <v>499</v>
      </c>
      <c r="BJ219" s="1293">
        <f>+BI221</f>
        <v>499</v>
      </c>
      <c r="BK219" s="1293">
        <f>+BJ221</f>
        <v>508</v>
      </c>
      <c r="BL219" s="1293">
        <f>+BK221</f>
        <v>507.8</v>
      </c>
      <c r="BM219" s="1303">
        <f>BH221</f>
        <v>499</v>
      </c>
      <c r="BN219" s="1293">
        <f>+BM221</f>
        <v>507.6</v>
      </c>
      <c r="BO219" s="1293">
        <f>+BN221</f>
        <v>507.40000000000003</v>
      </c>
      <c r="BP219" s="1293">
        <f>+BO221</f>
        <v>507.2</v>
      </c>
      <c r="BQ219" s="1293">
        <f>+BP221</f>
        <v>507</v>
      </c>
      <c r="BR219" s="1304">
        <f>BM221</f>
        <v>507.6</v>
      </c>
      <c r="BS219" s="1293">
        <f>+BR221</f>
        <v>506.8</v>
      </c>
      <c r="BT219" s="1293">
        <f>+BS221</f>
        <v>506.5</v>
      </c>
      <c r="BU219" s="1293">
        <f>+BT221</f>
        <v>506.3</v>
      </c>
      <c r="BV219" s="1293">
        <f>+BU221</f>
        <v>506.1</v>
      </c>
      <c r="BW219" s="1304">
        <f>BR221</f>
        <v>506.8</v>
      </c>
      <c r="BX219" s="1293">
        <f>+BW221</f>
        <v>505.9</v>
      </c>
      <c r="BY219" s="1293">
        <f>+BX221</f>
        <v>505.6</v>
      </c>
      <c r="BZ219" s="1293">
        <f>+BY221</f>
        <v>505.6</v>
      </c>
      <c r="CA219" s="1293">
        <f>+BZ221</f>
        <v>505.6</v>
      </c>
      <c r="CB219" s="1304">
        <f>BW221</f>
        <v>505.9</v>
      </c>
      <c r="CC219" s="1293">
        <f>+CB221</f>
        <v>505.6</v>
      </c>
      <c r="CD219" s="1293">
        <f>+CC221</f>
        <v>505.6</v>
      </c>
      <c r="CE219" s="1293">
        <f>+CD221</f>
        <v>505.6</v>
      </c>
      <c r="CF219" s="1293">
        <f>+CE221</f>
        <v>504.20000000000005</v>
      </c>
      <c r="CG219" s="1304">
        <f>CB221</f>
        <v>505.6</v>
      </c>
      <c r="CH219" s="1293">
        <f>+CG221</f>
        <v>504</v>
      </c>
      <c r="CI219" s="1293">
        <f>+CH221</f>
        <v>504</v>
      </c>
      <c r="CJ219" s="1293">
        <f>+CI221</f>
        <v>504</v>
      </c>
      <c r="CK219" s="1293">
        <f>+CJ221</f>
        <v>504</v>
      </c>
      <c r="CL219" s="1304">
        <f>CG221</f>
        <v>504</v>
      </c>
      <c r="CM219" s="1293">
        <f>+CL221</f>
        <v>504</v>
      </c>
      <c r="CN219" s="1293">
        <f>+CM221</f>
        <v>504</v>
      </c>
      <c r="CO219" s="1293">
        <f>+CN221</f>
        <v>504</v>
      </c>
      <c r="CP219" s="1293">
        <f>+CO221</f>
        <v>504</v>
      </c>
      <c r="CQ219" s="1304">
        <f>CL221</f>
        <v>504</v>
      </c>
      <c r="CR219" s="1293">
        <f>+CQ221</f>
        <v>504</v>
      </c>
      <c r="CS219" s="1293">
        <f>+CR221</f>
        <v>504</v>
      </c>
      <c r="CT219" s="1293">
        <f>+CS221</f>
        <v>504</v>
      </c>
      <c r="CU219" s="1293">
        <f>+CT221</f>
        <v>504</v>
      </c>
      <c r="CV219" s="1304">
        <f>CQ221</f>
        <v>504</v>
      </c>
      <c r="CW219" s="1293">
        <f>+CV221</f>
        <v>504</v>
      </c>
      <c r="CX219" s="1293">
        <f>+CW221</f>
        <v>504</v>
      </c>
      <c r="CY219" s="1293">
        <f>+CX221</f>
        <v>504</v>
      </c>
      <c r="CZ219" s="1293">
        <f>+CY221</f>
        <v>504</v>
      </c>
      <c r="DA219" s="1304">
        <f>CV221</f>
        <v>504</v>
      </c>
      <c r="DB219" s="1293">
        <f>+DA221</f>
        <v>504</v>
      </c>
      <c r="DC219" s="1293">
        <f>+DB221</f>
        <v>504</v>
      </c>
      <c r="DD219" s="1293">
        <f>+DC221</f>
        <v>504</v>
      </c>
      <c r="DE219" s="1293">
        <f>+DD221</f>
        <v>504</v>
      </c>
      <c r="DF219" s="1304">
        <f>DA221</f>
        <v>504</v>
      </c>
    </row>
    <row r="220" spans="1:110" s="1289" customFormat="1" ht="12.75" x14ac:dyDescent="0.2">
      <c r="A220" s="1273"/>
      <c r="B220" s="1290" t="s">
        <v>199</v>
      </c>
      <c r="C220" s="1298"/>
      <c r="D220" s="1298"/>
      <c r="E220" s="1298"/>
      <c r="F220" s="1298"/>
      <c r="G220" s="1298"/>
      <c r="H220" s="1298"/>
      <c r="I220" s="1298"/>
      <c r="J220" s="1298"/>
      <c r="K220" s="1298"/>
      <c r="L220" s="1298"/>
      <c r="M220" s="1298"/>
      <c r="N220" s="1298"/>
      <c r="O220" s="1298"/>
      <c r="P220" s="1298"/>
      <c r="Q220" s="1298"/>
      <c r="R220" s="1298"/>
      <c r="S220" s="1305"/>
      <c r="T220" s="1306"/>
      <c r="U220" s="1305"/>
      <c r="V220" s="1305"/>
      <c r="W220" s="1305"/>
      <c r="X220" s="1305"/>
      <c r="Y220" s="1306"/>
      <c r="Z220" s="1307"/>
      <c r="AA220" s="1307"/>
      <c r="AB220" s="1307"/>
      <c r="AC220" s="1307"/>
      <c r="AD220" s="1306"/>
      <c r="AE220" s="1307"/>
      <c r="AF220" s="1307"/>
      <c r="AG220" s="1307"/>
      <c r="AH220" s="1307"/>
      <c r="AI220" s="1306"/>
      <c r="AJ220" s="1307"/>
      <c r="AK220" s="1307"/>
      <c r="AL220" s="1307"/>
      <c r="AM220" s="1307"/>
      <c r="AN220" s="1306"/>
      <c r="AO220" s="1307"/>
      <c r="AP220" s="1307"/>
      <c r="AQ220" s="1307"/>
      <c r="AR220" s="1307"/>
      <c r="AS220" s="1308"/>
      <c r="AT220" s="1307"/>
      <c r="AU220" s="1307"/>
      <c r="AV220" s="1307"/>
      <c r="AW220" s="1307"/>
      <c r="AX220" s="1306"/>
      <c r="AY220" s="1307"/>
      <c r="AZ220" s="1307"/>
      <c r="BA220" s="1307">
        <v>0</v>
      </c>
      <c r="BB220" s="1307">
        <v>0</v>
      </c>
      <c r="BC220" s="1308">
        <f>+SUM(AY220:BB220)</f>
        <v>0</v>
      </c>
      <c r="BD220" s="1307">
        <v>0</v>
      </c>
      <c r="BE220" s="1307">
        <v>0.1</v>
      </c>
      <c r="BF220" s="1307">
        <v>0</v>
      </c>
      <c r="BG220" s="1307">
        <v>0</v>
      </c>
      <c r="BH220" s="1306">
        <f>+SUM(BD220:BG220)</f>
        <v>0.1</v>
      </c>
      <c r="BI220" s="1307">
        <v>0</v>
      </c>
      <c r="BJ220" s="1307">
        <f>508-BJ219</f>
        <v>9</v>
      </c>
      <c r="BK220" s="1307">
        <f>507.8-BK219</f>
        <v>-0.19999999999998863</v>
      </c>
      <c r="BL220" s="1307">
        <f>507.6-BL219</f>
        <v>-0.19999999999998863</v>
      </c>
      <c r="BM220" s="1308">
        <f>+SUM(BI220:BL220)</f>
        <v>8.6000000000000227</v>
      </c>
      <c r="BN220" s="1307">
        <v>-0.2</v>
      </c>
      <c r="BO220" s="1307">
        <f>507.2-BO219</f>
        <v>-0.20000000000004547</v>
      </c>
      <c r="BP220" s="1307">
        <f>507-BP219</f>
        <v>-0.19999999999998863</v>
      </c>
      <c r="BQ220" s="1307">
        <f>506.8-BQ219</f>
        <v>-0.19999999999998863</v>
      </c>
      <c r="BR220" s="1309">
        <f>+SUM(BN220:BQ220)</f>
        <v>-0.80000000000002269</v>
      </c>
      <c r="BS220" s="1307">
        <f>BS221-BS219</f>
        <v>-0.30000000000001137</v>
      </c>
      <c r="BT220" s="1307">
        <f>BT221-BT219</f>
        <v>-0.19999999999998863</v>
      </c>
      <c r="BU220" s="1307">
        <f>BU221-BU219</f>
        <v>-0.19999999999998863</v>
      </c>
      <c r="BV220" s="1307">
        <f>BV221-BV219</f>
        <v>-0.20000000000004547</v>
      </c>
      <c r="BW220" s="1309">
        <f>+SUM(BS220:BV220)</f>
        <v>-0.90000000000003411</v>
      </c>
      <c r="BX220" s="1307">
        <f>505.6-BX219</f>
        <v>-0.29999999999995453</v>
      </c>
      <c r="BY220" s="1307">
        <v>0</v>
      </c>
      <c r="BZ220" s="1307">
        <v>0</v>
      </c>
      <c r="CA220" s="1307">
        <v>0</v>
      </c>
      <c r="CB220" s="1309">
        <f>+SUM(BX220:CA220)</f>
        <v>-0.29999999999995453</v>
      </c>
      <c r="CC220" s="1307">
        <v>0</v>
      </c>
      <c r="CD220" s="1307">
        <v>0</v>
      </c>
      <c r="CE220" s="1307">
        <v>-1.4</v>
      </c>
      <c r="CF220" s="1307">
        <v>-0.2</v>
      </c>
      <c r="CG220" s="1309">
        <f>+SUM(CC220:CF220)</f>
        <v>-1.5999999999999999</v>
      </c>
      <c r="CH220" s="1307">
        <v>0</v>
      </c>
      <c r="CI220" s="1307">
        <v>0</v>
      </c>
      <c r="CJ220" s="1307">
        <v>0</v>
      </c>
      <c r="CK220" s="1307">
        <v>0</v>
      </c>
      <c r="CL220" s="1309">
        <f>+SUM(CH220:CK220)</f>
        <v>0</v>
      </c>
      <c r="CM220" s="1307">
        <v>0</v>
      </c>
      <c r="CN220" s="1307">
        <v>0</v>
      </c>
      <c r="CO220" s="1307">
        <v>0</v>
      </c>
      <c r="CP220" s="1307">
        <v>0</v>
      </c>
      <c r="CQ220" s="1309">
        <f>+SUM(CM220:CP220)</f>
        <v>0</v>
      </c>
      <c r="CR220" s="1307">
        <v>0</v>
      </c>
      <c r="CS220" s="1307">
        <v>0</v>
      </c>
      <c r="CT220" s="1307">
        <v>0</v>
      </c>
      <c r="CU220" s="1307">
        <v>0</v>
      </c>
      <c r="CV220" s="1309">
        <f>+SUM(CR220:CU220)</f>
        <v>0</v>
      </c>
      <c r="CW220" s="1307">
        <v>0</v>
      </c>
      <c r="CX220" s="1307">
        <v>0</v>
      </c>
      <c r="CY220" s="1307">
        <v>0</v>
      </c>
      <c r="CZ220" s="1307">
        <v>0</v>
      </c>
      <c r="DA220" s="1309">
        <f>+SUM(CW220:CZ220)</f>
        <v>0</v>
      </c>
      <c r="DB220" s="1307">
        <v>0</v>
      </c>
      <c r="DC220" s="1307">
        <v>0</v>
      </c>
      <c r="DD220" s="1307">
        <v>0</v>
      </c>
      <c r="DE220" s="1307">
        <v>0</v>
      </c>
      <c r="DF220" s="1309">
        <f>+SUM(DB220:DE220)</f>
        <v>0</v>
      </c>
    </row>
    <row r="221" spans="1:110" s="1289" customFormat="1" ht="12.75" x14ac:dyDescent="0.2">
      <c r="A221" s="1273"/>
      <c r="B221" s="1290" t="s">
        <v>200</v>
      </c>
      <c r="C221" s="1298"/>
      <c r="D221" s="1298"/>
      <c r="E221" s="1298"/>
      <c r="F221" s="1298"/>
      <c r="G221" s="1298"/>
      <c r="H221" s="1298"/>
      <c r="I221" s="1298"/>
      <c r="J221" s="1298"/>
      <c r="K221" s="1298"/>
      <c r="L221" s="1298"/>
      <c r="M221" s="1298"/>
      <c r="N221" s="1298"/>
      <c r="O221" s="1298"/>
      <c r="P221" s="1298"/>
      <c r="Q221" s="1298"/>
      <c r="R221" s="1298"/>
      <c r="S221" s="1293"/>
      <c r="T221" s="1293"/>
      <c r="U221" s="1293"/>
      <c r="V221" s="1293"/>
      <c r="W221" s="1293"/>
      <c r="X221" s="1293"/>
      <c r="Y221" s="1294"/>
      <c r="Z221" s="1293"/>
      <c r="AA221" s="1293"/>
      <c r="AB221" s="1293"/>
      <c r="AC221" s="1293"/>
      <c r="AD221" s="1294"/>
      <c r="AE221" s="1293"/>
      <c r="AF221" s="1293"/>
      <c r="AG221" s="1293"/>
      <c r="AH221" s="1293"/>
      <c r="AI221" s="1294"/>
      <c r="AJ221" s="1293"/>
      <c r="AK221" s="1293"/>
      <c r="AL221" s="1293"/>
      <c r="AM221" s="1293"/>
      <c r="AN221" s="1294"/>
      <c r="AO221" s="1293"/>
      <c r="AP221" s="1293"/>
      <c r="AQ221" s="1293"/>
      <c r="AR221" s="1293"/>
      <c r="AS221" s="1303"/>
      <c r="AT221" s="1293"/>
      <c r="AU221" s="1293"/>
      <c r="AV221" s="1293"/>
      <c r="AW221" s="1293"/>
      <c r="AX221" s="1294"/>
      <c r="AY221" s="1293"/>
      <c r="AZ221" s="1293"/>
      <c r="BA221" s="1293">
        <f t="shared" ref="BA221:CB221" si="353">BA219+BA220</f>
        <v>498.9</v>
      </c>
      <c r="BB221" s="1293">
        <f t="shared" si="353"/>
        <v>498.9</v>
      </c>
      <c r="BC221" s="1303">
        <f t="shared" si="353"/>
        <v>498.9</v>
      </c>
      <c r="BD221" s="1293">
        <f t="shared" si="353"/>
        <v>498.9</v>
      </c>
      <c r="BE221" s="1293">
        <f t="shared" si="353"/>
        <v>499</v>
      </c>
      <c r="BF221" s="1293">
        <f t="shared" si="353"/>
        <v>499</v>
      </c>
      <c r="BG221" s="1293">
        <f t="shared" si="353"/>
        <v>499</v>
      </c>
      <c r="BH221" s="1294">
        <f t="shared" si="353"/>
        <v>499</v>
      </c>
      <c r="BI221" s="1293">
        <f t="shared" si="353"/>
        <v>499</v>
      </c>
      <c r="BJ221" s="1293">
        <f t="shared" si="353"/>
        <v>508</v>
      </c>
      <c r="BK221" s="1293">
        <f t="shared" si="353"/>
        <v>507.8</v>
      </c>
      <c r="BL221" s="1293">
        <f t="shared" si="353"/>
        <v>507.6</v>
      </c>
      <c r="BM221" s="1303">
        <f t="shared" si="353"/>
        <v>507.6</v>
      </c>
      <c r="BN221" s="1293">
        <f t="shared" si="353"/>
        <v>507.40000000000003</v>
      </c>
      <c r="BO221" s="1293">
        <f t="shared" si="353"/>
        <v>507.2</v>
      </c>
      <c r="BP221" s="1293">
        <f t="shared" si="353"/>
        <v>507</v>
      </c>
      <c r="BQ221" s="1293">
        <f t="shared" si="353"/>
        <v>506.8</v>
      </c>
      <c r="BR221" s="1304">
        <f t="shared" si="353"/>
        <v>506.8</v>
      </c>
      <c r="BS221" s="1302">
        <v>506.5</v>
      </c>
      <c r="BT221" s="1302">
        <v>506.3</v>
      </c>
      <c r="BU221" s="1302">
        <v>506.1</v>
      </c>
      <c r="BV221" s="1293">
        <v>505.9</v>
      </c>
      <c r="BW221" s="1304">
        <f t="shared" si="353"/>
        <v>505.9</v>
      </c>
      <c r="BX221" s="1293">
        <f t="shared" si="353"/>
        <v>505.6</v>
      </c>
      <c r="BY221" s="1712">
        <f t="shared" si="353"/>
        <v>505.6</v>
      </c>
      <c r="BZ221" s="1293">
        <f t="shared" si="353"/>
        <v>505.6</v>
      </c>
      <c r="CA221" s="1293">
        <f t="shared" si="353"/>
        <v>505.6</v>
      </c>
      <c r="CB221" s="1304">
        <f t="shared" si="353"/>
        <v>505.6</v>
      </c>
      <c r="CC221" s="1293">
        <f t="shared" ref="CC221:CL221" si="354">CC219+CC220</f>
        <v>505.6</v>
      </c>
      <c r="CD221" s="1293">
        <f t="shared" si="354"/>
        <v>505.6</v>
      </c>
      <c r="CE221" s="1293">
        <f t="shared" si="354"/>
        <v>504.20000000000005</v>
      </c>
      <c r="CF221" s="1293">
        <f t="shared" si="354"/>
        <v>504.00000000000006</v>
      </c>
      <c r="CG221" s="1304">
        <f t="shared" si="354"/>
        <v>504</v>
      </c>
      <c r="CH221" s="1293">
        <f t="shared" si="354"/>
        <v>504</v>
      </c>
      <c r="CI221" s="1293">
        <f t="shared" si="354"/>
        <v>504</v>
      </c>
      <c r="CJ221" s="1293">
        <f t="shared" si="354"/>
        <v>504</v>
      </c>
      <c r="CK221" s="1293">
        <f t="shared" si="354"/>
        <v>504</v>
      </c>
      <c r="CL221" s="1304">
        <f t="shared" si="354"/>
        <v>504</v>
      </c>
      <c r="CM221" s="1293">
        <f t="shared" ref="CM221:CV221" si="355">CM219+CM220</f>
        <v>504</v>
      </c>
      <c r="CN221" s="1293">
        <f t="shared" si="355"/>
        <v>504</v>
      </c>
      <c r="CO221" s="1293">
        <f t="shared" si="355"/>
        <v>504</v>
      </c>
      <c r="CP221" s="1293">
        <f t="shared" si="355"/>
        <v>504</v>
      </c>
      <c r="CQ221" s="1304">
        <f t="shared" si="355"/>
        <v>504</v>
      </c>
      <c r="CR221" s="1293">
        <f t="shared" si="355"/>
        <v>504</v>
      </c>
      <c r="CS221" s="1293">
        <f t="shared" si="355"/>
        <v>504</v>
      </c>
      <c r="CT221" s="1293">
        <f t="shared" si="355"/>
        <v>504</v>
      </c>
      <c r="CU221" s="1293">
        <f t="shared" si="355"/>
        <v>504</v>
      </c>
      <c r="CV221" s="1304">
        <f t="shared" si="355"/>
        <v>504</v>
      </c>
      <c r="CW221" s="1293">
        <f t="shared" ref="CW221:DF221" si="356">CW219+CW220</f>
        <v>504</v>
      </c>
      <c r="CX221" s="1293">
        <f t="shared" si="356"/>
        <v>504</v>
      </c>
      <c r="CY221" s="1293">
        <f t="shared" si="356"/>
        <v>504</v>
      </c>
      <c r="CZ221" s="1293">
        <f t="shared" si="356"/>
        <v>504</v>
      </c>
      <c r="DA221" s="1304">
        <f t="shared" si="356"/>
        <v>504</v>
      </c>
      <c r="DB221" s="1293">
        <f t="shared" si="356"/>
        <v>504</v>
      </c>
      <c r="DC221" s="1293">
        <f t="shared" si="356"/>
        <v>504</v>
      </c>
      <c r="DD221" s="1293">
        <f t="shared" si="356"/>
        <v>504</v>
      </c>
      <c r="DE221" s="1293">
        <f t="shared" si="356"/>
        <v>504</v>
      </c>
      <c r="DF221" s="1304">
        <f t="shared" si="356"/>
        <v>504</v>
      </c>
    </row>
    <row r="222" spans="1:110" s="1289" customFormat="1" ht="13.5" thickBot="1" x14ac:dyDescent="0.25">
      <c r="A222" s="1273"/>
      <c r="B222" s="1310" t="s">
        <v>147</v>
      </c>
      <c r="C222" s="1311"/>
      <c r="D222" s="1311"/>
      <c r="E222" s="1311"/>
      <c r="F222" s="1311"/>
      <c r="G222" s="1311"/>
      <c r="H222" s="1311"/>
      <c r="I222" s="1311"/>
      <c r="J222" s="1311"/>
      <c r="K222" s="1311"/>
      <c r="L222" s="1311"/>
      <c r="M222" s="1311"/>
      <c r="N222" s="1311"/>
      <c r="O222" s="1311"/>
      <c r="P222" s="1311"/>
      <c r="Q222" s="1311"/>
      <c r="R222" s="1311"/>
      <c r="S222" s="1312"/>
      <c r="T222" s="1313"/>
      <c r="U222" s="1312"/>
      <c r="V222" s="1312"/>
      <c r="W222" s="1312"/>
      <c r="X222" s="1312"/>
      <c r="Y222" s="1313"/>
      <c r="Z222" s="1312"/>
      <c r="AA222" s="1312"/>
      <c r="AB222" s="1312"/>
      <c r="AC222" s="1312"/>
      <c r="AD222" s="1313"/>
      <c r="AE222" s="1312"/>
      <c r="AF222" s="1312"/>
      <c r="AG222" s="1312"/>
      <c r="AH222" s="1312"/>
      <c r="AI222" s="1313"/>
      <c r="AJ222" s="1312"/>
      <c r="AK222" s="1312"/>
      <c r="AL222" s="1312"/>
      <c r="AM222" s="1312"/>
      <c r="AN222" s="1313"/>
      <c r="AO222" s="1312"/>
      <c r="AP222" s="1312"/>
      <c r="AQ222" s="1312"/>
      <c r="AR222" s="1312"/>
      <c r="AS222" s="1315"/>
      <c r="AT222" s="1312"/>
      <c r="AU222" s="1312"/>
      <c r="AV222" s="1312"/>
      <c r="AW222" s="1312"/>
      <c r="AX222" s="1313"/>
      <c r="AY222" s="1312"/>
      <c r="AZ222" s="1312"/>
      <c r="BA222" s="1312">
        <f>-(AVERAGE(BA221,BA219))*((BA217)/4)/6</f>
        <v>-0.85748437499999997</v>
      </c>
      <c r="BB222" s="1312">
        <f>-(AVERAGE(BB221,BB219))*((BB217)/4)</f>
        <v>-5.14490625</v>
      </c>
      <c r="BC222" s="1315">
        <f>SUM(AY222:BB222)</f>
        <v>-6.0023906250000003</v>
      </c>
      <c r="BD222" s="1312">
        <f>-(AVERAGE(BD221,BD219))*((BD217)/4)</f>
        <v>-5.14490625</v>
      </c>
      <c r="BE222" s="1312">
        <f>-(AVERAGE(BE221,BE219))*((BE217)/4)</f>
        <v>-5.1454218750000003</v>
      </c>
      <c r="BF222" s="1312">
        <f>-(AVERAGE(BF221,BF219))*((BF217)/4)</f>
        <v>-5.1459375000000005</v>
      </c>
      <c r="BG222" s="1312">
        <f>-(AVERAGE(BG221,BG219))*((BG217)/4)</f>
        <v>-5.1459375000000005</v>
      </c>
      <c r="BH222" s="1313">
        <f>SUM(BD222:BG222)</f>
        <v>-20.582203124999999</v>
      </c>
      <c r="BI222" s="1312"/>
      <c r="BJ222" s="1312">
        <f>-(AVERAGE(BJ221,BJ219))*((BJ217)/4)</f>
        <v>-5.19234375</v>
      </c>
      <c r="BK222" s="1312">
        <f>-(AVERAGE(BK221,BK219))*((BK217)/4)</f>
        <v>-5.23771875</v>
      </c>
      <c r="BL222" s="1312">
        <f>-(AVERAGE(BL221,BL219))*((BL217)/4)</f>
        <v>-5.2356562500000008</v>
      </c>
      <c r="BM222" s="1315">
        <f>SUM(BI222:BL222)</f>
        <v>-15.66571875</v>
      </c>
      <c r="BN222" s="1578">
        <f>-(AVERAGE(BN221,BN219))*((BN217)/4)</f>
        <v>-5.2335937499999998</v>
      </c>
      <c r="BO222" s="1312">
        <f>-(AVERAGE(BO221,BO219))*((BO217)/4)</f>
        <v>-5.2315312500000006</v>
      </c>
      <c r="BP222" s="1312">
        <f>-(AVERAGE(BP221,BP219))*((BP217)/4)</f>
        <v>-5.2294687500000006</v>
      </c>
      <c r="BQ222" s="1312">
        <f>-(AVERAGE(BQ221,BQ219))*((BQ217)/4)</f>
        <v>-5.2274062499999996</v>
      </c>
      <c r="BR222" s="1314">
        <f>SUM(BN222:BQ222)</f>
        <v>-20.922000000000001</v>
      </c>
      <c r="BS222" s="1312">
        <f>-(AVERAGE(BS221,BS219))*((BS217)/4)</f>
        <v>-5.2248281250000002</v>
      </c>
      <c r="BT222" s="1312">
        <f>-(AVERAGE(BT221,BT219))*((BT217)/4)</f>
        <v>-5.2222499999999998</v>
      </c>
      <c r="BU222" s="1312">
        <f>-(AVERAGE(BU221,BU219))*((BU217)/4)</f>
        <v>-5.2201875000000006</v>
      </c>
      <c r="BV222" s="1312">
        <f>-(AVERAGE(BV221,BV219))*((BV217)/4)</f>
        <v>-5.2181250000000006</v>
      </c>
      <c r="BW222" s="1314">
        <f>SUM(BS222:BV222)</f>
        <v>-20.885390625000003</v>
      </c>
      <c r="BX222" s="1312">
        <f>-(AVERAGE(BX221,BX219))*((BX217)/4)</f>
        <v>-5.2155468750000002</v>
      </c>
      <c r="BY222" s="1312">
        <f>-(AVERAGE(BY221,BY219))*((BY217)/4)</f>
        <v>-5.2140000000000004</v>
      </c>
      <c r="BZ222" s="1312">
        <f>-(AVERAGE(BZ221,BZ219))*((BZ217)/4)</f>
        <v>-5.2140000000000004</v>
      </c>
      <c r="CA222" s="1312">
        <f>-(AVERAGE(CA221,CA219))*((CA217)/4)</f>
        <v>-5.2140000000000004</v>
      </c>
      <c r="CB222" s="1314">
        <f>SUM(BX222:CA222)</f>
        <v>-20.857546875000001</v>
      </c>
      <c r="CC222" s="1312">
        <f>-(AVERAGE(CC221,CC219))*((CC217)/4)</f>
        <v>-5.2140000000000004</v>
      </c>
      <c r="CD222" s="1312">
        <f>-(AVERAGE(CD221,CD219))*((CD217)/4)</f>
        <v>-5.2140000000000004</v>
      </c>
      <c r="CE222" s="1312">
        <f>-(AVERAGE(CE221,CE219))*((CE217)/4)</f>
        <v>-5.2067812500000006</v>
      </c>
      <c r="CF222" s="1312">
        <f>-(AVERAGE(CF221,CF219))*((CF217)/4)</f>
        <v>-5.1985312500000003</v>
      </c>
      <c r="CG222" s="1314">
        <f>SUM(CC222:CF222)</f>
        <v>-20.833312500000002</v>
      </c>
      <c r="CH222" s="1312">
        <f>-(AVERAGE(CH221,CH219))*((CH217)/4)</f>
        <v>-5.1975000000000007</v>
      </c>
      <c r="CI222" s="1312">
        <f>-(AVERAGE(CI221,CI219))*((CI217)/4)</f>
        <v>-5.1975000000000007</v>
      </c>
      <c r="CJ222" s="1312">
        <f>-(AVERAGE(CJ221,CJ219))*((CJ217)/4)</f>
        <v>-5.1975000000000007</v>
      </c>
      <c r="CK222" s="1312">
        <f>-(AVERAGE(CK221,CK219))*((CK217)/4)</f>
        <v>-5.1975000000000007</v>
      </c>
      <c r="CL222" s="1314">
        <f>SUM(CH222:CK222)</f>
        <v>-20.790000000000003</v>
      </c>
      <c r="CM222" s="1312">
        <f>-(AVERAGE(CM221,CM219))*((CM217)/4)</f>
        <v>-5.1975000000000007</v>
      </c>
      <c r="CN222" s="1312">
        <f>-(AVERAGE(CN221,CN219))*((CN217)/4)</f>
        <v>-5.1975000000000007</v>
      </c>
      <c r="CO222" s="1312">
        <f>-(AVERAGE(CO221,CO219))*((CO217)/4)</f>
        <v>-5.1975000000000007</v>
      </c>
      <c r="CP222" s="1312">
        <f>-(AVERAGE(CP221,CP219))*((CP217)/4)</f>
        <v>-5.1975000000000007</v>
      </c>
      <c r="CQ222" s="1314">
        <f>SUM(CM222:CP222)</f>
        <v>-20.790000000000003</v>
      </c>
      <c r="CR222" s="1312">
        <f>-(AVERAGE(CR221,CR219))*((CR217)/4)</f>
        <v>-5.1975000000000007</v>
      </c>
      <c r="CS222" s="1312">
        <f>-(AVERAGE(CS221,CS219))*((CS217)/4)</f>
        <v>-5.1975000000000007</v>
      </c>
      <c r="CT222" s="1312">
        <f>-(AVERAGE(CT221,CT219))*((CT217)/4)</f>
        <v>-5.1975000000000007</v>
      </c>
      <c r="CU222" s="1312">
        <f>-(AVERAGE(CU221,CU219))*((CU217)/4)</f>
        <v>-5.1975000000000007</v>
      </c>
      <c r="CV222" s="1314">
        <f>SUM(CR222:CU222)</f>
        <v>-20.790000000000003</v>
      </c>
      <c r="CW222" s="1312">
        <f>-(AVERAGE(CW221,CW219))*((CW217)/4)</f>
        <v>-5.1975000000000007</v>
      </c>
      <c r="CX222" s="1312">
        <f>-(AVERAGE(CX221,CX219))*((CX217)/4)</f>
        <v>-5.1975000000000007</v>
      </c>
      <c r="CY222" s="1312">
        <f>-(AVERAGE(CY221,CY219))*((CY217)/4)</f>
        <v>-5.1975000000000007</v>
      </c>
      <c r="CZ222" s="1312">
        <f>-(AVERAGE(CZ221,CZ219))*((CZ217)/4)</f>
        <v>-5.1975000000000007</v>
      </c>
      <c r="DA222" s="1314">
        <f>SUM(CW222:CZ222)</f>
        <v>-20.790000000000003</v>
      </c>
      <c r="DB222" s="1312">
        <f>-(AVERAGE(DB221,DB219))*((DB217)/4)</f>
        <v>-5.1975000000000007</v>
      </c>
      <c r="DC222" s="1312">
        <f>-(AVERAGE(DC221,DC219))*((DC217)/4)</f>
        <v>-5.1975000000000007</v>
      </c>
      <c r="DD222" s="1312">
        <f>-(AVERAGE(DD221,DD219))*((DD217)/4)</f>
        <v>-5.1975000000000007</v>
      </c>
      <c r="DE222" s="1312">
        <f>-(AVERAGE(DE221,DE219))*((DE217)/4)</f>
        <v>-5.1975000000000007</v>
      </c>
      <c r="DF222" s="1314">
        <f>SUM(DB222:DE222)</f>
        <v>-20.790000000000003</v>
      </c>
    </row>
    <row r="223" spans="1:110" s="1289" customFormat="1" ht="13.5" thickBot="1" x14ac:dyDescent="0.25">
      <c r="A223" s="1273"/>
      <c r="B223" s="1310"/>
      <c r="C223" s="1311"/>
      <c r="D223" s="1311"/>
      <c r="E223" s="1311"/>
      <c r="F223" s="1311"/>
      <c r="G223" s="1311"/>
      <c r="H223" s="1311"/>
      <c r="I223" s="1311"/>
      <c r="J223" s="1311"/>
      <c r="K223" s="1311"/>
      <c r="L223" s="1311"/>
      <c r="M223" s="1311"/>
      <c r="N223" s="1311"/>
      <c r="O223" s="1311"/>
      <c r="P223" s="1311"/>
      <c r="Q223" s="1311"/>
      <c r="R223" s="1311"/>
      <c r="S223" s="1312"/>
      <c r="T223" s="1312"/>
      <c r="U223" s="1312"/>
      <c r="V223" s="1312"/>
      <c r="W223" s="1312"/>
      <c r="X223" s="1312"/>
      <c r="Y223" s="1312"/>
      <c r="Z223" s="1312"/>
      <c r="AA223" s="1312"/>
      <c r="AB223" s="1312"/>
      <c r="AC223" s="1312"/>
      <c r="AD223" s="1312"/>
      <c r="AE223" s="1312"/>
      <c r="AF223" s="1312"/>
      <c r="AG223" s="1312"/>
      <c r="AH223" s="1312"/>
      <c r="AI223" s="1312"/>
      <c r="AJ223" s="1312"/>
      <c r="AK223" s="1312"/>
      <c r="AL223" s="1312"/>
      <c r="AM223" s="1312"/>
      <c r="AN223" s="1312"/>
      <c r="AO223" s="1312"/>
      <c r="AP223" s="1312"/>
      <c r="AQ223" s="1312"/>
      <c r="AR223" s="1312"/>
      <c r="AS223" s="1312"/>
      <c r="AT223" s="1312"/>
      <c r="AU223" s="1312"/>
      <c r="AV223" s="1312"/>
      <c r="AW223" s="1312"/>
      <c r="AX223" s="1312"/>
      <c r="AY223" s="1312"/>
      <c r="AZ223" s="1312"/>
      <c r="BA223" s="1312"/>
      <c r="BB223" s="1312"/>
      <c r="BC223" s="1312"/>
      <c r="BD223" s="1312"/>
      <c r="BE223" s="1312"/>
      <c r="BF223" s="1312"/>
      <c r="BG223" s="1312"/>
      <c r="BH223" s="1312"/>
      <c r="BI223" s="1312"/>
      <c r="BJ223" s="1312"/>
      <c r="BK223" s="1312"/>
      <c r="BL223" s="1312"/>
      <c r="BM223" s="1312"/>
      <c r="BN223" s="1578"/>
      <c r="BO223" s="1312"/>
      <c r="BP223" s="1312"/>
      <c r="BQ223" s="1312"/>
      <c r="BR223" s="1312"/>
      <c r="BS223" s="1312"/>
      <c r="BT223" s="1312"/>
      <c r="BU223" s="1312"/>
      <c r="BV223" s="1312"/>
      <c r="BW223" s="1312"/>
      <c r="BX223" s="1312"/>
      <c r="BY223" s="1312"/>
      <c r="BZ223" s="1312"/>
      <c r="CA223" s="1312"/>
      <c r="CB223" s="1713"/>
      <c r="CC223" s="1312"/>
      <c r="CD223" s="1312"/>
      <c r="CE223" s="1312"/>
      <c r="CF223" s="1312"/>
      <c r="CG223" s="1713"/>
      <c r="CH223" s="1312"/>
      <c r="CI223" s="1312"/>
      <c r="CJ223" s="1312"/>
      <c r="CK223" s="1312"/>
      <c r="CL223" s="1713"/>
      <c r="CM223" s="1312"/>
      <c r="CN223" s="1312"/>
      <c r="CO223" s="1312"/>
      <c r="CP223" s="1312"/>
      <c r="CQ223" s="1713"/>
      <c r="CR223" s="1312"/>
      <c r="CS223" s="1312"/>
      <c r="CT223" s="1312"/>
      <c r="CU223" s="1312"/>
      <c r="CV223" s="1713"/>
      <c r="CW223" s="1312"/>
      <c r="CX223" s="1312"/>
      <c r="CY223" s="1312"/>
      <c r="CZ223" s="1312"/>
      <c r="DA223" s="1713"/>
      <c r="DB223" s="1312"/>
      <c r="DC223" s="1312"/>
      <c r="DD223" s="1312"/>
      <c r="DE223" s="1312"/>
      <c r="DF223" s="1713"/>
    </row>
    <row r="224" spans="1:110" s="326" customFormat="1" ht="12" thickBot="1" x14ac:dyDescent="0.25">
      <c r="B224" s="981" t="s">
        <v>427</v>
      </c>
      <c r="C224" s="989"/>
      <c r="D224" s="989"/>
      <c r="E224" s="989"/>
      <c r="F224" s="989"/>
      <c r="G224" s="989"/>
      <c r="H224" s="989"/>
      <c r="I224" s="989"/>
      <c r="J224" s="989"/>
      <c r="K224" s="989"/>
      <c r="L224" s="989"/>
      <c r="M224" s="989"/>
      <c r="N224" s="989"/>
      <c r="O224" s="989"/>
      <c r="P224" s="989"/>
      <c r="Q224" s="989"/>
      <c r="R224" s="989"/>
      <c r="S224" s="990"/>
      <c r="T224" s="990"/>
      <c r="U224" s="990"/>
      <c r="V224" s="991"/>
      <c r="W224" s="991"/>
      <c r="X224" s="991"/>
      <c r="Y224" s="990"/>
      <c r="Z224" s="990"/>
      <c r="AA224" s="990"/>
      <c r="AB224" s="990"/>
      <c r="AC224" s="990"/>
      <c r="AD224" s="990"/>
      <c r="AE224" s="990"/>
      <c r="AF224" s="990"/>
      <c r="AG224" s="990"/>
      <c r="AH224" s="990"/>
      <c r="AI224" s="990"/>
      <c r="AJ224" s="990"/>
      <c r="AK224" s="990"/>
      <c r="AL224" s="990"/>
      <c r="AM224" s="990"/>
      <c r="AN224" s="990"/>
      <c r="AO224" s="990"/>
      <c r="AP224" s="990"/>
      <c r="AQ224" s="990"/>
      <c r="AR224" s="990"/>
      <c r="AS224" s="990"/>
      <c r="AT224" s="990"/>
      <c r="AU224" s="990"/>
      <c r="AV224" s="990"/>
      <c r="AW224" s="990"/>
      <c r="AX224" s="990"/>
      <c r="AY224" s="990"/>
      <c r="AZ224" s="990"/>
      <c r="BA224" s="990"/>
      <c r="BB224" s="990"/>
      <c r="BC224" s="990"/>
      <c r="BD224" s="990"/>
      <c r="BE224" s="990"/>
      <c r="BF224" s="990"/>
      <c r="BG224" s="990"/>
      <c r="BH224" s="990"/>
      <c r="BI224" s="990"/>
      <c r="BJ224" s="990"/>
      <c r="BK224" s="990"/>
      <c r="BL224" s="990"/>
      <c r="BM224" s="990"/>
      <c r="BN224" s="990"/>
      <c r="BO224" s="990"/>
      <c r="BP224" s="990"/>
      <c r="BQ224" s="990"/>
      <c r="BR224" s="990"/>
      <c r="BS224" s="990"/>
      <c r="BT224" s="990"/>
      <c r="BU224" s="990"/>
      <c r="BV224" s="990"/>
      <c r="BW224" s="990"/>
      <c r="BX224" s="990"/>
      <c r="BY224" s="990"/>
      <c r="BZ224" s="990"/>
      <c r="CA224" s="990"/>
      <c r="CB224" s="992"/>
      <c r="CC224" s="990"/>
      <c r="CD224" s="990"/>
      <c r="CE224" s="990"/>
      <c r="CF224" s="990"/>
      <c r="CG224" s="992"/>
      <c r="CH224" s="990"/>
      <c r="CI224" s="990"/>
      <c r="CJ224" s="990"/>
      <c r="CK224" s="990"/>
      <c r="CL224" s="992"/>
      <c r="CM224" s="990"/>
      <c r="CN224" s="990"/>
      <c r="CO224" s="990"/>
      <c r="CP224" s="990"/>
      <c r="CQ224" s="992"/>
      <c r="CR224" s="990"/>
      <c r="CS224" s="990"/>
      <c r="CT224" s="990"/>
      <c r="CU224" s="990"/>
      <c r="CV224" s="992"/>
      <c r="CW224" s="990"/>
      <c r="CX224" s="990"/>
      <c r="CY224" s="990"/>
      <c r="CZ224" s="990"/>
      <c r="DA224" s="992"/>
      <c r="DB224" s="990"/>
      <c r="DC224" s="990"/>
      <c r="DD224" s="990"/>
      <c r="DE224" s="990"/>
      <c r="DF224" s="992"/>
    </row>
    <row r="225" spans="2:110" ht="10.5" customHeight="1" x14ac:dyDescent="0.2">
      <c r="B225" s="591" t="s">
        <v>203</v>
      </c>
      <c r="C225" s="561"/>
      <c r="D225" s="561"/>
      <c r="E225" s="561"/>
      <c r="F225" s="561"/>
      <c r="G225" s="561"/>
      <c r="H225" s="561"/>
      <c r="I225" s="561"/>
      <c r="J225" s="561"/>
      <c r="K225" s="561"/>
      <c r="L225" s="561"/>
      <c r="M225" s="561"/>
      <c r="N225" s="561"/>
      <c r="O225" s="561"/>
      <c r="P225" s="561"/>
      <c r="Q225" s="561"/>
      <c r="R225" s="561"/>
      <c r="S225" s="531"/>
      <c r="T225" s="531"/>
      <c r="U225" s="531"/>
      <c r="V225" s="577"/>
      <c r="W225" s="577"/>
      <c r="X225" s="577"/>
      <c r="Y225" s="532"/>
      <c r="Z225" s="531"/>
      <c r="AA225" s="531"/>
      <c r="AB225" s="531"/>
      <c r="AC225" s="531"/>
      <c r="AD225" s="532"/>
      <c r="AE225" s="531"/>
      <c r="AF225" s="531"/>
      <c r="AG225" s="531"/>
      <c r="AH225" s="531"/>
      <c r="AI225" s="532"/>
      <c r="AJ225" s="531"/>
      <c r="AK225" s="531"/>
      <c r="AL225" s="531"/>
      <c r="AM225" s="531"/>
      <c r="AN225" s="532"/>
      <c r="AO225" s="531"/>
      <c r="AP225" s="531"/>
      <c r="AQ225" s="531"/>
      <c r="AR225" s="531"/>
      <c r="AS225" s="532"/>
      <c r="AT225" s="531"/>
      <c r="AU225" s="588"/>
      <c r="AV225" s="54"/>
      <c r="AW225" s="54"/>
      <c r="AX225" s="532"/>
      <c r="AY225" s="54"/>
      <c r="AZ225" s="54"/>
      <c r="BA225" s="54"/>
      <c r="BB225" s="54"/>
      <c r="BC225" s="532"/>
      <c r="BD225" s="54"/>
      <c r="BE225" s="588"/>
      <c r="BF225" s="54"/>
      <c r="BG225" s="54">
        <f>BF225</f>
        <v>0</v>
      </c>
      <c r="BH225" s="532"/>
      <c r="BI225" s="54">
        <f>BG225</f>
        <v>0</v>
      </c>
      <c r="BJ225" s="54">
        <f t="shared" ref="BJ225:BL227" si="357">BI225</f>
        <v>0</v>
      </c>
      <c r="BK225" s="54">
        <f t="shared" si="357"/>
        <v>0</v>
      </c>
      <c r="BL225" s="54">
        <f t="shared" si="357"/>
        <v>0</v>
      </c>
      <c r="BM225" s="532"/>
      <c r="BN225" s="54">
        <f>BL225</f>
        <v>0</v>
      </c>
      <c r="BO225" s="54">
        <f t="shared" ref="BO225:BQ227" si="358">BN225</f>
        <v>0</v>
      </c>
      <c r="BP225" s="54">
        <f t="shared" si="358"/>
        <v>0</v>
      </c>
      <c r="BQ225" s="54">
        <f t="shared" si="358"/>
        <v>0</v>
      </c>
      <c r="BR225" s="532"/>
      <c r="BS225" s="54">
        <f>BQ225</f>
        <v>0</v>
      </c>
      <c r="BT225" s="54">
        <f t="shared" ref="BT225:BV227" si="359">BS225</f>
        <v>0</v>
      </c>
      <c r="BU225" s="54">
        <f t="shared" si="359"/>
        <v>0</v>
      </c>
      <c r="BV225" s="54">
        <f t="shared" si="359"/>
        <v>0</v>
      </c>
      <c r="BW225" s="532"/>
      <c r="BX225" s="54">
        <f>BV225</f>
        <v>0</v>
      </c>
      <c r="BY225" s="54">
        <f t="shared" ref="BY225:CA227" si="360">BX225</f>
        <v>0</v>
      </c>
      <c r="BZ225" s="54">
        <f t="shared" si="360"/>
        <v>0</v>
      </c>
      <c r="CA225" s="54">
        <f t="shared" si="360"/>
        <v>0</v>
      </c>
      <c r="CB225" s="562"/>
      <c r="CC225" s="54">
        <f>CA225</f>
        <v>0</v>
      </c>
      <c r="CD225" s="54">
        <f t="shared" ref="CD225:CF227" si="361">CC225</f>
        <v>0</v>
      </c>
      <c r="CE225" s="54">
        <f t="shared" si="361"/>
        <v>0</v>
      </c>
      <c r="CF225" s="54">
        <f t="shared" si="361"/>
        <v>0</v>
      </c>
      <c r="CG225" s="562"/>
      <c r="CH225" s="54">
        <f>CF225</f>
        <v>0</v>
      </c>
      <c r="CI225" s="54">
        <f t="shared" ref="CI225:CK227" si="362">CH225</f>
        <v>0</v>
      </c>
      <c r="CJ225" s="54">
        <f t="shared" si="362"/>
        <v>0</v>
      </c>
      <c r="CK225" s="54">
        <f t="shared" si="362"/>
        <v>0</v>
      </c>
      <c r="CL225" s="562"/>
      <c r="CM225" s="54">
        <f>CK225</f>
        <v>0</v>
      </c>
      <c r="CN225" s="54">
        <f t="shared" ref="CN225:CP227" si="363">CM225</f>
        <v>0</v>
      </c>
      <c r="CO225" s="54">
        <f t="shared" si="363"/>
        <v>0</v>
      </c>
      <c r="CP225" s="54">
        <f t="shared" si="363"/>
        <v>0</v>
      </c>
      <c r="CQ225" s="562"/>
      <c r="CR225" s="54">
        <f>CP225</f>
        <v>0</v>
      </c>
      <c r="CS225" s="54">
        <f t="shared" ref="CS225:CS227" si="364">CR225</f>
        <v>0</v>
      </c>
      <c r="CT225" s="54">
        <f t="shared" ref="CT225:CT227" si="365">CS225</f>
        <v>0</v>
      </c>
      <c r="CU225" s="54">
        <f t="shared" ref="CU225:CU227" si="366">CT225</f>
        <v>0</v>
      </c>
      <c r="CV225" s="562"/>
      <c r="CW225" s="54">
        <f>CU225</f>
        <v>0</v>
      </c>
      <c r="CX225" s="54">
        <f t="shared" ref="CX225:CX227" si="367">CW225</f>
        <v>0</v>
      </c>
      <c r="CY225" s="54">
        <f t="shared" ref="CY225:CY227" si="368">CX225</f>
        <v>0</v>
      </c>
      <c r="CZ225" s="54">
        <f t="shared" ref="CZ225:CZ227" si="369">CY225</f>
        <v>0</v>
      </c>
      <c r="DA225" s="562"/>
      <c r="DB225" s="54">
        <f>CZ225</f>
        <v>0</v>
      </c>
      <c r="DC225" s="54">
        <f t="shared" ref="DC225:DC227" si="370">DB225</f>
        <v>0</v>
      </c>
      <c r="DD225" s="54">
        <f t="shared" ref="DD225:DD227" si="371">DC225</f>
        <v>0</v>
      </c>
      <c r="DE225" s="54">
        <f t="shared" ref="DE225:DE227" si="372">DD225</f>
        <v>0</v>
      </c>
      <c r="DF225" s="562"/>
    </row>
    <row r="226" spans="2:110" ht="10.5" customHeight="1" x14ac:dyDescent="0.2">
      <c r="B226" s="578" t="s">
        <v>204</v>
      </c>
      <c r="C226" s="145"/>
      <c r="D226" s="145"/>
      <c r="E226" s="145"/>
      <c r="F226" s="145"/>
      <c r="G226" s="145"/>
      <c r="H226" s="145"/>
      <c r="I226" s="145"/>
      <c r="J226" s="145"/>
      <c r="K226" s="145"/>
      <c r="L226" s="145"/>
      <c r="M226" s="145"/>
      <c r="N226" s="145"/>
      <c r="O226" s="145"/>
      <c r="P226" s="145"/>
      <c r="Q226" s="145"/>
      <c r="R226" s="145"/>
      <c r="S226" s="346"/>
      <c r="T226" s="346"/>
      <c r="U226" s="346"/>
      <c r="V226" s="326"/>
      <c r="W226" s="326"/>
      <c r="X226" s="326"/>
      <c r="Y226" s="340"/>
      <c r="Z226" s="346"/>
      <c r="AA226" s="346"/>
      <c r="AB226" s="346"/>
      <c r="AC226" s="346"/>
      <c r="AD226" s="340"/>
      <c r="AE226" s="346"/>
      <c r="AF226" s="346"/>
      <c r="AG226" s="346"/>
      <c r="AH226" s="346"/>
      <c r="AI226" s="340"/>
      <c r="AJ226" s="346"/>
      <c r="AK226" s="346"/>
      <c r="AL226" s="346"/>
      <c r="AM226" s="346"/>
      <c r="AN226" s="340"/>
      <c r="AO226" s="346"/>
      <c r="AP226" s="346"/>
      <c r="AQ226" s="346"/>
      <c r="AR226" s="346"/>
      <c r="AS226" s="340"/>
      <c r="AT226" s="346"/>
      <c r="AU226" s="267"/>
      <c r="AV226" s="146"/>
      <c r="AW226" s="146"/>
      <c r="AX226" s="340"/>
      <c r="AY226" s="146"/>
      <c r="AZ226" s="146"/>
      <c r="BA226" s="146"/>
      <c r="BB226" s="146"/>
      <c r="BC226" s="340"/>
      <c r="BD226" s="146"/>
      <c r="BE226" s="267"/>
      <c r="BF226" s="146"/>
      <c r="BG226" s="146">
        <v>4.7500000000000001E-2</v>
      </c>
      <c r="BH226" s="340"/>
      <c r="BI226" s="146">
        <f>BG226</f>
        <v>4.7500000000000001E-2</v>
      </c>
      <c r="BJ226" s="146">
        <f t="shared" si="357"/>
        <v>4.7500000000000001E-2</v>
      </c>
      <c r="BK226" s="146">
        <f t="shared" si="357"/>
        <v>4.7500000000000001E-2</v>
      </c>
      <c r="BL226" s="146">
        <f t="shared" si="357"/>
        <v>4.7500000000000001E-2</v>
      </c>
      <c r="BM226" s="340"/>
      <c r="BN226" s="146">
        <f>BL226</f>
        <v>4.7500000000000001E-2</v>
      </c>
      <c r="BO226" s="146">
        <f t="shared" si="358"/>
        <v>4.7500000000000001E-2</v>
      </c>
      <c r="BP226" s="146">
        <f t="shared" si="358"/>
        <v>4.7500000000000001E-2</v>
      </c>
      <c r="BQ226" s="146">
        <f t="shared" si="358"/>
        <v>4.7500000000000001E-2</v>
      </c>
      <c r="BR226" s="340"/>
      <c r="BS226" s="146">
        <f>BQ226</f>
        <v>4.7500000000000001E-2</v>
      </c>
      <c r="BT226" s="146">
        <f t="shared" si="359"/>
        <v>4.7500000000000001E-2</v>
      </c>
      <c r="BU226" s="146">
        <f t="shared" si="359"/>
        <v>4.7500000000000001E-2</v>
      </c>
      <c r="BV226" s="146">
        <f t="shared" si="359"/>
        <v>4.7500000000000001E-2</v>
      </c>
      <c r="BW226" s="340"/>
      <c r="BX226" s="146">
        <f>BV226</f>
        <v>4.7500000000000001E-2</v>
      </c>
      <c r="BY226" s="146">
        <f t="shared" si="360"/>
        <v>4.7500000000000001E-2</v>
      </c>
      <c r="BZ226" s="146">
        <f t="shared" si="360"/>
        <v>4.7500000000000001E-2</v>
      </c>
      <c r="CA226" s="146">
        <f t="shared" si="360"/>
        <v>4.7500000000000001E-2</v>
      </c>
      <c r="CB226" s="563"/>
      <c r="CC226" s="146">
        <f>CA226</f>
        <v>4.7500000000000001E-2</v>
      </c>
      <c r="CD226" s="146">
        <f t="shared" si="361"/>
        <v>4.7500000000000001E-2</v>
      </c>
      <c r="CE226" s="146">
        <f t="shared" si="361"/>
        <v>4.7500000000000001E-2</v>
      </c>
      <c r="CF226" s="146">
        <f t="shared" si="361"/>
        <v>4.7500000000000001E-2</v>
      </c>
      <c r="CG226" s="563"/>
      <c r="CH226" s="146">
        <f>CF226</f>
        <v>4.7500000000000001E-2</v>
      </c>
      <c r="CI226" s="146">
        <f t="shared" si="362"/>
        <v>4.7500000000000001E-2</v>
      </c>
      <c r="CJ226" s="146">
        <f t="shared" si="362"/>
        <v>4.7500000000000001E-2</v>
      </c>
      <c r="CK226" s="146">
        <f t="shared" si="362"/>
        <v>4.7500000000000001E-2</v>
      </c>
      <c r="CL226" s="563"/>
      <c r="CM226" s="146">
        <f>CK226</f>
        <v>4.7500000000000001E-2</v>
      </c>
      <c r="CN226" s="146">
        <f t="shared" si="363"/>
        <v>4.7500000000000001E-2</v>
      </c>
      <c r="CO226" s="146">
        <f t="shared" si="363"/>
        <v>4.7500000000000001E-2</v>
      </c>
      <c r="CP226" s="146">
        <f t="shared" si="363"/>
        <v>4.7500000000000001E-2</v>
      </c>
      <c r="CQ226" s="563"/>
      <c r="CR226" s="146">
        <f>CP226</f>
        <v>4.7500000000000001E-2</v>
      </c>
      <c r="CS226" s="146">
        <f t="shared" si="364"/>
        <v>4.7500000000000001E-2</v>
      </c>
      <c r="CT226" s="146">
        <f t="shared" si="365"/>
        <v>4.7500000000000001E-2</v>
      </c>
      <c r="CU226" s="146">
        <f t="shared" si="366"/>
        <v>4.7500000000000001E-2</v>
      </c>
      <c r="CV226" s="563"/>
      <c r="CW226" s="146">
        <f>CU226</f>
        <v>4.7500000000000001E-2</v>
      </c>
      <c r="CX226" s="146">
        <f t="shared" si="367"/>
        <v>4.7500000000000001E-2</v>
      </c>
      <c r="CY226" s="146">
        <f t="shared" si="368"/>
        <v>4.7500000000000001E-2</v>
      </c>
      <c r="CZ226" s="146">
        <f t="shared" si="369"/>
        <v>4.7500000000000001E-2</v>
      </c>
      <c r="DA226" s="563"/>
      <c r="DB226" s="146">
        <f>CZ226</f>
        <v>4.7500000000000001E-2</v>
      </c>
      <c r="DC226" s="146">
        <f t="shared" si="370"/>
        <v>4.7500000000000001E-2</v>
      </c>
      <c r="DD226" s="146">
        <f t="shared" si="371"/>
        <v>4.7500000000000001E-2</v>
      </c>
      <c r="DE226" s="146">
        <f t="shared" si="372"/>
        <v>4.7500000000000001E-2</v>
      </c>
      <c r="DF226" s="563"/>
    </row>
    <row r="227" spans="2:110" ht="10.5" customHeight="1" x14ac:dyDescent="0.2">
      <c r="B227" s="536" t="s">
        <v>197</v>
      </c>
      <c r="C227" s="145"/>
      <c r="D227" s="145"/>
      <c r="E227" s="145"/>
      <c r="F227" s="145"/>
      <c r="G227" s="145"/>
      <c r="H227" s="145"/>
      <c r="I227" s="145"/>
      <c r="J227" s="145"/>
      <c r="K227" s="145"/>
      <c r="L227" s="145"/>
      <c r="M227" s="145"/>
      <c r="N227" s="145"/>
      <c r="O227" s="145"/>
      <c r="P227" s="145"/>
      <c r="Q227" s="145"/>
      <c r="R227" s="145"/>
      <c r="S227" s="346"/>
      <c r="T227" s="346"/>
      <c r="U227" s="346"/>
      <c r="V227" s="326"/>
      <c r="W227" s="326"/>
      <c r="X227" s="326"/>
      <c r="Y227" s="340"/>
      <c r="Z227" s="346"/>
      <c r="AA227" s="346"/>
      <c r="AB227" s="346"/>
      <c r="AC227" s="346"/>
      <c r="AD227" s="340"/>
      <c r="AE227" s="346"/>
      <c r="AF227" s="346"/>
      <c r="AG227" s="346"/>
      <c r="AH227" s="346"/>
      <c r="AI227" s="340"/>
      <c r="AJ227" s="346"/>
      <c r="AK227" s="346"/>
      <c r="AL227" s="346"/>
      <c r="AM227" s="346"/>
      <c r="AN227" s="340"/>
      <c r="AO227" s="346"/>
      <c r="AP227" s="346"/>
      <c r="AQ227" s="346"/>
      <c r="AR227" s="346"/>
      <c r="AS227" s="340"/>
      <c r="AT227" s="346"/>
      <c r="AU227" s="623"/>
      <c r="AV227" s="625"/>
      <c r="AW227" s="625"/>
      <c r="AX227" s="340"/>
      <c r="AY227" s="346"/>
      <c r="AZ227" s="346"/>
      <c r="BA227" s="346"/>
      <c r="BB227" s="346"/>
      <c r="BC227" s="340"/>
      <c r="BD227" s="346"/>
      <c r="BE227" s="623"/>
      <c r="BF227" s="346"/>
      <c r="BG227" s="346">
        <v>1250</v>
      </c>
      <c r="BH227" s="340"/>
      <c r="BI227" s="346">
        <f>BG227</f>
        <v>1250</v>
      </c>
      <c r="BJ227" s="346">
        <f t="shared" si="357"/>
        <v>1250</v>
      </c>
      <c r="BK227" s="346">
        <f t="shared" si="357"/>
        <v>1250</v>
      </c>
      <c r="BL227" s="346">
        <f t="shared" si="357"/>
        <v>1250</v>
      </c>
      <c r="BM227" s="340"/>
      <c r="BN227" s="346">
        <f>BL227</f>
        <v>1250</v>
      </c>
      <c r="BO227" s="346">
        <f t="shared" si="358"/>
        <v>1250</v>
      </c>
      <c r="BP227" s="346">
        <f t="shared" si="358"/>
        <v>1250</v>
      </c>
      <c r="BQ227" s="346">
        <f t="shared" si="358"/>
        <v>1250</v>
      </c>
      <c r="BR227" s="340"/>
      <c r="BS227" s="346">
        <f>BQ227</f>
        <v>1250</v>
      </c>
      <c r="BT227" s="346">
        <f t="shared" si="359"/>
        <v>1250</v>
      </c>
      <c r="BU227" s="346">
        <f t="shared" si="359"/>
        <v>1250</v>
      </c>
      <c r="BV227" s="346">
        <f t="shared" si="359"/>
        <v>1250</v>
      </c>
      <c r="BW227" s="340"/>
      <c r="BX227" s="346">
        <f>BV227</f>
        <v>1250</v>
      </c>
      <c r="BY227" s="346">
        <f t="shared" si="360"/>
        <v>1250</v>
      </c>
      <c r="BZ227" s="346">
        <f t="shared" si="360"/>
        <v>1250</v>
      </c>
      <c r="CA227" s="346">
        <f t="shared" si="360"/>
        <v>1250</v>
      </c>
      <c r="CB227" s="563"/>
      <c r="CC227" s="346">
        <f>CA227</f>
        <v>1250</v>
      </c>
      <c r="CD227" s="346">
        <f t="shared" si="361"/>
        <v>1250</v>
      </c>
      <c r="CE227" s="346">
        <f t="shared" si="361"/>
        <v>1250</v>
      </c>
      <c r="CF227" s="346">
        <f t="shared" si="361"/>
        <v>1250</v>
      </c>
      <c r="CG227" s="563"/>
      <c r="CH227" s="346">
        <f>CF227</f>
        <v>1250</v>
      </c>
      <c r="CI227" s="346">
        <f t="shared" si="362"/>
        <v>1250</v>
      </c>
      <c r="CJ227" s="346">
        <f t="shared" si="362"/>
        <v>1250</v>
      </c>
      <c r="CK227" s="346">
        <f t="shared" si="362"/>
        <v>1250</v>
      </c>
      <c r="CL227" s="563"/>
      <c r="CM227" s="346">
        <f>CK227</f>
        <v>1250</v>
      </c>
      <c r="CN227" s="346">
        <f t="shared" si="363"/>
        <v>1250</v>
      </c>
      <c r="CO227" s="346">
        <f t="shared" si="363"/>
        <v>1250</v>
      </c>
      <c r="CP227" s="346">
        <f t="shared" si="363"/>
        <v>1250</v>
      </c>
      <c r="CQ227" s="563"/>
      <c r="CR227" s="346">
        <f>CP227</f>
        <v>1250</v>
      </c>
      <c r="CS227" s="346">
        <f t="shared" si="364"/>
        <v>1250</v>
      </c>
      <c r="CT227" s="346">
        <f t="shared" si="365"/>
        <v>1250</v>
      </c>
      <c r="CU227" s="346">
        <f t="shared" si="366"/>
        <v>1250</v>
      </c>
      <c r="CV227" s="563"/>
      <c r="CW227" s="346">
        <f>CU227</f>
        <v>1250</v>
      </c>
      <c r="CX227" s="346">
        <f t="shared" si="367"/>
        <v>1250</v>
      </c>
      <c r="CY227" s="346">
        <f t="shared" si="368"/>
        <v>1250</v>
      </c>
      <c r="CZ227" s="346">
        <f t="shared" si="369"/>
        <v>1250</v>
      </c>
      <c r="DA227" s="563"/>
      <c r="DB227" s="346">
        <f>CZ227</f>
        <v>1250</v>
      </c>
      <c r="DC227" s="346">
        <f t="shared" si="370"/>
        <v>1250</v>
      </c>
      <c r="DD227" s="346">
        <f t="shared" si="371"/>
        <v>1250</v>
      </c>
      <c r="DE227" s="346">
        <f t="shared" si="372"/>
        <v>1250</v>
      </c>
      <c r="DF227" s="563"/>
    </row>
    <row r="228" spans="2:110" ht="10.5" customHeight="1" x14ac:dyDescent="0.2">
      <c r="B228" s="544" t="s">
        <v>198</v>
      </c>
      <c r="C228" s="145"/>
      <c r="D228" s="145"/>
      <c r="E228" s="145"/>
      <c r="F228" s="145"/>
      <c r="G228" s="145"/>
      <c r="H228" s="145"/>
      <c r="I228" s="145"/>
      <c r="J228" s="145"/>
      <c r="K228" s="145"/>
      <c r="L228" s="145"/>
      <c r="M228" s="145"/>
      <c r="N228" s="145"/>
      <c r="O228" s="145"/>
      <c r="P228" s="145"/>
      <c r="Q228" s="145"/>
      <c r="R228" s="145"/>
      <c r="S228" s="346"/>
      <c r="T228" s="346"/>
      <c r="U228" s="346"/>
      <c r="V228" s="326"/>
      <c r="W228" s="326"/>
      <c r="X228" s="326"/>
      <c r="Y228" s="340"/>
      <c r="Z228" s="346"/>
      <c r="AA228" s="346"/>
      <c r="AB228" s="346"/>
      <c r="AC228" s="346"/>
      <c r="AD228" s="340"/>
      <c r="AE228" s="346"/>
      <c r="AF228" s="346"/>
      <c r="AG228" s="346"/>
      <c r="AH228" s="346"/>
      <c r="AI228" s="340"/>
      <c r="AJ228" s="346"/>
      <c r="AK228" s="346"/>
      <c r="AL228" s="346"/>
      <c r="AM228" s="346"/>
      <c r="AN228" s="340"/>
      <c r="AO228" s="346"/>
      <c r="AP228" s="346"/>
      <c r="AQ228" s="346"/>
      <c r="AR228" s="346"/>
      <c r="AS228" s="340"/>
      <c r="AT228" s="346"/>
      <c r="AU228" s="623"/>
      <c r="AV228" s="625"/>
      <c r="AW228" s="625"/>
      <c r="AX228" s="340"/>
      <c r="AY228" s="346"/>
      <c r="AZ228" s="346"/>
      <c r="BA228" s="346"/>
      <c r="BB228" s="346"/>
      <c r="BC228" s="340"/>
      <c r="BD228" s="346"/>
      <c r="BE228" s="346"/>
      <c r="BF228" s="346"/>
      <c r="BG228" s="346">
        <f>BF230</f>
        <v>0</v>
      </c>
      <c r="BH228" s="340"/>
      <c r="BI228" s="346">
        <f>BG230</f>
        <v>1239.4000000000001</v>
      </c>
      <c r="BJ228" s="346">
        <f>BI230</f>
        <v>1239.6500000000001</v>
      </c>
      <c r="BK228" s="346">
        <f>BJ230</f>
        <v>1239.8000000000002</v>
      </c>
      <c r="BL228" s="346">
        <f>BK230</f>
        <v>1240.0999999999999</v>
      </c>
      <c r="BM228" s="340"/>
      <c r="BN228" s="346">
        <f>BL230</f>
        <v>1240.3</v>
      </c>
      <c r="BO228" s="346">
        <f>BN230</f>
        <v>1240.5</v>
      </c>
      <c r="BP228" s="346">
        <f>BO230</f>
        <v>1240.8</v>
      </c>
      <c r="BQ228" s="346">
        <f>BP230</f>
        <v>1241</v>
      </c>
      <c r="BR228" s="340"/>
      <c r="BS228" s="346">
        <f>BQ230</f>
        <v>1241.2</v>
      </c>
      <c r="BT228" s="346">
        <f>BS230</f>
        <v>1241.4000000000001</v>
      </c>
      <c r="BU228" s="346">
        <f>BT230</f>
        <v>1241.7</v>
      </c>
      <c r="BV228" s="346">
        <f>BU230</f>
        <v>1241.9000000000001</v>
      </c>
      <c r="BW228" s="340"/>
      <c r="BX228" s="346">
        <f>BV230</f>
        <v>1242.0999999999999</v>
      </c>
      <c r="BY228" s="346">
        <f>BX230</f>
        <v>1242.4000000000001</v>
      </c>
      <c r="BZ228" s="346">
        <f>BY230</f>
        <v>1242.6000000000001</v>
      </c>
      <c r="CA228" s="346">
        <f>BZ230</f>
        <v>1242.9000000000003</v>
      </c>
      <c r="CB228" s="563"/>
      <c r="CC228" s="346">
        <f>CA230</f>
        <v>1243.2000000000005</v>
      </c>
      <c r="CD228" s="346">
        <f>CC230</f>
        <v>1243.5000000000007</v>
      </c>
      <c r="CE228" s="346">
        <f>CD230</f>
        <v>1243.8000000000009</v>
      </c>
      <c r="CF228" s="346">
        <f>CE230</f>
        <v>1239.1000000000008</v>
      </c>
      <c r="CG228" s="563"/>
      <c r="CH228" s="346">
        <f>CF230</f>
        <v>1239.5000000000009</v>
      </c>
      <c r="CI228" s="346">
        <f>CH230</f>
        <v>1239.5000000000009</v>
      </c>
      <c r="CJ228" s="346">
        <f>CI230</f>
        <v>1239.5000000000009</v>
      </c>
      <c r="CK228" s="346">
        <f>CJ230</f>
        <v>1239.5000000000009</v>
      </c>
      <c r="CL228" s="563"/>
      <c r="CM228" s="346">
        <f>CK230</f>
        <v>1239.5000000000009</v>
      </c>
      <c r="CN228" s="346">
        <f>CM230</f>
        <v>1239.5000000000009</v>
      </c>
      <c r="CO228" s="346">
        <f>CN230</f>
        <v>1239.5000000000009</v>
      </c>
      <c r="CP228" s="346">
        <f>CO230</f>
        <v>1239.5000000000009</v>
      </c>
      <c r="CQ228" s="563"/>
      <c r="CR228" s="346">
        <f>CP230</f>
        <v>1239.5000000000009</v>
      </c>
      <c r="CS228" s="346">
        <f>CR230</f>
        <v>1239.5000000000009</v>
      </c>
      <c r="CT228" s="346">
        <f>CS230</f>
        <v>1239.5000000000009</v>
      </c>
      <c r="CU228" s="346">
        <f>CT230</f>
        <v>1239.5000000000009</v>
      </c>
      <c r="CV228" s="563"/>
      <c r="CW228" s="346">
        <f>CU230</f>
        <v>1239.5000000000009</v>
      </c>
      <c r="CX228" s="346">
        <f>CW230</f>
        <v>1239.5000000000009</v>
      </c>
      <c r="CY228" s="346">
        <f>CX230</f>
        <v>1239.5000000000009</v>
      </c>
      <c r="CZ228" s="346">
        <f>CY230</f>
        <v>1239.5000000000009</v>
      </c>
      <c r="DA228" s="563"/>
      <c r="DB228" s="346">
        <f>CZ230</f>
        <v>1239.5000000000009</v>
      </c>
      <c r="DC228" s="346">
        <f>DB230</f>
        <v>1239.5000000000009</v>
      </c>
      <c r="DD228" s="346">
        <f>DC230</f>
        <v>1239.5000000000009</v>
      </c>
      <c r="DE228" s="346">
        <f>DD230</f>
        <v>1239.5000000000009</v>
      </c>
      <c r="DF228" s="563"/>
    </row>
    <row r="229" spans="2:110" ht="10.5" customHeight="1" x14ac:dyDescent="0.2">
      <c r="B229" s="589" t="s">
        <v>199</v>
      </c>
      <c r="C229" s="359"/>
      <c r="D229" s="359"/>
      <c r="E229" s="359"/>
      <c r="F229" s="359"/>
      <c r="G229" s="359"/>
      <c r="H229" s="359"/>
      <c r="I229" s="359"/>
      <c r="J229" s="359"/>
      <c r="K229" s="359"/>
      <c r="L229" s="359"/>
      <c r="M229" s="359"/>
      <c r="N229" s="359"/>
      <c r="O229" s="359"/>
      <c r="P229" s="359"/>
      <c r="Q229" s="359"/>
      <c r="R229" s="359"/>
      <c r="S229" s="347"/>
      <c r="T229" s="347"/>
      <c r="U229" s="347"/>
      <c r="V229" s="377"/>
      <c r="W229" s="377"/>
      <c r="X229" s="377"/>
      <c r="Y229" s="343"/>
      <c r="Z229" s="347"/>
      <c r="AA229" s="347"/>
      <c r="AB229" s="347"/>
      <c r="AC229" s="347"/>
      <c r="AD229" s="343"/>
      <c r="AE229" s="347"/>
      <c r="AF229" s="347"/>
      <c r="AG229" s="347"/>
      <c r="AH229" s="347"/>
      <c r="AI229" s="343"/>
      <c r="AJ229" s="347"/>
      <c r="AK229" s="347"/>
      <c r="AL229" s="347"/>
      <c r="AM229" s="347"/>
      <c r="AN229" s="343"/>
      <c r="AO229" s="347"/>
      <c r="AP229" s="347"/>
      <c r="AQ229" s="347"/>
      <c r="AR229" s="347"/>
      <c r="AS229" s="343"/>
      <c r="AT229" s="347"/>
      <c r="AU229" s="629"/>
      <c r="AV229" s="642"/>
      <c r="AW229" s="629"/>
      <c r="AX229" s="343"/>
      <c r="AY229" s="347"/>
      <c r="AZ229" s="347"/>
      <c r="BA229" s="347"/>
      <c r="BB229" s="347"/>
      <c r="BC229" s="343"/>
      <c r="BD229" s="347"/>
      <c r="BE229" s="629"/>
      <c r="BF229" s="347"/>
      <c r="BG229" s="347">
        <v>1239.4000000000001</v>
      </c>
      <c r="BH229" s="343"/>
      <c r="BI229" s="347">
        <v>0.25</v>
      </c>
      <c r="BJ229" s="347">
        <v>0.15</v>
      </c>
      <c r="BK229" s="347">
        <f>1240.1-BK228</f>
        <v>0.29999999999972715</v>
      </c>
      <c r="BL229" s="347">
        <f>1240.3-BL228</f>
        <v>0.20000000000004547</v>
      </c>
      <c r="BM229" s="343"/>
      <c r="BN229" s="348">
        <f>1240.5-BN228</f>
        <v>0.20000000000004547</v>
      </c>
      <c r="BO229" s="348">
        <f>1240.8-BO228</f>
        <v>0.29999999999995453</v>
      </c>
      <c r="BP229" s="348">
        <f>1241-BP228</f>
        <v>0.20000000000004547</v>
      </c>
      <c r="BQ229" s="347">
        <f>1241.2-BQ228</f>
        <v>0.20000000000004547</v>
      </c>
      <c r="BR229" s="343"/>
      <c r="BS229" s="347">
        <f>BS230-BS228</f>
        <v>0.20000000000004547</v>
      </c>
      <c r="BT229" s="347">
        <f>BT230-BT228</f>
        <v>0.29999999999995453</v>
      </c>
      <c r="BU229" s="347">
        <f>BU230-BU228</f>
        <v>0.20000000000004547</v>
      </c>
      <c r="BV229" s="347">
        <f>BV230-BV228</f>
        <v>0.1999999999998181</v>
      </c>
      <c r="BW229" s="343"/>
      <c r="BX229" s="347">
        <f>1242.4-BX228</f>
        <v>0.3000000000001819</v>
      </c>
      <c r="BY229" s="347">
        <v>0.2</v>
      </c>
      <c r="BZ229" s="347">
        <v>0.3000000000001819</v>
      </c>
      <c r="CA229" s="347">
        <f>BZ229</f>
        <v>0.3000000000001819</v>
      </c>
      <c r="CB229" s="585"/>
      <c r="CC229" s="347">
        <f>CA229</f>
        <v>0.3000000000001819</v>
      </c>
      <c r="CD229" s="347">
        <f>CC229</f>
        <v>0.3000000000001819</v>
      </c>
      <c r="CE229" s="347">
        <v>-4.7</v>
      </c>
      <c r="CF229" s="347">
        <v>0.4</v>
      </c>
      <c r="CG229" s="585"/>
      <c r="CH229" s="347">
        <v>0</v>
      </c>
      <c r="CI229" s="347">
        <f>CH229</f>
        <v>0</v>
      </c>
      <c r="CJ229" s="347">
        <f>CI229</f>
        <v>0</v>
      </c>
      <c r="CK229" s="347">
        <f>CJ229</f>
        <v>0</v>
      </c>
      <c r="CL229" s="585"/>
      <c r="CM229" s="347">
        <f>CK229</f>
        <v>0</v>
      </c>
      <c r="CN229" s="347">
        <f>CM229</f>
        <v>0</v>
      </c>
      <c r="CO229" s="347">
        <f>CN229</f>
        <v>0</v>
      </c>
      <c r="CP229" s="347">
        <f>CO229</f>
        <v>0</v>
      </c>
      <c r="CQ229" s="585"/>
      <c r="CR229" s="347">
        <f>CP229</f>
        <v>0</v>
      </c>
      <c r="CS229" s="347">
        <f>CR229</f>
        <v>0</v>
      </c>
      <c r="CT229" s="347">
        <f>CS229</f>
        <v>0</v>
      </c>
      <c r="CU229" s="347">
        <f>CT229</f>
        <v>0</v>
      </c>
      <c r="CV229" s="585"/>
      <c r="CW229" s="347">
        <f>CU229</f>
        <v>0</v>
      </c>
      <c r="CX229" s="347">
        <f>CW229</f>
        <v>0</v>
      </c>
      <c r="CY229" s="347">
        <f>CX229</f>
        <v>0</v>
      </c>
      <c r="CZ229" s="347">
        <f>CY229</f>
        <v>0</v>
      </c>
      <c r="DA229" s="585"/>
      <c r="DB229" s="347">
        <f>CZ229</f>
        <v>0</v>
      </c>
      <c r="DC229" s="347">
        <f>DB229</f>
        <v>0</v>
      </c>
      <c r="DD229" s="347">
        <f>DC229</f>
        <v>0</v>
      </c>
      <c r="DE229" s="347">
        <f>DD229</f>
        <v>0</v>
      </c>
      <c r="DF229" s="585"/>
    </row>
    <row r="230" spans="2:110" ht="10.5" customHeight="1" x14ac:dyDescent="0.2">
      <c r="B230" s="544" t="s">
        <v>200</v>
      </c>
      <c r="C230" s="145"/>
      <c r="D230" s="145"/>
      <c r="E230" s="145"/>
      <c r="F230" s="145"/>
      <c r="G230" s="145"/>
      <c r="H230" s="145"/>
      <c r="I230" s="145"/>
      <c r="J230" s="145"/>
      <c r="K230" s="145"/>
      <c r="L230" s="145"/>
      <c r="M230" s="145"/>
      <c r="N230" s="145"/>
      <c r="O230" s="145"/>
      <c r="P230" s="145"/>
      <c r="Q230" s="145"/>
      <c r="R230" s="145"/>
      <c r="S230" s="346"/>
      <c r="T230" s="346"/>
      <c r="U230" s="346"/>
      <c r="V230" s="326"/>
      <c r="W230" s="326"/>
      <c r="X230" s="326"/>
      <c r="Y230" s="340"/>
      <c r="Z230" s="346"/>
      <c r="AA230" s="346"/>
      <c r="AB230" s="346"/>
      <c r="AC230" s="346"/>
      <c r="AD230" s="340"/>
      <c r="AE230" s="346"/>
      <c r="AF230" s="346"/>
      <c r="AG230" s="346"/>
      <c r="AH230" s="346"/>
      <c r="AI230" s="340"/>
      <c r="AJ230" s="346"/>
      <c r="AK230" s="346"/>
      <c r="AL230" s="346"/>
      <c r="AM230" s="346"/>
      <c r="AN230" s="340"/>
      <c r="AO230" s="346"/>
      <c r="AP230" s="346"/>
      <c r="AQ230" s="346"/>
      <c r="AR230" s="346"/>
      <c r="AS230" s="340"/>
      <c r="AT230" s="346"/>
      <c r="AU230" s="625"/>
      <c r="AV230" s="625"/>
      <c r="AW230" s="625"/>
      <c r="AX230" s="340"/>
      <c r="AY230" s="346"/>
      <c r="AZ230" s="346"/>
      <c r="BA230" s="346"/>
      <c r="BB230" s="346"/>
      <c r="BC230" s="340"/>
      <c r="BD230" s="346"/>
      <c r="BE230" s="625"/>
      <c r="BF230" s="346"/>
      <c r="BG230" s="346">
        <f>BG228+BG229</f>
        <v>1239.4000000000001</v>
      </c>
      <c r="BH230" s="340"/>
      <c r="BI230" s="346">
        <f>BI228+BI229</f>
        <v>1239.6500000000001</v>
      </c>
      <c r="BJ230" s="346">
        <f>BJ228+BJ229</f>
        <v>1239.8000000000002</v>
      </c>
      <c r="BK230" s="346">
        <f>BK228+BK229</f>
        <v>1240.0999999999999</v>
      </c>
      <c r="BL230" s="346">
        <f>BL228+BL229</f>
        <v>1240.3</v>
      </c>
      <c r="BM230" s="340"/>
      <c r="BN230" s="346">
        <f>BN228+BN229</f>
        <v>1240.5</v>
      </c>
      <c r="BO230" s="346">
        <f>BO228+BO229</f>
        <v>1240.8</v>
      </c>
      <c r="BP230" s="346">
        <f>BP228+BP229</f>
        <v>1241</v>
      </c>
      <c r="BQ230" s="346">
        <f>BQ228+BQ229</f>
        <v>1241.2</v>
      </c>
      <c r="BR230" s="340"/>
      <c r="BS230" s="354">
        <f>1241.4</f>
        <v>1241.4000000000001</v>
      </c>
      <c r="BT230" s="354">
        <v>1241.7</v>
      </c>
      <c r="BU230" s="354">
        <v>1241.9000000000001</v>
      </c>
      <c r="BV230" s="346">
        <v>1242.0999999999999</v>
      </c>
      <c r="BW230" s="340"/>
      <c r="BX230" s="346">
        <f>BX228+BX229</f>
        <v>1242.4000000000001</v>
      </c>
      <c r="BY230" s="346">
        <f>BY228+BY229</f>
        <v>1242.6000000000001</v>
      </c>
      <c r="BZ230" s="346">
        <f>BZ228+BZ229</f>
        <v>1242.9000000000003</v>
      </c>
      <c r="CA230" s="346">
        <f>CA228+CA229</f>
        <v>1243.2000000000005</v>
      </c>
      <c r="CB230" s="563"/>
      <c r="CC230" s="346">
        <f>CC228+CC229</f>
        <v>1243.5000000000007</v>
      </c>
      <c r="CD230" s="346">
        <f>CD228+CD229</f>
        <v>1243.8000000000009</v>
      </c>
      <c r="CE230" s="346">
        <f>CE228+CE229</f>
        <v>1239.1000000000008</v>
      </c>
      <c r="CF230" s="346">
        <f>CF228+CF229</f>
        <v>1239.5000000000009</v>
      </c>
      <c r="CG230" s="563"/>
      <c r="CH230" s="346">
        <f>CH228+CH229</f>
        <v>1239.5000000000009</v>
      </c>
      <c r="CI230" s="346">
        <f>CI228+CI229</f>
        <v>1239.5000000000009</v>
      </c>
      <c r="CJ230" s="346">
        <f>CJ228+CJ229</f>
        <v>1239.5000000000009</v>
      </c>
      <c r="CK230" s="346">
        <f>CK228+CK229</f>
        <v>1239.5000000000009</v>
      </c>
      <c r="CL230" s="563"/>
      <c r="CM230" s="346">
        <f>CM228+CM229</f>
        <v>1239.5000000000009</v>
      </c>
      <c r="CN230" s="346">
        <f>CN228+CN229</f>
        <v>1239.5000000000009</v>
      </c>
      <c r="CO230" s="346">
        <f>CO228+CO229</f>
        <v>1239.5000000000009</v>
      </c>
      <c r="CP230" s="346">
        <f>CP228+CP229</f>
        <v>1239.5000000000009</v>
      </c>
      <c r="CQ230" s="563"/>
      <c r="CR230" s="346">
        <f>CR228+CR229</f>
        <v>1239.5000000000009</v>
      </c>
      <c r="CS230" s="346">
        <f>CS228+CS229</f>
        <v>1239.5000000000009</v>
      </c>
      <c r="CT230" s="346">
        <f>CT228+CT229</f>
        <v>1239.5000000000009</v>
      </c>
      <c r="CU230" s="346">
        <f>CU228+CU229</f>
        <v>1239.5000000000009</v>
      </c>
      <c r="CV230" s="563"/>
      <c r="CW230" s="346">
        <f>CW228+CW229</f>
        <v>1239.5000000000009</v>
      </c>
      <c r="CX230" s="346">
        <f>CX228+CX229</f>
        <v>1239.5000000000009</v>
      </c>
      <c r="CY230" s="346">
        <f>CY228+CY229</f>
        <v>1239.5000000000009</v>
      </c>
      <c r="CZ230" s="346">
        <f>CZ228+CZ229</f>
        <v>1239.5000000000009</v>
      </c>
      <c r="DA230" s="563"/>
      <c r="DB230" s="346">
        <f>DB228+DB229</f>
        <v>1239.5000000000009</v>
      </c>
      <c r="DC230" s="346">
        <f>DC228+DC229</f>
        <v>1239.5000000000009</v>
      </c>
      <c r="DD230" s="346">
        <f>DD228+DD229</f>
        <v>1239.5000000000009</v>
      </c>
      <c r="DE230" s="346">
        <f>DE228+DE229</f>
        <v>1239.5000000000009</v>
      </c>
      <c r="DF230" s="563"/>
    </row>
    <row r="231" spans="2:110" ht="10.5" customHeight="1" x14ac:dyDescent="0.2">
      <c r="B231" s="536" t="s">
        <v>201</v>
      </c>
      <c r="C231" s="145"/>
      <c r="D231" s="145"/>
      <c r="E231" s="145"/>
      <c r="F231" s="145"/>
      <c r="G231" s="145"/>
      <c r="H231" s="145"/>
      <c r="I231" s="145"/>
      <c r="J231" s="145"/>
      <c r="K231" s="145"/>
      <c r="L231" s="145"/>
      <c r="M231" s="145"/>
      <c r="N231" s="145"/>
      <c r="O231" s="145"/>
      <c r="P231" s="145"/>
      <c r="Q231" s="145"/>
      <c r="R231" s="145"/>
      <c r="S231" s="346"/>
      <c r="T231" s="346"/>
      <c r="U231" s="346"/>
      <c r="V231" s="326"/>
      <c r="W231" s="326"/>
      <c r="X231" s="326"/>
      <c r="Y231" s="340"/>
      <c r="Z231" s="346"/>
      <c r="AA231" s="346"/>
      <c r="AB231" s="346"/>
      <c r="AC231" s="346"/>
      <c r="AD231" s="340"/>
      <c r="AE231" s="346"/>
      <c r="AF231" s="346"/>
      <c r="AG231" s="346"/>
      <c r="AH231" s="346"/>
      <c r="AI231" s="340"/>
      <c r="AJ231" s="346"/>
      <c r="AK231" s="346"/>
      <c r="AL231" s="346"/>
      <c r="AM231" s="346"/>
      <c r="AN231" s="340"/>
      <c r="AO231" s="346"/>
      <c r="AP231" s="346"/>
      <c r="AQ231" s="346"/>
      <c r="AR231" s="346"/>
      <c r="AS231" s="340"/>
      <c r="AT231" s="346"/>
      <c r="AU231" s="625"/>
      <c r="AV231" s="625"/>
      <c r="AW231" s="625"/>
      <c r="AX231" s="340"/>
      <c r="AY231" s="346"/>
      <c r="AZ231" s="346"/>
      <c r="BA231" s="346"/>
      <c r="BB231" s="346"/>
      <c r="BC231" s="340"/>
      <c r="BD231" s="346"/>
      <c r="BE231" s="625"/>
      <c r="BF231" s="346"/>
      <c r="BG231" s="346">
        <f>BG227-BG230</f>
        <v>10.599999999999909</v>
      </c>
      <c r="BH231" s="340"/>
      <c r="BI231" s="346">
        <f>BI227-BI230</f>
        <v>10.349999999999909</v>
      </c>
      <c r="BJ231" s="346">
        <f>BJ227-BJ230</f>
        <v>10.199999999999818</v>
      </c>
      <c r="BK231" s="346">
        <f>BK227-BK230</f>
        <v>9.9000000000000909</v>
      </c>
      <c r="BL231" s="346">
        <f>BL227-BL230</f>
        <v>9.7000000000000455</v>
      </c>
      <c r="BM231" s="340"/>
      <c r="BN231" s="346">
        <f>BN227-BN230</f>
        <v>9.5</v>
      </c>
      <c r="BO231" s="346">
        <f>BO227-BO230</f>
        <v>9.2000000000000455</v>
      </c>
      <c r="BP231" s="346">
        <f>BP227-BP230</f>
        <v>9</v>
      </c>
      <c r="BQ231" s="346">
        <f>BQ227-BQ230</f>
        <v>8.7999999999999545</v>
      </c>
      <c r="BR231" s="340"/>
      <c r="BS231" s="346">
        <f>BS227-BS230</f>
        <v>8.5999999999999091</v>
      </c>
      <c r="BT231" s="346">
        <f>BT227-BT230</f>
        <v>8.2999999999999545</v>
      </c>
      <c r="BU231" s="346">
        <f>BU227-BU230</f>
        <v>8.0999999999999091</v>
      </c>
      <c r="BV231" s="346">
        <f>BV227-BV230</f>
        <v>7.9000000000000909</v>
      </c>
      <c r="BW231" s="340"/>
      <c r="BX231" s="346">
        <f>BX227-BX230</f>
        <v>7.5999999999999091</v>
      </c>
      <c r="BY231" s="346">
        <f>BY227-BY230</f>
        <v>7.3999999999998636</v>
      </c>
      <c r="BZ231" s="346">
        <f>BZ227-BZ230</f>
        <v>7.0999999999996817</v>
      </c>
      <c r="CA231" s="346">
        <f>CA227-CA230</f>
        <v>6.7999999999994998</v>
      </c>
      <c r="CB231" s="563"/>
      <c r="CC231" s="346">
        <f>CC227-CC230</f>
        <v>6.4999999999993179</v>
      </c>
      <c r="CD231" s="346">
        <f>CD227-CD230</f>
        <v>6.199999999999136</v>
      </c>
      <c r="CE231" s="346">
        <f>CE227-CE230</f>
        <v>10.899999999999181</v>
      </c>
      <c r="CF231" s="346">
        <f>CF227-CF230</f>
        <v>10.499999999999091</v>
      </c>
      <c r="CG231" s="563"/>
      <c r="CH231" s="346">
        <f>CH227-CH230</f>
        <v>10.499999999999091</v>
      </c>
      <c r="CI231" s="346">
        <f>CI227-CI230</f>
        <v>10.499999999999091</v>
      </c>
      <c r="CJ231" s="346">
        <f>CJ227-CJ230</f>
        <v>10.499999999999091</v>
      </c>
      <c r="CK231" s="346">
        <f>CK227-CK230</f>
        <v>10.499999999999091</v>
      </c>
      <c r="CL231" s="563"/>
      <c r="CM231" s="346">
        <f>CM227-CM230</f>
        <v>10.499999999999091</v>
      </c>
      <c r="CN231" s="346">
        <f>CN227-CN230</f>
        <v>10.499999999999091</v>
      </c>
      <c r="CO231" s="346">
        <f>CO227-CO230</f>
        <v>10.499999999999091</v>
      </c>
      <c r="CP231" s="346">
        <f>CP227-CP230</f>
        <v>10.499999999999091</v>
      </c>
      <c r="CQ231" s="563"/>
      <c r="CR231" s="346">
        <f>CR227-CR230</f>
        <v>10.499999999999091</v>
      </c>
      <c r="CS231" s="346">
        <f>CS227-CS230</f>
        <v>10.499999999999091</v>
      </c>
      <c r="CT231" s="346">
        <f>CT227-CT230</f>
        <v>10.499999999999091</v>
      </c>
      <c r="CU231" s="346">
        <f>CU227-CU230</f>
        <v>10.499999999999091</v>
      </c>
      <c r="CV231" s="563"/>
      <c r="CW231" s="346">
        <f>CW227-CW230</f>
        <v>10.499999999999091</v>
      </c>
      <c r="CX231" s="346">
        <f>CX227-CX230</f>
        <v>10.499999999999091</v>
      </c>
      <c r="CY231" s="346">
        <f>CY227-CY230</f>
        <v>10.499999999999091</v>
      </c>
      <c r="CZ231" s="346">
        <f>CZ227-CZ230</f>
        <v>10.499999999999091</v>
      </c>
      <c r="DA231" s="563"/>
      <c r="DB231" s="346">
        <f>DB227-DB230</f>
        <v>10.499999999999091</v>
      </c>
      <c r="DC231" s="346">
        <f>DC227-DC230</f>
        <v>10.499999999999091</v>
      </c>
      <c r="DD231" s="346">
        <f>DD227-DD230</f>
        <v>10.499999999999091</v>
      </c>
      <c r="DE231" s="346">
        <f>DE227-DE230</f>
        <v>10.499999999999091</v>
      </c>
      <c r="DF231" s="563"/>
    </row>
    <row r="232" spans="2:110" ht="10.5" customHeight="1" x14ac:dyDescent="0.2">
      <c r="B232" s="544" t="s">
        <v>206</v>
      </c>
      <c r="C232" s="145"/>
      <c r="D232" s="145"/>
      <c r="E232" s="145"/>
      <c r="F232" s="145"/>
      <c r="G232" s="145"/>
      <c r="H232" s="145"/>
      <c r="I232" s="145"/>
      <c r="J232" s="145"/>
      <c r="K232" s="145"/>
      <c r="L232" s="145"/>
      <c r="M232" s="145"/>
      <c r="N232" s="145"/>
      <c r="O232" s="145"/>
      <c r="P232" s="145"/>
      <c r="Q232" s="145"/>
      <c r="R232" s="145"/>
      <c r="S232" s="346"/>
      <c r="T232" s="346"/>
      <c r="U232" s="346"/>
      <c r="V232" s="326"/>
      <c r="W232" s="326"/>
      <c r="X232" s="326"/>
      <c r="Y232" s="340"/>
      <c r="Z232" s="346"/>
      <c r="AA232" s="346"/>
      <c r="AB232" s="346"/>
      <c r="AC232" s="346"/>
      <c r="AD232" s="340"/>
      <c r="AE232" s="346"/>
      <c r="AF232" s="346"/>
      <c r="AG232" s="346"/>
      <c r="AH232" s="346"/>
      <c r="AI232" s="340"/>
      <c r="AJ232" s="346"/>
      <c r="AK232" s="346"/>
      <c r="AL232" s="346"/>
      <c r="AM232" s="346"/>
      <c r="AN232" s="340"/>
      <c r="AO232" s="346"/>
      <c r="AP232" s="346"/>
      <c r="AQ232" s="346"/>
      <c r="AR232" s="346"/>
      <c r="AS232" s="340"/>
      <c r="AT232" s="346"/>
      <c r="AU232" s="625"/>
      <c r="AV232" s="625"/>
      <c r="AW232" s="625"/>
      <c r="AX232" s="340"/>
      <c r="AY232" s="346"/>
      <c r="AZ232" s="346"/>
      <c r="BA232" s="346"/>
      <c r="BB232" s="346"/>
      <c r="BC232" s="340"/>
      <c r="BD232" s="346"/>
      <c r="BE232" s="625"/>
      <c r="BF232" s="346"/>
      <c r="BG232" s="346">
        <f>-(AVERAGE(BG230,BG228))*(BG226/4)</f>
        <v>-7.3589375000000006</v>
      </c>
      <c r="BH232" s="340"/>
      <c r="BI232" s="346">
        <f>-(AVERAGE(BI230,BI228))*(BI226/4)</f>
        <v>-14.719359375000002</v>
      </c>
      <c r="BJ232" s="346">
        <f>-(AVERAGE(BJ230,BJ228))*(BJ226/4)</f>
        <v>-14.721734375000002</v>
      </c>
      <c r="BK232" s="346">
        <f>-(AVERAGE(BK230,BK228))*(BK226/4)</f>
        <v>-14.724406250000001</v>
      </c>
      <c r="BL232" s="346">
        <f>-(AVERAGE(BL230,BL228))*(BL226/4)</f>
        <v>-14.727374999999999</v>
      </c>
      <c r="BM232" s="340"/>
      <c r="BN232" s="346">
        <f>-(AVERAGE(BN230,BN228))*(BN226/4)</f>
        <v>-14.729750000000001</v>
      </c>
      <c r="BO232" s="346">
        <f>-(AVERAGE(BO230,BO228))*(BO226/4)</f>
        <v>-14.732718750000002</v>
      </c>
      <c r="BP232" s="346">
        <f>-(AVERAGE(BP230,BP228))*(BP226/4)</f>
        <v>-14.735687500000001</v>
      </c>
      <c r="BQ232" s="346">
        <f>-(AVERAGE(BQ230,BQ228))*(BQ226/4)</f>
        <v>-14.7380625</v>
      </c>
      <c r="BR232" s="340"/>
      <c r="BS232" s="346">
        <f>-(AVERAGE(BS230,BS228))*(BS226/4)</f>
        <v>-14.740437500000002</v>
      </c>
      <c r="BT232" s="346">
        <f>-(AVERAGE(BT230,BT228))*(BT226/4)</f>
        <v>-14.743406250000003</v>
      </c>
      <c r="BU232" s="346">
        <f>-(AVERAGE(BU230,BU228))*(BU226/4)</f>
        <v>-14.746375000000002</v>
      </c>
      <c r="BV232" s="346">
        <f>-(AVERAGE(BV230,BV228))*(BV226/4)</f>
        <v>-14.748749999999999</v>
      </c>
      <c r="BW232" s="340"/>
      <c r="BX232" s="346">
        <f>-(AVERAGE(BX230,BX228))*(BX226/4)</f>
        <v>-14.75171875</v>
      </c>
      <c r="BY232" s="346">
        <f>-(AVERAGE(BY230,BY228))*(BY226/4)</f>
        <v>-14.754687499999999</v>
      </c>
      <c r="BZ232" s="346">
        <f>-(AVERAGE(BZ230,BZ228))*(BZ226/4)</f>
        <v>-14.757656250000004</v>
      </c>
      <c r="CA232" s="346">
        <f>-(AVERAGE(CA230,CA228))*(CA226/4)</f>
        <v>-14.761218750000005</v>
      </c>
      <c r="CB232" s="563"/>
      <c r="CC232" s="346">
        <f>-(AVERAGE(CC230,CC228))*(CC226/4)</f>
        <v>-14.764781250000008</v>
      </c>
      <c r="CD232" s="346">
        <f>-(AVERAGE(CD230,CD228))*(CD226/4)</f>
        <v>-14.768343750000009</v>
      </c>
      <c r="CE232" s="346">
        <f>-(AVERAGE(CE230,CE228))*(CE226/4)</f>
        <v>-14.742218750000008</v>
      </c>
      <c r="CF232" s="346">
        <f>-(AVERAGE(CF230,CF228))*(CF226/4)</f>
        <v>-14.71668750000001</v>
      </c>
      <c r="CG232" s="563"/>
      <c r="CH232" s="346">
        <f>-(AVERAGE(CH230,CH228))*(CH226/4)</f>
        <v>-14.71906250000001</v>
      </c>
      <c r="CI232" s="346">
        <f>-(AVERAGE(CI230,CI228))*(CI226/4)</f>
        <v>-14.71906250000001</v>
      </c>
      <c r="CJ232" s="346">
        <f>-(AVERAGE(CJ230,CJ228))*(CJ226/4)</f>
        <v>-14.71906250000001</v>
      </c>
      <c r="CK232" s="346">
        <f>-(AVERAGE(CK230,CK228))*(CK226/4)</f>
        <v>-14.71906250000001</v>
      </c>
      <c r="CL232" s="563"/>
      <c r="CM232" s="346">
        <f>-(AVERAGE(CM230,CM228))*(CM226/4)</f>
        <v>-14.71906250000001</v>
      </c>
      <c r="CN232" s="346">
        <f>-(AVERAGE(CN230,CN228))*(CN226/4)</f>
        <v>-14.71906250000001</v>
      </c>
      <c r="CO232" s="346">
        <f>-(AVERAGE(CO230,CO228))*(CO226/4)</f>
        <v>-14.71906250000001</v>
      </c>
      <c r="CP232" s="346">
        <f>-(AVERAGE(CP230,CP228))*(CP226/4)</f>
        <v>-14.71906250000001</v>
      </c>
      <c r="CQ232" s="563"/>
      <c r="CR232" s="346">
        <f>-(AVERAGE(CR230,CR228))*(CR226/4)</f>
        <v>-14.71906250000001</v>
      </c>
      <c r="CS232" s="346">
        <f>-(AVERAGE(CS230,CS228))*(CS226/4)</f>
        <v>-14.71906250000001</v>
      </c>
      <c r="CT232" s="346">
        <f>-(AVERAGE(CT230,CT228))*(CT226/4)</f>
        <v>-14.71906250000001</v>
      </c>
      <c r="CU232" s="346">
        <f>-(AVERAGE(CU230,CU228))*(CU226/4)</f>
        <v>-14.71906250000001</v>
      </c>
      <c r="CV232" s="563"/>
      <c r="CW232" s="346">
        <f>-(AVERAGE(CW230,CW228))*(CW226/4)</f>
        <v>-14.71906250000001</v>
      </c>
      <c r="CX232" s="346">
        <f>-(AVERAGE(CX230,CX228))*(CX226/4)</f>
        <v>-14.71906250000001</v>
      </c>
      <c r="CY232" s="346">
        <f>-(AVERAGE(CY230,CY228))*(CY226/4)</f>
        <v>-14.71906250000001</v>
      </c>
      <c r="CZ232" s="346">
        <f>-(AVERAGE(CZ230,CZ228))*(CZ226/4)</f>
        <v>-14.71906250000001</v>
      </c>
      <c r="DA232" s="563"/>
      <c r="DB232" s="346">
        <f>-(AVERAGE(DB230,DB228))*(DB226/4)</f>
        <v>-14.71906250000001</v>
      </c>
      <c r="DC232" s="346">
        <f>-(AVERAGE(DC230,DC228))*(DC226/4)</f>
        <v>-14.71906250000001</v>
      </c>
      <c r="DD232" s="346">
        <f>-(AVERAGE(DD230,DD228))*(DD226/4)</f>
        <v>-14.71906250000001</v>
      </c>
      <c r="DE232" s="346">
        <f>-(AVERAGE(DE230,DE228))*(DE226/4)</f>
        <v>-14.71906250000001</v>
      </c>
      <c r="DF232" s="563"/>
    </row>
    <row r="233" spans="2:110" ht="10.5" customHeight="1" thickBot="1" x14ac:dyDescent="0.25">
      <c r="B233" s="548" t="s">
        <v>207</v>
      </c>
      <c r="C233" s="205"/>
      <c r="D233" s="205"/>
      <c r="E233" s="205"/>
      <c r="F233" s="205"/>
      <c r="G233" s="205"/>
      <c r="H233" s="205"/>
      <c r="I233" s="205"/>
      <c r="J233" s="205"/>
      <c r="K233" s="205"/>
      <c r="L233" s="205"/>
      <c r="M233" s="205"/>
      <c r="N233" s="205"/>
      <c r="O233" s="205"/>
      <c r="P233" s="205"/>
      <c r="Q233" s="205"/>
      <c r="R233" s="205"/>
      <c r="S233" s="549"/>
      <c r="T233" s="549"/>
      <c r="U233" s="549"/>
      <c r="V233" s="327"/>
      <c r="W233" s="327"/>
      <c r="X233" s="327"/>
      <c r="Y233" s="550"/>
      <c r="Z233" s="549"/>
      <c r="AA233" s="549"/>
      <c r="AB233" s="549"/>
      <c r="AC233" s="549"/>
      <c r="AD233" s="550"/>
      <c r="AE233" s="549"/>
      <c r="AF233" s="549"/>
      <c r="AG233" s="549"/>
      <c r="AH233" s="549"/>
      <c r="AI233" s="550"/>
      <c r="AJ233" s="549"/>
      <c r="AK233" s="549"/>
      <c r="AL233" s="549"/>
      <c r="AM233" s="549"/>
      <c r="AN233" s="550"/>
      <c r="AO233" s="549"/>
      <c r="AP233" s="549"/>
      <c r="AQ233" s="549"/>
      <c r="AR233" s="549"/>
      <c r="AS233" s="550"/>
      <c r="AT233" s="549"/>
      <c r="AU233" s="549"/>
      <c r="AV233" s="549"/>
      <c r="AW233" s="549"/>
      <c r="AX233" s="550"/>
      <c r="AY233" s="549"/>
      <c r="AZ233" s="549"/>
      <c r="BA233" s="549"/>
      <c r="BB233" s="549"/>
      <c r="BC233" s="550"/>
      <c r="BD233" s="549"/>
      <c r="BE233" s="549"/>
      <c r="BF233" s="549"/>
      <c r="BG233" s="549">
        <f>-BG225*BG231/4</f>
        <v>0</v>
      </c>
      <c r="BH233" s="550"/>
      <c r="BI233" s="549">
        <f>-BI225*BI231/4</f>
        <v>0</v>
      </c>
      <c r="BJ233" s="549">
        <f>-BJ225*BJ231/4</f>
        <v>0</v>
      </c>
      <c r="BK233" s="549">
        <f>-BK225*BK231/4</f>
        <v>0</v>
      </c>
      <c r="BL233" s="549">
        <f>-BL225*BL231/4</f>
        <v>0</v>
      </c>
      <c r="BM233" s="550"/>
      <c r="BN233" s="549">
        <f>-BN225*BN231/4</f>
        <v>0</v>
      </c>
      <c r="BO233" s="549">
        <f>-BO225*BO231/4</f>
        <v>0</v>
      </c>
      <c r="BP233" s="549">
        <f>-BP225*BP231/4</f>
        <v>0</v>
      </c>
      <c r="BQ233" s="549">
        <f>-BQ225*BQ231/4</f>
        <v>0</v>
      </c>
      <c r="BR233" s="550"/>
      <c r="BS233" s="549">
        <f>-BS225*BS231/4</f>
        <v>0</v>
      </c>
      <c r="BT233" s="549">
        <f>-BT225*BT231/4</f>
        <v>0</v>
      </c>
      <c r="BU233" s="549">
        <f>-BU225*BU231/4</f>
        <v>0</v>
      </c>
      <c r="BV233" s="549">
        <f>-BV225*BV231/4</f>
        <v>0</v>
      </c>
      <c r="BW233" s="550"/>
      <c r="BX233" s="549">
        <f>-BX225*BX231/4</f>
        <v>0</v>
      </c>
      <c r="BY233" s="549">
        <f>-BY225*BY231/4</f>
        <v>0</v>
      </c>
      <c r="BZ233" s="549">
        <f>-BZ225*BZ231/4</f>
        <v>0</v>
      </c>
      <c r="CA233" s="549">
        <f>-CA225*CA231/4</f>
        <v>0</v>
      </c>
      <c r="CB233" s="565"/>
      <c r="CC233" s="549">
        <f>-CC225*CC231/4</f>
        <v>0</v>
      </c>
      <c r="CD233" s="549">
        <f>-CD225*CD231/4</f>
        <v>0</v>
      </c>
      <c r="CE233" s="549">
        <f>-CE225*CE231/4</f>
        <v>0</v>
      </c>
      <c r="CF233" s="549">
        <f>-CF225*CF231/4</f>
        <v>0</v>
      </c>
      <c r="CG233" s="565"/>
      <c r="CH233" s="549">
        <f>-CH225*CH231/4</f>
        <v>0</v>
      </c>
      <c r="CI233" s="549">
        <f>-CI225*CI231/4</f>
        <v>0</v>
      </c>
      <c r="CJ233" s="549">
        <f>-CJ225*CJ231/4</f>
        <v>0</v>
      </c>
      <c r="CK233" s="549">
        <f>-CK225*CK231/4</f>
        <v>0</v>
      </c>
      <c r="CL233" s="565"/>
      <c r="CM233" s="549">
        <f>-CM225*CM231/4</f>
        <v>0</v>
      </c>
      <c r="CN233" s="549">
        <f>-CN225*CN231/4</f>
        <v>0</v>
      </c>
      <c r="CO233" s="549">
        <f>-CO225*CO231/4</f>
        <v>0</v>
      </c>
      <c r="CP233" s="549">
        <f>-CP225*CP231/4</f>
        <v>0</v>
      </c>
      <c r="CQ233" s="565"/>
      <c r="CR233" s="549">
        <f>-CR225*CR231/4</f>
        <v>0</v>
      </c>
      <c r="CS233" s="549">
        <f>-CS225*CS231/4</f>
        <v>0</v>
      </c>
      <c r="CT233" s="549">
        <f>-CT225*CT231/4</f>
        <v>0</v>
      </c>
      <c r="CU233" s="549">
        <f>-CU225*CU231/4</f>
        <v>0</v>
      </c>
      <c r="CV233" s="565"/>
      <c r="CW233" s="549">
        <f>-CW225*CW231/4</f>
        <v>0</v>
      </c>
      <c r="CX233" s="549">
        <f>-CX225*CX231/4</f>
        <v>0</v>
      </c>
      <c r="CY233" s="549">
        <f>-CY225*CY231/4</f>
        <v>0</v>
      </c>
      <c r="CZ233" s="549">
        <f>-CZ225*CZ231/4</f>
        <v>0</v>
      </c>
      <c r="DA233" s="565"/>
      <c r="DB233" s="549">
        <f>-DB225*DB231/4</f>
        <v>0</v>
      </c>
      <c r="DC233" s="549">
        <f>-DC225*DC231/4</f>
        <v>0</v>
      </c>
      <c r="DD233" s="549">
        <f>-DD225*DD231/4</f>
        <v>0</v>
      </c>
      <c r="DE233" s="549">
        <f>-DE225*DE231/4</f>
        <v>0</v>
      </c>
      <c r="DF233" s="565"/>
    </row>
    <row r="234" spans="2:110" ht="10.5" customHeight="1" thickBot="1" x14ac:dyDescent="0.25">
      <c r="B234" s="355"/>
      <c r="C234" s="145"/>
      <c r="D234" s="145"/>
      <c r="E234" s="145"/>
      <c r="F234" s="145"/>
      <c r="G234" s="145"/>
      <c r="H234" s="145"/>
      <c r="I234" s="145"/>
      <c r="J234" s="145"/>
      <c r="K234" s="145"/>
      <c r="L234" s="145"/>
      <c r="M234" s="145"/>
      <c r="N234" s="145"/>
      <c r="O234" s="145"/>
      <c r="P234" s="145"/>
      <c r="Q234" s="145"/>
      <c r="R234" s="145"/>
      <c r="S234" s="346"/>
      <c r="T234" s="346"/>
      <c r="U234" s="346"/>
      <c r="V234" s="326"/>
      <c r="W234" s="326"/>
      <c r="X234" s="326"/>
      <c r="Y234" s="346"/>
      <c r="Z234" s="346"/>
      <c r="AA234" s="346"/>
      <c r="AB234" s="346"/>
      <c r="AC234" s="346"/>
      <c r="AD234" s="346"/>
      <c r="AE234" s="346"/>
      <c r="AF234" s="346"/>
      <c r="AG234" s="346"/>
      <c r="AH234" s="346"/>
      <c r="AI234" s="346"/>
      <c r="AJ234" s="346"/>
      <c r="AK234" s="346"/>
      <c r="AL234" s="346"/>
      <c r="AM234" s="346"/>
      <c r="AN234" s="346"/>
      <c r="AO234" s="346"/>
      <c r="AP234" s="346"/>
      <c r="AQ234" s="346"/>
      <c r="AR234" s="346"/>
      <c r="AS234" s="346"/>
      <c r="AT234" s="346"/>
      <c r="AU234" s="346"/>
      <c r="AV234" s="346"/>
      <c r="AW234" s="346"/>
      <c r="AX234" s="346"/>
      <c r="AY234" s="346"/>
      <c r="AZ234" s="346"/>
      <c r="BA234" s="346"/>
      <c r="BB234" s="346"/>
      <c r="BC234" s="346"/>
      <c r="BD234" s="346"/>
      <c r="BE234" s="346"/>
      <c r="BF234" s="346"/>
      <c r="BG234" s="346"/>
      <c r="BH234" s="346"/>
      <c r="BI234" s="346"/>
      <c r="BJ234" s="346"/>
      <c r="BK234" s="346"/>
      <c r="BL234" s="346"/>
      <c r="BM234" s="346"/>
      <c r="BN234" s="346"/>
      <c r="BO234" s="346"/>
      <c r="BP234" s="346"/>
      <c r="BQ234" s="346"/>
      <c r="BR234" s="346"/>
      <c r="BS234" s="346"/>
      <c r="BT234" s="346"/>
      <c r="BU234" s="346"/>
      <c r="BV234" s="346"/>
      <c r="BW234" s="346"/>
      <c r="BX234" s="346"/>
      <c r="BY234" s="346"/>
      <c r="BZ234" s="346"/>
      <c r="CA234" s="346"/>
      <c r="CB234" s="346"/>
      <c r="CC234" s="346"/>
      <c r="CD234" s="346"/>
      <c r="CE234" s="346"/>
      <c r="CF234" s="346"/>
      <c r="CG234" s="346"/>
      <c r="CH234" s="346"/>
      <c r="CI234" s="346"/>
      <c r="CJ234" s="346"/>
      <c r="CK234" s="346"/>
      <c r="CL234" s="346"/>
      <c r="CM234" s="346"/>
      <c r="CN234" s="346"/>
      <c r="CO234" s="346"/>
      <c r="CP234" s="346"/>
      <c r="CQ234" s="346"/>
      <c r="CR234" s="346"/>
      <c r="CS234" s="346"/>
      <c r="CT234" s="346"/>
      <c r="CU234" s="346"/>
      <c r="CV234" s="346"/>
      <c r="CW234" s="346"/>
      <c r="CX234" s="346"/>
      <c r="CY234" s="346"/>
      <c r="CZ234" s="346"/>
      <c r="DA234" s="346"/>
      <c r="DB234" s="346"/>
      <c r="DC234" s="346"/>
      <c r="DD234" s="346"/>
      <c r="DE234" s="346"/>
      <c r="DF234" s="346"/>
    </row>
    <row r="235" spans="2:110" s="326" customFormat="1" ht="12" thickBot="1" x14ac:dyDescent="0.25">
      <c r="B235" s="981" t="s">
        <v>677</v>
      </c>
      <c r="C235" s="989"/>
      <c r="D235" s="989"/>
      <c r="E235" s="989"/>
      <c r="F235" s="989"/>
      <c r="G235" s="989"/>
      <c r="H235" s="989"/>
      <c r="I235" s="989"/>
      <c r="J235" s="989"/>
      <c r="K235" s="989"/>
      <c r="L235" s="989"/>
      <c r="M235" s="989"/>
      <c r="N235" s="989"/>
      <c r="O235" s="989"/>
      <c r="P235" s="989"/>
      <c r="Q235" s="989"/>
      <c r="R235" s="989"/>
      <c r="S235" s="990"/>
      <c r="T235" s="990"/>
      <c r="U235" s="990"/>
      <c r="V235" s="991"/>
      <c r="W235" s="991"/>
      <c r="X235" s="991"/>
      <c r="Y235" s="990"/>
      <c r="Z235" s="990"/>
      <c r="AA235" s="990"/>
      <c r="AB235" s="990"/>
      <c r="AC235" s="990"/>
      <c r="AD235" s="990"/>
      <c r="AE235" s="990"/>
      <c r="AF235" s="990"/>
      <c r="AG235" s="990"/>
      <c r="AH235" s="990"/>
      <c r="AI235" s="990"/>
      <c r="AJ235" s="990"/>
      <c r="AK235" s="990"/>
      <c r="AL235" s="990"/>
      <c r="AM235" s="990"/>
      <c r="AN235" s="990"/>
      <c r="AO235" s="990"/>
      <c r="AP235" s="990"/>
      <c r="AQ235" s="990"/>
      <c r="AR235" s="990"/>
      <c r="AS235" s="990"/>
      <c r="AT235" s="990"/>
      <c r="AU235" s="990"/>
      <c r="AV235" s="990"/>
      <c r="AW235" s="990"/>
      <c r="AX235" s="990"/>
      <c r="AY235" s="990"/>
      <c r="AZ235" s="990"/>
      <c r="BA235" s="990"/>
      <c r="BB235" s="990"/>
      <c r="BC235" s="990"/>
      <c r="BD235" s="990"/>
      <c r="BE235" s="990"/>
      <c r="BF235" s="990"/>
      <c r="BG235" s="990"/>
      <c r="BH235" s="990"/>
      <c r="BI235" s="990"/>
      <c r="BJ235" s="990"/>
      <c r="BK235" s="990"/>
      <c r="BL235" s="990"/>
      <c r="BM235" s="990"/>
      <c r="BN235" s="990"/>
      <c r="BO235" s="990"/>
      <c r="BP235" s="990"/>
      <c r="BQ235" s="990"/>
      <c r="BR235" s="990"/>
      <c r="BS235" s="990"/>
      <c r="BT235" s="990"/>
      <c r="BU235" s="990"/>
      <c r="BV235" s="990"/>
      <c r="BW235" s="990"/>
      <c r="BX235" s="990"/>
      <c r="BY235" s="990"/>
      <c r="BZ235" s="990"/>
      <c r="CA235" s="990"/>
      <c r="CB235" s="992"/>
      <c r="CC235" s="990"/>
      <c r="CD235" s="990"/>
      <c r="CE235" s="990"/>
      <c r="CF235" s="990"/>
      <c r="CG235" s="992"/>
      <c r="CH235" s="990"/>
      <c r="CI235" s="990"/>
      <c r="CJ235" s="990"/>
      <c r="CK235" s="990"/>
      <c r="CL235" s="992"/>
      <c r="CM235" s="990"/>
      <c r="CN235" s="990"/>
      <c r="CO235" s="990"/>
      <c r="CP235" s="990"/>
      <c r="CQ235" s="992"/>
      <c r="CR235" s="990"/>
      <c r="CS235" s="990"/>
      <c r="CT235" s="990"/>
      <c r="CU235" s="990"/>
      <c r="CV235" s="992"/>
      <c r="CW235" s="990"/>
      <c r="CX235" s="990"/>
      <c r="CY235" s="990"/>
      <c r="CZ235" s="990"/>
      <c r="DA235" s="992"/>
      <c r="DB235" s="990"/>
      <c r="DC235" s="990"/>
      <c r="DD235" s="990"/>
      <c r="DE235" s="990"/>
      <c r="DF235" s="992"/>
    </row>
    <row r="236" spans="2:110" ht="10.5" customHeight="1" x14ac:dyDescent="0.2">
      <c r="B236" s="591" t="s">
        <v>203</v>
      </c>
      <c r="C236" s="561"/>
      <c r="D236" s="561"/>
      <c r="E236" s="561"/>
      <c r="F236" s="561"/>
      <c r="G236" s="561"/>
      <c r="H236" s="561"/>
      <c r="I236" s="561"/>
      <c r="J236" s="561"/>
      <c r="K236" s="561"/>
      <c r="L236" s="561"/>
      <c r="M236" s="561"/>
      <c r="N236" s="561"/>
      <c r="O236" s="561"/>
      <c r="P236" s="561"/>
      <c r="Q236" s="561"/>
      <c r="R236" s="561"/>
      <c r="S236" s="531"/>
      <c r="T236" s="531"/>
      <c r="U236" s="531"/>
      <c r="V236" s="577"/>
      <c r="W236" s="577"/>
      <c r="X236" s="577"/>
      <c r="Y236" s="532"/>
      <c r="Z236" s="531"/>
      <c r="AA236" s="531"/>
      <c r="AB236" s="531"/>
      <c r="AC236" s="531"/>
      <c r="AD236" s="532"/>
      <c r="AE236" s="531"/>
      <c r="AF236" s="531"/>
      <c r="AG236" s="531"/>
      <c r="AH236" s="531"/>
      <c r="AI236" s="532"/>
      <c r="AJ236" s="531"/>
      <c r="AK236" s="531"/>
      <c r="AL236" s="531"/>
      <c r="AM236" s="531"/>
      <c r="AN236" s="532"/>
      <c r="AO236" s="531"/>
      <c r="AP236" s="531"/>
      <c r="AQ236" s="531"/>
      <c r="AR236" s="531"/>
      <c r="AS236" s="532"/>
      <c r="AT236" s="531"/>
      <c r="AU236" s="588"/>
      <c r="AV236" s="54"/>
      <c r="AW236" s="54"/>
      <c r="AX236" s="532"/>
      <c r="AY236" s="54"/>
      <c r="AZ236" s="54"/>
      <c r="BA236" s="54"/>
      <c r="BB236" s="54"/>
      <c r="BC236" s="532"/>
      <c r="BD236" s="54"/>
      <c r="BE236" s="588"/>
      <c r="BF236" s="54"/>
      <c r="BG236" s="54"/>
      <c r="BH236" s="532"/>
      <c r="BI236" s="54"/>
      <c r="BJ236" s="54"/>
      <c r="BK236" s="54"/>
      <c r="BL236" s="54"/>
      <c r="BM236" s="532"/>
      <c r="BN236" s="54"/>
      <c r="BO236" s="54"/>
      <c r="BP236" s="54"/>
      <c r="BQ236" s="54"/>
      <c r="BR236" s="532"/>
      <c r="BS236" s="54"/>
      <c r="BT236" s="54"/>
      <c r="BU236" s="54"/>
      <c r="BV236" s="54"/>
      <c r="BW236" s="532"/>
      <c r="BX236" s="54"/>
      <c r="BY236" s="54"/>
      <c r="BZ236" s="54"/>
      <c r="CA236" s="54"/>
      <c r="CB236" s="562"/>
      <c r="CC236" s="54">
        <f>CA236</f>
        <v>0</v>
      </c>
      <c r="CD236" s="54">
        <f t="shared" ref="CD236:CD238" si="373">CC236</f>
        <v>0</v>
      </c>
      <c r="CE236" s="54">
        <f t="shared" ref="CE236:CE238" si="374">CD236</f>
        <v>0</v>
      </c>
      <c r="CF236" s="54">
        <f t="shared" ref="CF236:CF238" si="375">CE236</f>
        <v>0</v>
      </c>
      <c r="CG236" s="562"/>
      <c r="CH236" s="54">
        <f>CF236</f>
        <v>0</v>
      </c>
      <c r="CI236" s="54">
        <f t="shared" ref="CI236:CI238" si="376">CH236</f>
        <v>0</v>
      </c>
      <c r="CJ236" s="54">
        <f t="shared" ref="CJ236:CJ238" si="377">CI236</f>
        <v>0</v>
      </c>
      <c r="CK236" s="54">
        <f t="shared" ref="CK236:CK238" si="378">CJ236</f>
        <v>0</v>
      </c>
      <c r="CL236" s="562"/>
      <c r="CM236" s="54">
        <f>CK236</f>
        <v>0</v>
      </c>
      <c r="CN236" s="54">
        <f t="shared" ref="CN236:CN238" si="379">CM236</f>
        <v>0</v>
      </c>
      <c r="CO236" s="54">
        <f t="shared" ref="CO236:CO238" si="380">CN236</f>
        <v>0</v>
      </c>
      <c r="CP236" s="54">
        <f t="shared" ref="CP236:CP238" si="381">CO236</f>
        <v>0</v>
      </c>
      <c r="CQ236" s="562"/>
      <c r="CR236" s="54">
        <f>CP236</f>
        <v>0</v>
      </c>
      <c r="CS236" s="54">
        <f t="shared" ref="CS236:CS238" si="382">CR236</f>
        <v>0</v>
      </c>
      <c r="CT236" s="54">
        <f t="shared" ref="CT236:CT238" si="383">CS236</f>
        <v>0</v>
      </c>
      <c r="CU236" s="54">
        <f t="shared" ref="CU236:CU238" si="384">CT236</f>
        <v>0</v>
      </c>
      <c r="CV236" s="562"/>
      <c r="CW236" s="54">
        <f>CU236</f>
        <v>0</v>
      </c>
      <c r="CX236" s="54">
        <f t="shared" ref="CX236:CX238" si="385">CW236</f>
        <v>0</v>
      </c>
      <c r="CY236" s="54">
        <f t="shared" ref="CY236:CY238" si="386">CX236</f>
        <v>0</v>
      </c>
      <c r="CZ236" s="54">
        <f t="shared" ref="CZ236:CZ238" si="387">CY236</f>
        <v>0</v>
      </c>
      <c r="DA236" s="562"/>
      <c r="DB236" s="54">
        <f>CZ236</f>
        <v>0</v>
      </c>
      <c r="DC236" s="54">
        <f t="shared" ref="DC236:DC238" si="388">DB236</f>
        <v>0</v>
      </c>
      <c r="DD236" s="54">
        <f t="shared" ref="DD236:DD238" si="389">DC236</f>
        <v>0</v>
      </c>
      <c r="DE236" s="54">
        <f t="shared" ref="DE236:DE238" si="390">DD236</f>
        <v>0</v>
      </c>
      <c r="DF236" s="562"/>
    </row>
    <row r="237" spans="2:110" ht="10.5" customHeight="1" x14ac:dyDescent="0.2">
      <c r="B237" s="578" t="s">
        <v>204</v>
      </c>
      <c r="C237" s="145"/>
      <c r="D237" s="145"/>
      <c r="E237" s="145"/>
      <c r="F237" s="145"/>
      <c r="G237" s="145"/>
      <c r="H237" s="145"/>
      <c r="I237" s="145"/>
      <c r="J237" s="145"/>
      <c r="K237" s="145"/>
      <c r="L237" s="145"/>
      <c r="M237" s="145"/>
      <c r="N237" s="145"/>
      <c r="O237" s="145"/>
      <c r="P237" s="145"/>
      <c r="Q237" s="145"/>
      <c r="R237" s="145"/>
      <c r="S237" s="346"/>
      <c r="T237" s="346"/>
      <c r="U237" s="346"/>
      <c r="V237" s="326"/>
      <c r="W237" s="326"/>
      <c r="X237" s="326"/>
      <c r="Y237" s="340"/>
      <c r="Z237" s="346"/>
      <c r="AA237" s="346"/>
      <c r="AB237" s="346"/>
      <c r="AC237" s="346"/>
      <c r="AD237" s="340"/>
      <c r="AE237" s="346"/>
      <c r="AF237" s="346"/>
      <c r="AG237" s="346"/>
      <c r="AH237" s="346"/>
      <c r="AI237" s="340"/>
      <c r="AJ237" s="346"/>
      <c r="AK237" s="346"/>
      <c r="AL237" s="346"/>
      <c r="AM237" s="346"/>
      <c r="AN237" s="340"/>
      <c r="AO237" s="346"/>
      <c r="AP237" s="346"/>
      <c r="AQ237" s="346"/>
      <c r="AR237" s="346"/>
      <c r="AS237" s="340"/>
      <c r="AT237" s="346"/>
      <c r="AU237" s="267"/>
      <c r="AV237" s="146"/>
      <c r="AW237" s="146"/>
      <c r="AX237" s="340"/>
      <c r="AY237" s="146"/>
      <c r="AZ237" s="146"/>
      <c r="BA237" s="146"/>
      <c r="BB237" s="146"/>
      <c r="BC237" s="340"/>
      <c r="BD237" s="146"/>
      <c r="BE237" s="267"/>
      <c r="BF237" s="146"/>
      <c r="BG237" s="146"/>
      <c r="BH237" s="340"/>
      <c r="BI237" s="146"/>
      <c r="BJ237" s="146"/>
      <c r="BK237" s="146"/>
      <c r="BL237" s="146"/>
      <c r="BM237" s="340"/>
      <c r="BN237" s="146"/>
      <c r="BO237" s="146"/>
      <c r="BP237" s="146"/>
      <c r="BQ237" s="146"/>
      <c r="BR237" s="340"/>
      <c r="BS237" s="146"/>
      <c r="BT237" s="146"/>
      <c r="BU237" s="146"/>
      <c r="BV237" s="146"/>
      <c r="BW237" s="340"/>
      <c r="BX237" s="146"/>
      <c r="BY237" s="146"/>
      <c r="BZ237" s="146"/>
      <c r="CA237" s="146"/>
      <c r="CB237" s="563"/>
      <c r="CC237" s="146">
        <v>3.3000000000000002E-2</v>
      </c>
      <c r="CD237" s="146">
        <f t="shared" si="373"/>
        <v>3.3000000000000002E-2</v>
      </c>
      <c r="CE237" s="146">
        <f t="shared" si="374"/>
        <v>3.3000000000000002E-2</v>
      </c>
      <c r="CF237" s="146">
        <f t="shared" si="375"/>
        <v>3.3000000000000002E-2</v>
      </c>
      <c r="CG237" s="563"/>
      <c r="CH237" s="146">
        <f>CF237</f>
        <v>3.3000000000000002E-2</v>
      </c>
      <c r="CI237" s="146">
        <f t="shared" si="376"/>
        <v>3.3000000000000002E-2</v>
      </c>
      <c r="CJ237" s="146">
        <f t="shared" si="377"/>
        <v>3.3000000000000002E-2</v>
      </c>
      <c r="CK237" s="146">
        <f t="shared" si="378"/>
        <v>3.3000000000000002E-2</v>
      </c>
      <c r="CL237" s="563"/>
      <c r="CM237" s="146">
        <f>CK237</f>
        <v>3.3000000000000002E-2</v>
      </c>
      <c r="CN237" s="146">
        <f t="shared" si="379"/>
        <v>3.3000000000000002E-2</v>
      </c>
      <c r="CO237" s="146">
        <f t="shared" si="380"/>
        <v>3.3000000000000002E-2</v>
      </c>
      <c r="CP237" s="146">
        <f t="shared" si="381"/>
        <v>3.3000000000000002E-2</v>
      </c>
      <c r="CQ237" s="563"/>
      <c r="CR237" s="146">
        <f>CP237</f>
        <v>3.3000000000000002E-2</v>
      </c>
      <c r="CS237" s="146">
        <f t="shared" si="382"/>
        <v>3.3000000000000002E-2</v>
      </c>
      <c r="CT237" s="146">
        <f t="shared" si="383"/>
        <v>3.3000000000000002E-2</v>
      </c>
      <c r="CU237" s="146">
        <f t="shared" si="384"/>
        <v>3.3000000000000002E-2</v>
      </c>
      <c r="CV237" s="563"/>
      <c r="CW237" s="146">
        <f>CU237</f>
        <v>3.3000000000000002E-2</v>
      </c>
      <c r="CX237" s="146">
        <f t="shared" si="385"/>
        <v>3.3000000000000002E-2</v>
      </c>
      <c r="CY237" s="146">
        <f t="shared" si="386"/>
        <v>3.3000000000000002E-2</v>
      </c>
      <c r="CZ237" s="146">
        <f t="shared" si="387"/>
        <v>3.3000000000000002E-2</v>
      </c>
      <c r="DA237" s="563"/>
      <c r="DB237" s="146">
        <f>CZ237</f>
        <v>3.3000000000000002E-2</v>
      </c>
      <c r="DC237" s="146">
        <f t="shared" si="388"/>
        <v>3.3000000000000002E-2</v>
      </c>
      <c r="DD237" s="146">
        <f t="shared" si="389"/>
        <v>3.3000000000000002E-2</v>
      </c>
      <c r="DE237" s="146">
        <f t="shared" si="390"/>
        <v>3.3000000000000002E-2</v>
      </c>
      <c r="DF237" s="563"/>
    </row>
    <row r="238" spans="2:110" ht="10.5" customHeight="1" x14ac:dyDescent="0.2">
      <c r="B238" s="536" t="s">
        <v>197</v>
      </c>
      <c r="C238" s="145"/>
      <c r="D238" s="145"/>
      <c r="E238" s="145"/>
      <c r="F238" s="145"/>
      <c r="G238" s="145"/>
      <c r="H238" s="145"/>
      <c r="I238" s="145"/>
      <c r="J238" s="145"/>
      <c r="K238" s="145"/>
      <c r="L238" s="145"/>
      <c r="M238" s="145"/>
      <c r="N238" s="145"/>
      <c r="O238" s="145"/>
      <c r="P238" s="145"/>
      <c r="Q238" s="145"/>
      <c r="R238" s="145"/>
      <c r="S238" s="346"/>
      <c r="T238" s="346"/>
      <c r="U238" s="346"/>
      <c r="V238" s="326"/>
      <c r="W238" s="326"/>
      <c r="X238" s="326"/>
      <c r="Y238" s="340"/>
      <c r="Z238" s="346"/>
      <c r="AA238" s="346"/>
      <c r="AB238" s="346"/>
      <c r="AC238" s="346"/>
      <c r="AD238" s="340"/>
      <c r="AE238" s="346"/>
      <c r="AF238" s="346"/>
      <c r="AG238" s="346"/>
      <c r="AH238" s="346"/>
      <c r="AI238" s="340"/>
      <c r="AJ238" s="346"/>
      <c r="AK238" s="346"/>
      <c r="AL238" s="346"/>
      <c r="AM238" s="346"/>
      <c r="AN238" s="340"/>
      <c r="AO238" s="346"/>
      <c r="AP238" s="346"/>
      <c r="AQ238" s="346"/>
      <c r="AR238" s="346"/>
      <c r="AS238" s="340"/>
      <c r="AT238" s="346"/>
      <c r="AU238" s="623"/>
      <c r="AV238" s="625"/>
      <c r="AW238" s="625"/>
      <c r="AX238" s="340"/>
      <c r="AY238" s="346"/>
      <c r="AZ238" s="346"/>
      <c r="BA238" s="346"/>
      <c r="BB238" s="346"/>
      <c r="BC238" s="340"/>
      <c r="BD238" s="346"/>
      <c r="BE238" s="623"/>
      <c r="BF238" s="346"/>
      <c r="BG238" s="346"/>
      <c r="BH238" s="340"/>
      <c r="BI238" s="346"/>
      <c r="BJ238" s="346"/>
      <c r="BK238" s="346"/>
      <c r="BL238" s="346"/>
      <c r="BM238" s="340"/>
      <c r="BN238" s="346"/>
      <c r="BO238" s="346"/>
      <c r="BP238" s="346"/>
      <c r="BQ238" s="346"/>
      <c r="BR238" s="340"/>
      <c r="BS238" s="346"/>
      <c r="BT238" s="346"/>
      <c r="BU238" s="346"/>
      <c r="BV238" s="346"/>
      <c r="BW238" s="340"/>
      <c r="BX238" s="346"/>
      <c r="BY238" s="346"/>
      <c r="BZ238" s="346"/>
      <c r="CA238" s="346"/>
      <c r="CB238" s="563"/>
      <c r="CC238" s="346">
        <f>CA238</f>
        <v>0</v>
      </c>
      <c r="CD238" s="346">
        <f t="shared" si="373"/>
        <v>0</v>
      </c>
      <c r="CE238" s="346">
        <f t="shared" si="374"/>
        <v>0</v>
      </c>
      <c r="CF238" s="346">
        <f t="shared" si="375"/>
        <v>0</v>
      </c>
      <c r="CG238" s="563"/>
      <c r="CH238" s="346">
        <f>CF238</f>
        <v>0</v>
      </c>
      <c r="CI238" s="346">
        <f t="shared" si="376"/>
        <v>0</v>
      </c>
      <c r="CJ238" s="346">
        <f t="shared" si="377"/>
        <v>0</v>
      </c>
      <c r="CK238" s="346">
        <f t="shared" si="378"/>
        <v>0</v>
      </c>
      <c r="CL238" s="563"/>
      <c r="CM238" s="346">
        <f>CK238</f>
        <v>0</v>
      </c>
      <c r="CN238" s="346">
        <f t="shared" si="379"/>
        <v>0</v>
      </c>
      <c r="CO238" s="346">
        <f t="shared" si="380"/>
        <v>0</v>
      </c>
      <c r="CP238" s="346">
        <f t="shared" si="381"/>
        <v>0</v>
      </c>
      <c r="CQ238" s="563"/>
      <c r="CR238" s="346">
        <f>CP238</f>
        <v>0</v>
      </c>
      <c r="CS238" s="346">
        <f t="shared" si="382"/>
        <v>0</v>
      </c>
      <c r="CT238" s="346">
        <f t="shared" si="383"/>
        <v>0</v>
      </c>
      <c r="CU238" s="346">
        <f t="shared" si="384"/>
        <v>0</v>
      </c>
      <c r="CV238" s="563"/>
      <c r="CW238" s="346">
        <f>CU238</f>
        <v>0</v>
      </c>
      <c r="CX238" s="346">
        <f t="shared" si="385"/>
        <v>0</v>
      </c>
      <c r="CY238" s="346">
        <f t="shared" si="386"/>
        <v>0</v>
      </c>
      <c r="CZ238" s="346">
        <f t="shared" si="387"/>
        <v>0</v>
      </c>
      <c r="DA238" s="563"/>
      <c r="DB238" s="346">
        <f>CZ238</f>
        <v>0</v>
      </c>
      <c r="DC238" s="346">
        <f t="shared" si="388"/>
        <v>0</v>
      </c>
      <c r="DD238" s="346">
        <f t="shared" si="389"/>
        <v>0</v>
      </c>
      <c r="DE238" s="346">
        <f t="shared" si="390"/>
        <v>0</v>
      </c>
      <c r="DF238" s="563"/>
    </row>
    <row r="239" spans="2:110" ht="10.5" customHeight="1" x14ac:dyDescent="0.2">
      <c r="B239" s="544" t="s">
        <v>198</v>
      </c>
      <c r="C239" s="145"/>
      <c r="D239" s="145"/>
      <c r="E239" s="145"/>
      <c r="F239" s="145"/>
      <c r="G239" s="145"/>
      <c r="H239" s="145"/>
      <c r="I239" s="145"/>
      <c r="J239" s="145"/>
      <c r="K239" s="145"/>
      <c r="L239" s="145"/>
      <c r="M239" s="145"/>
      <c r="N239" s="145"/>
      <c r="O239" s="145"/>
      <c r="P239" s="145"/>
      <c r="Q239" s="145"/>
      <c r="R239" s="145"/>
      <c r="S239" s="346"/>
      <c r="T239" s="346"/>
      <c r="U239" s="346"/>
      <c r="V239" s="326"/>
      <c r="W239" s="326"/>
      <c r="X239" s="326"/>
      <c r="Y239" s="340"/>
      <c r="Z239" s="346"/>
      <c r="AA239" s="346"/>
      <c r="AB239" s="346"/>
      <c r="AC239" s="346"/>
      <c r="AD239" s="340"/>
      <c r="AE239" s="346"/>
      <c r="AF239" s="346"/>
      <c r="AG239" s="346"/>
      <c r="AH239" s="346"/>
      <c r="AI239" s="340"/>
      <c r="AJ239" s="346"/>
      <c r="AK239" s="346"/>
      <c r="AL239" s="346"/>
      <c r="AM239" s="346"/>
      <c r="AN239" s="340"/>
      <c r="AO239" s="346"/>
      <c r="AP239" s="346"/>
      <c r="AQ239" s="346"/>
      <c r="AR239" s="346"/>
      <c r="AS239" s="340"/>
      <c r="AT239" s="346"/>
      <c r="AU239" s="623"/>
      <c r="AV239" s="625"/>
      <c r="AW239" s="625"/>
      <c r="AX239" s="340"/>
      <c r="AY239" s="346"/>
      <c r="AZ239" s="346"/>
      <c r="BA239" s="346"/>
      <c r="BB239" s="346"/>
      <c r="BC239" s="340"/>
      <c r="BD239" s="346"/>
      <c r="BE239" s="346"/>
      <c r="BF239" s="346"/>
      <c r="BG239" s="346"/>
      <c r="BH239" s="340"/>
      <c r="BI239" s="346"/>
      <c r="BJ239" s="346"/>
      <c r="BK239" s="346"/>
      <c r="BL239" s="346"/>
      <c r="BM239" s="340"/>
      <c r="BN239" s="346"/>
      <c r="BO239" s="346"/>
      <c r="BP239" s="346"/>
      <c r="BQ239" s="346"/>
      <c r="BR239" s="340"/>
      <c r="BS239" s="346"/>
      <c r="BT239" s="346"/>
      <c r="BU239" s="346"/>
      <c r="BV239" s="346"/>
      <c r="BW239" s="340"/>
      <c r="BX239" s="346"/>
      <c r="BY239" s="346"/>
      <c r="BZ239" s="346"/>
      <c r="CA239" s="346"/>
      <c r="CB239" s="563"/>
      <c r="CC239" s="346">
        <f>CA241</f>
        <v>0</v>
      </c>
      <c r="CD239" s="346">
        <f>CC241</f>
        <v>500</v>
      </c>
      <c r="CE239" s="346">
        <f>CD241</f>
        <v>500</v>
      </c>
      <c r="CF239" s="346">
        <f>CE241</f>
        <v>495.6</v>
      </c>
      <c r="CG239" s="563"/>
      <c r="CH239" s="346">
        <f>CF241</f>
        <v>495.90000000000003</v>
      </c>
      <c r="CI239" s="346">
        <f>CH241</f>
        <v>495.90000000000003</v>
      </c>
      <c r="CJ239" s="346">
        <f>CI241</f>
        <v>495.90000000000003</v>
      </c>
      <c r="CK239" s="346">
        <f>CJ241</f>
        <v>495.90000000000003</v>
      </c>
      <c r="CL239" s="563"/>
      <c r="CM239" s="346">
        <f>CK241</f>
        <v>495.90000000000003</v>
      </c>
      <c r="CN239" s="346">
        <f>CM241</f>
        <v>495.90000000000003</v>
      </c>
      <c r="CO239" s="346">
        <f>CN241</f>
        <v>495.90000000000003</v>
      </c>
      <c r="CP239" s="346">
        <f>CO241</f>
        <v>495.90000000000003</v>
      </c>
      <c r="CQ239" s="563"/>
      <c r="CR239" s="346">
        <f>CP241</f>
        <v>495.90000000000003</v>
      </c>
      <c r="CS239" s="346">
        <f>CR241</f>
        <v>495.90000000000003</v>
      </c>
      <c r="CT239" s="346">
        <f>CS241</f>
        <v>495.90000000000003</v>
      </c>
      <c r="CU239" s="346">
        <f>CT241</f>
        <v>495.90000000000003</v>
      </c>
      <c r="CV239" s="563"/>
      <c r="CW239" s="346">
        <f>CU241</f>
        <v>495.90000000000003</v>
      </c>
      <c r="CX239" s="346">
        <f>CW241</f>
        <v>495.90000000000003</v>
      </c>
      <c r="CY239" s="346">
        <f>CX241</f>
        <v>495.90000000000003</v>
      </c>
      <c r="CZ239" s="346">
        <f>CY241</f>
        <v>495.90000000000003</v>
      </c>
      <c r="DA239" s="563"/>
      <c r="DB239" s="346">
        <f>CZ241</f>
        <v>495.90000000000003</v>
      </c>
      <c r="DC239" s="346">
        <f>DB241</f>
        <v>495.90000000000003</v>
      </c>
      <c r="DD239" s="346">
        <f>DC241</f>
        <v>495.90000000000003</v>
      </c>
      <c r="DE239" s="346">
        <f>DD241</f>
        <v>495.90000000000003</v>
      </c>
      <c r="DF239" s="563"/>
    </row>
    <row r="240" spans="2:110" ht="10.5" customHeight="1" x14ac:dyDescent="0.2">
      <c r="B240" s="589" t="s">
        <v>199</v>
      </c>
      <c r="C240" s="359"/>
      <c r="D240" s="359"/>
      <c r="E240" s="359"/>
      <c r="F240" s="359"/>
      <c r="G240" s="359"/>
      <c r="H240" s="359"/>
      <c r="I240" s="359"/>
      <c r="J240" s="359"/>
      <c r="K240" s="359"/>
      <c r="L240" s="359"/>
      <c r="M240" s="359"/>
      <c r="N240" s="359"/>
      <c r="O240" s="359"/>
      <c r="P240" s="359"/>
      <c r="Q240" s="359"/>
      <c r="R240" s="359"/>
      <c r="S240" s="347"/>
      <c r="T240" s="347"/>
      <c r="U240" s="347"/>
      <c r="V240" s="377"/>
      <c r="W240" s="377"/>
      <c r="X240" s="377"/>
      <c r="Y240" s="343"/>
      <c r="Z240" s="347"/>
      <c r="AA240" s="347"/>
      <c r="AB240" s="347"/>
      <c r="AC240" s="347"/>
      <c r="AD240" s="343"/>
      <c r="AE240" s="347"/>
      <c r="AF240" s="347"/>
      <c r="AG240" s="347"/>
      <c r="AH240" s="347"/>
      <c r="AI240" s="343"/>
      <c r="AJ240" s="347"/>
      <c r="AK240" s="347"/>
      <c r="AL240" s="347"/>
      <c r="AM240" s="347"/>
      <c r="AN240" s="343"/>
      <c r="AO240" s="347"/>
      <c r="AP240" s="347"/>
      <c r="AQ240" s="347"/>
      <c r="AR240" s="347"/>
      <c r="AS240" s="343"/>
      <c r="AT240" s="347"/>
      <c r="AU240" s="629"/>
      <c r="AV240" s="642"/>
      <c r="AW240" s="629"/>
      <c r="AX240" s="343"/>
      <c r="AY240" s="347"/>
      <c r="AZ240" s="347"/>
      <c r="BA240" s="347"/>
      <c r="BB240" s="347"/>
      <c r="BC240" s="343"/>
      <c r="BD240" s="347"/>
      <c r="BE240" s="629"/>
      <c r="BF240" s="347"/>
      <c r="BG240" s="347"/>
      <c r="BH240" s="343"/>
      <c r="BI240" s="347"/>
      <c r="BJ240" s="347"/>
      <c r="BK240" s="347"/>
      <c r="BL240" s="347"/>
      <c r="BM240" s="343"/>
      <c r="BN240" s="348"/>
      <c r="BO240" s="348"/>
      <c r="BP240" s="348"/>
      <c r="BQ240" s="347"/>
      <c r="BR240" s="343"/>
      <c r="BS240" s="347"/>
      <c r="BT240" s="347"/>
      <c r="BU240" s="347"/>
      <c r="BV240" s="347"/>
      <c r="BW240" s="343"/>
      <c r="BX240" s="347"/>
      <c r="BY240" s="347"/>
      <c r="BZ240" s="347"/>
      <c r="CA240" s="347"/>
      <c r="CB240" s="585"/>
      <c r="CC240" s="347">
        <v>500</v>
      </c>
      <c r="CD240" s="347">
        <v>0</v>
      </c>
      <c r="CE240" s="347">
        <v>-4.4000000000000004</v>
      </c>
      <c r="CF240" s="347">
        <v>0.3</v>
      </c>
      <c r="CG240" s="585"/>
      <c r="CH240" s="347">
        <v>0</v>
      </c>
      <c r="CI240" s="347">
        <f>CH240</f>
        <v>0</v>
      </c>
      <c r="CJ240" s="347">
        <f>CI240</f>
        <v>0</v>
      </c>
      <c r="CK240" s="347">
        <f>CJ240</f>
        <v>0</v>
      </c>
      <c r="CL240" s="585"/>
      <c r="CM240" s="347">
        <f>CK240</f>
        <v>0</v>
      </c>
      <c r="CN240" s="347">
        <f>CM240</f>
        <v>0</v>
      </c>
      <c r="CO240" s="347">
        <f>CN240</f>
        <v>0</v>
      </c>
      <c r="CP240" s="347">
        <f>CO240</f>
        <v>0</v>
      </c>
      <c r="CQ240" s="585"/>
      <c r="CR240" s="347">
        <f>CP240</f>
        <v>0</v>
      </c>
      <c r="CS240" s="347">
        <f>CR240</f>
        <v>0</v>
      </c>
      <c r="CT240" s="347">
        <f>CS240</f>
        <v>0</v>
      </c>
      <c r="CU240" s="347">
        <f>CT240</f>
        <v>0</v>
      </c>
      <c r="CV240" s="585"/>
      <c r="CW240" s="347">
        <f>CU240</f>
        <v>0</v>
      </c>
      <c r="CX240" s="347">
        <f>CW240</f>
        <v>0</v>
      </c>
      <c r="CY240" s="347">
        <f>CX240</f>
        <v>0</v>
      </c>
      <c r="CZ240" s="347">
        <f>CY240</f>
        <v>0</v>
      </c>
      <c r="DA240" s="585"/>
      <c r="DB240" s="347">
        <f>CZ240</f>
        <v>0</v>
      </c>
      <c r="DC240" s="347">
        <f>DB240</f>
        <v>0</v>
      </c>
      <c r="DD240" s="347">
        <f>DC240</f>
        <v>0</v>
      </c>
      <c r="DE240" s="347">
        <f>DD240</f>
        <v>0</v>
      </c>
      <c r="DF240" s="585"/>
    </row>
    <row r="241" spans="2:110" ht="10.5" customHeight="1" x14ac:dyDescent="0.2">
      <c r="B241" s="544" t="s">
        <v>200</v>
      </c>
      <c r="C241" s="145"/>
      <c r="D241" s="145"/>
      <c r="E241" s="145"/>
      <c r="F241" s="145"/>
      <c r="G241" s="145"/>
      <c r="H241" s="145"/>
      <c r="I241" s="145"/>
      <c r="J241" s="145"/>
      <c r="K241" s="145"/>
      <c r="L241" s="145"/>
      <c r="M241" s="145"/>
      <c r="N241" s="145"/>
      <c r="O241" s="145"/>
      <c r="P241" s="145"/>
      <c r="Q241" s="145"/>
      <c r="R241" s="145"/>
      <c r="S241" s="346"/>
      <c r="T241" s="346"/>
      <c r="U241" s="346"/>
      <c r="V241" s="326"/>
      <c r="W241" s="326"/>
      <c r="X241" s="326"/>
      <c r="Y241" s="340"/>
      <c r="Z241" s="346"/>
      <c r="AA241" s="346"/>
      <c r="AB241" s="346"/>
      <c r="AC241" s="346"/>
      <c r="AD241" s="340"/>
      <c r="AE241" s="346"/>
      <c r="AF241" s="346"/>
      <c r="AG241" s="346"/>
      <c r="AH241" s="346"/>
      <c r="AI241" s="340"/>
      <c r="AJ241" s="346"/>
      <c r="AK241" s="346"/>
      <c r="AL241" s="346"/>
      <c r="AM241" s="346"/>
      <c r="AN241" s="340"/>
      <c r="AO241" s="346"/>
      <c r="AP241" s="346"/>
      <c r="AQ241" s="346"/>
      <c r="AR241" s="346"/>
      <c r="AS241" s="340"/>
      <c r="AT241" s="346"/>
      <c r="AU241" s="625"/>
      <c r="AV241" s="625"/>
      <c r="AW241" s="625"/>
      <c r="AX241" s="340"/>
      <c r="AY241" s="346"/>
      <c r="AZ241" s="346"/>
      <c r="BA241" s="346"/>
      <c r="BB241" s="346"/>
      <c r="BC241" s="340"/>
      <c r="BD241" s="346"/>
      <c r="BE241" s="625"/>
      <c r="BF241" s="346"/>
      <c r="BG241" s="346"/>
      <c r="BH241" s="340"/>
      <c r="BI241" s="346"/>
      <c r="BJ241" s="346"/>
      <c r="BK241" s="346"/>
      <c r="BL241" s="346"/>
      <c r="BM241" s="340"/>
      <c r="BN241" s="346"/>
      <c r="BO241" s="346"/>
      <c r="BP241" s="346"/>
      <c r="BQ241" s="346"/>
      <c r="BR241" s="340"/>
      <c r="BS241" s="354"/>
      <c r="BT241" s="354"/>
      <c r="BU241" s="354"/>
      <c r="BV241" s="346"/>
      <c r="BW241" s="340"/>
      <c r="BX241" s="346"/>
      <c r="BY241" s="346"/>
      <c r="BZ241" s="346"/>
      <c r="CA241" s="346"/>
      <c r="CB241" s="563"/>
      <c r="CC241" s="346">
        <f>CC239+CC240</f>
        <v>500</v>
      </c>
      <c r="CD241" s="346">
        <f>CD239+CD240</f>
        <v>500</v>
      </c>
      <c r="CE241" s="346">
        <f>CE239+CE240</f>
        <v>495.6</v>
      </c>
      <c r="CF241" s="346">
        <f>CF239+CF240</f>
        <v>495.90000000000003</v>
      </c>
      <c r="CG241" s="563"/>
      <c r="CH241" s="346">
        <f>CH239+CH240</f>
        <v>495.90000000000003</v>
      </c>
      <c r="CI241" s="346">
        <f>CI239+CI240</f>
        <v>495.90000000000003</v>
      </c>
      <c r="CJ241" s="346">
        <f>CJ239+CJ240</f>
        <v>495.90000000000003</v>
      </c>
      <c r="CK241" s="346">
        <f>CK239+CK240</f>
        <v>495.90000000000003</v>
      </c>
      <c r="CL241" s="563"/>
      <c r="CM241" s="346">
        <f>CM239+CM240</f>
        <v>495.90000000000003</v>
      </c>
      <c r="CN241" s="346">
        <f>CN239+CN240</f>
        <v>495.90000000000003</v>
      </c>
      <c r="CO241" s="346">
        <f>CO239+CO240</f>
        <v>495.90000000000003</v>
      </c>
      <c r="CP241" s="346">
        <f>CP239+CP240</f>
        <v>495.90000000000003</v>
      </c>
      <c r="CQ241" s="563"/>
      <c r="CR241" s="346">
        <f>CR239+CR240</f>
        <v>495.90000000000003</v>
      </c>
      <c r="CS241" s="346">
        <f>CS239+CS240</f>
        <v>495.90000000000003</v>
      </c>
      <c r="CT241" s="346">
        <f>CT239+CT240</f>
        <v>495.90000000000003</v>
      </c>
      <c r="CU241" s="346">
        <f>CU239+CU240</f>
        <v>495.90000000000003</v>
      </c>
      <c r="CV241" s="563"/>
      <c r="CW241" s="346">
        <f>CW239+CW240</f>
        <v>495.90000000000003</v>
      </c>
      <c r="CX241" s="346">
        <f>CX239+CX240</f>
        <v>495.90000000000003</v>
      </c>
      <c r="CY241" s="346">
        <f>CY239+CY240</f>
        <v>495.90000000000003</v>
      </c>
      <c r="CZ241" s="346">
        <f>CZ239+CZ240</f>
        <v>495.90000000000003</v>
      </c>
      <c r="DA241" s="563"/>
      <c r="DB241" s="346">
        <f>DB239+DB240</f>
        <v>495.90000000000003</v>
      </c>
      <c r="DC241" s="346">
        <f>DC239+DC240</f>
        <v>495.90000000000003</v>
      </c>
      <c r="DD241" s="346">
        <f>DD239+DD240</f>
        <v>495.90000000000003</v>
      </c>
      <c r="DE241" s="346">
        <f>DE239+DE240</f>
        <v>495.90000000000003</v>
      </c>
      <c r="DF241" s="563"/>
    </row>
    <row r="242" spans="2:110" ht="10.5" customHeight="1" x14ac:dyDescent="0.2">
      <c r="B242" s="536" t="s">
        <v>201</v>
      </c>
      <c r="C242" s="145"/>
      <c r="D242" s="145"/>
      <c r="E242" s="145"/>
      <c r="F242" s="145"/>
      <c r="G242" s="145"/>
      <c r="H242" s="145"/>
      <c r="I242" s="145"/>
      <c r="J242" s="145"/>
      <c r="K242" s="145"/>
      <c r="L242" s="145"/>
      <c r="M242" s="145"/>
      <c r="N242" s="145"/>
      <c r="O242" s="145"/>
      <c r="P242" s="145"/>
      <c r="Q242" s="145"/>
      <c r="R242" s="145"/>
      <c r="S242" s="346"/>
      <c r="T242" s="346"/>
      <c r="U242" s="346"/>
      <c r="V242" s="326"/>
      <c r="W242" s="326"/>
      <c r="X242" s="326"/>
      <c r="Y242" s="340"/>
      <c r="Z242" s="346"/>
      <c r="AA242" s="346"/>
      <c r="AB242" s="346"/>
      <c r="AC242" s="346"/>
      <c r="AD242" s="340"/>
      <c r="AE242" s="346"/>
      <c r="AF242" s="346"/>
      <c r="AG242" s="346"/>
      <c r="AH242" s="346"/>
      <c r="AI242" s="340"/>
      <c r="AJ242" s="346"/>
      <c r="AK242" s="346"/>
      <c r="AL242" s="346"/>
      <c r="AM242" s="346"/>
      <c r="AN242" s="340"/>
      <c r="AO242" s="346"/>
      <c r="AP242" s="346"/>
      <c r="AQ242" s="346"/>
      <c r="AR242" s="346"/>
      <c r="AS242" s="340"/>
      <c r="AT242" s="346"/>
      <c r="AU242" s="625"/>
      <c r="AV242" s="625"/>
      <c r="AW242" s="625"/>
      <c r="AX242" s="340"/>
      <c r="AY242" s="346"/>
      <c r="AZ242" s="346"/>
      <c r="BA242" s="346"/>
      <c r="BB242" s="346"/>
      <c r="BC242" s="340"/>
      <c r="BD242" s="346"/>
      <c r="BE242" s="625"/>
      <c r="BF242" s="346"/>
      <c r="BG242" s="346"/>
      <c r="BH242" s="340"/>
      <c r="BI242" s="346"/>
      <c r="BJ242" s="346"/>
      <c r="BK242" s="346"/>
      <c r="BL242" s="346"/>
      <c r="BM242" s="340"/>
      <c r="BN242" s="346"/>
      <c r="BO242" s="346"/>
      <c r="BP242" s="346"/>
      <c r="BQ242" s="346"/>
      <c r="BR242" s="340"/>
      <c r="BS242" s="346"/>
      <c r="BT242" s="346"/>
      <c r="BU242" s="346"/>
      <c r="BV242" s="346"/>
      <c r="BW242" s="340"/>
      <c r="BX242" s="346"/>
      <c r="BY242" s="346"/>
      <c r="BZ242" s="346"/>
      <c r="CA242" s="346"/>
      <c r="CB242" s="563"/>
      <c r="CC242" s="346">
        <f>CC238-CC241</f>
        <v>-500</v>
      </c>
      <c r="CD242" s="346">
        <f>CD238-CD241</f>
        <v>-500</v>
      </c>
      <c r="CE242" s="346">
        <f>CE238-CE241</f>
        <v>-495.6</v>
      </c>
      <c r="CF242" s="346">
        <f>CF238-CF241</f>
        <v>-495.90000000000003</v>
      </c>
      <c r="CG242" s="563"/>
      <c r="CH242" s="346">
        <f>CH238-CH241</f>
        <v>-495.90000000000003</v>
      </c>
      <c r="CI242" s="346">
        <f>CI238-CI241</f>
        <v>-495.90000000000003</v>
      </c>
      <c r="CJ242" s="346">
        <f>CJ238-CJ241</f>
        <v>-495.90000000000003</v>
      </c>
      <c r="CK242" s="346">
        <f>CK238-CK241</f>
        <v>-495.90000000000003</v>
      </c>
      <c r="CL242" s="563"/>
      <c r="CM242" s="346">
        <f>CM238-CM241</f>
        <v>-495.90000000000003</v>
      </c>
      <c r="CN242" s="346">
        <f>CN238-CN241</f>
        <v>-495.90000000000003</v>
      </c>
      <c r="CO242" s="346">
        <f>CO238-CO241</f>
        <v>-495.90000000000003</v>
      </c>
      <c r="CP242" s="346">
        <f>CP238-CP241</f>
        <v>-495.90000000000003</v>
      </c>
      <c r="CQ242" s="563"/>
      <c r="CR242" s="346">
        <f>CR238-CR241</f>
        <v>-495.90000000000003</v>
      </c>
      <c r="CS242" s="346">
        <f>CS238-CS241</f>
        <v>-495.90000000000003</v>
      </c>
      <c r="CT242" s="346">
        <f>CT238-CT241</f>
        <v>-495.90000000000003</v>
      </c>
      <c r="CU242" s="346">
        <f>CU238-CU241</f>
        <v>-495.90000000000003</v>
      </c>
      <c r="CV242" s="563"/>
      <c r="CW242" s="346">
        <f>CW238-CW241</f>
        <v>-495.90000000000003</v>
      </c>
      <c r="CX242" s="346">
        <f>CX238-CX241</f>
        <v>-495.90000000000003</v>
      </c>
      <c r="CY242" s="346">
        <f>CY238-CY241</f>
        <v>-495.90000000000003</v>
      </c>
      <c r="CZ242" s="346">
        <f>CZ238-CZ241</f>
        <v>-495.90000000000003</v>
      </c>
      <c r="DA242" s="563"/>
      <c r="DB242" s="346">
        <f>DB238-DB241</f>
        <v>-495.90000000000003</v>
      </c>
      <c r="DC242" s="346">
        <f>DC238-DC241</f>
        <v>-495.90000000000003</v>
      </c>
      <c r="DD242" s="346">
        <f>DD238-DD241</f>
        <v>-495.90000000000003</v>
      </c>
      <c r="DE242" s="346">
        <f>DE238-DE241</f>
        <v>-495.90000000000003</v>
      </c>
      <c r="DF242" s="563"/>
    </row>
    <row r="243" spans="2:110" ht="10.5" customHeight="1" x14ac:dyDescent="0.2">
      <c r="B243" s="544" t="s">
        <v>206</v>
      </c>
      <c r="C243" s="145"/>
      <c r="D243" s="145"/>
      <c r="E243" s="145"/>
      <c r="F243" s="145"/>
      <c r="G243" s="145"/>
      <c r="H243" s="145"/>
      <c r="I243" s="145"/>
      <c r="J243" s="145"/>
      <c r="K243" s="145"/>
      <c r="L243" s="145"/>
      <c r="M243" s="145"/>
      <c r="N243" s="145"/>
      <c r="O243" s="145"/>
      <c r="P243" s="145"/>
      <c r="Q243" s="145"/>
      <c r="R243" s="145"/>
      <c r="S243" s="346"/>
      <c r="T243" s="346"/>
      <c r="U243" s="346"/>
      <c r="V243" s="326"/>
      <c r="W243" s="326"/>
      <c r="X243" s="326"/>
      <c r="Y243" s="340"/>
      <c r="Z243" s="346"/>
      <c r="AA243" s="346"/>
      <c r="AB243" s="346"/>
      <c r="AC243" s="346"/>
      <c r="AD243" s="340"/>
      <c r="AE243" s="346"/>
      <c r="AF243" s="346"/>
      <c r="AG243" s="346"/>
      <c r="AH243" s="346"/>
      <c r="AI243" s="340"/>
      <c r="AJ243" s="346"/>
      <c r="AK243" s="346"/>
      <c r="AL243" s="346"/>
      <c r="AM243" s="346"/>
      <c r="AN243" s="340"/>
      <c r="AO243" s="346"/>
      <c r="AP243" s="346"/>
      <c r="AQ243" s="346"/>
      <c r="AR243" s="346"/>
      <c r="AS243" s="340"/>
      <c r="AT243" s="346"/>
      <c r="AU243" s="625"/>
      <c r="AV243" s="625"/>
      <c r="AW243" s="625"/>
      <c r="AX243" s="340"/>
      <c r="AY243" s="346"/>
      <c r="AZ243" s="346"/>
      <c r="BA243" s="346"/>
      <c r="BB243" s="346"/>
      <c r="BC243" s="340"/>
      <c r="BD243" s="346"/>
      <c r="BE243" s="625"/>
      <c r="BF243" s="346"/>
      <c r="BG243" s="346"/>
      <c r="BH243" s="340"/>
      <c r="BI243" s="346"/>
      <c r="BJ243" s="346"/>
      <c r="BK243" s="346"/>
      <c r="BL243" s="346"/>
      <c r="BM243" s="340"/>
      <c r="BN243" s="346"/>
      <c r="BO243" s="346"/>
      <c r="BP243" s="346"/>
      <c r="BQ243" s="346"/>
      <c r="BR243" s="340"/>
      <c r="BS243" s="346"/>
      <c r="BT243" s="346"/>
      <c r="BU243" s="346"/>
      <c r="BV243" s="346"/>
      <c r="BW243" s="340"/>
      <c r="BX243" s="346"/>
      <c r="BY243" s="346"/>
      <c r="BZ243" s="346"/>
      <c r="CA243" s="346"/>
      <c r="CB243" s="563"/>
      <c r="CC243" s="346">
        <f>-(AVERAGE(CC241,CC239))*(CC237/4)</f>
        <v>-2.0625</v>
      </c>
      <c r="CD243" s="346">
        <f>-(AVERAGE(CD241,CD239))*(CD237/4)</f>
        <v>-4.125</v>
      </c>
      <c r="CE243" s="346">
        <f>-(AVERAGE(CE241,CE239))*(CE237/4)</f>
        <v>-4.1068500000000006</v>
      </c>
      <c r="CF243" s="346">
        <f>-(AVERAGE(CF241,CF239))*(CF237/4)</f>
        <v>-4.0899375000000004</v>
      </c>
      <c r="CG243" s="563"/>
      <c r="CH243" s="346">
        <f>-(AVERAGE(CH241,CH239))*(CH237/4)</f>
        <v>-4.0911750000000007</v>
      </c>
      <c r="CI243" s="346">
        <f>-(AVERAGE(CI241,CI239))*(CI237/4)</f>
        <v>-4.0911750000000007</v>
      </c>
      <c r="CJ243" s="346">
        <f>-(AVERAGE(CJ241,CJ239))*(CJ237/4)</f>
        <v>-4.0911750000000007</v>
      </c>
      <c r="CK243" s="346">
        <f>-(AVERAGE(CK241,CK239))*(CK237/4)</f>
        <v>-4.0911750000000007</v>
      </c>
      <c r="CL243" s="563"/>
      <c r="CM243" s="346">
        <f>-(AVERAGE(CM241,CM239))*(CM237/4)</f>
        <v>-4.0911750000000007</v>
      </c>
      <c r="CN243" s="346">
        <f>-(AVERAGE(CN241,CN239))*(CN237/4)</f>
        <v>-4.0911750000000007</v>
      </c>
      <c r="CO243" s="346">
        <f>-(AVERAGE(CO241,CO239))*(CO237/4)</f>
        <v>-4.0911750000000007</v>
      </c>
      <c r="CP243" s="346">
        <f>-(AVERAGE(CP241,CP239))*(CP237/4)</f>
        <v>-4.0911750000000007</v>
      </c>
      <c r="CQ243" s="563"/>
      <c r="CR243" s="346">
        <f>-(AVERAGE(CR241,CR239))*(CR237/4)</f>
        <v>-4.0911750000000007</v>
      </c>
      <c r="CS243" s="346">
        <f>-(AVERAGE(CS241,CS239))*(CS237/4)</f>
        <v>-4.0911750000000007</v>
      </c>
      <c r="CT243" s="346">
        <f>-(AVERAGE(CT241,CT239))*(CT237/4)</f>
        <v>-4.0911750000000007</v>
      </c>
      <c r="CU243" s="346">
        <f>-(AVERAGE(CU241,CU239))*(CU237/4)</f>
        <v>-4.0911750000000007</v>
      </c>
      <c r="CV243" s="563"/>
      <c r="CW243" s="346">
        <f>-(AVERAGE(CW241,CW239))*(CW237/4)</f>
        <v>-4.0911750000000007</v>
      </c>
      <c r="CX243" s="346">
        <f>-(AVERAGE(CX241,CX239))*(CX237/4)</f>
        <v>-4.0911750000000007</v>
      </c>
      <c r="CY243" s="346">
        <f>-(AVERAGE(CY241,CY239))*(CY237/4)</f>
        <v>-4.0911750000000007</v>
      </c>
      <c r="CZ243" s="346">
        <f>-(AVERAGE(CZ241,CZ239))*(CZ237/4)</f>
        <v>-4.0911750000000007</v>
      </c>
      <c r="DA243" s="563"/>
      <c r="DB243" s="346">
        <f>-(AVERAGE(DB241,DB239))*(DB237/4)</f>
        <v>-4.0911750000000007</v>
      </c>
      <c r="DC243" s="346">
        <f>-(AVERAGE(DC241,DC239))*(DC237/4)</f>
        <v>-4.0911750000000007</v>
      </c>
      <c r="DD243" s="346">
        <f>-(AVERAGE(DD241,DD239))*(DD237/4)</f>
        <v>-4.0911750000000007</v>
      </c>
      <c r="DE243" s="346">
        <f>-(AVERAGE(DE241,DE239))*(DE237/4)</f>
        <v>-4.0911750000000007</v>
      </c>
      <c r="DF243" s="563"/>
    </row>
    <row r="244" spans="2:110" ht="10.5" customHeight="1" thickBot="1" x14ac:dyDescent="0.25">
      <c r="B244" s="548" t="s">
        <v>207</v>
      </c>
      <c r="C244" s="205"/>
      <c r="D244" s="205"/>
      <c r="E244" s="205"/>
      <c r="F244" s="205"/>
      <c r="G244" s="205"/>
      <c r="H244" s="205"/>
      <c r="I244" s="205"/>
      <c r="J244" s="205"/>
      <c r="K244" s="205"/>
      <c r="L244" s="205"/>
      <c r="M244" s="205"/>
      <c r="N244" s="205"/>
      <c r="O244" s="205"/>
      <c r="P244" s="205"/>
      <c r="Q244" s="205"/>
      <c r="R244" s="205"/>
      <c r="S244" s="549"/>
      <c r="T244" s="549"/>
      <c r="U244" s="549"/>
      <c r="V244" s="327"/>
      <c r="W244" s="327"/>
      <c r="X244" s="327"/>
      <c r="Y244" s="550"/>
      <c r="Z244" s="549"/>
      <c r="AA244" s="549"/>
      <c r="AB244" s="549"/>
      <c r="AC244" s="549"/>
      <c r="AD244" s="550"/>
      <c r="AE244" s="549"/>
      <c r="AF244" s="549"/>
      <c r="AG244" s="549"/>
      <c r="AH244" s="549"/>
      <c r="AI244" s="550"/>
      <c r="AJ244" s="549"/>
      <c r="AK244" s="549"/>
      <c r="AL244" s="549"/>
      <c r="AM244" s="549"/>
      <c r="AN244" s="550"/>
      <c r="AO244" s="549"/>
      <c r="AP244" s="549"/>
      <c r="AQ244" s="549"/>
      <c r="AR244" s="549"/>
      <c r="AS244" s="550"/>
      <c r="AT244" s="549"/>
      <c r="AU244" s="549"/>
      <c r="AV244" s="549"/>
      <c r="AW244" s="549"/>
      <c r="AX244" s="550"/>
      <c r="AY244" s="549"/>
      <c r="AZ244" s="549"/>
      <c r="BA244" s="549"/>
      <c r="BB244" s="549"/>
      <c r="BC244" s="550"/>
      <c r="BD244" s="549"/>
      <c r="BE244" s="549"/>
      <c r="BF244" s="549"/>
      <c r="BG244" s="549"/>
      <c r="BH244" s="550"/>
      <c r="BI244" s="549"/>
      <c r="BJ244" s="549"/>
      <c r="BK244" s="549"/>
      <c r="BL244" s="549"/>
      <c r="BM244" s="550"/>
      <c r="BN244" s="549"/>
      <c r="BO244" s="549"/>
      <c r="BP244" s="549"/>
      <c r="BQ244" s="549"/>
      <c r="BR244" s="550"/>
      <c r="BS244" s="549"/>
      <c r="BT244" s="549"/>
      <c r="BU244" s="549"/>
      <c r="BV244" s="549"/>
      <c r="BW244" s="550"/>
      <c r="BX244" s="549"/>
      <c r="BY244" s="549"/>
      <c r="BZ244" s="549"/>
      <c r="CA244" s="549"/>
      <c r="CB244" s="565"/>
      <c r="CC244" s="549">
        <f>-CC236*CC242/4</f>
        <v>0</v>
      </c>
      <c r="CD244" s="549">
        <f>-CD236*CD242/4</f>
        <v>0</v>
      </c>
      <c r="CE244" s="549">
        <f>-CE236*CE242/4</f>
        <v>0</v>
      </c>
      <c r="CF244" s="549">
        <f>-CF236*CF242/4</f>
        <v>0</v>
      </c>
      <c r="CG244" s="565"/>
      <c r="CH244" s="549">
        <f>-CH236*CH242/4</f>
        <v>0</v>
      </c>
      <c r="CI244" s="549">
        <f>-CI236*CI242/4</f>
        <v>0</v>
      </c>
      <c r="CJ244" s="549">
        <f>-CJ236*CJ242/4</f>
        <v>0</v>
      </c>
      <c r="CK244" s="549">
        <f>-CK236*CK242/4</f>
        <v>0</v>
      </c>
      <c r="CL244" s="565"/>
      <c r="CM244" s="549">
        <f>-CM236*CM242/4</f>
        <v>0</v>
      </c>
      <c r="CN244" s="549">
        <f>-CN236*CN242/4</f>
        <v>0</v>
      </c>
      <c r="CO244" s="549">
        <f>-CO236*CO242/4</f>
        <v>0</v>
      </c>
      <c r="CP244" s="549">
        <f>-CP236*CP242/4</f>
        <v>0</v>
      </c>
      <c r="CQ244" s="565"/>
      <c r="CR244" s="549">
        <f>-CR236*CR242/4</f>
        <v>0</v>
      </c>
      <c r="CS244" s="549">
        <f>-CS236*CS242/4</f>
        <v>0</v>
      </c>
      <c r="CT244" s="549">
        <f>-CT236*CT242/4</f>
        <v>0</v>
      </c>
      <c r="CU244" s="549">
        <f>-CU236*CU242/4</f>
        <v>0</v>
      </c>
      <c r="CV244" s="565"/>
      <c r="CW244" s="549">
        <f>-CW236*CW242/4</f>
        <v>0</v>
      </c>
      <c r="CX244" s="549">
        <f>-CX236*CX242/4</f>
        <v>0</v>
      </c>
      <c r="CY244" s="549">
        <f>-CY236*CY242/4</f>
        <v>0</v>
      </c>
      <c r="CZ244" s="549">
        <f>-CZ236*CZ242/4</f>
        <v>0</v>
      </c>
      <c r="DA244" s="565"/>
      <c r="DB244" s="549">
        <f>-DB236*DB242/4</f>
        <v>0</v>
      </c>
      <c r="DC244" s="549">
        <f>-DC236*DC242/4</f>
        <v>0</v>
      </c>
      <c r="DD244" s="549">
        <f>-DD236*DD242/4</f>
        <v>0</v>
      </c>
      <c r="DE244" s="549">
        <f>-DE236*DE242/4</f>
        <v>0</v>
      </c>
      <c r="DF244" s="565"/>
    </row>
    <row r="245" spans="2:110" s="326" customFormat="1" ht="10.5" customHeight="1" thickBot="1" x14ac:dyDescent="0.25">
      <c r="B245" s="355"/>
      <c r="C245" s="145"/>
      <c r="D245" s="145"/>
      <c r="E245" s="145"/>
      <c r="F245" s="145"/>
      <c r="G245" s="145"/>
      <c r="H245" s="145"/>
      <c r="I245" s="145"/>
      <c r="J245" s="145"/>
      <c r="K245" s="145"/>
      <c r="L245" s="145"/>
      <c r="M245" s="145"/>
      <c r="N245" s="145"/>
      <c r="O245" s="145"/>
      <c r="P245" s="145"/>
      <c r="Q245" s="145"/>
      <c r="R245" s="145"/>
      <c r="S245" s="346"/>
      <c r="T245" s="346"/>
      <c r="U245" s="346"/>
      <c r="Y245" s="346"/>
      <c r="Z245" s="346"/>
      <c r="AA245" s="346"/>
      <c r="AB245" s="346"/>
      <c r="AC245" s="346"/>
      <c r="AD245" s="346"/>
      <c r="AE245" s="346"/>
      <c r="AF245" s="346"/>
      <c r="AG245" s="346"/>
      <c r="AH245" s="346"/>
      <c r="AI245" s="346"/>
      <c r="AJ245" s="346"/>
      <c r="AK245" s="346"/>
      <c r="AL245" s="346"/>
      <c r="AM245" s="346"/>
      <c r="AN245" s="346"/>
      <c r="AO245" s="346"/>
      <c r="AP245" s="346"/>
      <c r="AQ245" s="346"/>
      <c r="AR245" s="346"/>
      <c r="AS245" s="346"/>
      <c r="AT245" s="346"/>
      <c r="AU245" s="346"/>
      <c r="AV245" s="346"/>
      <c r="AW245" s="346"/>
      <c r="AX245" s="346"/>
      <c r="AY245" s="346"/>
      <c r="AZ245" s="346"/>
      <c r="BA245" s="346"/>
      <c r="BB245" s="346"/>
      <c r="BC245" s="346"/>
      <c r="BD245" s="346"/>
      <c r="BE245" s="346"/>
      <c r="BF245" s="346"/>
      <c r="BG245" s="346"/>
      <c r="BH245" s="346"/>
      <c r="BI245" s="346"/>
      <c r="BJ245" s="346"/>
      <c r="BK245" s="346"/>
      <c r="BL245" s="346"/>
      <c r="BM245" s="346"/>
      <c r="BN245" s="346"/>
      <c r="BO245" s="346"/>
      <c r="BP245" s="346"/>
      <c r="BQ245" s="346"/>
      <c r="BR245" s="346"/>
      <c r="BS245" s="346"/>
      <c r="BT245" s="346"/>
      <c r="BU245" s="346"/>
      <c r="BV245" s="346"/>
      <c r="BW245" s="346"/>
      <c r="BX245" s="346"/>
      <c r="BY245" s="346"/>
      <c r="BZ245" s="346"/>
      <c r="CA245" s="346"/>
      <c r="CB245" s="346"/>
      <c r="CC245" s="346"/>
      <c r="CD245" s="346"/>
      <c r="CE245" s="346"/>
      <c r="CF245" s="346"/>
      <c r="CG245" s="346"/>
      <c r="CH245" s="346"/>
      <c r="CI245" s="346"/>
      <c r="CJ245" s="346"/>
      <c r="CK245" s="346"/>
      <c r="CL245" s="346"/>
      <c r="CM245" s="346"/>
      <c r="CN245" s="346"/>
      <c r="CO245" s="346"/>
      <c r="CP245" s="346"/>
      <c r="CQ245" s="346"/>
      <c r="CR245" s="346"/>
      <c r="CS245" s="346"/>
      <c r="CT245" s="346"/>
      <c r="CU245" s="346"/>
      <c r="CV245" s="346"/>
      <c r="CW245" s="346"/>
      <c r="CX245" s="346"/>
      <c r="CY245" s="346"/>
      <c r="CZ245" s="346"/>
      <c r="DA245" s="346"/>
      <c r="DB245" s="346"/>
      <c r="DC245" s="346"/>
      <c r="DD245" s="346"/>
      <c r="DE245" s="346"/>
      <c r="DF245" s="346"/>
    </row>
    <row r="246" spans="2:110" s="326" customFormat="1" ht="12" thickBot="1" x14ac:dyDescent="0.25">
      <c r="B246" s="981" t="s">
        <v>431</v>
      </c>
      <c r="C246" s="989"/>
      <c r="D246" s="989"/>
      <c r="E246" s="989"/>
      <c r="F246" s="989"/>
      <c r="G246" s="989"/>
      <c r="H246" s="989"/>
      <c r="I246" s="989"/>
      <c r="J246" s="989"/>
      <c r="K246" s="989"/>
      <c r="L246" s="989"/>
      <c r="M246" s="989"/>
      <c r="N246" s="989"/>
      <c r="O246" s="989"/>
      <c r="P246" s="989"/>
      <c r="Q246" s="989"/>
      <c r="R246" s="989"/>
      <c r="S246" s="990"/>
      <c r="T246" s="990"/>
      <c r="U246" s="990"/>
      <c r="V246" s="991"/>
      <c r="W246" s="991"/>
      <c r="X246" s="991"/>
      <c r="Y246" s="990"/>
      <c r="Z246" s="990"/>
      <c r="AA246" s="990"/>
      <c r="AB246" s="990"/>
      <c r="AC246" s="990"/>
      <c r="AD246" s="990"/>
      <c r="AE246" s="990"/>
      <c r="AF246" s="990"/>
      <c r="AG246" s="990"/>
      <c r="AH246" s="990"/>
      <c r="AI246" s="990"/>
      <c r="AJ246" s="990"/>
      <c r="AK246" s="990"/>
      <c r="AL246" s="990"/>
      <c r="AM246" s="990"/>
      <c r="AN246" s="990"/>
      <c r="AO246" s="990"/>
      <c r="AP246" s="990"/>
      <c r="AQ246" s="990"/>
      <c r="AR246" s="990"/>
      <c r="AS246" s="990"/>
      <c r="AT246" s="990"/>
      <c r="AU246" s="990"/>
      <c r="AV246" s="990"/>
      <c r="AW246" s="990"/>
      <c r="AX246" s="990"/>
      <c r="AY246" s="990"/>
      <c r="AZ246" s="990"/>
      <c r="BA246" s="990"/>
      <c r="BB246" s="990"/>
      <c r="BC246" s="990"/>
      <c r="BD246" s="990"/>
      <c r="BE246" s="990"/>
      <c r="BF246" s="990"/>
      <c r="BG246" s="990"/>
      <c r="BH246" s="990"/>
      <c r="BI246" s="990"/>
      <c r="BJ246" s="990"/>
      <c r="BK246" s="990"/>
      <c r="BL246" s="990"/>
      <c r="BM246" s="990"/>
      <c r="BN246" s="990"/>
      <c r="BO246" s="990"/>
      <c r="BP246" s="990"/>
      <c r="BQ246" s="990"/>
      <c r="BR246" s="990"/>
      <c r="BS246" s="990"/>
      <c r="BT246" s="990"/>
      <c r="BU246" s="990"/>
      <c r="BV246" s="990"/>
      <c r="BW246" s="990"/>
      <c r="BX246" s="990"/>
      <c r="BY246" s="990"/>
      <c r="BZ246" s="990"/>
      <c r="CA246" s="990"/>
      <c r="CB246" s="992"/>
      <c r="CC246" s="990"/>
      <c r="CD246" s="990"/>
      <c r="CE246" s="990"/>
      <c r="CF246" s="990"/>
      <c r="CG246" s="992"/>
      <c r="CH246" s="990"/>
      <c r="CI246" s="990"/>
      <c r="CJ246" s="990"/>
      <c r="CK246" s="990"/>
      <c r="CL246" s="992"/>
      <c r="CM246" s="990"/>
      <c r="CN246" s="990"/>
      <c r="CO246" s="990"/>
      <c r="CP246" s="990"/>
      <c r="CQ246" s="992"/>
      <c r="CR246" s="990"/>
      <c r="CS246" s="990"/>
      <c r="CT246" s="990"/>
      <c r="CU246" s="990"/>
      <c r="CV246" s="992"/>
      <c r="CW246" s="990"/>
      <c r="CX246" s="990"/>
      <c r="CY246" s="990"/>
      <c r="CZ246" s="990"/>
      <c r="DA246" s="992"/>
      <c r="DB246" s="990"/>
      <c r="DC246" s="990"/>
      <c r="DD246" s="990"/>
      <c r="DE246" s="990"/>
      <c r="DF246" s="992"/>
    </row>
    <row r="247" spans="2:110" x14ac:dyDescent="0.2">
      <c r="B247" s="591" t="s">
        <v>203</v>
      </c>
      <c r="C247" s="561"/>
      <c r="D247" s="561"/>
      <c r="E247" s="561"/>
      <c r="F247" s="561"/>
      <c r="G247" s="561"/>
      <c r="H247" s="561"/>
      <c r="I247" s="561"/>
      <c r="J247" s="561"/>
      <c r="K247" s="561"/>
      <c r="L247" s="561"/>
      <c r="M247" s="561"/>
      <c r="N247" s="561"/>
      <c r="O247" s="561"/>
      <c r="P247" s="561"/>
      <c r="Q247" s="561"/>
      <c r="R247" s="561"/>
      <c r="S247" s="531"/>
      <c r="T247" s="531"/>
      <c r="U247" s="531"/>
      <c r="V247" s="577"/>
      <c r="W247" s="577"/>
      <c r="X247" s="577"/>
      <c r="Y247" s="532"/>
      <c r="Z247" s="531"/>
      <c r="AA247" s="531"/>
      <c r="AB247" s="531"/>
      <c r="AC247" s="531"/>
      <c r="AD247" s="532"/>
      <c r="AE247" s="531"/>
      <c r="AF247" s="531"/>
      <c r="AG247" s="531"/>
      <c r="AH247" s="531"/>
      <c r="AI247" s="532"/>
      <c r="AJ247" s="531"/>
      <c r="AK247" s="531"/>
      <c r="AL247" s="531"/>
      <c r="AM247" s="531"/>
      <c r="AN247" s="532"/>
      <c r="AO247" s="531"/>
      <c r="AP247" s="531"/>
      <c r="AQ247" s="531"/>
      <c r="AR247" s="531"/>
      <c r="AS247" s="532"/>
      <c r="AT247" s="531"/>
      <c r="AU247" s="588"/>
      <c r="AV247" s="54"/>
      <c r="AW247" s="54"/>
      <c r="AX247" s="532"/>
      <c r="AY247" s="54"/>
      <c r="AZ247" s="54"/>
      <c r="BA247" s="54"/>
      <c r="BB247" s="54"/>
      <c r="BC247" s="532"/>
      <c r="BD247" s="54"/>
      <c r="BE247" s="588"/>
      <c r="BF247" s="54"/>
      <c r="BG247" s="54">
        <f>BF247</f>
        <v>0</v>
      </c>
      <c r="BH247" s="532"/>
      <c r="BI247" s="54">
        <f>BG247</f>
        <v>0</v>
      </c>
      <c r="BJ247" s="54">
        <f t="shared" ref="BJ247:BL249" si="391">BI247</f>
        <v>0</v>
      </c>
      <c r="BK247" s="54">
        <f t="shared" si="391"/>
        <v>0</v>
      </c>
      <c r="BL247" s="54">
        <f t="shared" si="391"/>
        <v>0</v>
      </c>
      <c r="BM247" s="532"/>
      <c r="BN247" s="54">
        <f>BL247</f>
        <v>0</v>
      </c>
      <c r="BO247" s="54">
        <f t="shared" ref="BO247:BQ249" si="392">BN247</f>
        <v>0</v>
      </c>
      <c r="BP247" s="54">
        <f t="shared" si="392"/>
        <v>0</v>
      </c>
      <c r="BQ247" s="54">
        <f t="shared" si="392"/>
        <v>0</v>
      </c>
      <c r="BR247" s="532"/>
      <c r="BS247" s="54">
        <f>BQ247</f>
        <v>0</v>
      </c>
      <c r="BT247" s="54">
        <f t="shared" ref="BT247:BV249" si="393">BS247</f>
        <v>0</v>
      </c>
      <c r="BU247" s="54">
        <f t="shared" si="393"/>
        <v>0</v>
      </c>
      <c r="BV247" s="54">
        <f t="shared" si="393"/>
        <v>0</v>
      </c>
      <c r="BW247" s="532"/>
      <c r="BX247" s="54">
        <f>BV247</f>
        <v>0</v>
      </c>
      <c r="BY247" s="54">
        <f t="shared" ref="BY247:CA249" si="394">BX247</f>
        <v>0</v>
      </c>
      <c r="BZ247" s="54">
        <f t="shared" si="394"/>
        <v>0</v>
      </c>
      <c r="CA247" s="54">
        <f t="shared" si="394"/>
        <v>0</v>
      </c>
      <c r="CB247" s="562"/>
      <c r="CC247" s="54">
        <f>CA247</f>
        <v>0</v>
      </c>
      <c r="CD247" s="54">
        <f t="shared" ref="CD247:CF249" si="395">CC247</f>
        <v>0</v>
      </c>
      <c r="CE247" s="54">
        <f t="shared" si="395"/>
        <v>0</v>
      </c>
      <c r="CF247" s="54">
        <f t="shared" si="395"/>
        <v>0</v>
      </c>
      <c r="CG247" s="562"/>
      <c r="CH247" s="54">
        <f>CF247</f>
        <v>0</v>
      </c>
      <c r="CI247" s="54">
        <f t="shared" ref="CI247:CK249" si="396">CH247</f>
        <v>0</v>
      </c>
      <c r="CJ247" s="54">
        <f t="shared" si="396"/>
        <v>0</v>
      </c>
      <c r="CK247" s="54">
        <f t="shared" si="396"/>
        <v>0</v>
      </c>
      <c r="CL247" s="562"/>
      <c r="CM247" s="54">
        <f>CK247</f>
        <v>0</v>
      </c>
      <c r="CN247" s="54">
        <f t="shared" ref="CN247:CP249" si="397">CM247</f>
        <v>0</v>
      </c>
      <c r="CO247" s="54">
        <f t="shared" si="397"/>
        <v>0</v>
      </c>
      <c r="CP247" s="54">
        <f t="shared" si="397"/>
        <v>0</v>
      </c>
      <c r="CQ247" s="562"/>
      <c r="CR247" s="54">
        <f>CP247</f>
        <v>0</v>
      </c>
      <c r="CS247" s="54">
        <f t="shared" ref="CS247:CS249" si="398">CR247</f>
        <v>0</v>
      </c>
      <c r="CT247" s="54">
        <f t="shared" ref="CT247:CT249" si="399">CS247</f>
        <v>0</v>
      </c>
      <c r="CU247" s="54">
        <f t="shared" ref="CU247:CU249" si="400">CT247</f>
        <v>0</v>
      </c>
      <c r="CV247" s="562"/>
      <c r="CW247" s="54">
        <f>CU247</f>
        <v>0</v>
      </c>
      <c r="CX247" s="54">
        <f t="shared" ref="CX247:CX249" si="401">CW247</f>
        <v>0</v>
      </c>
      <c r="CY247" s="54">
        <f t="shared" ref="CY247:CY249" si="402">CX247</f>
        <v>0</v>
      </c>
      <c r="CZ247" s="54">
        <f t="shared" ref="CZ247:CZ249" si="403">CY247</f>
        <v>0</v>
      </c>
      <c r="DA247" s="562"/>
      <c r="DB247" s="54">
        <f>CZ247</f>
        <v>0</v>
      </c>
      <c r="DC247" s="54">
        <f t="shared" ref="DC247:DC249" si="404">DB247</f>
        <v>0</v>
      </c>
      <c r="DD247" s="54">
        <f t="shared" ref="DD247:DD249" si="405">DC247</f>
        <v>0</v>
      </c>
      <c r="DE247" s="54">
        <f t="shared" ref="DE247:DE249" si="406">DD247</f>
        <v>0</v>
      </c>
      <c r="DF247" s="562"/>
    </row>
    <row r="248" spans="2:110" x14ac:dyDescent="0.2">
      <c r="B248" s="578" t="s">
        <v>204</v>
      </c>
      <c r="C248" s="145"/>
      <c r="D248" s="145"/>
      <c r="E248" s="145"/>
      <c r="F248" s="145"/>
      <c r="G248" s="145"/>
      <c r="H248" s="145"/>
      <c r="I248" s="145"/>
      <c r="J248" s="145"/>
      <c r="K248" s="145"/>
      <c r="L248" s="145"/>
      <c r="M248" s="145"/>
      <c r="N248" s="145"/>
      <c r="O248" s="145"/>
      <c r="P248" s="145"/>
      <c r="Q248" s="145"/>
      <c r="R248" s="145"/>
      <c r="S248" s="346"/>
      <c r="T248" s="346"/>
      <c r="U248" s="346"/>
      <c r="V248" s="326"/>
      <c r="W248" s="326"/>
      <c r="X248" s="326"/>
      <c r="Y248" s="340"/>
      <c r="Z248" s="346"/>
      <c r="AA248" s="346"/>
      <c r="AB248" s="346"/>
      <c r="AC248" s="346"/>
      <c r="AD248" s="340"/>
      <c r="AE248" s="346"/>
      <c r="AF248" s="346"/>
      <c r="AG248" s="346"/>
      <c r="AH248" s="346"/>
      <c r="AI248" s="340"/>
      <c r="AJ248" s="346"/>
      <c r="AK248" s="346"/>
      <c r="AL248" s="346"/>
      <c r="AM248" s="346"/>
      <c r="AN248" s="340"/>
      <c r="AO248" s="346"/>
      <c r="AP248" s="346"/>
      <c r="AQ248" s="346"/>
      <c r="AR248" s="346"/>
      <c r="AS248" s="340"/>
      <c r="AT248" s="346"/>
      <c r="AU248" s="267"/>
      <c r="AV248" s="146"/>
      <c r="AW248" s="146"/>
      <c r="AX248" s="340"/>
      <c r="AY248" s="146"/>
      <c r="AZ248" s="146"/>
      <c r="BA248" s="146"/>
      <c r="BB248" s="146"/>
      <c r="BC248" s="340"/>
      <c r="BD248" s="146"/>
      <c r="BE248" s="267"/>
      <c r="BF248" s="146"/>
      <c r="BG248" s="146">
        <f>BF248</f>
        <v>0</v>
      </c>
      <c r="BH248" s="340"/>
      <c r="BI248" s="146">
        <v>3.9E-2</v>
      </c>
      <c r="BJ248" s="146">
        <f t="shared" si="391"/>
        <v>3.9E-2</v>
      </c>
      <c r="BK248" s="146">
        <f t="shared" si="391"/>
        <v>3.9E-2</v>
      </c>
      <c r="BL248" s="146">
        <f t="shared" si="391"/>
        <v>3.9E-2</v>
      </c>
      <c r="BM248" s="340"/>
      <c r="BN248" s="146">
        <f>BL248</f>
        <v>3.9E-2</v>
      </c>
      <c r="BO248" s="146">
        <f t="shared" si="392"/>
        <v>3.9E-2</v>
      </c>
      <c r="BP248" s="146">
        <f t="shared" si="392"/>
        <v>3.9E-2</v>
      </c>
      <c r="BQ248" s="146">
        <f t="shared" si="392"/>
        <v>3.9E-2</v>
      </c>
      <c r="BR248" s="340"/>
      <c r="BS248" s="146">
        <f>BQ248</f>
        <v>3.9E-2</v>
      </c>
      <c r="BT248" s="146">
        <f t="shared" si="393"/>
        <v>3.9E-2</v>
      </c>
      <c r="BU248" s="146">
        <f t="shared" si="393"/>
        <v>3.9E-2</v>
      </c>
      <c r="BV248" s="146">
        <f t="shared" si="393"/>
        <v>3.9E-2</v>
      </c>
      <c r="BW248" s="340"/>
      <c r="BX248" s="146">
        <f>BV248</f>
        <v>3.9E-2</v>
      </c>
      <c r="BY248" s="146">
        <f t="shared" si="394"/>
        <v>3.9E-2</v>
      </c>
      <c r="BZ248" s="146">
        <f t="shared" si="394"/>
        <v>3.9E-2</v>
      </c>
      <c r="CA248" s="146">
        <f t="shared" si="394"/>
        <v>3.9E-2</v>
      </c>
      <c r="CB248" s="563"/>
      <c r="CC248" s="146">
        <f>CA248</f>
        <v>3.9E-2</v>
      </c>
      <c r="CD248" s="146">
        <f t="shared" si="395"/>
        <v>3.9E-2</v>
      </c>
      <c r="CE248" s="146">
        <f t="shared" si="395"/>
        <v>3.9E-2</v>
      </c>
      <c r="CF248" s="146">
        <f t="shared" si="395"/>
        <v>3.9E-2</v>
      </c>
      <c r="CG248" s="563"/>
      <c r="CH248" s="146">
        <f>CF248</f>
        <v>3.9E-2</v>
      </c>
      <c r="CI248" s="146">
        <f t="shared" si="396"/>
        <v>3.9E-2</v>
      </c>
      <c r="CJ248" s="146">
        <f t="shared" si="396"/>
        <v>3.9E-2</v>
      </c>
      <c r="CK248" s="146">
        <f t="shared" si="396"/>
        <v>3.9E-2</v>
      </c>
      <c r="CL248" s="563"/>
      <c r="CM248" s="146">
        <f>CK248</f>
        <v>3.9E-2</v>
      </c>
      <c r="CN248" s="146">
        <f t="shared" si="397"/>
        <v>3.9E-2</v>
      </c>
      <c r="CO248" s="146">
        <f t="shared" si="397"/>
        <v>3.9E-2</v>
      </c>
      <c r="CP248" s="146">
        <f t="shared" si="397"/>
        <v>3.9E-2</v>
      </c>
      <c r="CQ248" s="563"/>
      <c r="CR248" s="146">
        <f>CP248</f>
        <v>3.9E-2</v>
      </c>
      <c r="CS248" s="146">
        <f t="shared" si="398"/>
        <v>3.9E-2</v>
      </c>
      <c r="CT248" s="146">
        <f t="shared" si="399"/>
        <v>3.9E-2</v>
      </c>
      <c r="CU248" s="146">
        <f t="shared" si="400"/>
        <v>3.9E-2</v>
      </c>
      <c r="CV248" s="563"/>
      <c r="CW248" s="146">
        <f>CU248</f>
        <v>3.9E-2</v>
      </c>
      <c r="CX248" s="146">
        <f t="shared" si="401"/>
        <v>3.9E-2</v>
      </c>
      <c r="CY248" s="146">
        <f t="shared" si="402"/>
        <v>3.9E-2</v>
      </c>
      <c r="CZ248" s="146">
        <f t="shared" si="403"/>
        <v>3.9E-2</v>
      </c>
      <c r="DA248" s="563"/>
      <c r="DB248" s="146">
        <f>CZ248</f>
        <v>3.9E-2</v>
      </c>
      <c r="DC248" s="146">
        <f t="shared" si="404"/>
        <v>3.9E-2</v>
      </c>
      <c r="DD248" s="146">
        <f t="shared" si="405"/>
        <v>3.9E-2</v>
      </c>
      <c r="DE248" s="146">
        <f t="shared" si="406"/>
        <v>3.9E-2</v>
      </c>
      <c r="DF248" s="563"/>
    </row>
    <row r="249" spans="2:110" x14ac:dyDescent="0.2">
      <c r="B249" s="536" t="s">
        <v>197</v>
      </c>
      <c r="C249" s="145"/>
      <c r="D249" s="145"/>
      <c r="E249" s="145"/>
      <c r="F249" s="145"/>
      <c r="G249" s="145"/>
      <c r="H249" s="145"/>
      <c r="I249" s="145"/>
      <c r="J249" s="145"/>
      <c r="K249" s="145"/>
      <c r="L249" s="145"/>
      <c r="M249" s="145"/>
      <c r="N249" s="145"/>
      <c r="O249" s="145"/>
      <c r="P249" s="145"/>
      <c r="Q249" s="145"/>
      <c r="R249" s="145"/>
      <c r="S249" s="346"/>
      <c r="T249" s="346"/>
      <c r="U249" s="346"/>
      <c r="V249" s="326"/>
      <c r="W249" s="326"/>
      <c r="X249" s="326"/>
      <c r="Y249" s="340"/>
      <c r="Z249" s="346"/>
      <c r="AA249" s="346"/>
      <c r="AB249" s="346"/>
      <c r="AC249" s="346"/>
      <c r="AD249" s="340"/>
      <c r="AE249" s="346"/>
      <c r="AF249" s="346"/>
      <c r="AG249" s="346"/>
      <c r="AH249" s="346"/>
      <c r="AI249" s="340"/>
      <c r="AJ249" s="346"/>
      <c r="AK249" s="346"/>
      <c r="AL249" s="346"/>
      <c r="AM249" s="346"/>
      <c r="AN249" s="340"/>
      <c r="AO249" s="346"/>
      <c r="AP249" s="346"/>
      <c r="AQ249" s="346"/>
      <c r="AR249" s="346"/>
      <c r="AS249" s="340"/>
      <c r="AT249" s="346"/>
      <c r="AU249" s="623"/>
      <c r="AV249" s="625"/>
      <c r="AW249" s="625"/>
      <c r="AX249" s="340"/>
      <c r="AY249" s="346"/>
      <c r="AZ249" s="346"/>
      <c r="BA249" s="346"/>
      <c r="BB249" s="346"/>
      <c r="BC249" s="340"/>
      <c r="BD249" s="346"/>
      <c r="BE249" s="623"/>
      <c r="BF249" s="346"/>
      <c r="BG249" s="346">
        <f>BF249</f>
        <v>0</v>
      </c>
      <c r="BH249" s="340"/>
      <c r="BI249" s="346">
        <v>1000</v>
      </c>
      <c r="BJ249" s="346">
        <f t="shared" si="391"/>
        <v>1000</v>
      </c>
      <c r="BK249" s="346">
        <f t="shared" si="391"/>
        <v>1000</v>
      </c>
      <c r="BL249" s="346">
        <f t="shared" si="391"/>
        <v>1000</v>
      </c>
      <c r="BM249" s="340"/>
      <c r="BN249" s="346">
        <f>BL249</f>
        <v>1000</v>
      </c>
      <c r="BO249" s="346">
        <f t="shared" si="392"/>
        <v>1000</v>
      </c>
      <c r="BP249" s="346">
        <f t="shared" si="392"/>
        <v>1000</v>
      </c>
      <c r="BQ249" s="346">
        <f t="shared" si="392"/>
        <v>1000</v>
      </c>
      <c r="BR249" s="340"/>
      <c r="BS249" s="346">
        <f>BQ249</f>
        <v>1000</v>
      </c>
      <c r="BT249" s="346">
        <f t="shared" si="393"/>
        <v>1000</v>
      </c>
      <c r="BU249" s="346">
        <f t="shared" si="393"/>
        <v>1000</v>
      </c>
      <c r="BV249" s="346">
        <f t="shared" si="393"/>
        <v>1000</v>
      </c>
      <c r="BW249" s="340"/>
      <c r="BX249" s="346">
        <f>BV249</f>
        <v>1000</v>
      </c>
      <c r="BY249" s="346">
        <f t="shared" si="394"/>
        <v>1000</v>
      </c>
      <c r="BZ249" s="346">
        <f t="shared" si="394"/>
        <v>1000</v>
      </c>
      <c r="CA249" s="346">
        <f t="shared" si="394"/>
        <v>1000</v>
      </c>
      <c r="CB249" s="563"/>
      <c r="CC249" s="346">
        <f>CA249</f>
        <v>1000</v>
      </c>
      <c r="CD249" s="346">
        <f t="shared" si="395"/>
        <v>1000</v>
      </c>
      <c r="CE249" s="346">
        <f t="shared" si="395"/>
        <v>1000</v>
      </c>
      <c r="CF249" s="346">
        <f t="shared" si="395"/>
        <v>1000</v>
      </c>
      <c r="CG249" s="563"/>
      <c r="CH249" s="346">
        <f>CF249</f>
        <v>1000</v>
      </c>
      <c r="CI249" s="346">
        <f t="shared" si="396"/>
        <v>1000</v>
      </c>
      <c r="CJ249" s="346">
        <f t="shared" si="396"/>
        <v>1000</v>
      </c>
      <c r="CK249" s="346">
        <f t="shared" si="396"/>
        <v>1000</v>
      </c>
      <c r="CL249" s="563"/>
      <c r="CM249" s="346">
        <f>CK249</f>
        <v>1000</v>
      </c>
      <c r="CN249" s="346">
        <f t="shared" si="397"/>
        <v>1000</v>
      </c>
      <c r="CO249" s="346">
        <f t="shared" si="397"/>
        <v>1000</v>
      </c>
      <c r="CP249" s="346">
        <f t="shared" si="397"/>
        <v>1000</v>
      </c>
      <c r="CQ249" s="563"/>
      <c r="CR249" s="346">
        <f>CP249</f>
        <v>1000</v>
      </c>
      <c r="CS249" s="346">
        <f t="shared" si="398"/>
        <v>1000</v>
      </c>
      <c r="CT249" s="346">
        <f t="shared" si="399"/>
        <v>1000</v>
      </c>
      <c r="CU249" s="346">
        <f t="shared" si="400"/>
        <v>1000</v>
      </c>
      <c r="CV249" s="563"/>
      <c r="CW249" s="346">
        <f>CU249</f>
        <v>1000</v>
      </c>
      <c r="CX249" s="346">
        <f t="shared" si="401"/>
        <v>1000</v>
      </c>
      <c r="CY249" s="346">
        <f t="shared" si="402"/>
        <v>1000</v>
      </c>
      <c r="CZ249" s="346">
        <f t="shared" si="403"/>
        <v>1000</v>
      </c>
      <c r="DA249" s="563"/>
      <c r="DB249" s="346">
        <f>CZ249</f>
        <v>1000</v>
      </c>
      <c r="DC249" s="346">
        <f t="shared" si="404"/>
        <v>1000</v>
      </c>
      <c r="DD249" s="346">
        <f t="shared" si="405"/>
        <v>1000</v>
      </c>
      <c r="DE249" s="346">
        <f t="shared" si="406"/>
        <v>1000</v>
      </c>
      <c r="DF249" s="563"/>
    </row>
    <row r="250" spans="2:110" x14ac:dyDescent="0.2">
      <c r="B250" s="544" t="s">
        <v>198</v>
      </c>
      <c r="C250" s="145"/>
      <c r="D250" s="145"/>
      <c r="E250" s="145"/>
      <c r="F250" s="145"/>
      <c r="G250" s="145"/>
      <c r="H250" s="145"/>
      <c r="I250" s="145"/>
      <c r="J250" s="145"/>
      <c r="K250" s="145"/>
      <c r="L250" s="145"/>
      <c r="M250" s="145"/>
      <c r="N250" s="145"/>
      <c r="O250" s="145"/>
      <c r="P250" s="145"/>
      <c r="Q250" s="145"/>
      <c r="R250" s="145"/>
      <c r="S250" s="346"/>
      <c r="T250" s="346"/>
      <c r="U250" s="346"/>
      <c r="V250" s="326"/>
      <c r="W250" s="326"/>
      <c r="X250" s="326"/>
      <c r="Y250" s="340"/>
      <c r="Z250" s="346"/>
      <c r="AA250" s="346"/>
      <c r="AB250" s="346"/>
      <c r="AC250" s="346"/>
      <c r="AD250" s="340"/>
      <c r="AE250" s="346"/>
      <c r="AF250" s="346"/>
      <c r="AG250" s="346"/>
      <c r="AH250" s="346"/>
      <c r="AI250" s="340"/>
      <c r="AJ250" s="346"/>
      <c r="AK250" s="346"/>
      <c r="AL250" s="346"/>
      <c r="AM250" s="346"/>
      <c r="AN250" s="340"/>
      <c r="AO250" s="346"/>
      <c r="AP250" s="346"/>
      <c r="AQ250" s="346"/>
      <c r="AR250" s="346"/>
      <c r="AS250" s="340"/>
      <c r="AT250" s="346"/>
      <c r="AU250" s="623"/>
      <c r="AV250" s="625"/>
      <c r="AW250" s="625"/>
      <c r="AX250" s="340"/>
      <c r="AY250" s="346"/>
      <c r="AZ250" s="346"/>
      <c r="BA250" s="346"/>
      <c r="BB250" s="346"/>
      <c r="BC250" s="340"/>
      <c r="BD250" s="346"/>
      <c r="BE250" s="346"/>
      <c r="BF250" s="346"/>
      <c r="BG250" s="346">
        <f>BF252</f>
        <v>0</v>
      </c>
      <c r="BH250" s="340"/>
      <c r="BI250" s="346">
        <f>BG252</f>
        <v>0</v>
      </c>
      <c r="BJ250" s="346">
        <f>BI252</f>
        <v>979.1</v>
      </c>
      <c r="BK250" s="346">
        <f>BJ252</f>
        <v>979.1</v>
      </c>
      <c r="BL250" s="346">
        <f>BK252</f>
        <v>979.6</v>
      </c>
      <c r="BM250" s="340"/>
      <c r="BN250" s="346">
        <f>BL252</f>
        <v>980</v>
      </c>
      <c r="BO250" s="346">
        <f>BN252</f>
        <v>980.5</v>
      </c>
      <c r="BP250" s="346">
        <f>BO252</f>
        <v>980.9</v>
      </c>
      <c r="BQ250" s="346">
        <f>BP252</f>
        <v>981.4</v>
      </c>
      <c r="BR250" s="340"/>
      <c r="BS250" s="346">
        <f>BQ252</f>
        <v>981.9</v>
      </c>
      <c r="BT250" s="346">
        <f>BS252</f>
        <v>982.4</v>
      </c>
      <c r="BU250" s="346">
        <f>BT252</f>
        <v>982.8</v>
      </c>
      <c r="BV250" s="346">
        <f>BU252</f>
        <v>983.3</v>
      </c>
      <c r="BW250" s="340"/>
      <c r="BX250" s="346">
        <f>BV252</f>
        <v>983.8</v>
      </c>
      <c r="BY250" s="346">
        <f>BX252</f>
        <v>984.3</v>
      </c>
      <c r="BZ250" s="346">
        <f>BY252</f>
        <v>984.8</v>
      </c>
      <c r="CA250" s="346">
        <f>BZ252</f>
        <v>985.3</v>
      </c>
      <c r="CB250" s="563"/>
      <c r="CC250" s="346">
        <f>CA252</f>
        <v>985.8</v>
      </c>
      <c r="CD250" s="346">
        <f>CC252</f>
        <v>986.3</v>
      </c>
      <c r="CE250" s="346">
        <f>CD252</f>
        <v>986.8</v>
      </c>
      <c r="CF250" s="346">
        <f>CE252</f>
        <v>983.4</v>
      </c>
      <c r="CG250" s="563"/>
      <c r="CH250" s="346">
        <f>CF252</f>
        <v>984.1</v>
      </c>
      <c r="CI250" s="346">
        <f>CH252</f>
        <v>984.1</v>
      </c>
      <c r="CJ250" s="346">
        <f>CI252</f>
        <v>984.1</v>
      </c>
      <c r="CK250" s="346">
        <f>CJ252</f>
        <v>984.1</v>
      </c>
      <c r="CL250" s="563"/>
      <c r="CM250" s="346">
        <f>CK252</f>
        <v>984.1</v>
      </c>
      <c r="CN250" s="346">
        <f>CM252</f>
        <v>984.1</v>
      </c>
      <c r="CO250" s="346">
        <f>CN252</f>
        <v>984.1</v>
      </c>
      <c r="CP250" s="346">
        <f>CO252</f>
        <v>984.1</v>
      </c>
      <c r="CQ250" s="563"/>
      <c r="CR250" s="346">
        <f>CP252</f>
        <v>984.1</v>
      </c>
      <c r="CS250" s="346">
        <f>CR252</f>
        <v>984.1</v>
      </c>
      <c r="CT250" s="346">
        <f>CS252</f>
        <v>984.1</v>
      </c>
      <c r="CU250" s="346">
        <f>CT252</f>
        <v>984.1</v>
      </c>
      <c r="CV250" s="563"/>
      <c r="CW250" s="346">
        <f>CU252</f>
        <v>984.1</v>
      </c>
      <c r="CX250" s="346">
        <f>CW252</f>
        <v>984.1</v>
      </c>
      <c r="CY250" s="346">
        <f>CX252</f>
        <v>984.1</v>
      </c>
      <c r="CZ250" s="346">
        <f>CY252</f>
        <v>984.1</v>
      </c>
      <c r="DA250" s="563"/>
      <c r="DB250" s="346">
        <f>CZ252</f>
        <v>984.1</v>
      </c>
      <c r="DC250" s="346">
        <f>DB252</f>
        <v>984.1</v>
      </c>
      <c r="DD250" s="346">
        <f>DC252</f>
        <v>984.1</v>
      </c>
      <c r="DE250" s="346">
        <f>DD252</f>
        <v>984.1</v>
      </c>
      <c r="DF250" s="563"/>
    </row>
    <row r="251" spans="2:110" x14ac:dyDescent="0.2">
      <c r="B251" s="589" t="s">
        <v>199</v>
      </c>
      <c r="C251" s="359"/>
      <c r="D251" s="359"/>
      <c r="E251" s="359"/>
      <c r="F251" s="359"/>
      <c r="G251" s="359"/>
      <c r="H251" s="359"/>
      <c r="I251" s="359"/>
      <c r="J251" s="359"/>
      <c r="K251" s="359"/>
      <c r="L251" s="359"/>
      <c r="M251" s="359"/>
      <c r="N251" s="359"/>
      <c r="O251" s="359"/>
      <c r="P251" s="359"/>
      <c r="Q251" s="359"/>
      <c r="R251" s="359"/>
      <c r="S251" s="347"/>
      <c r="T251" s="347"/>
      <c r="U251" s="347"/>
      <c r="V251" s="377"/>
      <c r="W251" s="377"/>
      <c r="X251" s="377"/>
      <c r="Y251" s="343"/>
      <c r="Z251" s="347"/>
      <c r="AA251" s="347"/>
      <c r="AB251" s="347"/>
      <c r="AC251" s="347"/>
      <c r="AD251" s="343"/>
      <c r="AE251" s="347"/>
      <c r="AF251" s="347"/>
      <c r="AG251" s="347"/>
      <c r="AH251" s="347"/>
      <c r="AI251" s="343"/>
      <c r="AJ251" s="347"/>
      <c r="AK251" s="347"/>
      <c r="AL251" s="347"/>
      <c r="AM251" s="347"/>
      <c r="AN251" s="343"/>
      <c r="AO251" s="347"/>
      <c r="AP251" s="347"/>
      <c r="AQ251" s="347"/>
      <c r="AR251" s="347"/>
      <c r="AS251" s="343"/>
      <c r="AT251" s="347"/>
      <c r="AU251" s="629"/>
      <c r="AV251" s="642"/>
      <c r="AW251" s="629"/>
      <c r="AX251" s="343"/>
      <c r="AY251" s="347"/>
      <c r="AZ251" s="347"/>
      <c r="BA251" s="347"/>
      <c r="BB251" s="347"/>
      <c r="BC251" s="343"/>
      <c r="BD251" s="347"/>
      <c r="BE251" s="629"/>
      <c r="BF251" s="347"/>
      <c r="BG251" s="347">
        <f>BF251</f>
        <v>0</v>
      </c>
      <c r="BH251" s="343"/>
      <c r="BI251" s="347">
        <v>979.1</v>
      </c>
      <c r="BJ251" s="347">
        <v>0</v>
      </c>
      <c r="BK251" s="347">
        <f>979.6-BK250</f>
        <v>0.5</v>
      </c>
      <c r="BL251" s="347">
        <f>980-BL250</f>
        <v>0.39999999999997726</v>
      </c>
      <c r="BM251" s="343"/>
      <c r="BN251" s="348">
        <f>980.5-BN250</f>
        <v>0.5</v>
      </c>
      <c r="BO251" s="348">
        <f>980.9-BO250</f>
        <v>0.39999999999997726</v>
      </c>
      <c r="BP251" s="348">
        <f>981.4-BP250</f>
        <v>0.5</v>
      </c>
      <c r="BQ251" s="347">
        <f>981.9-BQ250</f>
        <v>0.5</v>
      </c>
      <c r="BR251" s="343"/>
      <c r="BS251" s="348">
        <f>BS252-BS250</f>
        <v>0.5</v>
      </c>
      <c r="BT251" s="347">
        <f>BT252-BT250</f>
        <v>0.39999999999997726</v>
      </c>
      <c r="BU251" s="347">
        <f>BU252-BU250</f>
        <v>0.5</v>
      </c>
      <c r="BV251" s="347">
        <f>BV252-BV250</f>
        <v>0.5</v>
      </c>
      <c r="BW251" s="343"/>
      <c r="BX251" s="347">
        <f>984.3-BX250</f>
        <v>0.5</v>
      </c>
      <c r="BY251" s="347">
        <f>BX251</f>
        <v>0.5</v>
      </c>
      <c r="BZ251" s="347">
        <f>BY251</f>
        <v>0.5</v>
      </c>
      <c r="CA251" s="347">
        <f>BZ251</f>
        <v>0.5</v>
      </c>
      <c r="CB251" s="585"/>
      <c r="CC251" s="347">
        <f>CA251</f>
        <v>0.5</v>
      </c>
      <c r="CD251" s="347">
        <f>CC251</f>
        <v>0.5</v>
      </c>
      <c r="CE251" s="347">
        <v>-3.4</v>
      </c>
      <c r="CF251" s="347">
        <v>0.7</v>
      </c>
      <c r="CG251" s="585"/>
      <c r="CH251" s="347">
        <v>0</v>
      </c>
      <c r="CI251" s="347">
        <f>CH251</f>
        <v>0</v>
      </c>
      <c r="CJ251" s="347">
        <f>CI251</f>
        <v>0</v>
      </c>
      <c r="CK251" s="347">
        <f>CJ251</f>
        <v>0</v>
      </c>
      <c r="CL251" s="585"/>
      <c r="CM251" s="347">
        <f>CK251</f>
        <v>0</v>
      </c>
      <c r="CN251" s="347">
        <f>CM251</f>
        <v>0</v>
      </c>
      <c r="CO251" s="347">
        <f>CN251</f>
        <v>0</v>
      </c>
      <c r="CP251" s="347">
        <f>CO251</f>
        <v>0</v>
      </c>
      <c r="CQ251" s="585"/>
      <c r="CR251" s="347">
        <f>CP251</f>
        <v>0</v>
      </c>
      <c r="CS251" s="347">
        <f>CR251</f>
        <v>0</v>
      </c>
      <c r="CT251" s="347">
        <f>CS251</f>
        <v>0</v>
      </c>
      <c r="CU251" s="347">
        <f>CT251</f>
        <v>0</v>
      </c>
      <c r="CV251" s="585"/>
      <c r="CW251" s="347">
        <f>CU251</f>
        <v>0</v>
      </c>
      <c r="CX251" s="347">
        <f>CW251</f>
        <v>0</v>
      </c>
      <c r="CY251" s="347">
        <f>CX251</f>
        <v>0</v>
      </c>
      <c r="CZ251" s="347">
        <f>CY251</f>
        <v>0</v>
      </c>
      <c r="DA251" s="585"/>
      <c r="DB251" s="347">
        <f>CZ251</f>
        <v>0</v>
      </c>
      <c r="DC251" s="347">
        <f>DB251</f>
        <v>0</v>
      </c>
      <c r="DD251" s="347">
        <f>DC251</f>
        <v>0</v>
      </c>
      <c r="DE251" s="347">
        <f>DD251</f>
        <v>0</v>
      </c>
      <c r="DF251" s="585"/>
    </row>
    <row r="252" spans="2:110" x14ac:dyDescent="0.2">
      <c r="B252" s="544" t="s">
        <v>200</v>
      </c>
      <c r="C252" s="145"/>
      <c r="D252" s="145"/>
      <c r="E252" s="145"/>
      <c r="F252" s="145"/>
      <c r="G252" s="145"/>
      <c r="H252" s="145"/>
      <c r="I252" s="145"/>
      <c r="J252" s="145"/>
      <c r="K252" s="145"/>
      <c r="L252" s="145"/>
      <c r="M252" s="145"/>
      <c r="N252" s="145"/>
      <c r="O252" s="145"/>
      <c r="P252" s="145"/>
      <c r="Q252" s="145"/>
      <c r="R252" s="145"/>
      <c r="S252" s="346"/>
      <c r="T252" s="346"/>
      <c r="U252" s="346"/>
      <c r="V252" s="326"/>
      <c r="W252" s="326"/>
      <c r="X252" s="326"/>
      <c r="Y252" s="340"/>
      <c r="Z252" s="346"/>
      <c r="AA252" s="346"/>
      <c r="AB252" s="346"/>
      <c r="AC252" s="346"/>
      <c r="AD252" s="340"/>
      <c r="AE252" s="346"/>
      <c r="AF252" s="346"/>
      <c r="AG252" s="346"/>
      <c r="AH252" s="346"/>
      <c r="AI252" s="340"/>
      <c r="AJ252" s="346"/>
      <c r="AK252" s="346"/>
      <c r="AL252" s="346"/>
      <c r="AM252" s="346"/>
      <c r="AN252" s="340"/>
      <c r="AO252" s="346"/>
      <c r="AP252" s="346"/>
      <c r="AQ252" s="346"/>
      <c r="AR252" s="346"/>
      <c r="AS252" s="340"/>
      <c r="AT252" s="346"/>
      <c r="AU252" s="625"/>
      <c r="AV252" s="625"/>
      <c r="AW252" s="625"/>
      <c r="AX252" s="340"/>
      <c r="AY252" s="346"/>
      <c r="AZ252" s="346"/>
      <c r="BA252" s="346"/>
      <c r="BB252" s="346"/>
      <c r="BC252" s="340"/>
      <c r="BD252" s="346"/>
      <c r="BE252" s="625"/>
      <c r="BF252" s="346"/>
      <c r="BG252" s="346">
        <f>BG250+BG251</f>
        <v>0</v>
      </c>
      <c r="BH252" s="340"/>
      <c r="BI252" s="346">
        <f>BI250+BI251</f>
        <v>979.1</v>
      </c>
      <c r="BJ252" s="346">
        <f>BJ250+BJ251</f>
        <v>979.1</v>
      </c>
      <c r="BK252" s="346">
        <f>BK250+BK251</f>
        <v>979.6</v>
      </c>
      <c r="BL252" s="346">
        <f>BL250+BL251</f>
        <v>980</v>
      </c>
      <c r="BM252" s="340"/>
      <c r="BN252" s="346">
        <f>BN250+BN251</f>
        <v>980.5</v>
      </c>
      <c r="BO252" s="346">
        <f>BO250+BO251</f>
        <v>980.9</v>
      </c>
      <c r="BP252" s="346">
        <f>BP250+BP251</f>
        <v>981.4</v>
      </c>
      <c r="BQ252" s="346">
        <f>BQ250+BQ251</f>
        <v>981.9</v>
      </c>
      <c r="BR252" s="340"/>
      <c r="BS252" s="346">
        <v>982.4</v>
      </c>
      <c r="BT252" s="354">
        <v>982.8</v>
      </c>
      <c r="BU252" s="354">
        <v>983.3</v>
      </c>
      <c r="BV252" s="346">
        <v>983.8</v>
      </c>
      <c r="BW252" s="340"/>
      <c r="BX252" s="346">
        <f>BX250+BX251</f>
        <v>984.3</v>
      </c>
      <c r="BY252" s="346">
        <f>BY250+BY251</f>
        <v>984.8</v>
      </c>
      <c r="BZ252" s="346">
        <f>BZ250+BZ251</f>
        <v>985.3</v>
      </c>
      <c r="CA252" s="346">
        <f>CA250+CA251</f>
        <v>985.8</v>
      </c>
      <c r="CB252" s="563"/>
      <c r="CC252" s="346">
        <f>CC250+CC251</f>
        <v>986.3</v>
      </c>
      <c r="CD252" s="346">
        <f>CD250+CD251</f>
        <v>986.8</v>
      </c>
      <c r="CE252" s="346">
        <f>CE250+CE251</f>
        <v>983.4</v>
      </c>
      <c r="CF252" s="346">
        <f>CF250+CF251</f>
        <v>984.1</v>
      </c>
      <c r="CG252" s="563"/>
      <c r="CH252" s="346">
        <f>CH250+CH251</f>
        <v>984.1</v>
      </c>
      <c r="CI252" s="346">
        <f>CI250+CI251</f>
        <v>984.1</v>
      </c>
      <c r="CJ252" s="346">
        <f>CJ250+CJ251</f>
        <v>984.1</v>
      </c>
      <c r="CK252" s="346">
        <f>CK250+CK251</f>
        <v>984.1</v>
      </c>
      <c r="CL252" s="563"/>
      <c r="CM252" s="346">
        <f>CM250+CM251</f>
        <v>984.1</v>
      </c>
      <c r="CN252" s="346">
        <f>CN250+CN251</f>
        <v>984.1</v>
      </c>
      <c r="CO252" s="346">
        <f>CO250+CO251</f>
        <v>984.1</v>
      </c>
      <c r="CP252" s="346">
        <f>CP250+CP251</f>
        <v>984.1</v>
      </c>
      <c r="CQ252" s="563"/>
      <c r="CR252" s="346">
        <f>CR250+CR251</f>
        <v>984.1</v>
      </c>
      <c r="CS252" s="346">
        <f>CS250+CS251</f>
        <v>984.1</v>
      </c>
      <c r="CT252" s="346">
        <f>CT250+CT251</f>
        <v>984.1</v>
      </c>
      <c r="CU252" s="346">
        <f>CU250+CU251</f>
        <v>984.1</v>
      </c>
      <c r="CV252" s="563"/>
      <c r="CW252" s="346">
        <f>CW250+CW251</f>
        <v>984.1</v>
      </c>
      <c r="CX252" s="346">
        <f>CX250+CX251</f>
        <v>984.1</v>
      </c>
      <c r="CY252" s="346">
        <f>CY250+CY251</f>
        <v>984.1</v>
      </c>
      <c r="CZ252" s="346">
        <f>CZ250+CZ251</f>
        <v>984.1</v>
      </c>
      <c r="DA252" s="563"/>
      <c r="DB252" s="346">
        <f>DB250+DB251</f>
        <v>984.1</v>
      </c>
      <c r="DC252" s="346">
        <f>DC250+DC251</f>
        <v>984.1</v>
      </c>
      <c r="DD252" s="346">
        <f>DD250+DD251</f>
        <v>984.1</v>
      </c>
      <c r="DE252" s="346">
        <f>DE250+DE251</f>
        <v>984.1</v>
      </c>
      <c r="DF252" s="563"/>
    </row>
    <row r="253" spans="2:110" x14ac:dyDescent="0.2">
      <c r="B253" s="536" t="s">
        <v>201</v>
      </c>
      <c r="C253" s="145"/>
      <c r="D253" s="145"/>
      <c r="E253" s="145"/>
      <c r="F253" s="145"/>
      <c r="G253" s="145"/>
      <c r="H253" s="145"/>
      <c r="I253" s="145"/>
      <c r="J253" s="145"/>
      <c r="K253" s="145"/>
      <c r="L253" s="145"/>
      <c r="M253" s="145"/>
      <c r="N253" s="145"/>
      <c r="O253" s="145"/>
      <c r="P253" s="145"/>
      <c r="Q253" s="145"/>
      <c r="R253" s="145"/>
      <c r="S253" s="346"/>
      <c r="T253" s="346"/>
      <c r="U253" s="346"/>
      <c r="V253" s="326"/>
      <c r="W253" s="326"/>
      <c r="X253" s="326"/>
      <c r="Y253" s="340"/>
      <c r="Z253" s="346"/>
      <c r="AA253" s="346"/>
      <c r="AB253" s="346"/>
      <c r="AC253" s="346"/>
      <c r="AD253" s="340"/>
      <c r="AE253" s="346"/>
      <c r="AF253" s="346"/>
      <c r="AG253" s="346"/>
      <c r="AH253" s="346"/>
      <c r="AI253" s="340"/>
      <c r="AJ253" s="346"/>
      <c r="AK253" s="346"/>
      <c r="AL253" s="346"/>
      <c r="AM253" s="346"/>
      <c r="AN253" s="340"/>
      <c r="AO253" s="346"/>
      <c r="AP253" s="346"/>
      <c r="AQ253" s="346"/>
      <c r="AR253" s="346"/>
      <c r="AS253" s="340"/>
      <c r="AT253" s="346"/>
      <c r="AU253" s="625"/>
      <c r="AV253" s="625"/>
      <c r="AW253" s="625"/>
      <c r="AX253" s="340"/>
      <c r="AY253" s="346"/>
      <c r="AZ253" s="346"/>
      <c r="BA253" s="346"/>
      <c r="BB253" s="346"/>
      <c r="BC253" s="340"/>
      <c r="BD253" s="346"/>
      <c r="BE253" s="625"/>
      <c r="BF253" s="346"/>
      <c r="BG253" s="346">
        <f>BG249-BG252</f>
        <v>0</v>
      </c>
      <c r="BH253" s="340"/>
      <c r="BI253" s="346">
        <f>BI249-BI252</f>
        <v>20.899999999999977</v>
      </c>
      <c r="BJ253" s="346">
        <f>BJ249-BJ252</f>
        <v>20.899999999999977</v>
      </c>
      <c r="BK253" s="346">
        <f>BK249-BK252</f>
        <v>20.399999999999977</v>
      </c>
      <c r="BL253" s="346">
        <f>BL249-BL252</f>
        <v>20</v>
      </c>
      <c r="BM253" s="340"/>
      <c r="BN253" s="346">
        <f>BN249-BN252</f>
        <v>19.5</v>
      </c>
      <c r="BO253" s="346">
        <f>BO249-BO252</f>
        <v>19.100000000000023</v>
      </c>
      <c r="BP253" s="346">
        <f>BP249-BP252</f>
        <v>18.600000000000023</v>
      </c>
      <c r="BQ253" s="346">
        <f>BQ249-BQ252</f>
        <v>18.100000000000023</v>
      </c>
      <c r="BR253" s="340"/>
      <c r="BS253" s="346">
        <f>BS249-BS252</f>
        <v>17.600000000000023</v>
      </c>
      <c r="BT253" s="346">
        <f>BT249-BT252</f>
        <v>17.200000000000045</v>
      </c>
      <c r="BU253" s="346">
        <f>BU249-BU252</f>
        <v>16.700000000000045</v>
      </c>
      <c r="BV253" s="346">
        <f>BV249-BV252</f>
        <v>16.200000000000045</v>
      </c>
      <c r="BW253" s="340"/>
      <c r="BX253" s="346">
        <f>BX249-BX252</f>
        <v>15.700000000000045</v>
      </c>
      <c r="BY253" s="346">
        <f>BY249-BY252</f>
        <v>15.200000000000045</v>
      </c>
      <c r="BZ253" s="346">
        <f>BZ249-BZ252</f>
        <v>14.700000000000045</v>
      </c>
      <c r="CA253" s="346">
        <f>CA249-CA252</f>
        <v>14.200000000000045</v>
      </c>
      <c r="CB253" s="563"/>
      <c r="CC253" s="346">
        <f>CC249-CC252</f>
        <v>13.700000000000045</v>
      </c>
      <c r="CD253" s="346">
        <f>CD249-CD252</f>
        <v>13.200000000000045</v>
      </c>
      <c r="CE253" s="346">
        <f>CE249-CE252</f>
        <v>16.600000000000023</v>
      </c>
      <c r="CF253" s="346">
        <f>CF249-CF252</f>
        <v>15.899999999999977</v>
      </c>
      <c r="CG253" s="563"/>
      <c r="CH253" s="346">
        <f>CH249-CH252</f>
        <v>15.899999999999977</v>
      </c>
      <c r="CI253" s="346">
        <f>CI249-CI252</f>
        <v>15.899999999999977</v>
      </c>
      <c r="CJ253" s="346">
        <f>CJ249-CJ252</f>
        <v>15.899999999999977</v>
      </c>
      <c r="CK253" s="346">
        <f>CK249-CK252</f>
        <v>15.899999999999977</v>
      </c>
      <c r="CL253" s="563"/>
      <c r="CM253" s="346">
        <f>CM249-CM252</f>
        <v>15.899999999999977</v>
      </c>
      <c r="CN253" s="346">
        <f>CN249-CN252</f>
        <v>15.899999999999977</v>
      </c>
      <c r="CO253" s="346">
        <f>CO249-CO252</f>
        <v>15.899999999999977</v>
      </c>
      <c r="CP253" s="346">
        <f>CP249-CP252</f>
        <v>15.899999999999977</v>
      </c>
      <c r="CQ253" s="563"/>
      <c r="CR253" s="346">
        <f>CR249-CR252</f>
        <v>15.899999999999977</v>
      </c>
      <c r="CS253" s="346">
        <f>CS249-CS252</f>
        <v>15.899999999999977</v>
      </c>
      <c r="CT253" s="346">
        <f>CT249-CT252</f>
        <v>15.899999999999977</v>
      </c>
      <c r="CU253" s="346">
        <f>CU249-CU252</f>
        <v>15.899999999999977</v>
      </c>
      <c r="CV253" s="563"/>
      <c r="CW253" s="346">
        <f>CW249-CW252</f>
        <v>15.899999999999977</v>
      </c>
      <c r="CX253" s="346">
        <f>CX249-CX252</f>
        <v>15.899999999999977</v>
      </c>
      <c r="CY253" s="346">
        <f>CY249-CY252</f>
        <v>15.899999999999977</v>
      </c>
      <c r="CZ253" s="346">
        <f>CZ249-CZ252</f>
        <v>15.899999999999977</v>
      </c>
      <c r="DA253" s="563"/>
      <c r="DB253" s="346">
        <f>DB249-DB252</f>
        <v>15.899999999999977</v>
      </c>
      <c r="DC253" s="346">
        <f>DC249-DC252</f>
        <v>15.899999999999977</v>
      </c>
      <c r="DD253" s="346">
        <f>DD249-DD252</f>
        <v>15.899999999999977</v>
      </c>
      <c r="DE253" s="346">
        <f>DE249-DE252</f>
        <v>15.899999999999977</v>
      </c>
      <c r="DF253" s="563"/>
    </row>
    <row r="254" spans="2:110" x14ac:dyDescent="0.2">
      <c r="B254" s="544" t="s">
        <v>206</v>
      </c>
      <c r="C254" s="145"/>
      <c r="D254" s="145"/>
      <c r="E254" s="145"/>
      <c r="F254" s="145"/>
      <c r="G254" s="145"/>
      <c r="H254" s="145"/>
      <c r="I254" s="145"/>
      <c r="J254" s="145"/>
      <c r="K254" s="145"/>
      <c r="L254" s="145"/>
      <c r="M254" s="145"/>
      <c r="N254" s="145"/>
      <c r="O254" s="145"/>
      <c r="P254" s="145"/>
      <c r="Q254" s="145"/>
      <c r="R254" s="145"/>
      <c r="S254" s="346"/>
      <c r="T254" s="346"/>
      <c r="U254" s="346"/>
      <c r="V254" s="326"/>
      <c r="W254" s="326"/>
      <c r="X254" s="326"/>
      <c r="Y254" s="340"/>
      <c r="Z254" s="346"/>
      <c r="AA254" s="346"/>
      <c r="AB254" s="346"/>
      <c r="AC254" s="346"/>
      <c r="AD254" s="340"/>
      <c r="AE254" s="346"/>
      <c r="AF254" s="346"/>
      <c r="AG254" s="346"/>
      <c r="AH254" s="346"/>
      <c r="AI254" s="340"/>
      <c r="AJ254" s="346"/>
      <c r="AK254" s="346"/>
      <c r="AL254" s="346"/>
      <c r="AM254" s="346"/>
      <c r="AN254" s="340"/>
      <c r="AO254" s="346"/>
      <c r="AP254" s="346"/>
      <c r="AQ254" s="346"/>
      <c r="AR254" s="346"/>
      <c r="AS254" s="340"/>
      <c r="AT254" s="346"/>
      <c r="AU254" s="625"/>
      <c r="AV254" s="625"/>
      <c r="AW254" s="625"/>
      <c r="AX254" s="340"/>
      <c r="AY254" s="346"/>
      <c r="AZ254" s="346"/>
      <c r="BA254" s="346"/>
      <c r="BB254" s="346"/>
      <c r="BC254" s="340"/>
      <c r="BD254" s="346"/>
      <c r="BE254" s="625"/>
      <c r="BF254" s="346"/>
      <c r="BG254" s="346">
        <f>-(AVERAGE(BG252,BG250))*(BG248/4)</f>
        <v>0</v>
      </c>
      <c r="BH254" s="340"/>
      <c r="BI254" s="346">
        <f>-(AVERAGE(BI252,BI250))*(BI248/4)</f>
        <v>-4.7731124999999999</v>
      </c>
      <c r="BJ254" s="346">
        <f>-(AVERAGE(BJ252,BJ250))*(BJ248/4)</f>
        <v>-9.5462249999999997</v>
      </c>
      <c r="BK254" s="346">
        <f>-(AVERAGE(BK252,BK250))*(BK248/4)</f>
        <v>-9.5486625000000007</v>
      </c>
      <c r="BL254" s="346">
        <f>-(AVERAGE(BL252,BL250))*(BL248/4)</f>
        <v>-9.5530499999999989</v>
      </c>
      <c r="BM254" s="340"/>
      <c r="BN254" s="346">
        <f>-(AVERAGE(BN252,BN250))*(BN248/4)</f>
        <v>-9.5574375000000007</v>
      </c>
      <c r="BO254" s="346">
        <f>-(AVERAGE(BO252,BO250))*(BO248/4)</f>
        <v>-9.5618250000000007</v>
      </c>
      <c r="BP254" s="346">
        <f>-(AVERAGE(BP252,BP250))*(BP248/4)</f>
        <v>-9.5662124999999989</v>
      </c>
      <c r="BQ254" s="346">
        <f>-(AVERAGE(BQ252,BQ250))*(BQ248/4)</f>
        <v>-9.5710874999999991</v>
      </c>
      <c r="BR254" s="340"/>
      <c r="BS254" s="346">
        <f>-(AVERAGE(BS252,BS250))*(BS248/4)</f>
        <v>-9.5759624999999993</v>
      </c>
      <c r="BT254" s="346">
        <f>-(AVERAGE(BT252,BT250))*(BT248/4)</f>
        <v>-9.5803499999999993</v>
      </c>
      <c r="BU254" s="346">
        <f>-(AVERAGE(BU252,BU250))*(BU248/4)</f>
        <v>-9.5847374999999992</v>
      </c>
      <c r="BV254" s="346">
        <f>-(AVERAGE(BV252,BV250))*(BV248/4)</f>
        <v>-9.5896124999999994</v>
      </c>
      <c r="BW254" s="340"/>
      <c r="BX254" s="346">
        <f>-(AVERAGE(BX252,BX250))*(BX248/4)</f>
        <v>-9.5944874999999996</v>
      </c>
      <c r="BY254" s="346">
        <f>-(AVERAGE(BY252,BY250))*(BY248/4)</f>
        <v>-9.5993624999999998</v>
      </c>
      <c r="BZ254" s="346">
        <f>-(AVERAGE(BZ252,BZ250))*(BZ248/4)</f>
        <v>-9.6042375</v>
      </c>
      <c r="CA254" s="346">
        <f>-(AVERAGE(CA252,CA250))*(CA248/4)</f>
        <v>-9.6091125000000002</v>
      </c>
      <c r="CB254" s="563"/>
      <c r="CC254" s="346">
        <f>-(AVERAGE(CC252,CC250))*(CC248/4)</f>
        <v>-9.6139875000000004</v>
      </c>
      <c r="CD254" s="346">
        <f>-(AVERAGE(CD252,CD250))*(CD248/4)</f>
        <v>-9.6188624999999988</v>
      </c>
      <c r="CE254" s="346">
        <f>-(AVERAGE(CE252,CE250))*(CE248/4)</f>
        <v>-9.6047249999999984</v>
      </c>
      <c r="CF254" s="346">
        <f>-(AVERAGE(CF252,CF250))*(CF248/4)</f>
        <v>-9.5915625000000002</v>
      </c>
      <c r="CG254" s="563"/>
      <c r="CH254" s="346">
        <f>-(AVERAGE(CH252,CH250))*(CH248/4)</f>
        <v>-9.5949749999999998</v>
      </c>
      <c r="CI254" s="346">
        <f>-(AVERAGE(CI252,CI250))*(CI248/4)</f>
        <v>-9.5949749999999998</v>
      </c>
      <c r="CJ254" s="346">
        <f>-(AVERAGE(CJ252,CJ250))*(CJ248/4)</f>
        <v>-9.5949749999999998</v>
      </c>
      <c r="CK254" s="346">
        <f>-(AVERAGE(CK252,CK250))*(CK248/4)</f>
        <v>-9.5949749999999998</v>
      </c>
      <c r="CL254" s="563"/>
      <c r="CM254" s="346">
        <f>-(AVERAGE(CM252,CM250))*(CM248/4)</f>
        <v>-9.5949749999999998</v>
      </c>
      <c r="CN254" s="346">
        <f>-(AVERAGE(CN252,CN250))*(CN248/4)</f>
        <v>-9.5949749999999998</v>
      </c>
      <c r="CO254" s="346">
        <f>-(AVERAGE(CO252,CO250))*(CO248/4)</f>
        <v>-9.5949749999999998</v>
      </c>
      <c r="CP254" s="346">
        <f>-(AVERAGE(CP252,CP250))*(CP248/4)</f>
        <v>-9.5949749999999998</v>
      </c>
      <c r="CQ254" s="563"/>
      <c r="CR254" s="346">
        <f>-(AVERAGE(CR252,CR250))*(CR248/4)</f>
        <v>-9.5949749999999998</v>
      </c>
      <c r="CS254" s="346">
        <f>-(AVERAGE(CS252,CS250))*(CS248/4)</f>
        <v>-9.5949749999999998</v>
      </c>
      <c r="CT254" s="346">
        <f>-(AVERAGE(CT252,CT250))*(CT248/4)</f>
        <v>-9.5949749999999998</v>
      </c>
      <c r="CU254" s="346">
        <f>-(AVERAGE(CU252,CU250))*(CU248/4)</f>
        <v>-9.5949749999999998</v>
      </c>
      <c r="CV254" s="563"/>
      <c r="CW254" s="346">
        <f>-(AVERAGE(CW252,CW250))*(CW248/4)</f>
        <v>-9.5949749999999998</v>
      </c>
      <c r="CX254" s="346">
        <f>-(AVERAGE(CX252,CX250))*(CX248/4)</f>
        <v>-9.5949749999999998</v>
      </c>
      <c r="CY254" s="346">
        <f>-(AVERAGE(CY252,CY250))*(CY248/4)</f>
        <v>-9.5949749999999998</v>
      </c>
      <c r="CZ254" s="346">
        <f>-(AVERAGE(CZ252,CZ250))*(CZ248/4)</f>
        <v>-9.5949749999999998</v>
      </c>
      <c r="DA254" s="563"/>
      <c r="DB254" s="346">
        <f>-(AVERAGE(DB252,DB250))*(DB248/4)</f>
        <v>-9.5949749999999998</v>
      </c>
      <c r="DC254" s="346">
        <f>-(AVERAGE(DC252,DC250))*(DC248/4)</f>
        <v>-9.5949749999999998</v>
      </c>
      <c r="DD254" s="346">
        <f>-(AVERAGE(DD252,DD250))*(DD248/4)</f>
        <v>-9.5949749999999998</v>
      </c>
      <c r="DE254" s="346">
        <f>-(AVERAGE(DE252,DE250))*(DE248/4)</f>
        <v>-9.5949749999999998</v>
      </c>
      <c r="DF254" s="563"/>
    </row>
    <row r="255" spans="2:110" ht="12" thickBot="1" x14ac:dyDescent="0.25">
      <c r="B255" s="548" t="s">
        <v>207</v>
      </c>
      <c r="C255" s="205"/>
      <c r="D255" s="205"/>
      <c r="E255" s="205"/>
      <c r="F255" s="205"/>
      <c r="G255" s="205"/>
      <c r="H255" s="205"/>
      <c r="I255" s="205"/>
      <c r="J255" s="205"/>
      <c r="K255" s="205"/>
      <c r="L255" s="205"/>
      <c r="M255" s="205"/>
      <c r="N255" s="205"/>
      <c r="O255" s="205"/>
      <c r="P255" s="205"/>
      <c r="Q255" s="205"/>
      <c r="R255" s="205"/>
      <c r="S255" s="549"/>
      <c r="T255" s="549"/>
      <c r="U255" s="549"/>
      <c r="V255" s="327"/>
      <c r="W255" s="327"/>
      <c r="X255" s="327"/>
      <c r="Y255" s="550"/>
      <c r="Z255" s="549"/>
      <c r="AA255" s="549"/>
      <c r="AB255" s="549"/>
      <c r="AC255" s="549"/>
      <c r="AD255" s="550"/>
      <c r="AE255" s="549"/>
      <c r="AF255" s="549"/>
      <c r="AG255" s="549"/>
      <c r="AH255" s="549"/>
      <c r="AI255" s="550"/>
      <c r="AJ255" s="549"/>
      <c r="AK255" s="549"/>
      <c r="AL255" s="549"/>
      <c r="AM255" s="549"/>
      <c r="AN255" s="550"/>
      <c r="AO255" s="549"/>
      <c r="AP255" s="549"/>
      <c r="AQ255" s="549"/>
      <c r="AR255" s="549"/>
      <c r="AS255" s="550"/>
      <c r="AT255" s="549"/>
      <c r="AU255" s="549"/>
      <c r="AV255" s="549"/>
      <c r="AW255" s="549"/>
      <c r="AX255" s="550"/>
      <c r="AY255" s="549"/>
      <c r="AZ255" s="549"/>
      <c r="BA255" s="549"/>
      <c r="BB255" s="549"/>
      <c r="BC255" s="550"/>
      <c r="BD255" s="549"/>
      <c r="BE255" s="549"/>
      <c r="BF255" s="549"/>
      <c r="BG255" s="549">
        <f>-BG247*BG253/4</f>
        <v>0</v>
      </c>
      <c r="BH255" s="550"/>
      <c r="BI255" s="549">
        <f>-BI247*BI253/4</f>
        <v>0</v>
      </c>
      <c r="BJ255" s="549">
        <f>-BJ247*BJ253/4</f>
        <v>0</v>
      </c>
      <c r="BK255" s="549">
        <f>-BK247*BK253/4</f>
        <v>0</v>
      </c>
      <c r="BL255" s="549">
        <f>-BL247*BL253/4</f>
        <v>0</v>
      </c>
      <c r="BM255" s="550"/>
      <c r="BN255" s="549">
        <f>-BN247*BN253/4</f>
        <v>0</v>
      </c>
      <c r="BO255" s="549">
        <f>-BO247*BO253/4</f>
        <v>0</v>
      </c>
      <c r="BP255" s="549">
        <f>-BP247*BP253/4</f>
        <v>0</v>
      </c>
      <c r="BQ255" s="549">
        <f>-BQ247*BQ253/4</f>
        <v>0</v>
      </c>
      <c r="BR255" s="550"/>
      <c r="BS255" s="549">
        <f>-BS247*BS253/4</f>
        <v>0</v>
      </c>
      <c r="BT255" s="549">
        <f>-BT247*BT253/4</f>
        <v>0</v>
      </c>
      <c r="BU255" s="549">
        <f>-BU247*BU253/4</f>
        <v>0</v>
      </c>
      <c r="BV255" s="549">
        <f>-BV247*BV253/4</f>
        <v>0</v>
      </c>
      <c r="BW255" s="550"/>
      <c r="BX255" s="549">
        <f>-BX247*BX253/4</f>
        <v>0</v>
      </c>
      <c r="BY255" s="549">
        <f>-BY247*BY253/4</f>
        <v>0</v>
      </c>
      <c r="BZ255" s="549">
        <f>-BZ247*BZ253/4</f>
        <v>0</v>
      </c>
      <c r="CA255" s="549">
        <f>-CA247*CA253/4</f>
        <v>0</v>
      </c>
      <c r="CB255" s="565"/>
      <c r="CC255" s="549">
        <f>-CC247*CC253/4</f>
        <v>0</v>
      </c>
      <c r="CD255" s="549">
        <f>-CD247*CD253/4</f>
        <v>0</v>
      </c>
      <c r="CE255" s="549">
        <f>-CE247*CE253/4</f>
        <v>0</v>
      </c>
      <c r="CF255" s="549">
        <f>-CF247*CF253/4</f>
        <v>0</v>
      </c>
      <c r="CG255" s="565"/>
      <c r="CH255" s="549">
        <f>-CH247*CH253/4</f>
        <v>0</v>
      </c>
      <c r="CI255" s="549">
        <f>-CI247*CI253/4</f>
        <v>0</v>
      </c>
      <c r="CJ255" s="549">
        <f>-CJ247*CJ253/4</f>
        <v>0</v>
      </c>
      <c r="CK255" s="549">
        <f>-CK247*CK253/4</f>
        <v>0</v>
      </c>
      <c r="CL255" s="565"/>
      <c r="CM255" s="549">
        <f>-CM247*CM253/4</f>
        <v>0</v>
      </c>
      <c r="CN255" s="549">
        <f>-CN247*CN253/4</f>
        <v>0</v>
      </c>
      <c r="CO255" s="549">
        <f>-CO247*CO253/4</f>
        <v>0</v>
      </c>
      <c r="CP255" s="549">
        <f>-CP247*CP253/4</f>
        <v>0</v>
      </c>
      <c r="CQ255" s="565"/>
      <c r="CR255" s="549">
        <f>-CR247*CR253/4</f>
        <v>0</v>
      </c>
      <c r="CS255" s="549">
        <f>-CS247*CS253/4</f>
        <v>0</v>
      </c>
      <c r="CT255" s="549">
        <f>-CT247*CT253/4</f>
        <v>0</v>
      </c>
      <c r="CU255" s="549">
        <f>-CU247*CU253/4</f>
        <v>0</v>
      </c>
      <c r="CV255" s="565"/>
      <c r="CW255" s="549">
        <f>-CW247*CW253/4</f>
        <v>0</v>
      </c>
      <c r="CX255" s="549">
        <f>-CX247*CX253/4</f>
        <v>0</v>
      </c>
      <c r="CY255" s="549">
        <f>-CY247*CY253/4</f>
        <v>0</v>
      </c>
      <c r="CZ255" s="549">
        <f>-CZ247*CZ253/4</f>
        <v>0</v>
      </c>
      <c r="DA255" s="565"/>
      <c r="DB255" s="549">
        <f>-DB247*DB253/4</f>
        <v>0</v>
      </c>
      <c r="DC255" s="549">
        <f>-DC247*DC253/4</f>
        <v>0</v>
      </c>
      <c r="DD255" s="549">
        <f>-DD247*DD253/4</f>
        <v>0</v>
      </c>
      <c r="DE255" s="549">
        <f>-DE247*DE253/4</f>
        <v>0</v>
      </c>
      <c r="DF255" s="565"/>
    </row>
    <row r="256" spans="2:110" ht="12" thickBot="1" x14ac:dyDescent="0.25">
      <c r="B256" s="548"/>
      <c r="C256" s="205"/>
      <c r="D256" s="205"/>
      <c r="E256" s="205"/>
      <c r="F256" s="205"/>
      <c r="G256" s="205"/>
      <c r="H256" s="205"/>
      <c r="I256" s="205"/>
      <c r="J256" s="205"/>
      <c r="K256" s="205"/>
      <c r="L256" s="205"/>
      <c r="M256" s="205"/>
      <c r="N256" s="205"/>
      <c r="O256" s="205"/>
      <c r="P256" s="205"/>
      <c r="Q256" s="205"/>
      <c r="R256" s="205"/>
      <c r="S256" s="549"/>
      <c r="T256" s="549"/>
      <c r="U256" s="549"/>
      <c r="V256" s="327"/>
      <c r="W256" s="327"/>
      <c r="X256" s="327"/>
      <c r="Y256" s="549"/>
      <c r="Z256" s="549"/>
      <c r="AA256" s="549"/>
      <c r="AB256" s="549"/>
      <c r="AC256" s="549"/>
      <c r="AD256" s="549"/>
      <c r="AE256" s="549"/>
      <c r="AF256" s="549"/>
      <c r="AG256" s="549"/>
      <c r="AH256" s="549"/>
      <c r="AI256" s="549"/>
      <c r="AJ256" s="549"/>
      <c r="AK256" s="549"/>
      <c r="AL256" s="549"/>
      <c r="AM256" s="549"/>
      <c r="AN256" s="549"/>
      <c r="AO256" s="549"/>
      <c r="AP256" s="549"/>
      <c r="AQ256" s="549"/>
      <c r="AR256" s="549"/>
      <c r="AS256" s="549"/>
      <c r="AT256" s="549"/>
      <c r="AU256" s="549"/>
      <c r="AV256" s="549"/>
      <c r="AW256" s="549"/>
      <c r="AX256" s="549"/>
      <c r="AY256" s="549"/>
      <c r="AZ256" s="549"/>
      <c r="BA256" s="549"/>
      <c r="BB256" s="549"/>
      <c r="BC256" s="549"/>
      <c r="BD256" s="549"/>
      <c r="BE256" s="549"/>
      <c r="BF256" s="549"/>
      <c r="BG256" s="549"/>
      <c r="BH256" s="549"/>
      <c r="BI256" s="549"/>
      <c r="BJ256" s="549"/>
      <c r="BK256" s="549"/>
      <c r="BL256" s="549"/>
      <c r="BM256" s="549"/>
      <c r="BN256" s="549"/>
      <c r="BO256" s="549"/>
      <c r="BP256" s="549"/>
      <c r="BQ256" s="549"/>
      <c r="BR256" s="549"/>
      <c r="BS256" s="549"/>
      <c r="BT256" s="549"/>
      <c r="BU256" s="549"/>
      <c r="BV256" s="549"/>
      <c r="BW256" s="549"/>
      <c r="BX256" s="549"/>
      <c r="BY256" s="549"/>
      <c r="BZ256" s="549"/>
      <c r="CA256" s="549"/>
      <c r="CB256" s="1711"/>
      <c r="CC256" s="549"/>
      <c r="CD256" s="549"/>
      <c r="CE256" s="549"/>
      <c r="CF256" s="549"/>
      <c r="CG256" s="1711"/>
      <c r="CH256" s="549"/>
      <c r="CI256" s="549"/>
      <c r="CJ256" s="549"/>
      <c r="CK256" s="549"/>
      <c r="CL256" s="1711"/>
      <c r="CM256" s="549"/>
      <c r="CN256" s="549"/>
      <c r="CO256" s="549"/>
      <c r="CP256" s="549"/>
      <c r="CQ256" s="1711"/>
      <c r="CR256" s="549"/>
      <c r="CS256" s="549"/>
      <c r="CT256" s="549"/>
      <c r="CU256" s="549"/>
      <c r="CV256" s="1711"/>
      <c r="CW256" s="549"/>
      <c r="CX256" s="549"/>
      <c r="CY256" s="549"/>
      <c r="CZ256" s="549"/>
      <c r="DA256" s="1711"/>
      <c r="DB256" s="549"/>
      <c r="DC256" s="549"/>
      <c r="DD256" s="549"/>
      <c r="DE256" s="549"/>
      <c r="DF256" s="1711"/>
    </row>
    <row r="257" spans="2:110" s="326" customFormat="1" ht="12" thickBot="1" x14ac:dyDescent="0.25">
      <c r="B257" s="981" t="s">
        <v>589</v>
      </c>
      <c r="C257" s="989"/>
      <c r="D257" s="989"/>
      <c r="E257" s="989"/>
      <c r="F257" s="989"/>
      <c r="G257" s="989"/>
      <c r="H257" s="989"/>
      <c r="I257" s="989"/>
      <c r="J257" s="989"/>
      <c r="K257" s="989"/>
      <c r="L257" s="989"/>
      <c r="M257" s="989"/>
      <c r="N257" s="989"/>
      <c r="O257" s="989"/>
      <c r="P257" s="989"/>
      <c r="Q257" s="989"/>
      <c r="R257" s="989"/>
      <c r="S257" s="990"/>
      <c r="T257" s="990"/>
      <c r="U257" s="990"/>
      <c r="V257" s="991"/>
      <c r="W257" s="991"/>
      <c r="X257" s="991"/>
      <c r="Y257" s="990"/>
      <c r="Z257" s="990"/>
      <c r="AA257" s="990"/>
      <c r="AB257" s="990"/>
      <c r="AC257" s="990"/>
      <c r="AD257" s="990"/>
      <c r="AE257" s="990"/>
      <c r="AF257" s="990"/>
      <c r="AG257" s="990"/>
      <c r="AH257" s="990"/>
      <c r="AI257" s="990"/>
      <c r="AJ257" s="990"/>
      <c r="AK257" s="990"/>
      <c r="AL257" s="990"/>
      <c r="AM257" s="990"/>
      <c r="AN257" s="990"/>
      <c r="AO257" s="990"/>
      <c r="AP257" s="990"/>
      <c r="AQ257" s="990"/>
      <c r="AR257" s="990"/>
      <c r="AS257" s="990"/>
      <c r="AT257" s="990"/>
      <c r="AU257" s="990"/>
      <c r="AV257" s="990"/>
      <c r="AW257" s="990"/>
      <c r="AX257" s="990"/>
      <c r="AY257" s="990"/>
      <c r="AZ257" s="990"/>
      <c r="BA257" s="990"/>
      <c r="BB257" s="990"/>
      <c r="BC257" s="990"/>
      <c r="BD257" s="990"/>
      <c r="BE257" s="990"/>
      <c r="BF257" s="990"/>
      <c r="BG257" s="990"/>
      <c r="BH257" s="990"/>
      <c r="BI257" s="990"/>
      <c r="BJ257" s="990"/>
      <c r="BK257" s="990"/>
      <c r="BL257" s="990"/>
      <c r="BM257" s="990"/>
      <c r="BN257" s="990"/>
      <c r="BO257" s="990"/>
      <c r="BP257" s="990"/>
      <c r="BQ257" s="990"/>
      <c r="BR257" s="990"/>
      <c r="BS257" s="990"/>
      <c r="BT257" s="990"/>
      <c r="BU257" s="990"/>
      <c r="BV257" s="990"/>
      <c r="BW257" s="990"/>
      <c r="BX257" s="990"/>
      <c r="BY257" s="990"/>
      <c r="BZ257" s="990"/>
      <c r="CA257" s="990"/>
      <c r="CB257" s="992"/>
      <c r="CC257" s="990"/>
      <c r="CD257" s="990"/>
      <c r="CE257" s="990"/>
      <c r="CF257" s="990"/>
      <c r="CG257" s="992"/>
      <c r="CH257" s="990"/>
      <c r="CI257" s="990"/>
      <c r="CJ257" s="990"/>
      <c r="CK257" s="990"/>
      <c r="CL257" s="992"/>
      <c r="CM257" s="990"/>
      <c r="CN257" s="990"/>
      <c r="CO257" s="990"/>
      <c r="CP257" s="990"/>
      <c r="CQ257" s="992"/>
      <c r="CR257" s="990"/>
      <c r="CS257" s="990"/>
      <c r="CT257" s="990"/>
      <c r="CU257" s="990"/>
      <c r="CV257" s="992"/>
      <c r="CW257" s="990"/>
      <c r="CX257" s="990"/>
      <c r="CY257" s="990"/>
      <c r="CZ257" s="990"/>
      <c r="DA257" s="992"/>
      <c r="DB257" s="990"/>
      <c r="DC257" s="990"/>
      <c r="DD257" s="990"/>
      <c r="DE257" s="990"/>
      <c r="DF257" s="992"/>
    </row>
    <row r="258" spans="2:110" x14ac:dyDescent="0.2">
      <c r="B258" s="591" t="s">
        <v>203</v>
      </c>
      <c r="C258" s="561"/>
      <c r="D258" s="561"/>
      <c r="E258" s="561"/>
      <c r="F258" s="561"/>
      <c r="G258" s="561"/>
      <c r="H258" s="561"/>
      <c r="I258" s="561"/>
      <c r="J258" s="561"/>
      <c r="K258" s="561"/>
      <c r="L258" s="561"/>
      <c r="M258" s="561"/>
      <c r="N258" s="561"/>
      <c r="O258" s="561"/>
      <c r="P258" s="561"/>
      <c r="Q258" s="561"/>
      <c r="R258" s="561"/>
      <c r="S258" s="531"/>
      <c r="T258" s="531"/>
      <c r="U258" s="531"/>
      <c r="V258" s="577"/>
      <c r="W258" s="577"/>
      <c r="X258" s="577"/>
      <c r="Y258" s="532"/>
      <c r="Z258" s="531"/>
      <c r="AA258" s="531"/>
      <c r="AB258" s="531"/>
      <c r="AC258" s="531"/>
      <c r="AD258" s="532"/>
      <c r="AE258" s="531"/>
      <c r="AF258" s="531"/>
      <c r="AG258" s="531"/>
      <c r="AH258" s="531"/>
      <c r="AI258" s="532"/>
      <c r="AJ258" s="531"/>
      <c r="AK258" s="531"/>
      <c r="AL258" s="531"/>
      <c r="AM258" s="531"/>
      <c r="AN258" s="532"/>
      <c r="AO258" s="531"/>
      <c r="AP258" s="531"/>
      <c r="AQ258" s="531"/>
      <c r="AR258" s="531"/>
      <c r="AS258" s="532"/>
      <c r="AT258" s="531"/>
      <c r="AU258" s="588"/>
      <c r="AV258" s="54"/>
      <c r="AW258" s="54"/>
      <c r="AX258" s="532"/>
      <c r="AY258" s="54"/>
      <c r="AZ258" s="54"/>
      <c r="BA258" s="54"/>
      <c r="BB258" s="54"/>
      <c r="BC258" s="532"/>
      <c r="BD258" s="54"/>
      <c r="BE258" s="588"/>
      <c r="BF258" s="54"/>
      <c r="BG258" s="54"/>
      <c r="BH258" s="532"/>
      <c r="BI258" s="54"/>
      <c r="BJ258" s="54"/>
      <c r="BK258" s="54"/>
      <c r="BL258" s="54"/>
      <c r="BM258" s="532"/>
      <c r="BN258" s="54"/>
      <c r="BO258" s="54"/>
      <c r="BP258" s="54"/>
      <c r="BQ258" s="54"/>
      <c r="BR258" s="532"/>
      <c r="BS258" s="54"/>
      <c r="BT258" s="54">
        <v>0</v>
      </c>
      <c r="BU258" s="54">
        <f t="shared" ref="BU258:BV260" si="407">BT258</f>
        <v>0</v>
      </c>
      <c r="BV258" s="54">
        <f t="shared" si="407"/>
        <v>0</v>
      </c>
      <c r="BW258" s="532"/>
      <c r="BX258" s="54">
        <f>BV258</f>
        <v>0</v>
      </c>
      <c r="BY258" s="54">
        <f t="shared" ref="BY258:CA260" si="408">BX258</f>
        <v>0</v>
      </c>
      <c r="BZ258" s="54">
        <f t="shared" si="408"/>
        <v>0</v>
      </c>
      <c r="CA258" s="54">
        <f t="shared" si="408"/>
        <v>0</v>
      </c>
      <c r="CB258" s="562"/>
      <c r="CC258" s="54">
        <f>CA258</f>
        <v>0</v>
      </c>
      <c r="CD258" s="54">
        <f t="shared" ref="CD258:CF260" si="409">CC258</f>
        <v>0</v>
      </c>
      <c r="CE258" s="54">
        <f t="shared" si="409"/>
        <v>0</v>
      </c>
      <c r="CF258" s="54">
        <f t="shared" si="409"/>
        <v>0</v>
      </c>
      <c r="CG258" s="562"/>
      <c r="CH258" s="54">
        <f>CF258</f>
        <v>0</v>
      </c>
      <c r="CI258" s="54">
        <f t="shared" ref="CI258:CK260" si="410">CH258</f>
        <v>0</v>
      </c>
      <c r="CJ258" s="54">
        <f t="shared" si="410"/>
        <v>0</v>
      </c>
      <c r="CK258" s="54">
        <f t="shared" si="410"/>
        <v>0</v>
      </c>
      <c r="CL258" s="562"/>
      <c r="CM258" s="54">
        <f>CK258</f>
        <v>0</v>
      </c>
      <c r="CN258" s="54">
        <f t="shared" ref="CN258:CP260" si="411">CM258</f>
        <v>0</v>
      </c>
      <c r="CO258" s="54">
        <f t="shared" si="411"/>
        <v>0</v>
      </c>
      <c r="CP258" s="54">
        <f t="shared" si="411"/>
        <v>0</v>
      </c>
      <c r="CQ258" s="562"/>
      <c r="CR258" s="54">
        <f>CP258</f>
        <v>0</v>
      </c>
      <c r="CS258" s="54">
        <f t="shared" ref="CS258:CS260" si="412">CR258</f>
        <v>0</v>
      </c>
      <c r="CT258" s="54">
        <f t="shared" ref="CT258:CT260" si="413">CS258</f>
        <v>0</v>
      </c>
      <c r="CU258" s="54">
        <f t="shared" ref="CU258:CU260" si="414">CT258</f>
        <v>0</v>
      </c>
      <c r="CV258" s="562"/>
      <c r="CW258" s="54">
        <f>CU258</f>
        <v>0</v>
      </c>
      <c r="CX258" s="54">
        <f t="shared" ref="CX258:CX260" si="415">CW258</f>
        <v>0</v>
      </c>
      <c r="CY258" s="54">
        <f t="shared" ref="CY258:CY260" si="416">CX258</f>
        <v>0</v>
      </c>
      <c r="CZ258" s="54">
        <f t="shared" ref="CZ258:CZ260" si="417">CY258</f>
        <v>0</v>
      </c>
      <c r="DA258" s="562"/>
      <c r="DB258" s="54">
        <f>CZ258</f>
        <v>0</v>
      </c>
      <c r="DC258" s="54">
        <f t="shared" ref="DC258:DC260" si="418">DB258</f>
        <v>0</v>
      </c>
      <c r="DD258" s="54">
        <f t="shared" ref="DD258:DD260" si="419">DC258</f>
        <v>0</v>
      </c>
      <c r="DE258" s="54">
        <f t="shared" ref="DE258:DE260" si="420">DD258</f>
        <v>0</v>
      </c>
      <c r="DF258" s="562"/>
    </row>
    <row r="259" spans="2:110" x14ac:dyDescent="0.2">
      <c r="B259" s="578" t="s">
        <v>204</v>
      </c>
      <c r="C259" s="145"/>
      <c r="D259" s="145"/>
      <c r="E259" s="145"/>
      <c r="F259" s="145"/>
      <c r="G259" s="145"/>
      <c r="H259" s="145"/>
      <c r="I259" s="145"/>
      <c r="J259" s="145"/>
      <c r="K259" s="145"/>
      <c r="L259" s="145"/>
      <c r="M259" s="145"/>
      <c r="N259" s="145"/>
      <c r="O259" s="145"/>
      <c r="P259" s="145"/>
      <c r="Q259" s="145"/>
      <c r="R259" s="145"/>
      <c r="S259" s="346"/>
      <c r="T259" s="346"/>
      <c r="U259" s="346"/>
      <c r="V259" s="326"/>
      <c r="W259" s="326"/>
      <c r="X259" s="326"/>
      <c r="Y259" s="340"/>
      <c r="Z259" s="346"/>
      <c r="AA259" s="346"/>
      <c r="AB259" s="346"/>
      <c r="AC259" s="346"/>
      <c r="AD259" s="340"/>
      <c r="AE259" s="346"/>
      <c r="AF259" s="346"/>
      <c r="AG259" s="346"/>
      <c r="AH259" s="346"/>
      <c r="AI259" s="340"/>
      <c r="AJ259" s="346"/>
      <c r="AK259" s="346"/>
      <c r="AL259" s="346"/>
      <c r="AM259" s="346"/>
      <c r="AN259" s="340"/>
      <c r="AO259" s="346"/>
      <c r="AP259" s="346"/>
      <c r="AQ259" s="346"/>
      <c r="AR259" s="346"/>
      <c r="AS259" s="340"/>
      <c r="AT259" s="346"/>
      <c r="AU259" s="267"/>
      <c r="AV259" s="146"/>
      <c r="AW259" s="146"/>
      <c r="AX259" s="340"/>
      <c r="AY259" s="146"/>
      <c r="AZ259" s="146"/>
      <c r="BA259" s="146"/>
      <c r="BB259" s="146"/>
      <c r="BC259" s="340"/>
      <c r="BD259" s="146"/>
      <c r="BE259" s="267"/>
      <c r="BF259" s="146"/>
      <c r="BG259" s="146"/>
      <c r="BH259" s="340"/>
      <c r="BI259" s="146"/>
      <c r="BJ259" s="146"/>
      <c r="BK259" s="146"/>
      <c r="BL259" s="146"/>
      <c r="BM259" s="340"/>
      <c r="BN259" s="146"/>
      <c r="BO259" s="146"/>
      <c r="BP259" s="146"/>
      <c r="BQ259" s="146"/>
      <c r="BR259" s="340"/>
      <c r="BS259" s="146"/>
      <c r="BT259" s="146">
        <v>3.5000000000000003E-2</v>
      </c>
      <c r="BU259" s="146">
        <f t="shared" si="407"/>
        <v>3.5000000000000003E-2</v>
      </c>
      <c r="BV259" s="146">
        <f t="shared" si="407"/>
        <v>3.5000000000000003E-2</v>
      </c>
      <c r="BW259" s="340"/>
      <c r="BX259" s="146">
        <f>BV259</f>
        <v>3.5000000000000003E-2</v>
      </c>
      <c r="BY259" s="146">
        <f t="shared" si="408"/>
        <v>3.5000000000000003E-2</v>
      </c>
      <c r="BZ259" s="146">
        <f t="shared" si="408"/>
        <v>3.5000000000000003E-2</v>
      </c>
      <c r="CA259" s="146">
        <f t="shared" si="408"/>
        <v>3.5000000000000003E-2</v>
      </c>
      <c r="CB259" s="563"/>
      <c r="CC259" s="146">
        <f>CA259</f>
        <v>3.5000000000000003E-2</v>
      </c>
      <c r="CD259" s="146">
        <f t="shared" si="409"/>
        <v>3.5000000000000003E-2</v>
      </c>
      <c r="CE259" s="146">
        <f t="shared" si="409"/>
        <v>3.5000000000000003E-2</v>
      </c>
      <c r="CF259" s="146">
        <f t="shared" si="409"/>
        <v>3.5000000000000003E-2</v>
      </c>
      <c r="CG259" s="563"/>
      <c r="CH259" s="146">
        <f>CF259</f>
        <v>3.5000000000000003E-2</v>
      </c>
      <c r="CI259" s="146">
        <f t="shared" si="410"/>
        <v>3.5000000000000003E-2</v>
      </c>
      <c r="CJ259" s="146">
        <f t="shared" si="410"/>
        <v>3.5000000000000003E-2</v>
      </c>
      <c r="CK259" s="146">
        <f t="shared" si="410"/>
        <v>3.5000000000000003E-2</v>
      </c>
      <c r="CL259" s="563"/>
      <c r="CM259" s="146">
        <f>CK259</f>
        <v>3.5000000000000003E-2</v>
      </c>
      <c r="CN259" s="146">
        <f t="shared" si="411"/>
        <v>3.5000000000000003E-2</v>
      </c>
      <c r="CO259" s="146">
        <f t="shared" si="411"/>
        <v>3.5000000000000003E-2</v>
      </c>
      <c r="CP259" s="146">
        <f t="shared" si="411"/>
        <v>3.5000000000000003E-2</v>
      </c>
      <c r="CQ259" s="563"/>
      <c r="CR259" s="146">
        <f>CP259</f>
        <v>3.5000000000000003E-2</v>
      </c>
      <c r="CS259" s="146">
        <f t="shared" si="412"/>
        <v>3.5000000000000003E-2</v>
      </c>
      <c r="CT259" s="146">
        <f t="shared" si="413"/>
        <v>3.5000000000000003E-2</v>
      </c>
      <c r="CU259" s="146">
        <f t="shared" si="414"/>
        <v>3.5000000000000003E-2</v>
      </c>
      <c r="CV259" s="563"/>
      <c r="CW259" s="146">
        <f>CU259</f>
        <v>3.5000000000000003E-2</v>
      </c>
      <c r="CX259" s="146">
        <f t="shared" si="415"/>
        <v>3.5000000000000003E-2</v>
      </c>
      <c r="CY259" s="146">
        <f t="shared" si="416"/>
        <v>3.5000000000000003E-2</v>
      </c>
      <c r="CZ259" s="146">
        <f t="shared" si="417"/>
        <v>3.5000000000000003E-2</v>
      </c>
      <c r="DA259" s="563"/>
      <c r="DB259" s="146">
        <f>CZ259</f>
        <v>3.5000000000000003E-2</v>
      </c>
      <c r="DC259" s="146">
        <f t="shared" si="418"/>
        <v>3.5000000000000003E-2</v>
      </c>
      <c r="DD259" s="146">
        <f t="shared" si="419"/>
        <v>3.5000000000000003E-2</v>
      </c>
      <c r="DE259" s="146">
        <f t="shared" si="420"/>
        <v>3.5000000000000003E-2</v>
      </c>
      <c r="DF259" s="563"/>
    </row>
    <row r="260" spans="2:110" x14ac:dyDescent="0.2">
      <c r="B260" s="536" t="s">
        <v>197</v>
      </c>
      <c r="C260" s="145"/>
      <c r="D260" s="145"/>
      <c r="E260" s="145"/>
      <c r="F260" s="145"/>
      <c r="G260" s="145"/>
      <c r="H260" s="145"/>
      <c r="I260" s="145"/>
      <c r="J260" s="145"/>
      <c r="K260" s="145"/>
      <c r="L260" s="145"/>
      <c r="M260" s="145"/>
      <c r="N260" s="145"/>
      <c r="O260" s="145"/>
      <c r="P260" s="145"/>
      <c r="Q260" s="145"/>
      <c r="R260" s="145"/>
      <c r="S260" s="346"/>
      <c r="T260" s="346"/>
      <c r="U260" s="346"/>
      <c r="V260" s="326"/>
      <c r="W260" s="326"/>
      <c r="X260" s="326"/>
      <c r="Y260" s="340"/>
      <c r="Z260" s="346"/>
      <c r="AA260" s="346"/>
      <c r="AB260" s="346"/>
      <c r="AC260" s="346"/>
      <c r="AD260" s="340"/>
      <c r="AE260" s="346"/>
      <c r="AF260" s="346"/>
      <c r="AG260" s="346"/>
      <c r="AH260" s="346"/>
      <c r="AI260" s="340"/>
      <c r="AJ260" s="346"/>
      <c r="AK260" s="346"/>
      <c r="AL260" s="346"/>
      <c r="AM260" s="346"/>
      <c r="AN260" s="340"/>
      <c r="AO260" s="346"/>
      <c r="AP260" s="346"/>
      <c r="AQ260" s="346"/>
      <c r="AR260" s="346"/>
      <c r="AS260" s="340"/>
      <c r="AT260" s="346"/>
      <c r="AU260" s="623"/>
      <c r="AV260" s="625"/>
      <c r="AW260" s="625"/>
      <c r="AX260" s="340"/>
      <c r="AY260" s="346"/>
      <c r="AZ260" s="346"/>
      <c r="BA260" s="346"/>
      <c r="BB260" s="346"/>
      <c r="BC260" s="340"/>
      <c r="BD260" s="346"/>
      <c r="BE260" s="623"/>
      <c r="BF260" s="346"/>
      <c r="BG260" s="346"/>
      <c r="BH260" s="340"/>
      <c r="BI260" s="346"/>
      <c r="BJ260" s="346"/>
      <c r="BK260" s="346"/>
      <c r="BL260" s="346"/>
      <c r="BM260" s="340"/>
      <c r="BN260" s="346"/>
      <c r="BO260" s="346"/>
      <c r="BP260" s="346"/>
      <c r="BQ260" s="346"/>
      <c r="BR260" s="340"/>
      <c r="BS260" s="346">
        <f>BQ260</f>
        <v>0</v>
      </c>
      <c r="BT260" s="346">
        <v>1000</v>
      </c>
      <c r="BU260" s="346">
        <f t="shared" si="407"/>
        <v>1000</v>
      </c>
      <c r="BV260" s="346">
        <f t="shared" si="407"/>
        <v>1000</v>
      </c>
      <c r="BW260" s="340"/>
      <c r="BX260" s="346">
        <f>BV260</f>
        <v>1000</v>
      </c>
      <c r="BY260" s="346">
        <f t="shared" si="408"/>
        <v>1000</v>
      </c>
      <c r="BZ260" s="346">
        <f t="shared" si="408"/>
        <v>1000</v>
      </c>
      <c r="CA260" s="346">
        <f t="shared" si="408"/>
        <v>1000</v>
      </c>
      <c r="CB260" s="563"/>
      <c r="CC260" s="346">
        <f>CA260</f>
        <v>1000</v>
      </c>
      <c r="CD260" s="346">
        <f t="shared" si="409"/>
        <v>1000</v>
      </c>
      <c r="CE260" s="346">
        <f t="shared" si="409"/>
        <v>1000</v>
      </c>
      <c r="CF260" s="346">
        <f t="shared" si="409"/>
        <v>1000</v>
      </c>
      <c r="CG260" s="563"/>
      <c r="CH260" s="346">
        <f>CF260</f>
        <v>1000</v>
      </c>
      <c r="CI260" s="346">
        <f t="shared" si="410"/>
        <v>1000</v>
      </c>
      <c r="CJ260" s="346">
        <f t="shared" si="410"/>
        <v>1000</v>
      </c>
      <c r="CK260" s="346">
        <f t="shared" si="410"/>
        <v>1000</v>
      </c>
      <c r="CL260" s="563"/>
      <c r="CM260" s="346">
        <f>CK260</f>
        <v>1000</v>
      </c>
      <c r="CN260" s="346">
        <f t="shared" si="411"/>
        <v>1000</v>
      </c>
      <c r="CO260" s="346">
        <f t="shared" si="411"/>
        <v>1000</v>
      </c>
      <c r="CP260" s="346">
        <f t="shared" si="411"/>
        <v>1000</v>
      </c>
      <c r="CQ260" s="563"/>
      <c r="CR260" s="346">
        <f>CP260</f>
        <v>1000</v>
      </c>
      <c r="CS260" s="346">
        <f t="shared" si="412"/>
        <v>1000</v>
      </c>
      <c r="CT260" s="346">
        <f t="shared" si="413"/>
        <v>1000</v>
      </c>
      <c r="CU260" s="346">
        <f t="shared" si="414"/>
        <v>1000</v>
      </c>
      <c r="CV260" s="563"/>
      <c r="CW260" s="346">
        <f>CU260</f>
        <v>1000</v>
      </c>
      <c r="CX260" s="346">
        <f t="shared" si="415"/>
        <v>1000</v>
      </c>
      <c r="CY260" s="346">
        <f t="shared" si="416"/>
        <v>1000</v>
      </c>
      <c r="CZ260" s="346">
        <f t="shared" si="417"/>
        <v>1000</v>
      </c>
      <c r="DA260" s="563"/>
      <c r="DB260" s="346">
        <f>CZ260</f>
        <v>1000</v>
      </c>
      <c r="DC260" s="346">
        <f t="shared" si="418"/>
        <v>1000</v>
      </c>
      <c r="DD260" s="346">
        <f t="shared" si="419"/>
        <v>1000</v>
      </c>
      <c r="DE260" s="346">
        <f t="shared" si="420"/>
        <v>1000</v>
      </c>
      <c r="DF260" s="563"/>
    </row>
    <row r="261" spans="2:110" x14ac:dyDescent="0.2">
      <c r="B261" s="544" t="s">
        <v>198</v>
      </c>
      <c r="C261" s="145"/>
      <c r="D261" s="145"/>
      <c r="E261" s="145"/>
      <c r="F261" s="145"/>
      <c r="G261" s="145"/>
      <c r="H261" s="145"/>
      <c r="I261" s="145"/>
      <c r="J261" s="145"/>
      <c r="K261" s="145"/>
      <c r="L261" s="145"/>
      <c r="M261" s="145"/>
      <c r="N261" s="145"/>
      <c r="O261" s="145"/>
      <c r="P261" s="145"/>
      <c r="Q261" s="145"/>
      <c r="R261" s="145"/>
      <c r="S261" s="346"/>
      <c r="T261" s="346"/>
      <c r="U261" s="346"/>
      <c r="V261" s="326"/>
      <c r="W261" s="326"/>
      <c r="X261" s="326"/>
      <c r="Y261" s="340"/>
      <c r="Z261" s="346"/>
      <c r="AA261" s="346"/>
      <c r="AB261" s="346"/>
      <c r="AC261" s="346"/>
      <c r="AD261" s="340"/>
      <c r="AE261" s="346"/>
      <c r="AF261" s="346"/>
      <c r="AG261" s="346"/>
      <c r="AH261" s="346"/>
      <c r="AI261" s="340"/>
      <c r="AJ261" s="346"/>
      <c r="AK261" s="346"/>
      <c r="AL261" s="346"/>
      <c r="AM261" s="346"/>
      <c r="AN261" s="340"/>
      <c r="AO261" s="346"/>
      <c r="AP261" s="346"/>
      <c r="AQ261" s="346"/>
      <c r="AR261" s="346"/>
      <c r="AS261" s="340"/>
      <c r="AT261" s="346"/>
      <c r="AU261" s="623"/>
      <c r="AV261" s="625"/>
      <c r="AW261" s="625"/>
      <c r="AX261" s="340"/>
      <c r="AY261" s="346"/>
      <c r="AZ261" s="346"/>
      <c r="BA261" s="346"/>
      <c r="BB261" s="346"/>
      <c r="BC261" s="340"/>
      <c r="BD261" s="346"/>
      <c r="BE261" s="623"/>
      <c r="BF261" s="346"/>
      <c r="BG261" s="346"/>
      <c r="BH261" s="340"/>
      <c r="BI261" s="346"/>
      <c r="BJ261" s="346"/>
      <c r="BK261" s="346"/>
      <c r="BL261" s="346"/>
      <c r="BM261" s="340"/>
      <c r="BN261" s="346"/>
      <c r="BO261" s="346"/>
      <c r="BP261" s="346"/>
      <c r="BQ261" s="346"/>
      <c r="BR261" s="340"/>
      <c r="BS261" s="346">
        <f>BQ263</f>
        <v>0</v>
      </c>
      <c r="BT261" s="346">
        <v>0</v>
      </c>
      <c r="BU261" s="346">
        <f>BT263</f>
        <v>992.8</v>
      </c>
      <c r="BV261" s="346">
        <f>BU263</f>
        <v>992.9</v>
      </c>
      <c r="BW261" s="340"/>
      <c r="BX261" s="346">
        <f>BV263</f>
        <v>993.1</v>
      </c>
      <c r="BY261" s="346">
        <f>BX263</f>
        <v>993.2</v>
      </c>
      <c r="BZ261" s="346">
        <f>BY263</f>
        <v>993.2</v>
      </c>
      <c r="CA261" s="346">
        <f>BZ263</f>
        <v>993.30000000000007</v>
      </c>
      <c r="CB261" s="563"/>
      <c r="CC261" s="346">
        <f>CA263</f>
        <v>993.40000000000009</v>
      </c>
      <c r="CD261" s="346">
        <f>CC263</f>
        <v>993.50000000000011</v>
      </c>
      <c r="CE261" s="346">
        <f>CD263</f>
        <v>993.60000000000014</v>
      </c>
      <c r="CF261" s="346">
        <f>CE263</f>
        <v>987.90000000000009</v>
      </c>
      <c r="CG261" s="563"/>
      <c r="CH261" s="346">
        <f>CF263</f>
        <v>988.30000000000007</v>
      </c>
      <c r="CI261" s="346">
        <f>CH263</f>
        <v>988.30000000000007</v>
      </c>
      <c r="CJ261" s="346">
        <f>CI263</f>
        <v>988.30000000000007</v>
      </c>
      <c r="CK261" s="346">
        <f>CJ263</f>
        <v>988.30000000000007</v>
      </c>
      <c r="CL261" s="563"/>
      <c r="CM261" s="346">
        <f>CK263</f>
        <v>988.30000000000007</v>
      </c>
      <c r="CN261" s="346">
        <f>CM263</f>
        <v>988.30000000000007</v>
      </c>
      <c r="CO261" s="346">
        <f>CN263</f>
        <v>988.30000000000007</v>
      </c>
      <c r="CP261" s="346">
        <f>CO263</f>
        <v>988.30000000000007</v>
      </c>
      <c r="CQ261" s="563"/>
      <c r="CR261" s="346">
        <f>CP263</f>
        <v>988.30000000000007</v>
      </c>
      <c r="CS261" s="346">
        <f>CR263</f>
        <v>988.30000000000007</v>
      </c>
      <c r="CT261" s="346">
        <f>CS263</f>
        <v>988.30000000000007</v>
      </c>
      <c r="CU261" s="346">
        <f>CT263</f>
        <v>988.30000000000007</v>
      </c>
      <c r="CV261" s="563"/>
      <c r="CW261" s="346">
        <f>CU263</f>
        <v>988.30000000000007</v>
      </c>
      <c r="CX261" s="346">
        <f>CW263</f>
        <v>988.30000000000007</v>
      </c>
      <c r="CY261" s="346">
        <f>CX263</f>
        <v>988.30000000000007</v>
      </c>
      <c r="CZ261" s="346">
        <f>CY263</f>
        <v>988.30000000000007</v>
      </c>
      <c r="DA261" s="563"/>
      <c r="DB261" s="346">
        <f>CZ263</f>
        <v>988.30000000000007</v>
      </c>
      <c r="DC261" s="346">
        <f>DB263</f>
        <v>988.30000000000007</v>
      </c>
      <c r="DD261" s="346">
        <f>DC263</f>
        <v>988.30000000000007</v>
      </c>
      <c r="DE261" s="346">
        <f>DD263</f>
        <v>988.30000000000007</v>
      </c>
      <c r="DF261" s="563"/>
    </row>
    <row r="262" spans="2:110" x14ac:dyDescent="0.2">
      <c r="B262" s="589" t="s">
        <v>199</v>
      </c>
      <c r="C262" s="359"/>
      <c r="D262" s="359"/>
      <c r="E262" s="359"/>
      <c r="F262" s="359"/>
      <c r="G262" s="359"/>
      <c r="H262" s="359"/>
      <c r="I262" s="359"/>
      <c r="J262" s="359"/>
      <c r="K262" s="359"/>
      <c r="L262" s="359"/>
      <c r="M262" s="359"/>
      <c r="N262" s="359"/>
      <c r="O262" s="359"/>
      <c r="P262" s="359"/>
      <c r="Q262" s="359"/>
      <c r="R262" s="359"/>
      <c r="S262" s="347"/>
      <c r="T262" s="347"/>
      <c r="U262" s="347"/>
      <c r="V262" s="377"/>
      <c r="W262" s="377"/>
      <c r="X262" s="377"/>
      <c r="Y262" s="343"/>
      <c r="Z262" s="347"/>
      <c r="AA262" s="347"/>
      <c r="AB262" s="347"/>
      <c r="AC262" s="347"/>
      <c r="AD262" s="343"/>
      <c r="AE262" s="347"/>
      <c r="AF262" s="347"/>
      <c r="AG262" s="347"/>
      <c r="AH262" s="347"/>
      <c r="AI262" s="343"/>
      <c r="AJ262" s="347"/>
      <c r="AK262" s="347"/>
      <c r="AL262" s="347"/>
      <c r="AM262" s="347"/>
      <c r="AN262" s="343"/>
      <c r="AO262" s="347"/>
      <c r="AP262" s="347"/>
      <c r="AQ262" s="347"/>
      <c r="AR262" s="347"/>
      <c r="AS262" s="343"/>
      <c r="AT262" s="347"/>
      <c r="AU262" s="629"/>
      <c r="AV262" s="642"/>
      <c r="AW262" s="629"/>
      <c r="AX262" s="343"/>
      <c r="AY262" s="347"/>
      <c r="AZ262" s="347"/>
      <c r="BA262" s="347"/>
      <c r="BB262" s="347"/>
      <c r="BC262" s="343"/>
      <c r="BD262" s="347"/>
      <c r="BE262" s="629"/>
      <c r="BF262" s="347"/>
      <c r="BG262" s="347"/>
      <c r="BH262" s="343"/>
      <c r="BI262" s="347"/>
      <c r="BJ262" s="347"/>
      <c r="BK262" s="347"/>
      <c r="BL262" s="348"/>
      <c r="BM262" s="343"/>
      <c r="BN262" s="348"/>
      <c r="BO262" s="347"/>
      <c r="BP262" s="348"/>
      <c r="BQ262" s="347"/>
      <c r="BR262" s="343"/>
      <c r="BS262" s="347">
        <f>BQ262</f>
        <v>0</v>
      </c>
      <c r="BT262" s="348">
        <v>992.8</v>
      </c>
      <c r="BU262" s="1716">
        <f>BU263-BU261</f>
        <v>0.10000000000002274</v>
      </c>
      <c r="BV262" s="1716">
        <f>BV263-BV261</f>
        <v>0.20000000000004547</v>
      </c>
      <c r="BW262" s="343"/>
      <c r="BX262" s="347">
        <f>993.2-BX261</f>
        <v>0.10000000000002274</v>
      </c>
      <c r="BY262" s="347">
        <v>0</v>
      </c>
      <c r="BZ262" s="347">
        <v>0.10000000000002274</v>
      </c>
      <c r="CA262" s="347">
        <f>BZ262</f>
        <v>0.10000000000002274</v>
      </c>
      <c r="CB262" s="585"/>
      <c r="CC262" s="347">
        <f>CA262</f>
        <v>0.10000000000002274</v>
      </c>
      <c r="CD262" s="347">
        <f>CC262</f>
        <v>0.10000000000002274</v>
      </c>
      <c r="CE262" s="347">
        <v>-5.7</v>
      </c>
      <c r="CF262" s="347">
        <v>0.4</v>
      </c>
      <c r="CG262" s="585"/>
      <c r="CH262" s="347">
        <v>0</v>
      </c>
      <c r="CI262" s="347">
        <f>CH262</f>
        <v>0</v>
      </c>
      <c r="CJ262" s="347">
        <f>CI262</f>
        <v>0</v>
      </c>
      <c r="CK262" s="347">
        <f>CJ262</f>
        <v>0</v>
      </c>
      <c r="CL262" s="585"/>
      <c r="CM262" s="347">
        <f>CK262</f>
        <v>0</v>
      </c>
      <c r="CN262" s="347">
        <f>CM262</f>
        <v>0</v>
      </c>
      <c r="CO262" s="347">
        <f>CN262</f>
        <v>0</v>
      </c>
      <c r="CP262" s="347">
        <f>CO262</f>
        <v>0</v>
      </c>
      <c r="CQ262" s="585"/>
      <c r="CR262" s="347">
        <f>CP262</f>
        <v>0</v>
      </c>
      <c r="CS262" s="347">
        <f>CR262</f>
        <v>0</v>
      </c>
      <c r="CT262" s="347">
        <f>CS262</f>
        <v>0</v>
      </c>
      <c r="CU262" s="347">
        <f>CT262</f>
        <v>0</v>
      </c>
      <c r="CV262" s="585"/>
      <c r="CW262" s="347">
        <f>CU262</f>
        <v>0</v>
      </c>
      <c r="CX262" s="347">
        <f>CW262</f>
        <v>0</v>
      </c>
      <c r="CY262" s="347">
        <f>CX262</f>
        <v>0</v>
      </c>
      <c r="CZ262" s="347">
        <f>CY262</f>
        <v>0</v>
      </c>
      <c r="DA262" s="585"/>
      <c r="DB262" s="347">
        <f>CZ262</f>
        <v>0</v>
      </c>
      <c r="DC262" s="347">
        <f>DB262</f>
        <v>0</v>
      </c>
      <c r="DD262" s="347">
        <f>DC262</f>
        <v>0</v>
      </c>
      <c r="DE262" s="347">
        <f>DD262</f>
        <v>0</v>
      </c>
      <c r="DF262" s="585"/>
    </row>
    <row r="263" spans="2:110" x14ac:dyDescent="0.2">
      <c r="B263" s="544" t="s">
        <v>200</v>
      </c>
      <c r="C263" s="145"/>
      <c r="D263" s="145"/>
      <c r="E263" s="145"/>
      <c r="F263" s="145"/>
      <c r="G263" s="145"/>
      <c r="H263" s="145"/>
      <c r="I263" s="145"/>
      <c r="J263" s="145"/>
      <c r="K263" s="145"/>
      <c r="L263" s="145"/>
      <c r="M263" s="145"/>
      <c r="N263" s="145"/>
      <c r="O263" s="145"/>
      <c r="P263" s="145"/>
      <c r="Q263" s="145"/>
      <c r="R263" s="145"/>
      <c r="S263" s="346"/>
      <c r="T263" s="346"/>
      <c r="U263" s="346"/>
      <c r="V263" s="326"/>
      <c r="W263" s="326"/>
      <c r="X263" s="326"/>
      <c r="Y263" s="340"/>
      <c r="Z263" s="346"/>
      <c r="AA263" s="346"/>
      <c r="AB263" s="346"/>
      <c r="AC263" s="346"/>
      <c r="AD263" s="340"/>
      <c r="AE263" s="346"/>
      <c r="AF263" s="346"/>
      <c r="AG263" s="346"/>
      <c r="AH263" s="346"/>
      <c r="AI263" s="340"/>
      <c r="AJ263" s="346"/>
      <c r="AK263" s="346"/>
      <c r="AL263" s="346"/>
      <c r="AM263" s="346"/>
      <c r="AN263" s="340"/>
      <c r="AO263" s="346"/>
      <c r="AP263" s="346"/>
      <c r="AQ263" s="346"/>
      <c r="AR263" s="346"/>
      <c r="AS263" s="340"/>
      <c r="AT263" s="346"/>
      <c r="AU263" s="625"/>
      <c r="AV263" s="625"/>
      <c r="AW263" s="625"/>
      <c r="AX263" s="340"/>
      <c r="AY263" s="346"/>
      <c r="AZ263" s="346"/>
      <c r="BA263" s="346"/>
      <c r="BB263" s="346"/>
      <c r="BC263" s="340"/>
      <c r="BD263" s="346"/>
      <c r="BE263" s="625"/>
      <c r="BF263" s="346"/>
      <c r="BG263" s="346"/>
      <c r="BH263" s="340"/>
      <c r="BI263" s="346"/>
      <c r="BJ263" s="346"/>
      <c r="BK263" s="346"/>
      <c r="BL263" s="346"/>
      <c r="BM263" s="340"/>
      <c r="BN263" s="346"/>
      <c r="BO263" s="346"/>
      <c r="BP263" s="346"/>
      <c r="BQ263" s="346"/>
      <c r="BR263" s="340"/>
      <c r="BS263" s="354">
        <v>0</v>
      </c>
      <c r="BT263" s="346">
        <f>BT261+BT262</f>
        <v>992.8</v>
      </c>
      <c r="BU263" s="1717">
        <v>992.9</v>
      </c>
      <c r="BV263" s="346">
        <v>993.1</v>
      </c>
      <c r="BW263" s="340"/>
      <c r="BX263" s="346">
        <f>BX261+BX262</f>
        <v>993.2</v>
      </c>
      <c r="BY263" s="346">
        <f>BY261+BY262</f>
        <v>993.2</v>
      </c>
      <c r="BZ263" s="346">
        <f>BZ261+BZ262</f>
        <v>993.30000000000007</v>
      </c>
      <c r="CA263" s="346">
        <f>CA261+CA262</f>
        <v>993.40000000000009</v>
      </c>
      <c r="CB263" s="563"/>
      <c r="CC263" s="346">
        <f>CC261+CC262</f>
        <v>993.50000000000011</v>
      </c>
      <c r="CD263" s="346">
        <f>CD261+CD262</f>
        <v>993.60000000000014</v>
      </c>
      <c r="CE263" s="346">
        <f>CE261+CE262</f>
        <v>987.90000000000009</v>
      </c>
      <c r="CF263" s="346">
        <f>CF261+CF262</f>
        <v>988.30000000000007</v>
      </c>
      <c r="CG263" s="563"/>
      <c r="CH263" s="346">
        <f>CH261+CH262</f>
        <v>988.30000000000007</v>
      </c>
      <c r="CI263" s="346">
        <f>CI261+CI262</f>
        <v>988.30000000000007</v>
      </c>
      <c r="CJ263" s="346">
        <f>CJ261+CJ262</f>
        <v>988.30000000000007</v>
      </c>
      <c r="CK263" s="346">
        <f>CK261+CK262</f>
        <v>988.30000000000007</v>
      </c>
      <c r="CL263" s="563"/>
      <c r="CM263" s="346">
        <f>CM261+CM262</f>
        <v>988.30000000000007</v>
      </c>
      <c r="CN263" s="346">
        <f>CN261+CN262</f>
        <v>988.30000000000007</v>
      </c>
      <c r="CO263" s="346">
        <f>CO261+CO262</f>
        <v>988.30000000000007</v>
      </c>
      <c r="CP263" s="346">
        <f>CP261+CP262</f>
        <v>988.30000000000007</v>
      </c>
      <c r="CQ263" s="563"/>
      <c r="CR263" s="346">
        <f>CR261+CR262</f>
        <v>988.30000000000007</v>
      </c>
      <c r="CS263" s="346">
        <f>CS261+CS262</f>
        <v>988.30000000000007</v>
      </c>
      <c r="CT263" s="346">
        <f>CT261+CT262</f>
        <v>988.30000000000007</v>
      </c>
      <c r="CU263" s="346">
        <f>CU261+CU262</f>
        <v>988.30000000000007</v>
      </c>
      <c r="CV263" s="563"/>
      <c r="CW263" s="346">
        <f>CW261+CW262</f>
        <v>988.30000000000007</v>
      </c>
      <c r="CX263" s="346">
        <f>CX261+CX262</f>
        <v>988.30000000000007</v>
      </c>
      <c r="CY263" s="346">
        <f>CY261+CY262</f>
        <v>988.30000000000007</v>
      </c>
      <c r="CZ263" s="346">
        <f>CZ261+CZ262</f>
        <v>988.30000000000007</v>
      </c>
      <c r="DA263" s="563"/>
      <c r="DB263" s="346">
        <f>DB261+DB262</f>
        <v>988.30000000000007</v>
      </c>
      <c r="DC263" s="346">
        <f>DC261+DC262</f>
        <v>988.30000000000007</v>
      </c>
      <c r="DD263" s="346">
        <f>DD261+DD262</f>
        <v>988.30000000000007</v>
      </c>
      <c r="DE263" s="346">
        <f>DE261+DE262</f>
        <v>988.30000000000007</v>
      </c>
      <c r="DF263" s="563"/>
    </row>
    <row r="264" spans="2:110" x14ac:dyDescent="0.2">
      <c r="B264" s="536" t="s">
        <v>201</v>
      </c>
      <c r="C264" s="145"/>
      <c r="D264" s="145"/>
      <c r="E264" s="145"/>
      <c r="F264" s="145"/>
      <c r="G264" s="145"/>
      <c r="H264" s="145"/>
      <c r="I264" s="145"/>
      <c r="J264" s="145"/>
      <c r="K264" s="145"/>
      <c r="L264" s="145"/>
      <c r="M264" s="145"/>
      <c r="N264" s="145"/>
      <c r="O264" s="145"/>
      <c r="P264" s="145"/>
      <c r="Q264" s="145"/>
      <c r="R264" s="145"/>
      <c r="S264" s="346"/>
      <c r="T264" s="346"/>
      <c r="U264" s="346"/>
      <c r="V264" s="326"/>
      <c r="W264" s="326"/>
      <c r="X264" s="326"/>
      <c r="Y264" s="340"/>
      <c r="Z264" s="346"/>
      <c r="AA264" s="346"/>
      <c r="AB264" s="346"/>
      <c r="AC264" s="346"/>
      <c r="AD264" s="340"/>
      <c r="AE264" s="346"/>
      <c r="AF264" s="346"/>
      <c r="AG264" s="346"/>
      <c r="AH264" s="346"/>
      <c r="AI264" s="340"/>
      <c r="AJ264" s="346"/>
      <c r="AK264" s="346"/>
      <c r="AL264" s="346"/>
      <c r="AM264" s="346"/>
      <c r="AN264" s="340"/>
      <c r="AO264" s="346"/>
      <c r="AP264" s="346"/>
      <c r="AQ264" s="346"/>
      <c r="AR264" s="346"/>
      <c r="AS264" s="340"/>
      <c r="AT264" s="346"/>
      <c r="AU264" s="625"/>
      <c r="AV264" s="625"/>
      <c r="AW264" s="625"/>
      <c r="AX264" s="340"/>
      <c r="AY264" s="346"/>
      <c r="AZ264" s="346"/>
      <c r="BA264" s="346"/>
      <c r="BB264" s="346"/>
      <c r="BC264" s="340"/>
      <c r="BD264" s="346"/>
      <c r="BE264" s="625"/>
      <c r="BF264" s="346"/>
      <c r="BG264" s="346"/>
      <c r="BH264" s="340"/>
      <c r="BI264" s="346"/>
      <c r="BJ264" s="346"/>
      <c r="BK264" s="346"/>
      <c r="BL264" s="346"/>
      <c r="BM264" s="340"/>
      <c r="BN264" s="346"/>
      <c r="BO264" s="346"/>
      <c r="BP264" s="346"/>
      <c r="BQ264" s="346"/>
      <c r="BR264" s="340"/>
      <c r="BS264" s="346">
        <f>BS260-BS263</f>
        <v>0</v>
      </c>
      <c r="BT264" s="346">
        <f>BT260-BT263</f>
        <v>7.2000000000000455</v>
      </c>
      <c r="BU264" s="346">
        <f>BU260-BU263</f>
        <v>7.1000000000000227</v>
      </c>
      <c r="BV264" s="346">
        <f>BV260-BV263</f>
        <v>6.8999999999999773</v>
      </c>
      <c r="BW264" s="340"/>
      <c r="BX264" s="346">
        <f>BX260-BX263</f>
        <v>6.7999999999999545</v>
      </c>
      <c r="BY264" s="346">
        <f>BY260-BY263</f>
        <v>6.7999999999999545</v>
      </c>
      <c r="BZ264" s="346">
        <f>BZ260-BZ263</f>
        <v>6.6999999999999318</v>
      </c>
      <c r="CA264" s="346">
        <f>CA260-CA263</f>
        <v>6.5999999999999091</v>
      </c>
      <c r="CB264" s="563"/>
      <c r="CC264" s="346">
        <f>CC260-CC263</f>
        <v>6.4999999999998863</v>
      </c>
      <c r="CD264" s="346">
        <f>CD260-CD263</f>
        <v>6.3999999999998636</v>
      </c>
      <c r="CE264" s="346">
        <f>CE260-CE263</f>
        <v>12.099999999999909</v>
      </c>
      <c r="CF264" s="346">
        <f>CF260-CF263</f>
        <v>11.699999999999932</v>
      </c>
      <c r="CG264" s="563"/>
      <c r="CH264" s="346">
        <f>CH260-CH263</f>
        <v>11.699999999999932</v>
      </c>
      <c r="CI264" s="346">
        <f>CI260-CI263</f>
        <v>11.699999999999932</v>
      </c>
      <c r="CJ264" s="346">
        <f>CJ260-CJ263</f>
        <v>11.699999999999932</v>
      </c>
      <c r="CK264" s="346">
        <f>CK260-CK263</f>
        <v>11.699999999999932</v>
      </c>
      <c r="CL264" s="563"/>
      <c r="CM264" s="346">
        <f>CM260-CM263</f>
        <v>11.699999999999932</v>
      </c>
      <c r="CN264" s="346">
        <f>CN260-CN263</f>
        <v>11.699999999999932</v>
      </c>
      <c r="CO264" s="346">
        <f>CO260-CO263</f>
        <v>11.699999999999932</v>
      </c>
      <c r="CP264" s="346">
        <f>CP260-CP263</f>
        <v>11.699999999999932</v>
      </c>
      <c r="CQ264" s="563"/>
      <c r="CR264" s="346">
        <f>CR260-CR263</f>
        <v>11.699999999999932</v>
      </c>
      <c r="CS264" s="346">
        <f>CS260-CS263</f>
        <v>11.699999999999932</v>
      </c>
      <c r="CT264" s="346">
        <f>CT260-CT263</f>
        <v>11.699999999999932</v>
      </c>
      <c r="CU264" s="346">
        <f>CU260-CU263</f>
        <v>11.699999999999932</v>
      </c>
      <c r="CV264" s="563"/>
      <c r="CW264" s="346">
        <f>CW260-CW263</f>
        <v>11.699999999999932</v>
      </c>
      <c r="CX264" s="346">
        <f>CX260-CX263</f>
        <v>11.699999999999932</v>
      </c>
      <c r="CY264" s="346">
        <f>CY260-CY263</f>
        <v>11.699999999999932</v>
      </c>
      <c r="CZ264" s="346">
        <f>CZ260-CZ263</f>
        <v>11.699999999999932</v>
      </c>
      <c r="DA264" s="563"/>
      <c r="DB264" s="346">
        <f>DB260-DB263</f>
        <v>11.699999999999932</v>
      </c>
      <c r="DC264" s="346">
        <f>DC260-DC263</f>
        <v>11.699999999999932</v>
      </c>
      <c r="DD264" s="346">
        <f>DD260-DD263</f>
        <v>11.699999999999932</v>
      </c>
      <c r="DE264" s="346">
        <f>DE260-DE263</f>
        <v>11.699999999999932</v>
      </c>
      <c r="DF264" s="563"/>
    </row>
    <row r="265" spans="2:110" x14ac:dyDescent="0.2">
      <c r="B265" s="544" t="s">
        <v>206</v>
      </c>
      <c r="C265" s="145"/>
      <c r="D265" s="145"/>
      <c r="E265" s="145"/>
      <c r="F265" s="145"/>
      <c r="G265" s="145"/>
      <c r="H265" s="145"/>
      <c r="I265" s="145"/>
      <c r="J265" s="145"/>
      <c r="K265" s="145"/>
      <c r="L265" s="145"/>
      <c r="M265" s="145"/>
      <c r="N265" s="145"/>
      <c r="O265" s="145"/>
      <c r="P265" s="145"/>
      <c r="Q265" s="145"/>
      <c r="R265" s="145"/>
      <c r="S265" s="346"/>
      <c r="T265" s="346"/>
      <c r="U265" s="346"/>
      <c r="V265" s="326"/>
      <c r="W265" s="326"/>
      <c r="X265" s="326"/>
      <c r="Y265" s="340"/>
      <c r="Z265" s="346"/>
      <c r="AA265" s="346"/>
      <c r="AB265" s="346"/>
      <c r="AC265" s="346"/>
      <c r="AD265" s="340"/>
      <c r="AE265" s="346"/>
      <c r="AF265" s="346"/>
      <c r="AG265" s="346"/>
      <c r="AH265" s="346"/>
      <c r="AI265" s="340"/>
      <c r="AJ265" s="346"/>
      <c r="AK265" s="346"/>
      <c r="AL265" s="346"/>
      <c r="AM265" s="346"/>
      <c r="AN265" s="340"/>
      <c r="AO265" s="346"/>
      <c r="AP265" s="346"/>
      <c r="AQ265" s="346"/>
      <c r="AR265" s="346"/>
      <c r="AS265" s="340"/>
      <c r="AT265" s="346"/>
      <c r="AU265" s="625"/>
      <c r="AV265" s="625"/>
      <c r="AW265" s="625"/>
      <c r="AX265" s="340"/>
      <c r="AY265" s="346"/>
      <c r="AZ265" s="346"/>
      <c r="BA265" s="346"/>
      <c r="BB265" s="346"/>
      <c r="BC265" s="340"/>
      <c r="BD265" s="346"/>
      <c r="BE265" s="625"/>
      <c r="BF265" s="346"/>
      <c r="BG265" s="346"/>
      <c r="BH265" s="340"/>
      <c r="BI265" s="346"/>
      <c r="BJ265" s="346"/>
      <c r="BK265" s="346"/>
      <c r="BL265" s="346"/>
      <c r="BM265" s="340"/>
      <c r="BN265" s="346"/>
      <c r="BO265" s="346"/>
      <c r="BP265" s="346"/>
      <c r="BQ265" s="346"/>
      <c r="BR265" s="340"/>
      <c r="BS265" s="346">
        <f>-(AVERAGE(BS263,BS261))*(BS259/4)</f>
        <v>0</v>
      </c>
      <c r="BT265" s="346">
        <f>-(AVERAGE(BT263,BT261))*(BT259/4)</f>
        <v>-4.3435000000000006</v>
      </c>
      <c r="BU265" s="346">
        <f>-(AVERAGE(BU263,BU261))*(BU259/4)</f>
        <v>-8.6874374999999997</v>
      </c>
      <c r="BV265" s="346">
        <f>-(AVERAGE(BV263,BV261))*(BV259/4)</f>
        <v>-8.6887500000000006</v>
      </c>
      <c r="BW265" s="340"/>
      <c r="BX265" s="346">
        <f>-(AVERAGE(BX263,BX261))*(BX259/4)</f>
        <v>-8.6900625000000016</v>
      </c>
      <c r="BY265" s="346">
        <f>-(AVERAGE(BY263,BY261))*(BY259/4)</f>
        <v>-8.6905000000000019</v>
      </c>
      <c r="BZ265" s="346">
        <f>-(AVERAGE(BZ263,BZ261))*(BZ259/4)</f>
        <v>-8.6909375000000004</v>
      </c>
      <c r="CA265" s="346">
        <f>-(AVERAGE(CA263,CA261))*(CA259/4)</f>
        <v>-8.6918125000000028</v>
      </c>
      <c r="CB265" s="563"/>
      <c r="CC265" s="346">
        <f>-(AVERAGE(CC263,CC261))*(CC259/4)</f>
        <v>-8.6926875000000017</v>
      </c>
      <c r="CD265" s="346">
        <f>-(AVERAGE(CD263,CD261))*(CD259/4)</f>
        <v>-8.6935625000000023</v>
      </c>
      <c r="CE265" s="346">
        <f>-(AVERAGE(CE263,CE261))*(CE259/4)</f>
        <v>-8.6690625000000026</v>
      </c>
      <c r="CF265" s="346">
        <f>-(AVERAGE(CF263,CF261))*(CF259/4)</f>
        <v>-8.645875000000002</v>
      </c>
      <c r="CG265" s="563"/>
      <c r="CH265" s="346">
        <f>-(AVERAGE(CH263,CH261))*(CH259/4)</f>
        <v>-8.6476250000000014</v>
      </c>
      <c r="CI265" s="346">
        <f>-(AVERAGE(CI263,CI261))*(CI259/4)</f>
        <v>-8.6476250000000014</v>
      </c>
      <c r="CJ265" s="346">
        <f>-(AVERAGE(CJ263,CJ261))*(CJ259/4)</f>
        <v>-8.6476250000000014</v>
      </c>
      <c r="CK265" s="346">
        <f>-(AVERAGE(CK263,CK261))*(CK259/4)</f>
        <v>-8.6476250000000014</v>
      </c>
      <c r="CL265" s="563"/>
      <c r="CM265" s="346">
        <f>-(AVERAGE(CM263,CM261))*(CM259/4)</f>
        <v>-8.6476250000000014</v>
      </c>
      <c r="CN265" s="346">
        <f>-(AVERAGE(CN263,CN261))*(CN259/4)</f>
        <v>-8.6476250000000014</v>
      </c>
      <c r="CO265" s="346">
        <f>-(AVERAGE(CO263,CO261))*(CO259/4)</f>
        <v>-8.6476250000000014</v>
      </c>
      <c r="CP265" s="346">
        <f>-(AVERAGE(CP263,CP261))*(CP259/4)</f>
        <v>-8.6476250000000014</v>
      </c>
      <c r="CQ265" s="563"/>
      <c r="CR265" s="346">
        <f>-(AVERAGE(CR263,CR261))*(CR259/4)</f>
        <v>-8.6476250000000014</v>
      </c>
      <c r="CS265" s="346">
        <f>-(AVERAGE(CS263,CS261))*(CS259/4)</f>
        <v>-8.6476250000000014</v>
      </c>
      <c r="CT265" s="346">
        <f>-(AVERAGE(CT263,CT261))*(CT259/4)</f>
        <v>-8.6476250000000014</v>
      </c>
      <c r="CU265" s="346">
        <f>-(AVERAGE(CU263,CU261))*(CU259/4)</f>
        <v>-8.6476250000000014</v>
      </c>
      <c r="CV265" s="563"/>
      <c r="CW265" s="346">
        <f>-(AVERAGE(CW263,CW261))*(CW259/4)</f>
        <v>-8.6476250000000014</v>
      </c>
      <c r="CX265" s="346">
        <f>-(AVERAGE(CX263,CX261))*(CX259/4)</f>
        <v>-8.6476250000000014</v>
      </c>
      <c r="CY265" s="346">
        <f>-(AVERAGE(CY263,CY261))*(CY259/4)</f>
        <v>-8.6476250000000014</v>
      </c>
      <c r="CZ265" s="346">
        <f>-(AVERAGE(CZ263,CZ261))*(CZ259/4)</f>
        <v>-8.6476250000000014</v>
      </c>
      <c r="DA265" s="563"/>
      <c r="DB265" s="346">
        <f>-(AVERAGE(DB263,DB261))*(DB259/4)</f>
        <v>-8.6476250000000014</v>
      </c>
      <c r="DC265" s="346">
        <f>-(AVERAGE(DC263,DC261))*(DC259/4)</f>
        <v>-8.6476250000000014</v>
      </c>
      <c r="DD265" s="346">
        <f>-(AVERAGE(DD263,DD261))*(DD259/4)</f>
        <v>-8.6476250000000014</v>
      </c>
      <c r="DE265" s="346">
        <f>-(AVERAGE(DE263,DE261))*(DE259/4)</f>
        <v>-8.6476250000000014</v>
      </c>
      <c r="DF265" s="563"/>
    </row>
    <row r="266" spans="2:110" ht="12" thickBot="1" x14ac:dyDescent="0.25">
      <c r="B266" s="548" t="s">
        <v>207</v>
      </c>
      <c r="C266" s="205"/>
      <c r="D266" s="205"/>
      <c r="E266" s="205"/>
      <c r="F266" s="205"/>
      <c r="G266" s="205"/>
      <c r="H266" s="205"/>
      <c r="I266" s="205"/>
      <c r="J266" s="205"/>
      <c r="K266" s="205"/>
      <c r="L266" s="205"/>
      <c r="M266" s="205"/>
      <c r="N266" s="205"/>
      <c r="O266" s="205"/>
      <c r="P266" s="205"/>
      <c r="Q266" s="205"/>
      <c r="R266" s="205"/>
      <c r="S266" s="549"/>
      <c r="T266" s="549"/>
      <c r="U266" s="549"/>
      <c r="V266" s="327"/>
      <c r="W266" s="327"/>
      <c r="X266" s="327"/>
      <c r="Y266" s="550"/>
      <c r="Z266" s="549"/>
      <c r="AA266" s="549"/>
      <c r="AB266" s="549"/>
      <c r="AC266" s="549"/>
      <c r="AD266" s="550"/>
      <c r="AE266" s="549"/>
      <c r="AF266" s="549"/>
      <c r="AG266" s="549"/>
      <c r="AH266" s="549"/>
      <c r="AI266" s="550"/>
      <c r="AJ266" s="549"/>
      <c r="AK266" s="549"/>
      <c r="AL266" s="549"/>
      <c r="AM266" s="549"/>
      <c r="AN266" s="550"/>
      <c r="AO266" s="549"/>
      <c r="AP266" s="549"/>
      <c r="AQ266" s="549"/>
      <c r="AR266" s="549"/>
      <c r="AS266" s="550"/>
      <c r="AT266" s="549"/>
      <c r="AU266" s="549"/>
      <c r="AV266" s="549"/>
      <c r="AW266" s="549"/>
      <c r="AX266" s="550"/>
      <c r="AY266" s="549"/>
      <c r="AZ266" s="549"/>
      <c r="BA266" s="549"/>
      <c r="BB266" s="549"/>
      <c r="BC266" s="550"/>
      <c r="BD266" s="549"/>
      <c r="BE266" s="549"/>
      <c r="BF266" s="549"/>
      <c r="BG266" s="549"/>
      <c r="BH266" s="550"/>
      <c r="BI266" s="549"/>
      <c r="BJ266" s="549"/>
      <c r="BK266" s="549"/>
      <c r="BL266" s="549"/>
      <c r="BM266" s="550"/>
      <c r="BN266" s="549"/>
      <c r="BO266" s="549"/>
      <c r="BP266" s="549"/>
      <c r="BQ266" s="549"/>
      <c r="BR266" s="550"/>
      <c r="BS266" s="549">
        <f>-BS258*BS264/4</f>
        <v>0</v>
      </c>
      <c r="BT266" s="549">
        <f>-BT258*BT264/4</f>
        <v>0</v>
      </c>
      <c r="BU266" s="549">
        <f>-BU258*BU264/4</f>
        <v>0</v>
      </c>
      <c r="BV266" s="549">
        <f>-BV258*BV264/4</f>
        <v>0</v>
      </c>
      <c r="BW266" s="550"/>
      <c r="BX266" s="549">
        <f>-BX258*BX264/4</f>
        <v>0</v>
      </c>
      <c r="BY266" s="549">
        <f>-BY258*BY264/4</f>
        <v>0</v>
      </c>
      <c r="BZ266" s="549">
        <f>-BZ258*BZ264/4</f>
        <v>0</v>
      </c>
      <c r="CA266" s="549">
        <f>-CA258*CA264/4</f>
        <v>0</v>
      </c>
      <c r="CB266" s="565"/>
      <c r="CC266" s="549">
        <f>-CC258*CC264/4</f>
        <v>0</v>
      </c>
      <c r="CD266" s="549">
        <f>-CD258*CD264/4</f>
        <v>0</v>
      </c>
      <c r="CE266" s="549">
        <f>-CE258*CE264/4</f>
        <v>0</v>
      </c>
      <c r="CF266" s="549">
        <f>-CF258*CF264/4</f>
        <v>0</v>
      </c>
      <c r="CG266" s="565"/>
      <c r="CH266" s="549">
        <f>-CH258*CH264/4</f>
        <v>0</v>
      </c>
      <c r="CI266" s="549">
        <f>-CI258*CI264/4</f>
        <v>0</v>
      </c>
      <c r="CJ266" s="549">
        <f>-CJ258*CJ264/4</f>
        <v>0</v>
      </c>
      <c r="CK266" s="549">
        <f>-CK258*CK264/4</f>
        <v>0</v>
      </c>
      <c r="CL266" s="565"/>
      <c r="CM266" s="549">
        <f>-CM258*CM264/4</f>
        <v>0</v>
      </c>
      <c r="CN266" s="549">
        <f>-CN258*CN264/4</f>
        <v>0</v>
      </c>
      <c r="CO266" s="549">
        <f>-CO258*CO264/4</f>
        <v>0</v>
      </c>
      <c r="CP266" s="549">
        <f>-CP258*CP264/4</f>
        <v>0</v>
      </c>
      <c r="CQ266" s="565"/>
      <c r="CR266" s="549">
        <f>-CR258*CR264/4</f>
        <v>0</v>
      </c>
      <c r="CS266" s="549">
        <f>-CS258*CS264/4</f>
        <v>0</v>
      </c>
      <c r="CT266" s="549">
        <f>-CT258*CT264/4</f>
        <v>0</v>
      </c>
      <c r="CU266" s="549">
        <f>-CU258*CU264/4</f>
        <v>0</v>
      </c>
      <c r="CV266" s="565"/>
      <c r="CW266" s="549">
        <f>-CW258*CW264/4</f>
        <v>0</v>
      </c>
      <c r="CX266" s="549">
        <f>-CX258*CX264/4</f>
        <v>0</v>
      </c>
      <c r="CY266" s="549">
        <f>-CY258*CY264/4</f>
        <v>0</v>
      </c>
      <c r="CZ266" s="549">
        <f>-CZ258*CZ264/4</f>
        <v>0</v>
      </c>
      <c r="DA266" s="565"/>
      <c r="DB266" s="549">
        <f>-DB258*DB264/4</f>
        <v>0</v>
      </c>
      <c r="DC266" s="549">
        <f>-DC258*DC264/4</f>
        <v>0</v>
      </c>
      <c r="DD266" s="549">
        <f>-DD258*DD264/4</f>
        <v>0</v>
      </c>
      <c r="DE266" s="549">
        <f>-DE258*DE264/4</f>
        <v>0</v>
      </c>
      <c r="DF266" s="565"/>
    </row>
    <row r="267" spans="2:110" ht="12" thickBot="1" x14ac:dyDescent="0.25">
      <c r="B267" s="355"/>
      <c r="C267" s="145"/>
      <c r="D267" s="145"/>
      <c r="E267" s="145"/>
      <c r="F267" s="145"/>
      <c r="G267" s="145"/>
      <c r="H267" s="145"/>
      <c r="I267" s="145"/>
      <c r="J267" s="145"/>
      <c r="K267" s="145"/>
      <c r="L267" s="145"/>
      <c r="M267" s="145"/>
      <c r="N267" s="145"/>
      <c r="O267" s="145"/>
      <c r="P267" s="145"/>
      <c r="Q267" s="145"/>
      <c r="R267" s="145"/>
      <c r="S267" s="346"/>
      <c r="T267" s="346"/>
      <c r="U267" s="346"/>
      <c r="V267" s="326"/>
      <c r="W267" s="326"/>
      <c r="X267" s="326"/>
      <c r="Y267" s="346"/>
      <c r="Z267" s="346"/>
      <c r="AA267" s="346"/>
      <c r="AB267" s="346"/>
      <c r="AC267" s="346"/>
      <c r="AD267" s="346"/>
      <c r="AE267" s="346"/>
      <c r="AF267" s="346"/>
      <c r="AG267" s="346"/>
      <c r="AH267" s="346"/>
      <c r="AI267" s="346"/>
      <c r="AJ267" s="346"/>
      <c r="AK267" s="346"/>
      <c r="AL267" s="346"/>
      <c r="AM267" s="346"/>
      <c r="AN267" s="346"/>
      <c r="AO267" s="346"/>
      <c r="AP267" s="346"/>
      <c r="AQ267" s="346"/>
      <c r="AR267" s="346"/>
      <c r="AS267" s="346"/>
      <c r="AT267" s="346"/>
      <c r="AU267" s="346"/>
      <c r="AV267" s="346"/>
      <c r="AW267" s="346"/>
      <c r="AX267" s="346"/>
      <c r="AY267" s="346"/>
      <c r="AZ267" s="346"/>
      <c r="BA267" s="346"/>
      <c r="BB267" s="346"/>
      <c r="BC267" s="346"/>
      <c r="BD267" s="346"/>
      <c r="BE267" s="346"/>
      <c r="BF267" s="346"/>
      <c r="BG267" s="346"/>
      <c r="BH267" s="346"/>
      <c r="BI267" s="346"/>
      <c r="BJ267" s="346"/>
      <c r="BK267" s="346"/>
      <c r="BL267" s="346"/>
      <c r="BM267" s="346"/>
      <c r="BN267" s="346"/>
      <c r="BO267" s="346"/>
      <c r="BP267" s="346"/>
      <c r="BQ267" s="346"/>
      <c r="BR267" s="346"/>
      <c r="BS267" s="346"/>
      <c r="BT267" s="346"/>
      <c r="BU267" s="346"/>
      <c r="BV267" s="346"/>
      <c r="BW267" s="346"/>
      <c r="BX267" s="346"/>
      <c r="BY267" s="346"/>
      <c r="BZ267" s="346"/>
      <c r="CA267" s="346"/>
      <c r="CB267" s="346"/>
      <c r="CC267" s="346"/>
      <c r="CD267" s="346"/>
      <c r="CE267" s="346"/>
      <c r="CF267" s="346"/>
      <c r="CG267" s="346"/>
      <c r="CH267" s="346"/>
      <c r="CI267" s="346"/>
      <c r="CJ267" s="346"/>
      <c r="CK267" s="346"/>
      <c r="CL267" s="346"/>
      <c r="CM267" s="346"/>
      <c r="CN267" s="346"/>
      <c r="CO267" s="346"/>
      <c r="CP267" s="346"/>
      <c r="CQ267" s="346"/>
      <c r="CR267" s="346"/>
      <c r="CS267" s="346"/>
      <c r="CT267" s="346"/>
      <c r="CU267" s="346"/>
      <c r="CV267" s="346"/>
      <c r="CW267" s="346"/>
      <c r="CX267" s="346"/>
      <c r="CY267" s="346"/>
      <c r="CZ267" s="346"/>
      <c r="DA267" s="346"/>
      <c r="DB267" s="346"/>
      <c r="DC267" s="346"/>
      <c r="DD267" s="346"/>
      <c r="DE267" s="346"/>
      <c r="DF267" s="346"/>
    </row>
    <row r="268" spans="2:110" s="326" customFormat="1" ht="12" thickBot="1" x14ac:dyDescent="0.25">
      <c r="B268" s="981" t="s">
        <v>678</v>
      </c>
      <c r="C268" s="989"/>
      <c r="D268" s="989"/>
      <c r="E268" s="989"/>
      <c r="F268" s="989"/>
      <c r="G268" s="989"/>
      <c r="H268" s="989"/>
      <c r="I268" s="989"/>
      <c r="J268" s="989"/>
      <c r="K268" s="989"/>
      <c r="L268" s="989"/>
      <c r="M268" s="989"/>
      <c r="N268" s="989"/>
      <c r="O268" s="989"/>
      <c r="P268" s="989"/>
      <c r="Q268" s="989"/>
      <c r="R268" s="989"/>
      <c r="S268" s="990"/>
      <c r="T268" s="990"/>
      <c r="U268" s="990"/>
      <c r="V268" s="991"/>
      <c r="W268" s="991"/>
      <c r="X268" s="991"/>
      <c r="Y268" s="990"/>
      <c r="Z268" s="990"/>
      <c r="AA268" s="990"/>
      <c r="AB268" s="990"/>
      <c r="AC268" s="990"/>
      <c r="AD268" s="990"/>
      <c r="AE268" s="990"/>
      <c r="AF268" s="990"/>
      <c r="AG268" s="990"/>
      <c r="AH268" s="990"/>
      <c r="AI268" s="990"/>
      <c r="AJ268" s="990"/>
      <c r="AK268" s="990"/>
      <c r="AL268" s="990"/>
      <c r="AM268" s="990"/>
      <c r="AN268" s="990"/>
      <c r="AO268" s="990"/>
      <c r="AP268" s="990"/>
      <c r="AQ268" s="990"/>
      <c r="AR268" s="990"/>
      <c r="AS268" s="990"/>
      <c r="AT268" s="990"/>
      <c r="AU268" s="990"/>
      <c r="AV268" s="990"/>
      <c r="AW268" s="990"/>
      <c r="AX268" s="990"/>
      <c r="AY268" s="990"/>
      <c r="AZ268" s="990"/>
      <c r="BA268" s="990"/>
      <c r="BB268" s="990"/>
      <c r="BC268" s="990"/>
      <c r="BD268" s="990"/>
      <c r="BE268" s="990"/>
      <c r="BF268" s="990"/>
      <c r="BG268" s="990"/>
      <c r="BH268" s="990"/>
      <c r="BI268" s="990"/>
      <c r="BJ268" s="990"/>
      <c r="BK268" s="990"/>
      <c r="BL268" s="990"/>
      <c r="BM268" s="990"/>
      <c r="BN268" s="990"/>
      <c r="BO268" s="990"/>
      <c r="BP268" s="990"/>
      <c r="BQ268" s="990"/>
      <c r="BR268" s="990"/>
      <c r="BS268" s="990"/>
      <c r="BT268" s="990"/>
      <c r="BU268" s="990"/>
      <c r="BV268" s="990"/>
      <c r="BW268" s="990"/>
      <c r="BX268" s="990"/>
      <c r="BY268" s="990"/>
      <c r="BZ268" s="990"/>
      <c r="CA268" s="990"/>
      <c r="CB268" s="992"/>
      <c r="CC268" s="990"/>
      <c r="CD268" s="990"/>
      <c r="CE268" s="990"/>
      <c r="CF268" s="990"/>
      <c r="CG268" s="992"/>
      <c r="CH268" s="990"/>
      <c r="CI268" s="990"/>
      <c r="CJ268" s="990"/>
      <c r="CK268" s="990"/>
      <c r="CL268" s="992"/>
      <c r="CM268" s="990"/>
      <c r="CN268" s="990"/>
      <c r="CO268" s="990"/>
      <c r="CP268" s="990"/>
      <c r="CQ268" s="992"/>
      <c r="CR268" s="990"/>
      <c r="CS268" s="990"/>
      <c r="CT268" s="990"/>
      <c r="CU268" s="990"/>
      <c r="CV268" s="992"/>
      <c r="CW268" s="990"/>
      <c r="CX268" s="990"/>
      <c r="CY268" s="990"/>
      <c r="CZ268" s="990"/>
      <c r="DA268" s="992"/>
      <c r="DB268" s="990"/>
      <c r="DC268" s="990"/>
      <c r="DD268" s="990"/>
      <c r="DE268" s="990"/>
      <c r="DF268" s="992"/>
    </row>
    <row r="269" spans="2:110" x14ac:dyDescent="0.2">
      <c r="B269" s="591" t="s">
        <v>203</v>
      </c>
      <c r="C269" s="561"/>
      <c r="D269" s="561"/>
      <c r="E269" s="561"/>
      <c r="F269" s="561"/>
      <c r="G269" s="561"/>
      <c r="H269" s="561"/>
      <c r="I269" s="561"/>
      <c r="J269" s="561"/>
      <c r="K269" s="561"/>
      <c r="L269" s="561"/>
      <c r="M269" s="561"/>
      <c r="N269" s="561"/>
      <c r="O269" s="561"/>
      <c r="P269" s="561"/>
      <c r="Q269" s="561"/>
      <c r="R269" s="561"/>
      <c r="S269" s="531"/>
      <c r="T269" s="531"/>
      <c r="U269" s="531"/>
      <c r="V269" s="577"/>
      <c r="W269" s="577"/>
      <c r="X269" s="577"/>
      <c r="Y269" s="532"/>
      <c r="Z269" s="531"/>
      <c r="AA269" s="531"/>
      <c r="AB269" s="531"/>
      <c r="AC269" s="531"/>
      <c r="AD269" s="532"/>
      <c r="AE269" s="531"/>
      <c r="AF269" s="531"/>
      <c r="AG269" s="531"/>
      <c r="AH269" s="531"/>
      <c r="AI269" s="532"/>
      <c r="AJ269" s="531"/>
      <c r="AK269" s="531"/>
      <c r="AL269" s="531"/>
      <c r="AM269" s="531"/>
      <c r="AN269" s="532"/>
      <c r="AO269" s="531"/>
      <c r="AP269" s="531"/>
      <c r="AQ269" s="531"/>
      <c r="AR269" s="531"/>
      <c r="AS269" s="532"/>
      <c r="AT269" s="531"/>
      <c r="AU269" s="588"/>
      <c r="AV269" s="54"/>
      <c r="AW269" s="54"/>
      <c r="AX269" s="532"/>
      <c r="AY269" s="54"/>
      <c r="AZ269" s="54"/>
      <c r="BA269" s="54"/>
      <c r="BB269" s="54"/>
      <c r="BC269" s="532"/>
      <c r="BD269" s="54"/>
      <c r="BE269" s="588"/>
      <c r="BF269" s="54"/>
      <c r="BG269" s="54"/>
      <c r="BH269" s="532"/>
      <c r="BI269" s="54"/>
      <c r="BJ269" s="54"/>
      <c r="BK269" s="54"/>
      <c r="BL269" s="54"/>
      <c r="BM269" s="532"/>
      <c r="BN269" s="54"/>
      <c r="BO269" s="54"/>
      <c r="BP269" s="54"/>
      <c r="BQ269" s="54"/>
      <c r="BR269" s="532"/>
      <c r="BS269" s="54"/>
      <c r="BT269" s="54"/>
      <c r="BU269" s="54"/>
      <c r="BV269" s="54"/>
      <c r="BW269" s="532"/>
      <c r="BX269" s="54"/>
      <c r="BY269" s="54"/>
      <c r="BZ269" s="54"/>
      <c r="CA269" s="54"/>
      <c r="CB269" s="562"/>
      <c r="CC269" s="54">
        <f>CA269</f>
        <v>0</v>
      </c>
      <c r="CD269" s="54">
        <f t="shared" ref="CD269:CD271" si="421">CC269</f>
        <v>0</v>
      </c>
      <c r="CE269" s="54">
        <f t="shared" ref="CE269:CE271" si="422">CD269</f>
        <v>0</v>
      </c>
      <c r="CF269" s="54">
        <f t="shared" ref="CF269:CF271" si="423">CE269</f>
        <v>0</v>
      </c>
      <c r="CG269" s="562"/>
      <c r="CH269" s="54">
        <f>CF269</f>
        <v>0</v>
      </c>
      <c r="CI269" s="54">
        <f t="shared" ref="CI269:CI271" si="424">CH269</f>
        <v>0</v>
      </c>
      <c r="CJ269" s="54">
        <f t="shared" ref="CJ269:CJ271" si="425">CI269</f>
        <v>0</v>
      </c>
      <c r="CK269" s="54">
        <f t="shared" ref="CK269:CK271" si="426">CJ269</f>
        <v>0</v>
      </c>
      <c r="CL269" s="562"/>
      <c r="CM269" s="54">
        <f>CK269</f>
        <v>0</v>
      </c>
      <c r="CN269" s="54">
        <f t="shared" ref="CN269:CN271" si="427">CM269</f>
        <v>0</v>
      </c>
      <c r="CO269" s="54">
        <f t="shared" ref="CO269:CO271" si="428">CN269</f>
        <v>0</v>
      </c>
      <c r="CP269" s="54">
        <f t="shared" ref="CP269:CP271" si="429">CO269</f>
        <v>0</v>
      </c>
      <c r="CQ269" s="562"/>
      <c r="CR269" s="54">
        <f>CP269</f>
        <v>0</v>
      </c>
      <c r="CS269" s="54">
        <f t="shared" ref="CS269:CS271" si="430">CR269</f>
        <v>0</v>
      </c>
      <c r="CT269" s="54">
        <f t="shared" ref="CT269:CT271" si="431">CS269</f>
        <v>0</v>
      </c>
      <c r="CU269" s="54">
        <f t="shared" ref="CU269:CU271" si="432">CT269</f>
        <v>0</v>
      </c>
      <c r="CV269" s="562"/>
      <c r="CW269" s="54">
        <f>CU269</f>
        <v>0</v>
      </c>
      <c r="CX269" s="54">
        <f t="shared" ref="CX269:CX271" si="433">CW269</f>
        <v>0</v>
      </c>
      <c r="CY269" s="54">
        <f t="shared" ref="CY269:CY271" si="434">CX269</f>
        <v>0</v>
      </c>
      <c r="CZ269" s="54">
        <f t="shared" ref="CZ269:CZ271" si="435">CY269</f>
        <v>0</v>
      </c>
      <c r="DA269" s="562"/>
      <c r="DB269" s="54">
        <f>CZ269</f>
        <v>0</v>
      </c>
      <c r="DC269" s="54">
        <f t="shared" ref="DC269:DC271" si="436">DB269</f>
        <v>0</v>
      </c>
      <c r="DD269" s="54">
        <f t="shared" ref="DD269:DD271" si="437">DC269</f>
        <v>0</v>
      </c>
      <c r="DE269" s="54">
        <f t="shared" ref="DE269:DE271" si="438">DD269</f>
        <v>0</v>
      </c>
      <c r="DF269" s="562"/>
    </row>
    <row r="270" spans="2:110" x14ac:dyDescent="0.2">
      <c r="B270" s="578" t="s">
        <v>204</v>
      </c>
      <c r="C270" s="145"/>
      <c r="D270" s="145"/>
      <c r="E270" s="145"/>
      <c r="F270" s="145"/>
      <c r="G270" s="145"/>
      <c r="H270" s="145"/>
      <c r="I270" s="145"/>
      <c r="J270" s="145"/>
      <c r="K270" s="145"/>
      <c r="L270" s="145"/>
      <c r="M270" s="145"/>
      <c r="N270" s="145"/>
      <c r="O270" s="145"/>
      <c r="P270" s="145"/>
      <c r="Q270" s="145"/>
      <c r="R270" s="145"/>
      <c r="S270" s="346"/>
      <c r="T270" s="346"/>
      <c r="U270" s="346"/>
      <c r="V270" s="326"/>
      <c r="W270" s="326"/>
      <c r="X270" s="326"/>
      <c r="Y270" s="340"/>
      <c r="Z270" s="346"/>
      <c r="AA270" s="346"/>
      <c r="AB270" s="346"/>
      <c r="AC270" s="346"/>
      <c r="AD270" s="340"/>
      <c r="AE270" s="346"/>
      <c r="AF270" s="346"/>
      <c r="AG270" s="346"/>
      <c r="AH270" s="346"/>
      <c r="AI270" s="340"/>
      <c r="AJ270" s="346"/>
      <c r="AK270" s="346"/>
      <c r="AL270" s="346"/>
      <c r="AM270" s="346"/>
      <c r="AN270" s="340"/>
      <c r="AO270" s="346"/>
      <c r="AP270" s="346"/>
      <c r="AQ270" s="346"/>
      <c r="AR270" s="346"/>
      <c r="AS270" s="340"/>
      <c r="AT270" s="346"/>
      <c r="AU270" s="267"/>
      <c r="AV270" s="146"/>
      <c r="AW270" s="146"/>
      <c r="AX270" s="340"/>
      <c r="AY270" s="146"/>
      <c r="AZ270" s="146"/>
      <c r="BA270" s="146"/>
      <c r="BB270" s="146"/>
      <c r="BC270" s="340"/>
      <c r="BD270" s="146"/>
      <c r="BE270" s="267"/>
      <c r="BF270" s="146"/>
      <c r="BG270" s="146"/>
      <c r="BH270" s="340"/>
      <c r="BI270" s="146"/>
      <c r="BJ270" s="146"/>
      <c r="BK270" s="146"/>
      <c r="BL270" s="146"/>
      <c r="BM270" s="340"/>
      <c r="BN270" s="146"/>
      <c r="BO270" s="146"/>
      <c r="BP270" s="146"/>
      <c r="BQ270" s="146"/>
      <c r="BR270" s="340"/>
      <c r="BS270" s="146"/>
      <c r="BT270" s="146"/>
      <c r="BU270" s="146"/>
      <c r="BV270" s="146"/>
      <c r="BW270" s="340"/>
      <c r="BX270" s="146"/>
      <c r="BY270" s="146"/>
      <c r="BZ270" s="146"/>
      <c r="CA270" s="146"/>
      <c r="CB270" s="563"/>
      <c r="CC270" s="146">
        <v>4.4999999999999998E-2</v>
      </c>
      <c r="CD270" s="146">
        <f t="shared" si="421"/>
        <v>4.4999999999999998E-2</v>
      </c>
      <c r="CE270" s="146">
        <f t="shared" si="422"/>
        <v>4.4999999999999998E-2</v>
      </c>
      <c r="CF270" s="146">
        <f t="shared" si="423"/>
        <v>4.4999999999999998E-2</v>
      </c>
      <c r="CG270" s="563"/>
      <c r="CH270" s="146">
        <f>CF270</f>
        <v>4.4999999999999998E-2</v>
      </c>
      <c r="CI270" s="146">
        <f t="shared" si="424"/>
        <v>4.4999999999999998E-2</v>
      </c>
      <c r="CJ270" s="146">
        <f t="shared" si="425"/>
        <v>4.4999999999999998E-2</v>
      </c>
      <c r="CK270" s="146">
        <f t="shared" si="426"/>
        <v>4.4999999999999998E-2</v>
      </c>
      <c r="CL270" s="563"/>
      <c r="CM270" s="146">
        <f>CK270</f>
        <v>4.4999999999999998E-2</v>
      </c>
      <c r="CN270" s="146">
        <f t="shared" si="427"/>
        <v>4.4999999999999998E-2</v>
      </c>
      <c r="CO270" s="146">
        <f t="shared" si="428"/>
        <v>4.4999999999999998E-2</v>
      </c>
      <c r="CP270" s="146">
        <f t="shared" si="429"/>
        <v>4.4999999999999998E-2</v>
      </c>
      <c r="CQ270" s="563"/>
      <c r="CR270" s="146">
        <f>CP270</f>
        <v>4.4999999999999998E-2</v>
      </c>
      <c r="CS270" s="146">
        <f t="shared" si="430"/>
        <v>4.4999999999999998E-2</v>
      </c>
      <c r="CT270" s="146">
        <f t="shared" si="431"/>
        <v>4.4999999999999998E-2</v>
      </c>
      <c r="CU270" s="146">
        <f t="shared" si="432"/>
        <v>4.4999999999999998E-2</v>
      </c>
      <c r="CV270" s="563"/>
      <c r="CW270" s="146">
        <f>CU270</f>
        <v>4.4999999999999998E-2</v>
      </c>
      <c r="CX270" s="146">
        <f t="shared" si="433"/>
        <v>4.4999999999999998E-2</v>
      </c>
      <c r="CY270" s="146">
        <f t="shared" si="434"/>
        <v>4.4999999999999998E-2</v>
      </c>
      <c r="CZ270" s="146">
        <f t="shared" si="435"/>
        <v>4.4999999999999998E-2</v>
      </c>
      <c r="DA270" s="563"/>
      <c r="DB270" s="146">
        <f>CZ270</f>
        <v>4.4999999999999998E-2</v>
      </c>
      <c r="DC270" s="146">
        <f t="shared" si="436"/>
        <v>4.4999999999999998E-2</v>
      </c>
      <c r="DD270" s="146">
        <f t="shared" si="437"/>
        <v>4.4999999999999998E-2</v>
      </c>
      <c r="DE270" s="146">
        <f t="shared" si="438"/>
        <v>4.4999999999999998E-2</v>
      </c>
      <c r="DF270" s="563"/>
    </row>
    <row r="271" spans="2:110" x14ac:dyDescent="0.2">
      <c r="B271" s="536" t="s">
        <v>197</v>
      </c>
      <c r="C271" s="145"/>
      <c r="D271" s="145"/>
      <c r="E271" s="145"/>
      <c r="F271" s="145"/>
      <c r="G271" s="145"/>
      <c r="H271" s="145"/>
      <c r="I271" s="145"/>
      <c r="J271" s="145"/>
      <c r="K271" s="145"/>
      <c r="L271" s="145"/>
      <c r="M271" s="145"/>
      <c r="N271" s="145"/>
      <c r="O271" s="145"/>
      <c r="P271" s="145"/>
      <c r="Q271" s="145"/>
      <c r="R271" s="145"/>
      <c r="S271" s="346"/>
      <c r="T271" s="346"/>
      <c r="U271" s="346"/>
      <c r="V271" s="326"/>
      <c r="W271" s="326"/>
      <c r="X271" s="326"/>
      <c r="Y271" s="340"/>
      <c r="Z271" s="346"/>
      <c r="AA271" s="346"/>
      <c r="AB271" s="346"/>
      <c r="AC271" s="346"/>
      <c r="AD271" s="340"/>
      <c r="AE271" s="346"/>
      <c r="AF271" s="346"/>
      <c r="AG271" s="346"/>
      <c r="AH271" s="346"/>
      <c r="AI271" s="340"/>
      <c r="AJ271" s="346"/>
      <c r="AK271" s="346"/>
      <c r="AL271" s="346"/>
      <c r="AM271" s="346"/>
      <c r="AN271" s="340"/>
      <c r="AO271" s="346"/>
      <c r="AP271" s="346"/>
      <c r="AQ271" s="346"/>
      <c r="AR271" s="346"/>
      <c r="AS271" s="340"/>
      <c r="AT271" s="346"/>
      <c r="AU271" s="623"/>
      <c r="AV271" s="625"/>
      <c r="AW271" s="625"/>
      <c r="AX271" s="340"/>
      <c r="AY271" s="346"/>
      <c r="AZ271" s="346"/>
      <c r="BA271" s="346"/>
      <c r="BB271" s="346"/>
      <c r="BC271" s="340"/>
      <c r="BD271" s="346"/>
      <c r="BE271" s="623"/>
      <c r="BF271" s="346"/>
      <c r="BG271" s="346"/>
      <c r="BH271" s="340"/>
      <c r="BI271" s="346"/>
      <c r="BJ271" s="346"/>
      <c r="BK271" s="346"/>
      <c r="BL271" s="346"/>
      <c r="BM271" s="340"/>
      <c r="BN271" s="346"/>
      <c r="BO271" s="346"/>
      <c r="BP271" s="346"/>
      <c r="BQ271" s="346"/>
      <c r="BR271" s="340"/>
      <c r="BS271" s="346"/>
      <c r="BT271" s="346"/>
      <c r="BU271" s="346"/>
      <c r="BV271" s="346"/>
      <c r="BW271" s="340"/>
      <c r="BX271" s="346"/>
      <c r="BY271" s="346"/>
      <c r="BZ271" s="346"/>
      <c r="CA271" s="346"/>
      <c r="CB271" s="563"/>
      <c r="CC271" s="346">
        <f>CA271</f>
        <v>0</v>
      </c>
      <c r="CD271" s="346">
        <f t="shared" si="421"/>
        <v>0</v>
      </c>
      <c r="CE271" s="346">
        <f t="shared" si="422"/>
        <v>0</v>
      </c>
      <c r="CF271" s="346">
        <f t="shared" si="423"/>
        <v>0</v>
      </c>
      <c r="CG271" s="563"/>
      <c r="CH271" s="346">
        <f>CF271</f>
        <v>0</v>
      </c>
      <c r="CI271" s="346">
        <f t="shared" si="424"/>
        <v>0</v>
      </c>
      <c r="CJ271" s="346">
        <f t="shared" si="425"/>
        <v>0</v>
      </c>
      <c r="CK271" s="346">
        <f t="shared" si="426"/>
        <v>0</v>
      </c>
      <c r="CL271" s="563"/>
      <c r="CM271" s="346">
        <f>CK271</f>
        <v>0</v>
      </c>
      <c r="CN271" s="346">
        <f t="shared" si="427"/>
        <v>0</v>
      </c>
      <c r="CO271" s="346">
        <f t="shared" si="428"/>
        <v>0</v>
      </c>
      <c r="CP271" s="346">
        <f t="shared" si="429"/>
        <v>0</v>
      </c>
      <c r="CQ271" s="563"/>
      <c r="CR271" s="346">
        <f>CP271</f>
        <v>0</v>
      </c>
      <c r="CS271" s="346">
        <f t="shared" si="430"/>
        <v>0</v>
      </c>
      <c r="CT271" s="346">
        <f t="shared" si="431"/>
        <v>0</v>
      </c>
      <c r="CU271" s="346">
        <f t="shared" si="432"/>
        <v>0</v>
      </c>
      <c r="CV271" s="563"/>
      <c r="CW271" s="346">
        <f>CU271</f>
        <v>0</v>
      </c>
      <c r="CX271" s="346">
        <f t="shared" si="433"/>
        <v>0</v>
      </c>
      <c r="CY271" s="346">
        <f t="shared" si="434"/>
        <v>0</v>
      </c>
      <c r="CZ271" s="346">
        <f t="shared" si="435"/>
        <v>0</v>
      </c>
      <c r="DA271" s="563"/>
      <c r="DB271" s="346">
        <f>CZ271</f>
        <v>0</v>
      </c>
      <c r="DC271" s="346">
        <f t="shared" si="436"/>
        <v>0</v>
      </c>
      <c r="DD271" s="346">
        <f t="shared" si="437"/>
        <v>0</v>
      </c>
      <c r="DE271" s="346">
        <f t="shared" si="438"/>
        <v>0</v>
      </c>
      <c r="DF271" s="563"/>
    </row>
    <row r="272" spans="2:110" x14ac:dyDescent="0.2">
      <c r="B272" s="544" t="s">
        <v>198</v>
      </c>
      <c r="C272" s="145"/>
      <c r="D272" s="145"/>
      <c r="E272" s="145"/>
      <c r="F272" s="145"/>
      <c r="G272" s="145"/>
      <c r="H272" s="145"/>
      <c r="I272" s="145"/>
      <c r="J272" s="145"/>
      <c r="K272" s="145"/>
      <c r="L272" s="145"/>
      <c r="M272" s="145"/>
      <c r="N272" s="145"/>
      <c r="O272" s="145"/>
      <c r="P272" s="145"/>
      <c r="Q272" s="145"/>
      <c r="R272" s="145"/>
      <c r="S272" s="346"/>
      <c r="T272" s="346"/>
      <c r="U272" s="346"/>
      <c r="V272" s="326"/>
      <c r="W272" s="326"/>
      <c r="X272" s="326"/>
      <c r="Y272" s="340"/>
      <c r="Z272" s="346"/>
      <c r="AA272" s="346"/>
      <c r="AB272" s="346"/>
      <c r="AC272" s="346"/>
      <c r="AD272" s="340"/>
      <c r="AE272" s="346"/>
      <c r="AF272" s="346"/>
      <c r="AG272" s="346"/>
      <c r="AH272" s="346"/>
      <c r="AI272" s="340"/>
      <c r="AJ272" s="346"/>
      <c r="AK272" s="346"/>
      <c r="AL272" s="346"/>
      <c r="AM272" s="346"/>
      <c r="AN272" s="340"/>
      <c r="AO272" s="346"/>
      <c r="AP272" s="346"/>
      <c r="AQ272" s="346"/>
      <c r="AR272" s="346"/>
      <c r="AS272" s="340"/>
      <c r="AT272" s="346"/>
      <c r="AU272" s="623"/>
      <c r="AV272" s="625"/>
      <c r="AW272" s="625"/>
      <c r="AX272" s="340"/>
      <c r="AY272" s="346"/>
      <c r="AZ272" s="346"/>
      <c r="BA272" s="346"/>
      <c r="BB272" s="346"/>
      <c r="BC272" s="340"/>
      <c r="BD272" s="346"/>
      <c r="BE272" s="623"/>
      <c r="BF272" s="346"/>
      <c r="BG272" s="346"/>
      <c r="BH272" s="340"/>
      <c r="BI272" s="346"/>
      <c r="BJ272" s="346"/>
      <c r="BK272" s="346"/>
      <c r="BL272" s="346"/>
      <c r="BM272" s="340"/>
      <c r="BN272" s="346"/>
      <c r="BO272" s="346"/>
      <c r="BP272" s="346"/>
      <c r="BQ272" s="346"/>
      <c r="BR272" s="340"/>
      <c r="BS272" s="346"/>
      <c r="BT272" s="346"/>
      <c r="BU272" s="346"/>
      <c r="BV272" s="346"/>
      <c r="BW272" s="340"/>
      <c r="BX272" s="346"/>
      <c r="BY272" s="346"/>
      <c r="BZ272" s="346"/>
      <c r="CA272" s="346"/>
      <c r="CB272" s="563"/>
      <c r="CC272" s="346">
        <f>CA274</f>
        <v>0</v>
      </c>
      <c r="CD272" s="346">
        <f>CC274</f>
        <v>1500</v>
      </c>
      <c r="CE272" s="346">
        <f>CD274</f>
        <v>1500</v>
      </c>
      <c r="CF272" s="346">
        <f>CE274</f>
        <v>1480.7</v>
      </c>
      <c r="CG272" s="563"/>
      <c r="CH272" s="346">
        <f>CF274</f>
        <v>1481.2</v>
      </c>
      <c r="CI272" s="346">
        <f>CH274</f>
        <v>1481.2</v>
      </c>
      <c r="CJ272" s="346">
        <f>CI274</f>
        <v>1481.2</v>
      </c>
      <c r="CK272" s="346">
        <f>CJ274</f>
        <v>1481.2</v>
      </c>
      <c r="CL272" s="563"/>
      <c r="CM272" s="346">
        <f>CK274</f>
        <v>1481.2</v>
      </c>
      <c r="CN272" s="346">
        <f>CM274</f>
        <v>1481.2</v>
      </c>
      <c r="CO272" s="346">
        <f>CN274</f>
        <v>1481.2</v>
      </c>
      <c r="CP272" s="346">
        <f>CO274</f>
        <v>1481.2</v>
      </c>
      <c r="CQ272" s="563"/>
      <c r="CR272" s="346">
        <f>CP274</f>
        <v>1481.2</v>
      </c>
      <c r="CS272" s="346">
        <f>CR274</f>
        <v>1481.2</v>
      </c>
      <c r="CT272" s="346">
        <f>CS274</f>
        <v>1481.2</v>
      </c>
      <c r="CU272" s="346">
        <f>CT274</f>
        <v>1481.2</v>
      </c>
      <c r="CV272" s="563"/>
      <c r="CW272" s="346">
        <f>CU274</f>
        <v>1481.2</v>
      </c>
      <c r="CX272" s="346">
        <f>CW274</f>
        <v>1481.2</v>
      </c>
      <c r="CY272" s="346">
        <f>CX274</f>
        <v>1481.2</v>
      </c>
      <c r="CZ272" s="346">
        <f>CY274</f>
        <v>1481.2</v>
      </c>
      <c r="DA272" s="563"/>
      <c r="DB272" s="346">
        <f>CZ274</f>
        <v>1481.2</v>
      </c>
      <c r="DC272" s="346">
        <f>DB274</f>
        <v>1481.2</v>
      </c>
      <c r="DD272" s="346">
        <f>DC274</f>
        <v>1481.2</v>
      </c>
      <c r="DE272" s="346">
        <f>DD274</f>
        <v>1481.2</v>
      </c>
      <c r="DF272" s="563"/>
    </row>
    <row r="273" spans="1:110" x14ac:dyDescent="0.2">
      <c r="B273" s="589" t="s">
        <v>199</v>
      </c>
      <c r="C273" s="359"/>
      <c r="D273" s="359"/>
      <c r="E273" s="359"/>
      <c r="F273" s="359"/>
      <c r="G273" s="359"/>
      <c r="H273" s="359"/>
      <c r="I273" s="359"/>
      <c r="J273" s="359"/>
      <c r="K273" s="359"/>
      <c r="L273" s="359"/>
      <c r="M273" s="359"/>
      <c r="N273" s="359"/>
      <c r="O273" s="359"/>
      <c r="P273" s="359"/>
      <c r="Q273" s="359"/>
      <c r="R273" s="359"/>
      <c r="S273" s="347"/>
      <c r="T273" s="347"/>
      <c r="U273" s="347"/>
      <c r="V273" s="377"/>
      <c r="W273" s="377"/>
      <c r="X273" s="377"/>
      <c r="Y273" s="343"/>
      <c r="Z273" s="347"/>
      <c r="AA273" s="347"/>
      <c r="AB273" s="347"/>
      <c r="AC273" s="347"/>
      <c r="AD273" s="343"/>
      <c r="AE273" s="347"/>
      <c r="AF273" s="347"/>
      <c r="AG273" s="347"/>
      <c r="AH273" s="347"/>
      <c r="AI273" s="343"/>
      <c r="AJ273" s="347"/>
      <c r="AK273" s="347"/>
      <c r="AL273" s="347"/>
      <c r="AM273" s="347"/>
      <c r="AN273" s="343"/>
      <c r="AO273" s="347"/>
      <c r="AP273" s="347"/>
      <c r="AQ273" s="347"/>
      <c r="AR273" s="347"/>
      <c r="AS273" s="343"/>
      <c r="AT273" s="347"/>
      <c r="AU273" s="629"/>
      <c r="AV273" s="642"/>
      <c r="AW273" s="629"/>
      <c r="AX273" s="343"/>
      <c r="AY273" s="347"/>
      <c r="AZ273" s="347"/>
      <c r="BA273" s="347"/>
      <c r="BB273" s="347"/>
      <c r="BC273" s="343"/>
      <c r="BD273" s="347"/>
      <c r="BE273" s="629"/>
      <c r="BF273" s="347"/>
      <c r="BG273" s="347"/>
      <c r="BH273" s="343"/>
      <c r="BI273" s="347"/>
      <c r="BJ273" s="347"/>
      <c r="BK273" s="347"/>
      <c r="BL273" s="348"/>
      <c r="BM273" s="343"/>
      <c r="BN273" s="348"/>
      <c r="BO273" s="347"/>
      <c r="BP273" s="348"/>
      <c r="BQ273" s="347"/>
      <c r="BR273" s="343"/>
      <c r="BS273" s="347"/>
      <c r="BT273" s="348"/>
      <c r="BU273" s="1716"/>
      <c r="BV273" s="1716"/>
      <c r="BW273" s="343"/>
      <c r="BX273" s="347"/>
      <c r="BY273" s="347"/>
      <c r="BZ273" s="347"/>
      <c r="CA273" s="347"/>
      <c r="CB273" s="585"/>
      <c r="CC273" s="347">
        <v>1500</v>
      </c>
      <c r="CD273" s="347">
        <v>0</v>
      </c>
      <c r="CE273" s="347">
        <v>-19.3</v>
      </c>
      <c r="CF273" s="347">
        <v>0.5</v>
      </c>
      <c r="CG273" s="585"/>
      <c r="CH273" s="347">
        <v>0</v>
      </c>
      <c r="CI273" s="347">
        <f>CH273</f>
        <v>0</v>
      </c>
      <c r="CJ273" s="347">
        <f>CI273</f>
        <v>0</v>
      </c>
      <c r="CK273" s="347">
        <f>CJ273</f>
        <v>0</v>
      </c>
      <c r="CL273" s="585"/>
      <c r="CM273" s="347">
        <f>CK273</f>
        <v>0</v>
      </c>
      <c r="CN273" s="347">
        <f>CM273</f>
        <v>0</v>
      </c>
      <c r="CO273" s="347">
        <f>CN273</f>
        <v>0</v>
      </c>
      <c r="CP273" s="347">
        <f>CO273</f>
        <v>0</v>
      </c>
      <c r="CQ273" s="585"/>
      <c r="CR273" s="347">
        <f>CP273</f>
        <v>0</v>
      </c>
      <c r="CS273" s="347">
        <f>CR273</f>
        <v>0</v>
      </c>
      <c r="CT273" s="347">
        <f>CS273</f>
        <v>0</v>
      </c>
      <c r="CU273" s="347">
        <f>CT273</f>
        <v>0</v>
      </c>
      <c r="CV273" s="585"/>
      <c r="CW273" s="347">
        <f>CU273</f>
        <v>0</v>
      </c>
      <c r="CX273" s="347">
        <f>CW273</f>
        <v>0</v>
      </c>
      <c r="CY273" s="347">
        <f>CX273</f>
        <v>0</v>
      </c>
      <c r="CZ273" s="347">
        <f>CY273</f>
        <v>0</v>
      </c>
      <c r="DA273" s="585"/>
      <c r="DB273" s="347">
        <f>CZ273</f>
        <v>0</v>
      </c>
      <c r="DC273" s="347">
        <f>DB273</f>
        <v>0</v>
      </c>
      <c r="DD273" s="347">
        <f>DC273</f>
        <v>0</v>
      </c>
      <c r="DE273" s="347">
        <f>DD273</f>
        <v>0</v>
      </c>
      <c r="DF273" s="585"/>
    </row>
    <row r="274" spans="1:110" x14ac:dyDescent="0.2">
      <c r="B274" s="544" t="s">
        <v>200</v>
      </c>
      <c r="C274" s="145"/>
      <c r="D274" s="145"/>
      <c r="E274" s="145"/>
      <c r="F274" s="145"/>
      <c r="G274" s="145"/>
      <c r="H274" s="145"/>
      <c r="I274" s="145"/>
      <c r="J274" s="145"/>
      <c r="K274" s="145"/>
      <c r="L274" s="145"/>
      <c r="M274" s="145"/>
      <c r="N274" s="145"/>
      <c r="O274" s="145"/>
      <c r="P274" s="145"/>
      <c r="Q274" s="145"/>
      <c r="R274" s="145"/>
      <c r="S274" s="346"/>
      <c r="T274" s="346"/>
      <c r="U274" s="346"/>
      <c r="V274" s="326"/>
      <c r="W274" s="326"/>
      <c r="X274" s="326"/>
      <c r="Y274" s="340"/>
      <c r="Z274" s="346"/>
      <c r="AA274" s="346"/>
      <c r="AB274" s="346"/>
      <c r="AC274" s="346"/>
      <c r="AD274" s="340"/>
      <c r="AE274" s="346"/>
      <c r="AF274" s="346"/>
      <c r="AG274" s="346"/>
      <c r="AH274" s="346"/>
      <c r="AI274" s="340"/>
      <c r="AJ274" s="346"/>
      <c r="AK274" s="346"/>
      <c r="AL274" s="346"/>
      <c r="AM274" s="346"/>
      <c r="AN274" s="340"/>
      <c r="AO274" s="346"/>
      <c r="AP274" s="346"/>
      <c r="AQ274" s="346"/>
      <c r="AR274" s="346"/>
      <c r="AS274" s="340"/>
      <c r="AT274" s="346"/>
      <c r="AU274" s="625"/>
      <c r="AV274" s="625"/>
      <c r="AW274" s="625"/>
      <c r="AX274" s="340"/>
      <c r="AY274" s="346"/>
      <c r="AZ274" s="346"/>
      <c r="BA274" s="346"/>
      <c r="BB274" s="346"/>
      <c r="BC274" s="340"/>
      <c r="BD274" s="346"/>
      <c r="BE274" s="625"/>
      <c r="BF274" s="346"/>
      <c r="BG274" s="346"/>
      <c r="BH274" s="340"/>
      <c r="BI274" s="346"/>
      <c r="BJ274" s="346"/>
      <c r="BK274" s="346"/>
      <c r="BL274" s="346"/>
      <c r="BM274" s="340"/>
      <c r="BN274" s="346"/>
      <c r="BO274" s="346"/>
      <c r="BP274" s="346"/>
      <c r="BQ274" s="346"/>
      <c r="BR274" s="340"/>
      <c r="BS274" s="354"/>
      <c r="BT274" s="346"/>
      <c r="BU274" s="1717"/>
      <c r="BV274" s="346"/>
      <c r="BW274" s="340"/>
      <c r="BX274" s="346"/>
      <c r="BY274" s="346"/>
      <c r="BZ274" s="346"/>
      <c r="CA274" s="346"/>
      <c r="CB274" s="563"/>
      <c r="CC274" s="346">
        <f>CC272+CC273</f>
        <v>1500</v>
      </c>
      <c r="CD274" s="346">
        <f>CD272+CD273</f>
        <v>1500</v>
      </c>
      <c r="CE274" s="346">
        <f>CE272+CE273</f>
        <v>1480.7</v>
      </c>
      <c r="CF274" s="346">
        <f>CF272+CF273</f>
        <v>1481.2</v>
      </c>
      <c r="CG274" s="563"/>
      <c r="CH274" s="346">
        <f>CH272+CH273</f>
        <v>1481.2</v>
      </c>
      <c r="CI274" s="346">
        <f>CI272+CI273</f>
        <v>1481.2</v>
      </c>
      <c r="CJ274" s="346">
        <f>CJ272+CJ273</f>
        <v>1481.2</v>
      </c>
      <c r="CK274" s="346">
        <f>CK272+CK273</f>
        <v>1481.2</v>
      </c>
      <c r="CL274" s="563"/>
      <c r="CM274" s="346">
        <f>CM272+CM273</f>
        <v>1481.2</v>
      </c>
      <c r="CN274" s="346">
        <f>CN272+CN273</f>
        <v>1481.2</v>
      </c>
      <c r="CO274" s="346">
        <f>CO272+CO273</f>
        <v>1481.2</v>
      </c>
      <c r="CP274" s="346">
        <f>CP272+CP273</f>
        <v>1481.2</v>
      </c>
      <c r="CQ274" s="563"/>
      <c r="CR274" s="346">
        <f>CR272+CR273</f>
        <v>1481.2</v>
      </c>
      <c r="CS274" s="346">
        <f>CS272+CS273</f>
        <v>1481.2</v>
      </c>
      <c r="CT274" s="346">
        <f>CT272+CT273</f>
        <v>1481.2</v>
      </c>
      <c r="CU274" s="346">
        <f>CU272+CU273</f>
        <v>1481.2</v>
      </c>
      <c r="CV274" s="563"/>
      <c r="CW274" s="346">
        <f>CW272+CW273</f>
        <v>1481.2</v>
      </c>
      <c r="CX274" s="346">
        <f>CX272+CX273</f>
        <v>1481.2</v>
      </c>
      <c r="CY274" s="346">
        <f>CY272+CY273</f>
        <v>1481.2</v>
      </c>
      <c r="CZ274" s="346">
        <f>CZ272+CZ273</f>
        <v>1481.2</v>
      </c>
      <c r="DA274" s="563"/>
      <c r="DB274" s="346">
        <f>DB272+DB273</f>
        <v>1481.2</v>
      </c>
      <c r="DC274" s="346">
        <f>DC272+DC273</f>
        <v>1481.2</v>
      </c>
      <c r="DD274" s="346">
        <f>DD272+DD273</f>
        <v>1481.2</v>
      </c>
      <c r="DE274" s="346">
        <f>DE272+DE273</f>
        <v>1481.2</v>
      </c>
      <c r="DF274" s="563"/>
    </row>
    <row r="275" spans="1:110" x14ac:dyDescent="0.2">
      <c r="B275" s="536" t="s">
        <v>201</v>
      </c>
      <c r="C275" s="145"/>
      <c r="D275" s="145"/>
      <c r="E275" s="145"/>
      <c r="F275" s="145"/>
      <c r="G275" s="145"/>
      <c r="H275" s="145"/>
      <c r="I275" s="145"/>
      <c r="J275" s="145"/>
      <c r="K275" s="145"/>
      <c r="L275" s="145"/>
      <c r="M275" s="145"/>
      <c r="N275" s="145"/>
      <c r="O275" s="145"/>
      <c r="P275" s="145"/>
      <c r="Q275" s="145"/>
      <c r="R275" s="145"/>
      <c r="S275" s="346"/>
      <c r="T275" s="346"/>
      <c r="U275" s="346"/>
      <c r="V275" s="326"/>
      <c r="W275" s="326"/>
      <c r="X275" s="326"/>
      <c r="Y275" s="340"/>
      <c r="Z275" s="346"/>
      <c r="AA275" s="346"/>
      <c r="AB275" s="346"/>
      <c r="AC275" s="346"/>
      <c r="AD275" s="340"/>
      <c r="AE275" s="346"/>
      <c r="AF275" s="346"/>
      <c r="AG275" s="346"/>
      <c r="AH275" s="346"/>
      <c r="AI275" s="340"/>
      <c r="AJ275" s="346"/>
      <c r="AK275" s="346"/>
      <c r="AL275" s="346"/>
      <c r="AM275" s="346"/>
      <c r="AN275" s="340"/>
      <c r="AO275" s="346"/>
      <c r="AP275" s="346"/>
      <c r="AQ275" s="346"/>
      <c r="AR275" s="346"/>
      <c r="AS275" s="340"/>
      <c r="AT275" s="346"/>
      <c r="AU275" s="625"/>
      <c r="AV275" s="625"/>
      <c r="AW275" s="625"/>
      <c r="AX275" s="340"/>
      <c r="AY275" s="346"/>
      <c r="AZ275" s="346"/>
      <c r="BA275" s="346"/>
      <c r="BB275" s="346"/>
      <c r="BC275" s="340"/>
      <c r="BD275" s="346"/>
      <c r="BE275" s="625"/>
      <c r="BF275" s="346"/>
      <c r="BG275" s="346"/>
      <c r="BH275" s="340"/>
      <c r="BI275" s="346"/>
      <c r="BJ275" s="346"/>
      <c r="BK275" s="346"/>
      <c r="BL275" s="346"/>
      <c r="BM275" s="340"/>
      <c r="BN275" s="346"/>
      <c r="BO275" s="346"/>
      <c r="BP275" s="346"/>
      <c r="BQ275" s="346"/>
      <c r="BR275" s="340"/>
      <c r="BS275" s="346"/>
      <c r="BT275" s="346"/>
      <c r="BU275" s="346"/>
      <c r="BV275" s="346"/>
      <c r="BW275" s="340"/>
      <c r="BX275" s="346"/>
      <c r="BY275" s="346"/>
      <c r="BZ275" s="346"/>
      <c r="CA275" s="346"/>
      <c r="CB275" s="563"/>
      <c r="CC275" s="346">
        <f>CC271-CC274</f>
        <v>-1500</v>
      </c>
      <c r="CD275" s="346">
        <f>CD271-CD274</f>
        <v>-1500</v>
      </c>
      <c r="CE275" s="346">
        <f>CE271-CE274</f>
        <v>-1480.7</v>
      </c>
      <c r="CF275" s="346">
        <f>CF271-CF274</f>
        <v>-1481.2</v>
      </c>
      <c r="CG275" s="563"/>
      <c r="CH275" s="346">
        <f>CH271-CH274</f>
        <v>-1481.2</v>
      </c>
      <c r="CI275" s="346">
        <f>CI271-CI274</f>
        <v>-1481.2</v>
      </c>
      <c r="CJ275" s="346">
        <f>CJ271-CJ274</f>
        <v>-1481.2</v>
      </c>
      <c r="CK275" s="346">
        <f>CK271-CK274</f>
        <v>-1481.2</v>
      </c>
      <c r="CL275" s="563"/>
      <c r="CM275" s="346">
        <f>CM271-CM274</f>
        <v>-1481.2</v>
      </c>
      <c r="CN275" s="346">
        <f>CN271-CN274</f>
        <v>-1481.2</v>
      </c>
      <c r="CO275" s="346">
        <f>CO271-CO274</f>
        <v>-1481.2</v>
      </c>
      <c r="CP275" s="346">
        <f>CP271-CP274</f>
        <v>-1481.2</v>
      </c>
      <c r="CQ275" s="563"/>
      <c r="CR275" s="346">
        <f>CR271-CR274</f>
        <v>-1481.2</v>
      </c>
      <c r="CS275" s="346">
        <f>CS271-CS274</f>
        <v>-1481.2</v>
      </c>
      <c r="CT275" s="346">
        <f>CT271-CT274</f>
        <v>-1481.2</v>
      </c>
      <c r="CU275" s="346">
        <f>CU271-CU274</f>
        <v>-1481.2</v>
      </c>
      <c r="CV275" s="563"/>
      <c r="CW275" s="346">
        <f>CW271-CW274</f>
        <v>-1481.2</v>
      </c>
      <c r="CX275" s="346">
        <f>CX271-CX274</f>
        <v>-1481.2</v>
      </c>
      <c r="CY275" s="346">
        <f>CY271-CY274</f>
        <v>-1481.2</v>
      </c>
      <c r="CZ275" s="346">
        <f>CZ271-CZ274</f>
        <v>-1481.2</v>
      </c>
      <c r="DA275" s="563"/>
      <c r="DB275" s="346">
        <f>DB271-DB274</f>
        <v>-1481.2</v>
      </c>
      <c r="DC275" s="346">
        <f>DC271-DC274</f>
        <v>-1481.2</v>
      </c>
      <c r="DD275" s="346">
        <f>DD271-DD274</f>
        <v>-1481.2</v>
      </c>
      <c r="DE275" s="346">
        <f>DE271-DE274</f>
        <v>-1481.2</v>
      </c>
      <c r="DF275" s="563"/>
    </row>
    <row r="276" spans="1:110" x14ac:dyDescent="0.2">
      <c r="B276" s="544" t="s">
        <v>206</v>
      </c>
      <c r="C276" s="145"/>
      <c r="D276" s="145"/>
      <c r="E276" s="145"/>
      <c r="F276" s="145"/>
      <c r="G276" s="145"/>
      <c r="H276" s="145"/>
      <c r="I276" s="145"/>
      <c r="J276" s="145"/>
      <c r="K276" s="145"/>
      <c r="L276" s="145"/>
      <c r="M276" s="145"/>
      <c r="N276" s="145"/>
      <c r="O276" s="145"/>
      <c r="P276" s="145"/>
      <c r="Q276" s="145"/>
      <c r="R276" s="145"/>
      <c r="S276" s="346"/>
      <c r="T276" s="346"/>
      <c r="U276" s="346"/>
      <c r="V276" s="326"/>
      <c r="W276" s="326"/>
      <c r="X276" s="326"/>
      <c r="Y276" s="340"/>
      <c r="Z276" s="346"/>
      <c r="AA276" s="346"/>
      <c r="AB276" s="346"/>
      <c r="AC276" s="346"/>
      <c r="AD276" s="340"/>
      <c r="AE276" s="346"/>
      <c r="AF276" s="346"/>
      <c r="AG276" s="346"/>
      <c r="AH276" s="346"/>
      <c r="AI276" s="340"/>
      <c r="AJ276" s="346"/>
      <c r="AK276" s="346"/>
      <c r="AL276" s="346"/>
      <c r="AM276" s="346"/>
      <c r="AN276" s="340"/>
      <c r="AO276" s="346"/>
      <c r="AP276" s="346"/>
      <c r="AQ276" s="346"/>
      <c r="AR276" s="346"/>
      <c r="AS276" s="340"/>
      <c r="AT276" s="346"/>
      <c r="AU276" s="625"/>
      <c r="AV276" s="625"/>
      <c r="AW276" s="625"/>
      <c r="AX276" s="340"/>
      <c r="AY276" s="346"/>
      <c r="AZ276" s="346"/>
      <c r="BA276" s="346"/>
      <c r="BB276" s="346"/>
      <c r="BC276" s="340"/>
      <c r="BD276" s="346"/>
      <c r="BE276" s="625"/>
      <c r="BF276" s="346"/>
      <c r="BG276" s="346"/>
      <c r="BH276" s="340"/>
      <c r="BI276" s="346"/>
      <c r="BJ276" s="346"/>
      <c r="BK276" s="346"/>
      <c r="BL276" s="346"/>
      <c r="BM276" s="340"/>
      <c r="BN276" s="346"/>
      <c r="BO276" s="346"/>
      <c r="BP276" s="346"/>
      <c r="BQ276" s="346"/>
      <c r="BR276" s="340"/>
      <c r="BS276" s="346"/>
      <c r="BT276" s="346"/>
      <c r="BU276" s="346"/>
      <c r="BV276" s="346"/>
      <c r="BW276" s="340"/>
      <c r="BX276" s="346"/>
      <c r="BY276" s="346"/>
      <c r="BZ276" s="346"/>
      <c r="CA276" s="346"/>
      <c r="CB276" s="563"/>
      <c r="CC276" s="346">
        <f>-(AVERAGE(CC274,CC272))*(CC270/4)</f>
        <v>-8.4375</v>
      </c>
      <c r="CD276" s="346">
        <f>-(AVERAGE(CD274,CD272))*(CD270/4)</f>
        <v>-16.875</v>
      </c>
      <c r="CE276" s="346">
        <f>-(AVERAGE(CE274,CE272))*(CE270/4)</f>
        <v>-16.766437499999999</v>
      </c>
      <c r="CF276" s="346">
        <f>-(AVERAGE(CF274,CF272))*(CF270/4)</f>
        <v>-16.660687500000002</v>
      </c>
      <c r="CG276" s="563"/>
      <c r="CH276" s="346">
        <f>-(AVERAGE(CH274,CH272))*(CH270/4)</f>
        <v>-16.663499999999999</v>
      </c>
      <c r="CI276" s="346">
        <f>-(AVERAGE(CI274,CI272))*(CI270/4)</f>
        <v>-16.663499999999999</v>
      </c>
      <c r="CJ276" s="346">
        <f>-(AVERAGE(CJ274,CJ272))*(CJ270/4)</f>
        <v>-16.663499999999999</v>
      </c>
      <c r="CK276" s="346">
        <f>-(AVERAGE(CK274,CK272))*(CK270/4)</f>
        <v>-16.663499999999999</v>
      </c>
      <c r="CL276" s="563"/>
      <c r="CM276" s="346">
        <f>-(AVERAGE(CM274,CM272))*(CM270/4)</f>
        <v>-16.663499999999999</v>
      </c>
      <c r="CN276" s="346">
        <f>-(AVERAGE(CN274,CN272))*(CN270/4)</f>
        <v>-16.663499999999999</v>
      </c>
      <c r="CO276" s="346">
        <f>-(AVERAGE(CO274,CO272))*(CO270/4)</f>
        <v>-16.663499999999999</v>
      </c>
      <c r="CP276" s="346">
        <f>-(AVERAGE(CP274,CP272))*(CP270/4)</f>
        <v>-16.663499999999999</v>
      </c>
      <c r="CQ276" s="563"/>
      <c r="CR276" s="346">
        <f>-(AVERAGE(CR274,CR272))*(CR270/4)</f>
        <v>-16.663499999999999</v>
      </c>
      <c r="CS276" s="346">
        <f>-(AVERAGE(CS274,CS272))*(CS270/4)</f>
        <v>-16.663499999999999</v>
      </c>
      <c r="CT276" s="346">
        <f>-(AVERAGE(CT274,CT272))*(CT270/4)</f>
        <v>-16.663499999999999</v>
      </c>
      <c r="CU276" s="346">
        <f>-(AVERAGE(CU274,CU272))*(CU270/4)</f>
        <v>-16.663499999999999</v>
      </c>
      <c r="CV276" s="563"/>
      <c r="CW276" s="346">
        <f>-(AVERAGE(CW274,CW272))*(CW270/4)</f>
        <v>-16.663499999999999</v>
      </c>
      <c r="CX276" s="346">
        <f>-(AVERAGE(CX274,CX272))*(CX270/4)</f>
        <v>-16.663499999999999</v>
      </c>
      <c r="CY276" s="346">
        <f>-(AVERAGE(CY274,CY272))*(CY270/4)</f>
        <v>-16.663499999999999</v>
      </c>
      <c r="CZ276" s="346">
        <f>-(AVERAGE(CZ274,CZ272))*(CZ270/4)</f>
        <v>-16.663499999999999</v>
      </c>
      <c r="DA276" s="563"/>
      <c r="DB276" s="346">
        <f>-(AVERAGE(DB274,DB272))*(DB270/4)</f>
        <v>-16.663499999999999</v>
      </c>
      <c r="DC276" s="346">
        <f>-(AVERAGE(DC274,DC272))*(DC270/4)</f>
        <v>-16.663499999999999</v>
      </c>
      <c r="DD276" s="346">
        <f>-(AVERAGE(DD274,DD272))*(DD270/4)</f>
        <v>-16.663499999999999</v>
      </c>
      <c r="DE276" s="346">
        <f>-(AVERAGE(DE274,DE272))*(DE270/4)</f>
        <v>-16.663499999999999</v>
      </c>
      <c r="DF276" s="563"/>
    </row>
    <row r="277" spans="1:110" ht="12" thickBot="1" x14ac:dyDescent="0.25">
      <c r="B277" s="548" t="s">
        <v>207</v>
      </c>
      <c r="C277" s="205"/>
      <c r="D277" s="205"/>
      <c r="E277" s="205"/>
      <c r="F277" s="205"/>
      <c r="G277" s="205"/>
      <c r="H277" s="205"/>
      <c r="I277" s="205"/>
      <c r="J277" s="205"/>
      <c r="K277" s="205"/>
      <c r="L277" s="205"/>
      <c r="M277" s="205"/>
      <c r="N277" s="205"/>
      <c r="O277" s="205"/>
      <c r="P277" s="205"/>
      <c r="Q277" s="205"/>
      <c r="R277" s="205"/>
      <c r="S277" s="549"/>
      <c r="T277" s="549"/>
      <c r="U277" s="549"/>
      <c r="V277" s="327"/>
      <c r="W277" s="327"/>
      <c r="X277" s="327"/>
      <c r="Y277" s="550"/>
      <c r="Z277" s="549"/>
      <c r="AA277" s="549"/>
      <c r="AB277" s="549"/>
      <c r="AC277" s="549"/>
      <c r="AD277" s="550"/>
      <c r="AE277" s="549"/>
      <c r="AF277" s="549"/>
      <c r="AG277" s="549"/>
      <c r="AH277" s="549"/>
      <c r="AI277" s="550"/>
      <c r="AJ277" s="549"/>
      <c r="AK277" s="549"/>
      <c r="AL277" s="549"/>
      <c r="AM277" s="549"/>
      <c r="AN277" s="550"/>
      <c r="AO277" s="549"/>
      <c r="AP277" s="549"/>
      <c r="AQ277" s="549"/>
      <c r="AR277" s="549"/>
      <c r="AS277" s="550"/>
      <c r="AT277" s="549"/>
      <c r="AU277" s="549"/>
      <c r="AV277" s="549"/>
      <c r="AW277" s="549"/>
      <c r="AX277" s="550"/>
      <c r="AY277" s="549"/>
      <c r="AZ277" s="549"/>
      <c r="BA277" s="549"/>
      <c r="BB277" s="549"/>
      <c r="BC277" s="550"/>
      <c r="BD277" s="549"/>
      <c r="BE277" s="549"/>
      <c r="BF277" s="549"/>
      <c r="BG277" s="549"/>
      <c r="BH277" s="550"/>
      <c r="BI277" s="549"/>
      <c r="BJ277" s="549"/>
      <c r="BK277" s="549"/>
      <c r="BL277" s="549"/>
      <c r="BM277" s="550"/>
      <c r="BN277" s="549"/>
      <c r="BO277" s="549"/>
      <c r="BP277" s="549"/>
      <c r="BQ277" s="549"/>
      <c r="BR277" s="550"/>
      <c r="BS277" s="549"/>
      <c r="BT277" s="549"/>
      <c r="BU277" s="549"/>
      <c r="BV277" s="549"/>
      <c r="BW277" s="550"/>
      <c r="BX277" s="549"/>
      <c r="BY277" s="549"/>
      <c r="BZ277" s="549"/>
      <c r="CA277" s="549"/>
      <c r="CB277" s="565"/>
      <c r="CC277" s="549">
        <f>-CC269*CC275/4</f>
        <v>0</v>
      </c>
      <c r="CD277" s="549">
        <f>-CD269*CD275/4</f>
        <v>0</v>
      </c>
      <c r="CE277" s="549">
        <f>-CE269*CE275/4</f>
        <v>0</v>
      </c>
      <c r="CF277" s="549">
        <f>-CF269*CF275/4</f>
        <v>0</v>
      </c>
      <c r="CG277" s="565"/>
      <c r="CH277" s="549">
        <f>-CH269*CH275/4</f>
        <v>0</v>
      </c>
      <c r="CI277" s="549">
        <f>-CI269*CI275/4</f>
        <v>0</v>
      </c>
      <c r="CJ277" s="549">
        <f>-CJ269*CJ275/4</f>
        <v>0</v>
      </c>
      <c r="CK277" s="549">
        <f>-CK269*CK275/4</f>
        <v>0</v>
      </c>
      <c r="CL277" s="565"/>
      <c r="CM277" s="549">
        <f>-CM269*CM275/4</f>
        <v>0</v>
      </c>
      <c r="CN277" s="549">
        <f>-CN269*CN275/4</f>
        <v>0</v>
      </c>
      <c r="CO277" s="549">
        <f>-CO269*CO275/4</f>
        <v>0</v>
      </c>
      <c r="CP277" s="549">
        <f>-CP269*CP275/4</f>
        <v>0</v>
      </c>
      <c r="CQ277" s="565"/>
      <c r="CR277" s="549">
        <f>-CR269*CR275/4</f>
        <v>0</v>
      </c>
      <c r="CS277" s="549">
        <f>-CS269*CS275/4</f>
        <v>0</v>
      </c>
      <c r="CT277" s="549">
        <f>-CT269*CT275/4</f>
        <v>0</v>
      </c>
      <c r="CU277" s="549">
        <f>-CU269*CU275/4</f>
        <v>0</v>
      </c>
      <c r="CV277" s="565"/>
      <c r="CW277" s="549">
        <f>-CW269*CW275/4</f>
        <v>0</v>
      </c>
      <c r="CX277" s="549">
        <f>-CX269*CX275/4</f>
        <v>0</v>
      </c>
      <c r="CY277" s="549">
        <f>-CY269*CY275/4</f>
        <v>0</v>
      </c>
      <c r="CZ277" s="549">
        <f>-CZ269*CZ275/4</f>
        <v>0</v>
      </c>
      <c r="DA277" s="565"/>
      <c r="DB277" s="549">
        <f>-DB269*DB275/4</f>
        <v>0</v>
      </c>
      <c r="DC277" s="549">
        <f>-DC269*DC275/4</f>
        <v>0</v>
      </c>
      <c r="DD277" s="549">
        <f>-DD269*DD275/4</f>
        <v>0</v>
      </c>
      <c r="DE277" s="549">
        <f>-DE269*DE275/4</f>
        <v>0</v>
      </c>
      <c r="DF277" s="565"/>
    </row>
    <row r="278" spans="1:110" ht="12" thickBot="1" x14ac:dyDescent="0.25">
      <c r="B278" s="355"/>
      <c r="C278" s="145"/>
      <c r="D278" s="145"/>
      <c r="E278" s="145"/>
      <c r="F278" s="145"/>
      <c r="G278" s="145"/>
      <c r="H278" s="145"/>
      <c r="I278" s="145"/>
      <c r="J278" s="145"/>
      <c r="K278" s="145"/>
      <c r="L278" s="145"/>
      <c r="M278" s="145"/>
      <c r="N278" s="145"/>
      <c r="O278" s="145"/>
      <c r="P278" s="145"/>
      <c r="Q278" s="145"/>
      <c r="R278" s="145"/>
      <c r="S278" s="346"/>
      <c r="T278" s="346"/>
      <c r="U278" s="346"/>
      <c r="V278" s="326"/>
      <c r="W278" s="326"/>
      <c r="X278" s="326"/>
      <c r="Y278" s="346"/>
      <c r="Z278" s="346"/>
      <c r="AA278" s="346"/>
      <c r="AB278" s="346"/>
      <c r="AC278" s="346"/>
      <c r="AD278" s="346"/>
      <c r="AE278" s="346"/>
      <c r="AF278" s="346"/>
      <c r="AG278" s="346"/>
      <c r="AH278" s="346"/>
      <c r="AI278" s="346"/>
      <c r="AJ278" s="346"/>
      <c r="AK278" s="346"/>
      <c r="AL278" s="346"/>
      <c r="AM278" s="346"/>
      <c r="AN278" s="346"/>
      <c r="AO278" s="346"/>
      <c r="AP278" s="346"/>
      <c r="AQ278" s="346"/>
      <c r="AR278" s="346"/>
      <c r="AS278" s="346"/>
      <c r="AT278" s="346"/>
      <c r="AU278" s="346"/>
      <c r="AV278" s="346"/>
      <c r="AW278" s="346"/>
      <c r="AX278" s="346"/>
      <c r="AY278" s="346"/>
      <c r="AZ278" s="346"/>
      <c r="BA278" s="346"/>
      <c r="BB278" s="346"/>
      <c r="BC278" s="346"/>
      <c r="BD278" s="346"/>
      <c r="BE278" s="346"/>
      <c r="BF278" s="346"/>
      <c r="BG278" s="346"/>
      <c r="BH278" s="346"/>
      <c r="BI278" s="346"/>
      <c r="BJ278" s="346"/>
      <c r="BK278" s="346"/>
      <c r="BL278" s="346"/>
      <c r="BM278" s="346"/>
      <c r="BN278" s="346"/>
      <c r="BO278" s="346"/>
      <c r="BP278" s="346"/>
      <c r="BQ278" s="346"/>
      <c r="BR278" s="346"/>
      <c r="BS278" s="346"/>
      <c r="BT278" s="346"/>
      <c r="BU278" s="346"/>
      <c r="BV278" s="346"/>
      <c r="BW278" s="346"/>
      <c r="BX278" s="346"/>
      <c r="BY278" s="346"/>
      <c r="BZ278" s="346"/>
      <c r="CA278" s="346"/>
      <c r="CB278" s="346"/>
      <c r="CC278" s="346"/>
      <c r="CD278" s="346"/>
      <c r="CE278" s="346"/>
      <c r="CF278" s="346"/>
      <c r="CG278" s="346"/>
      <c r="CH278" s="346"/>
      <c r="CI278" s="346"/>
      <c r="CJ278" s="346"/>
      <c r="CK278" s="346"/>
      <c r="CL278" s="346"/>
      <c r="CM278" s="346"/>
      <c r="CN278" s="346"/>
      <c r="CO278" s="346"/>
      <c r="CP278" s="346"/>
      <c r="CQ278" s="346"/>
      <c r="CR278" s="346"/>
      <c r="CS278" s="346"/>
      <c r="CT278" s="346"/>
      <c r="CU278" s="346"/>
      <c r="CV278" s="346"/>
      <c r="CW278" s="346"/>
      <c r="CX278" s="346"/>
      <c r="CY278" s="346"/>
      <c r="CZ278" s="346"/>
      <c r="DA278" s="346"/>
      <c r="DB278" s="346"/>
      <c r="DC278" s="346"/>
      <c r="DD278" s="346"/>
      <c r="DE278" s="346"/>
      <c r="DF278" s="346"/>
    </row>
    <row r="279" spans="1:110" s="1273" customFormat="1" ht="13.5" thickBot="1" x14ac:dyDescent="0.25">
      <c r="B279" s="1274" t="s">
        <v>407</v>
      </c>
      <c r="C279" s="1275"/>
      <c r="D279" s="1275"/>
      <c r="E279" s="1275"/>
      <c r="F279" s="1275"/>
      <c r="G279" s="1275"/>
      <c r="H279" s="1275"/>
      <c r="I279" s="1275"/>
      <c r="J279" s="1275"/>
      <c r="K279" s="1275"/>
      <c r="L279" s="1275"/>
      <c r="M279" s="1275"/>
      <c r="N279" s="1275"/>
      <c r="O279" s="1275"/>
      <c r="P279" s="1275"/>
      <c r="Q279" s="1275"/>
      <c r="R279" s="1275"/>
      <c r="S279" s="1276"/>
      <c r="T279" s="1277"/>
      <c r="U279" s="1276"/>
      <c r="V279" s="1276"/>
      <c r="W279" s="1276"/>
      <c r="X279" s="1276"/>
      <c r="Y279" s="1277"/>
      <c r="Z279" s="1276"/>
      <c r="AA279" s="1276"/>
      <c r="AB279" s="1316"/>
      <c r="AC279" s="1316"/>
      <c r="AD279" s="1344"/>
      <c r="AE279" s="1316"/>
      <c r="AF279" s="1316"/>
      <c r="AG279" s="1316"/>
      <c r="AH279" s="1316"/>
      <c r="AI279" s="1344"/>
      <c r="AJ279" s="1316"/>
      <c r="AK279" s="1316"/>
      <c r="AL279" s="1316"/>
      <c r="AM279" s="1316"/>
      <c r="AN279" s="1344"/>
      <c r="AO279" s="1316"/>
      <c r="AP279" s="1316"/>
      <c r="AQ279" s="1316"/>
      <c r="AR279" s="1316"/>
      <c r="AS279" s="1344"/>
      <c r="AT279" s="1316"/>
      <c r="AU279" s="1316"/>
      <c r="AV279" s="1316"/>
      <c r="AW279" s="1316"/>
      <c r="AX279" s="1344"/>
      <c r="AY279" s="1316"/>
      <c r="AZ279" s="1316"/>
      <c r="BA279" s="1316"/>
      <c r="BB279" s="1316"/>
      <c r="BC279" s="1344"/>
      <c r="BD279" s="1316"/>
      <c r="BE279" s="1316"/>
      <c r="BF279" s="1316"/>
      <c r="BG279" s="1316"/>
      <c r="BH279" s="1344"/>
      <c r="BI279" s="1316"/>
      <c r="BJ279" s="1316"/>
      <c r="BK279" s="1316"/>
      <c r="BL279" s="1316"/>
      <c r="BM279" s="1277"/>
      <c r="BN279" s="1316"/>
      <c r="BO279" s="1316"/>
      <c r="BP279" s="1316"/>
      <c r="BQ279" s="1316"/>
      <c r="BR279" s="1277"/>
      <c r="BS279" s="1316"/>
      <c r="BT279" s="1316"/>
      <c r="BU279" s="1316"/>
      <c r="BV279" s="1316"/>
      <c r="BW279" s="1277"/>
      <c r="BX279" s="1316"/>
      <c r="BY279" s="1316"/>
      <c r="BZ279" s="1316"/>
      <c r="CA279" s="1316"/>
      <c r="CB279" s="1279"/>
      <c r="CC279" s="1316"/>
      <c r="CD279" s="1316"/>
      <c r="CE279" s="1316"/>
      <c r="CF279" s="1316"/>
      <c r="CG279" s="1279"/>
      <c r="CH279" s="1316"/>
      <c r="CI279" s="1316"/>
      <c r="CJ279" s="1316"/>
      <c r="CK279" s="1316"/>
      <c r="CL279" s="1279"/>
      <c r="CM279" s="1316"/>
      <c r="CN279" s="1316"/>
      <c r="CO279" s="1316"/>
      <c r="CP279" s="1316"/>
      <c r="CQ279" s="1279"/>
      <c r="CR279" s="1316"/>
      <c r="CS279" s="1316"/>
      <c r="CT279" s="1316"/>
      <c r="CU279" s="1316"/>
      <c r="CV279" s="1279"/>
      <c r="CW279" s="1316"/>
      <c r="CX279" s="1316"/>
      <c r="CY279" s="1316"/>
      <c r="CZ279" s="1316"/>
      <c r="DA279" s="1279"/>
      <c r="DB279" s="1316"/>
      <c r="DC279" s="1316"/>
      <c r="DD279" s="1316"/>
      <c r="DE279" s="1316"/>
      <c r="DF279" s="1279"/>
    </row>
    <row r="280" spans="1:110" s="1289" customFormat="1" ht="12.75" x14ac:dyDescent="0.2">
      <c r="A280" s="1273"/>
      <c r="B280" s="1280" t="s">
        <v>327</v>
      </c>
      <c r="C280" s="1319">
        <v>6.1249999999999999E-2</v>
      </c>
      <c r="D280" s="1282"/>
      <c r="E280" s="1282"/>
      <c r="F280" s="1282"/>
      <c r="G280" s="1282"/>
      <c r="H280" s="1282"/>
      <c r="I280" s="1282"/>
      <c r="J280" s="1282"/>
      <c r="K280" s="1282"/>
      <c r="L280" s="1282"/>
      <c r="M280" s="1282"/>
      <c r="N280" s="1282"/>
      <c r="O280" s="1282"/>
      <c r="P280" s="1282"/>
      <c r="Q280" s="1282"/>
      <c r="R280" s="1282"/>
      <c r="S280" s="1283"/>
      <c r="T280" s="1284"/>
      <c r="U280" s="1283"/>
      <c r="V280" s="1283"/>
      <c r="W280" s="1283"/>
      <c r="X280" s="1320"/>
      <c r="Y280" s="1284"/>
      <c r="Z280" s="1285"/>
      <c r="AA280" s="1285"/>
      <c r="AB280" s="1285"/>
      <c r="AC280" s="1285"/>
      <c r="AD280" s="1284"/>
      <c r="AE280" s="1285"/>
      <c r="AF280" s="1285"/>
      <c r="AG280" s="1285"/>
      <c r="AH280" s="1286"/>
      <c r="AI280" s="1284"/>
      <c r="AJ280" s="1285"/>
      <c r="AK280" s="1285"/>
      <c r="AL280" s="1286"/>
      <c r="AM280" s="1285"/>
      <c r="AN280" s="1287"/>
      <c r="AO280" s="1285">
        <f>C280</f>
        <v>6.1249999999999999E-2</v>
      </c>
      <c r="AP280" s="1285">
        <f t="shared" ref="AP280:AR281" si="439">AO280</f>
        <v>6.1249999999999999E-2</v>
      </c>
      <c r="AQ280" s="1285">
        <f t="shared" si="439"/>
        <v>6.1249999999999999E-2</v>
      </c>
      <c r="AR280" s="1285">
        <f t="shared" si="439"/>
        <v>6.1249999999999999E-2</v>
      </c>
      <c r="AS280" s="1284"/>
      <c r="AT280" s="1285">
        <f>AR280</f>
        <v>6.1249999999999999E-2</v>
      </c>
      <c r="AU280" s="1285">
        <f t="shared" ref="AU280:AW281" si="440">AT280</f>
        <v>6.1249999999999999E-2</v>
      </c>
      <c r="AV280" s="1285">
        <f t="shared" si="440"/>
        <v>6.1249999999999999E-2</v>
      </c>
      <c r="AW280" s="1285">
        <f t="shared" si="440"/>
        <v>6.1249999999999999E-2</v>
      </c>
      <c r="AX280" s="1287"/>
      <c r="AY280" s="1285">
        <f>AW280</f>
        <v>6.1249999999999999E-2</v>
      </c>
      <c r="AZ280" s="1285">
        <f t="shared" ref="AZ280:BB281" si="441">AY280</f>
        <v>6.1249999999999999E-2</v>
      </c>
      <c r="BA280" s="1285">
        <f t="shared" si="441"/>
        <v>6.1249999999999999E-2</v>
      </c>
      <c r="BB280" s="1285">
        <f t="shared" si="441"/>
        <v>6.1249999999999999E-2</v>
      </c>
      <c r="BC280" s="1284"/>
      <c r="BD280" s="1285">
        <f>BB280</f>
        <v>6.1249999999999999E-2</v>
      </c>
      <c r="BE280" s="1285">
        <f t="shared" ref="BE280:BG281" si="442">BD280</f>
        <v>6.1249999999999999E-2</v>
      </c>
      <c r="BF280" s="1285">
        <f t="shared" si="442"/>
        <v>6.1249999999999999E-2</v>
      </c>
      <c r="BG280" s="1285">
        <f t="shared" si="442"/>
        <v>6.1249999999999999E-2</v>
      </c>
      <c r="BH280" s="1287"/>
      <c r="BI280" s="1285">
        <f>BG280</f>
        <v>6.1249999999999999E-2</v>
      </c>
      <c r="BJ280" s="1285">
        <f t="shared" ref="BJ280:BL281" si="443">BI280</f>
        <v>6.1249999999999999E-2</v>
      </c>
      <c r="BK280" s="1285">
        <f t="shared" si="443"/>
        <v>6.1249999999999999E-2</v>
      </c>
      <c r="BL280" s="1285">
        <f t="shared" si="443"/>
        <v>6.1249999999999999E-2</v>
      </c>
      <c r="BM280" s="1288"/>
      <c r="BN280" s="1285">
        <f>BL280</f>
        <v>6.1249999999999999E-2</v>
      </c>
      <c r="BO280" s="1285">
        <f t="shared" ref="BO280:BQ281" si="444">BN280</f>
        <v>6.1249999999999999E-2</v>
      </c>
      <c r="BP280" s="1285">
        <f t="shared" si="444"/>
        <v>6.1249999999999999E-2</v>
      </c>
      <c r="BQ280" s="1285">
        <f t="shared" si="444"/>
        <v>6.1249999999999999E-2</v>
      </c>
      <c r="BR280" s="1288"/>
      <c r="BS280" s="1285">
        <f>BQ280</f>
        <v>6.1249999999999999E-2</v>
      </c>
      <c r="BT280" s="1285">
        <f t="shared" ref="BT280:BV281" si="445">BS280</f>
        <v>6.1249999999999999E-2</v>
      </c>
      <c r="BU280" s="1285">
        <f t="shared" si="445"/>
        <v>6.1249999999999999E-2</v>
      </c>
      <c r="BV280" s="1285">
        <f t="shared" si="445"/>
        <v>6.1249999999999999E-2</v>
      </c>
      <c r="BW280" s="1288"/>
      <c r="BX280" s="1285">
        <f>BV280</f>
        <v>6.1249999999999999E-2</v>
      </c>
      <c r="BY280" s="1285">
        <f t="shared" ref="BY280:CA281" si="446">BX280</f>
        <v>6.1249999999999999E-2</v>
      </c>
      <c r="BZ280" s="1285">
        <f t="shared" si="446"/>
        <v>6.1249999999999999E-2</v>
      </c>
      <c r="CA280" s="1285">
        <f t="shared" si="446"/>
        <v>6.1249999999999999E-2</v>
      </c>
      <c r="CB280" s="1288"/>
      <c r="CC280" s="1285">
        <f>CA280</f>
        <v>6.1249999999999999E-2</v>
      </c>
      <c r="CD280" s="1285">
        <f t="shared" ref="CD280:CF281" si="447">CC280</f>
        <v>6.1249999999999999E-2</v>
      </c>
      <c r="CE280" s="1285">
        <f t="shared" si="447"/>
        <v>6.1249999999999999E-2</v>
      </c>
      <c r="CF280" s="1285">
        <f t="shared" si="447"/>
        <v>6.1249999999999999E-2</v>
      </c>
      <c r="CG280" s="1288"/>
      <c r="CH280" s="1285">
        <f>CF280</f>
        <v>6.1249999999999999E-2</v>
      </c>
      <c r="CI280" s="1285">
        <f t="shared" ref="CI280:CK281" si="448">CH280</f>
        <v>6.1249999999999999E-2</v>
      </c>
      <c r="CJ280" s="1285">
        <f t="shared" si="448"/>
        <v>6.1249999999999999E-2</v>
      </c>
      <c r="CK280" s="1285">
        <f t="shared" si="448"/>
        <v>6.1249999999999999E-2</v>
      </c>
      <c r="CL280" s="1288"/>
      <c r="CM280" s="1285">
        <f>CK280</f>
        <v>6.1249999999999999E-2</v>
      </c>
      <c r="CN280" s="1285">
        <f t="shared" ref="CN280:CP281" si="449">CM280</f>
        <v>6.1249999999999999E-2</v>
      </c>
      <c r="CO280" s="1285">
        <f t="shared" si="449"/>
        <v>6.1249999999999999E-2</v>
      </c>
      <c r="CP280" s="1285">
        <f t="shared" si="449"/>
        <v>6.1249999999999999E-2</v>
      </c>
      <c r="CQ280" s="1288"/>
      <c r="CR280" s="1285">
        <f>CP280</f>
        <v>6.1249999999999999E-2</v>
      </c>
      <c r="CS280" s="1285">
        <f t="shared" ref="CS280:CS281" si="450">CR280</f>
        <v>6.1249999999999999E-2</v>
      </c>
      <c r="CT280" s="1285">
        <f t="shared" ref="CT280:CT281" si="451">CS280</f>
        <v>6.1249999999999999E-2</v>
      </c>
      <c r="CU280" s="1285">
        <f t="shared" ref="CU280:CU281" si="452">CT280</f>
        <v>6.1249999999999999E-2</v>
      </c>
      <c r="CV280" s="1288"/>
      <c r="CW280" s="1285">
        <f>CU280</f>
        <v>6.1249999999999999E-2</v>
      </c>
      <c r="CX280" s="1285">
        <f t="shared" ref="CX280:CX281" si="453">CW280</f>
        <v>6.1249999999999999E-2</v>
      </c>
      <c r="CY280" s="1285">
        <f t="shared" ref="CY280:CY281" si="454">CX280</f>
        <v>6.1249999999999999E-2</v>
      </c>
      <c r="CZ280" s="1285">
        <f t="shared" ref="CZ280:CZ281" si="455">CY280</f>
        <v>6.1249999999999999E-2</v>
      </c>
      <c r="DA280" s="1288"/>
      <c r="DB280" s="1285">
        <f>CZ280</f>
        <v>6.1249999999999999E-2</v>
      </c>
      <c r="DC280" s="1285">
        <f t="shared" ref="DC280:DC281" si="456">DB280</f>
        <v>6.1249999999999999E-2</v>
      </c>
      <c r="DD280" s="1285">
        <f t="shared" ref="DD280:DD281" si="457">DC280</f>
        <v>6.1249999999999999E-2</v>
      </c>
      <c r="DE280" s="1285">
        <f t="shared" ref="DE280:DE281" si="458">DD280</f>
        <v>6.1249999999999999E-2</v>
      </c>
      <c r="DF280" s="1288"/>
    </row>
    <row r="281" spans="1:110" s="1289" customFormat="1" ht="12.75" x14ac:dyDescent="0.2">
      <c r="A281" s="1273"/>
      <c r="B281" s="1290" t="s">
        <v>405</v>
      </c>
      <c r="D281" s="1292"/>
      <c r="E281" s="1292"/>
      <c r="F281" s="1292"/>
      <c r="G281" s="1292"/>
      <c r="H281" s="1292"/>
      <c r="I281" s="1292"/>
      <c r="J281" s="1292"/>
      <c r="K281" s="1292"/>
      <c r="L281" s="1292"/>
      <c r="M281" s="1292"/>
      <c r="N281" s="1292"/>
      <c r="O281" s="1292"/>
      <c r="P281" s="1292"/>
      <c r="Q281" s="1292"/>
      <c r="R281" s="1292"/>
      <c r="S281" s="1293"/>
      <c r="T281" s="1294"/>
      <c r="U281" s="1293"/>
      <c r="V281" s="1293"/>
      <c r="W281" s="1293"/>
      <c r="X281" s="1293"/>
      <c r="Y281" s="1294"/>
      <c r="Z281" s="1293"/>
      <c r="AA281" s="1293"/>
      <c r="AB281" s="1293"/>
      <c r="AC281" s="1293"/>
      <c r="AD281" s="1294"/>
      <c r="AE281" s="1293"/>
      <c r="AF281" s="1293"/>
      <c r="AG281" s="1293"/>
      <c r="AH281" s="1293"/>
      <c r="AI281" s="1294"/>
      <c r="AJ281" s="1293"/>
      <c r="AK281" s="1293"/>
      <c r="AL281" s="1293"/>
      <c r="AM281" s="1293"/>
      <c r="AN281" s="1303"/>
      <c r="AO281" s="1293">
        <f>AM281</f>
        <v>0</v>
      </c>
      <c r="AP281" s="1293">
        <f t="shared" si="439"/>
        <v>0</v>
      </c>
      <c r="AQ281" s="1293">
        <f t="shared" si="439"/>
        <v>0</v>
      </c>
      <c r="AR281" s="1293">
        <f t="shared" si="439"/>
        <v>0</v>
      </c>
      <c r="AS281" s="1294"/>
      <c r="AT281" s="1293">
        <f>AR281</f>
        <v>0</v>
      </c>
      <c r="AU281" s="1293">
        <f t="shared" si="440"/>
        <v>0</v>
      </c>
      <c r="AV281" s="1293">
        <f t="shared" si="440"/>
        <v>0</v>
      </c>
      <c r="AW281" s="1293">
        <f t="shared" si="440"/>
        <v>0</v>
      </c>
      <c r="AX281" s="1303"/>
      <c r="AY281" s="1293">
        <f>AW281</f>
        <v>0</v>
      </c>
      <c r="AZ281" s="1293">
        <f t="shared" si="441"/>
        <v>0</v>
      </c>
      <c r="BA281" s="1293">
        <f t="shared" si="441"/>
        <v>0</v>
      </c>
      <c r="BB281" s="1293">
        <f t="shared" si="441"/>
        <v>0</v>
      </c>
      <c r="BC281" s="1294"/>
      <c r="BD281" s="1293">
        <f>BB281</f>
        <v>0</v>
      </c>
      <c r="BE281" s="1293">
        <f t="shared" si="442"/>
        <v>0</v>
      </c>
      <c r="BF281" s="1293">
        <f t="shared" si="442"/>
        <v>0</v>
      </c>
      <c r="BG281" s="1293">
        <f t="shared" si="442"/>
        <v>0</v>
      </c>
      <c r="BH281" s="1303"/>
      <c r="BI281" s="1293">
        <f>BG281</f>
        <v>0</v>
      </c>
      <c r="BJ281" s="1293">
        <f t="shared" si="443"/>
        <v>0</v>
      </c>
      <c r="BK281" s="1293">
        <f t="shared" si="443"/>
        <v>0</v>
      </c>
      <c r="BL281" s="1293">
        <f t="shared" si="443"/>
        <v>0</v>
      </c>
      <c r="BM281" s="1304"/>
      <c r="BN281" s="1293">
        <f>BL281</f>
        <v>0</v>
      </c>
      <c r="BO281" s="1293">
        <f t="shared" si="444"/>
        <v>0</v>
      </c>
      <c r="BP281" s="1293">
        <f t="shared" si="444"/>
        <v>0</v>
      </c>
      <c r="BQ281" s="1293">
        <f t="shared" si="444"/>
        <v>0</v>
      </c>
      <c r="BR281" s="1304"/>
      <c r="BS281" s="1293">
        <f>BQ281</f>
        <v>0</v>
      </c>
      <c r="BT281" s="1293">
        <f t="shared" si="445"/>
        <v>0</v>
      </c>
      <c r="BU281" s="1293">
        <f t="shared" si="445"/>
        <v>0</v>
      </c>
      <c r="BV281" s="1293">
        <f t="shared" si="445"/>
        <v>0</v>
      </c>
      <c r="BW281" s="1304"/>
      <c r="BX281" s="1293">
        <f>BV281</f>
        <v>0</v>
      </c>
      <c r="BY281" s="1293">
        <f t="shared" si="446"/>
        <v>0</v>
      </c>
      <c r="BZ281" s="1293">
        <f t="shared" si="446"/>
        <v>0</v>
      </c>
      <c r="CA281" s="1293">
        <f t="shared" si="446"/>
        <v>0</v>
      </c>
      <c r="CB281" s="1304"/>
      <c r="CC281" s="1293">
        <f>CA281</f>
        <v>0</v>
      </c>
      <c r="CD281" s="1293">
        <f t="shared" si="447"/>
        <v>0</v>
      </c>
      <c r="CE281" s="1293">
        <f t="shared" si="447"/>
        <v>0</v>
      </c>
      <c r="CF281" s="1293">
        <f t="shared" si="447"/>
        <v>0</v>
      </c>
      <c r="CG281" s="1304"/>
      <c r="CH281" s="1293">
        <f>CF281</f>
        <v>0</v>
      </c>
      <c r="CI281" s="1293">
        <f t="shared" si="448"/>
        <v>0</v>
      </c>
      <c r="CJ281" s="1293">
        <f t="shared" si="448"/>
        <v>0</v>
      </c>
      <c r="CK281" s="1293">
        <f t="shared" si="448"/>
        <v>0</v>
      </c>
      <c r="CL281" s="1304"/>
      <c r="CM281" s="1293">
        <f>CK281</f>
        <v>0</v>
      </c>
      <c r="CN281" s="1293">
        <f t="shared" si="449"/>
        <v>0</v>
      </c>
      <c r="CO281" s="1293">
        <f t="shared" si="449"/>
        <v>0</v>
      </c>
      <c r="CP281" s="1293">
        <f t="shared" si="449"/>
        <v>0</v>
      </c>
      <c r="CQ281" s="1304"/>
      <c r="CR281" s="1293">
        <f>CP281</f>
        <v>0</v>
      </c>
      <c r="CS281" s="1293">
        <f t="shared" si="450"/>
        <v>0</v>
      </c>
      <c r="CT281" s="1293">
        <f t="shared" si="451"/>
        <v>0</v>
      </c>
      <c r="CU281" s="1293">
        <f t="shared" si="452"/>
        <v>0</v>
      </c>
      <c r="CV281" s="1304"/>
      <c r="CW281" s="1293">
        <f>CU281</f>
        <v>0</v>
      </c>
      <c r="CX281" s="1293">
        <f t="shared" si="453"/>
        <v>0</v>
      </c>
      <c r="CY281" s="1293">
        <f t="shared" si="454"/>
        <v>0</v>
      </c>
      <c r="CZ281" s="1293">
        <f t="shared" si="455"/>
        <v>0</v>
      </c>
      <c r="DA281" s="1304"/>
      <c r="DB281" s="1293">
        <f>CZ281</f>
        <v>0</v>
      </c>
      <c r="DC281" s="1293">
        <f t="shared" si="456"/>
        <v>0</v>
      </c>
      <c r="DD281" s="1293">
        <f t="shared" si="457"/>
        <v>0</v>
      </c>
      <c r="DE281" s="1293">
        <f t="shared" si="458"/>
        <v>0</v>
      </c>
      <c r="DF281" s="1304"/>
    </row>
    <row r="282" spans="1:110" s="1289" customFormat="1" ht="12.75" x14ac:dyDescent="0.2">
      <c r="A282" s="1273"/>
      <c r="B282" s="1290" t="s">
        <v>198</v>
      </c>
      <c r="C282" s="1273"/>
      <c r="D282" s="1301"/>
      <c r="E282" s="1301"/>
      <c r="F282" s="1301"/>
      <c r="G282" s="1301"/>
      <c r="H282" s="1301"/>
      <c r="I282" s="1301"/>
      <c r="J282" s="1301"/>
      <c r="K282" s="1301"/>
      <c r="L282" s="1301"/>
      <c r="M282" s="1301"/>
      <c r="N282" s="1301"/>
      <c r="O282" s="1301"/>
      <c r="P282" s="1301"/>
      <c r="Q282" s="1301"/>
      <c r="R282" s="1301"/>
      <c r="S282" s="1293"/>
      <c r="T282" s="1294"/>
      <c r="U282" s="1293">
        <f>+T284</f>
        <v>0</v>
      </c>
      <c r="V282" s="1293">
        <f>+U284</f>
        <v>0</v>
      </c>
      <c r="W282" s="1293">
        <f>+V284</f>
        <v>0</v>
      </c>
      <c r="X282" s="1293"/>
      <c r="Y282" s="1294">
        <f>T284</f>
        <v>0</v>
      </c>
      <c r="Z282" s="1293"/>
      <c r="AA282" s="1293"/>
      <c r="AB282" s="1293"/>
      <c r="AC282" s="1293"/>
      <c r="AD282" s="1294">
        <f>Y284</f>
        <v>0</v>
      </c>
      <c r="AE282" s="1293"/>
      <c r="AF282" s="1293"/>
      <c r="AG282" s="1293"/>
      <c r="AH282" s="1293"/>
      <c r="AI282" s="1294">
        <f>AD284</f>
        <v>0</v>
      </c>
      <c r="AJ282" s="1293"/>
      <c r="AK282" s="1293"/>
      <c r="AL282" s="1293"/>
      <c r="AM282" s="1293"/>
      <c r="AN282" s="1303">
        <f>AI284</f>
        <v>0</v>
      </c>
      <c r="AO282" s="1293">
        <f>+AN284</f>
        <v>0</v>
      </c>
      <c r="AP282" s="1293">
        <f>+AO284</f>
        <v>298.3</v>
      </c>
      <c r="AQ282" s="1293">
        <f>+AP284</f>
        <v>298.40000000000003</v>
      </c>
      <c r="AR282" s="1293">
        <f>+AQ284</f>
        <v>298.40000000000003</v>
      </c>
      <c r="AS282" s="1294">
        <f>AN284</f>
        <v>0</v>
      </c>
      <c r="AT282" s="1293">
        <f>+AS284</f>
        <v>298.50000000000006</v>
      </c>
      <c r="AU282" s="1293">
        <f>+AT284</f>
        <v>298.50000000000006</v>
      </c>
      <c r="AV282" s="1293">
        <f>+AU284</f>
        <v>298.70000000000005</v>
      </c>
      <c r="AW282" s="1293">
        <f>+AV284</f>
        <v>298.70000000000005</v>
      </c>
      <c r="AX282" s="1303">
        <f>AS284</f>
        <v>298.50000000000006</v>
      </c>
      <c r="AY282" s="1293">
        <f>+AX284</f>
        <v>298.80000000000007</v>
      </c>
      <c r="AZ282" s="1293">
        <f>+AY284</f>
        <v>298.90000000000009</v>
      </c>
      <c r="BA282" s="1293">
        <f>+AZ284</f>
        <v>299.00000000000011</v>
      </c>
      <c r="BB282" s="1293">
        <f>+BA284</f>
        <v>299.10000000000014</v>
      </c>
      <c r="BC282" s="1294">
        <f>AX284</f>
        <v>298.80000000000007</v>
      </c>
      <c r="BD282" s="1293">
        <f>+BC284</f>
        <v>299.20000000000005</v>
      </c>
      <c r="BE282" s="1293">
        <f>+BD284</f>
        <v>299.30000000000007</v>
      </c>
      <c r="BF282" s="1293">
        <f>+BE284</f>
        <v>299.30000000000007</v>
      </c>
      <c r="BG282" s="1293">
        <f>+BF284</f>
        <v>299.40000000000009</v>
      </c>
      <c r="BH282" s="1303">
        <f>BC284</f>
        <v>299.20000000000005</v>
      </c>
      <c r="BI282" s="1293">
        <f>+BH284</f>
        <v>299.50000000000006</v>
      </c>
      <c r="BJ282" s="1293">
        <f>+BI284</f>
        <v>299.60000000000008</v>
      </c>
      <c r="BK282" s="1293">
        <f>+BJ284</f>
        <v>310.7</v>
      </c>
      <c r="BL282" s="1293">
        <f>+BK284</f>
        <v>306.89999999999998</v>
      </c>
      <c r="BM282" s="1304">
        <f>BH284</f>
        <v>299.50000000000006</v>
      </c>
      <c r="BN282" s="1293">
        <f>+BM284</f>
        <v>303.3</v>
      </c>
      <c r="BO282" s="1293">
        <f>+BN284</f>
        <v>0</v>
      </c>
      <c r="BP282" s="1293">
        <f>+BO284</f>
        <v>0</v>
      </c>
      <c r="BQ282" s="1293">
        <f>+BP284</f>
        <v>0</v>
      </c>
      <c r="BR282" s="1304">
        <f>BM284</f>
        <v>303.3</v>
      </c>
      <c r="BS282" s="1293">
        <f>+BR284</f>
        <v>0</v>
      </c>
      <c r="BT282" s="1293">
        <f>+BS284</f>
        <v>0</v>
      </c>
      <c r="BU282" s="1293">
        <f>+BT284</f>
        <v>0</v>
      </c>
      <c r="BV282" s="1293">
        <f>+BU284</f>
        <v>0</v>
      </c>
      <c r="BW282" s="1304">
        <f>BR284</f>
        <v>0</v>
      </c>
      <c r="BX282" s="1293">
        <f>+BW284</f>
        <v>0</v>
      </c>
      <c r="BY282" s="1293">
        <f>+BX284</f>
        <v>0</v>
      </c>
      <c r="BZ282" s="1293">
        <f>+BY284</f>
        <v>0</v>
      </c>
      <c r="CA282" s="1293">
        <f>+BZ284</f>
        <v>0</v>
      </c>
      <c r="CB282" s="1304">
        <f>BW284</f>
        <v>0</v>
      </c>
      <c r="CC282" s="1293">
        <f>+CB284</f>
        <v>0</v>
      </c>
      <c r="CD282" s="1293">
        <f>+CC284</f>
        <v>0</v>
      </c>
      <c r="CE282" s="1293">
        <f>+CD284</f>
        <v>0</v>
      </c>
      <c r="CF282" s="1293">
        <f>+CE284</f>
        <v>0</v>
      </c>
      <c r="CG282" s="1304">
        <f>CB284</f>
        <v>0</v>
      </c>
      <c r="CH282" s="1293">
        <f>+CG284</f>
        <v>0</v>
      </c>
      <c r="CI282" s="1293">
        <f>+CH284</f>
        <v>0</v>
      </c>
      <c r="CJ282" s="1293">
        <f>+CI284</f>
        <v>0</v>
      </c>
      <c r="CK282" s="1293">
        <f>+CJ284</f>
        <v>0</v>
      </c>
      <c r="CL282" s="1304">
        <f>CG284</f>
        <v>0</v>
      </c>
      <c r="CM282" s="1293">
        <f>+CL284</f>
        <v>0</v>
      </c>
      <c r="CN282" s="1293">
        <f>+CM284</f>
        <v>0</v>
      </c>
      <c r="CO282" s="1293">
        <f>+CN284</f>
        <v>0</v>
      </c>
      <c r="CP282" s="1293">
        <f>+CO284</f>
        <v>0</v>
      </c>
      <c r="CQ282" s="1304">
        <f>CL284</f>
        <v>0</v>
      </c>
      <c r="CR282" s="1293">
        <f>+CQ284</f>
        <v>0</v>
      </c>
      <c r="CS282" s="1293">
        <f>+CR284</f>
        <v>0</v>
      </c>
      <c r="CT282" s="1293">
        <f>+CS284</f>
        <v>0</v>
      </c>
      <c r="CU282" s="1293">
        <f>+CT284</f>
        <v>0</v>
      </c>
      <c r="CV282" s="1304">
        <f>CQ284</f>
        <v>0</v>
      </c>
      <c r="CW282" s="1293">
        <f>+CV284</f>
        <v>0</v>
      </c>
      <c r="CX282" s="1293">
        <f>+CW284</f>
        <v>0</v>
      </c>
      <c r="CY282" s="1293">
        <f>+CX284</f>
        <v>0</v>
      </c>
      <c r="CZ282" s="1293">
        <f>+CY284</f>
        <v>0</v>
      </c>
      <c r="DA282" s="1304">
        <f>CV284</f>
        <v>0</v>
      </c>
      <c r="DB282" s="1293">
        <f>+DA284</f>
        <v>0</v>
      </c>
      <c r="DC282" s="1293">
        <f>+DB284</f>
        <v>0</v>
      </c>
      <c r="DD282" s="1293">
        <f>+DC284</f>
        <v>0</v>
      </c>
      <c r="DE282" s="1293">
        <f>+DD284</f>
        <v>0</v>
      </c>
      <c r="DF282" s="1304">
        <f>DA284</f>
        <v>0</v>
      </c>
    </row>
    <row r="283" spans="1:110" s="1289" customFormat="1" ht="12.75" x14ac:dyDescent="0.2">
      <c r="A283" s="1273"/>
      <c r="B283" s="1290" t="s">
        <v>199</v>
      </c>
      <c r="C283" s="1298"/>
      <c r="D283" s="1298"/>
      <c r="E283" s="1298"/>
      <c r="F283" s="1298"/>
      <c r="G283" s="1298"/>
      <c r="H283" s="1298"/>
      <c r="I283" s="1298"/>
      <c r="J283" s="1298"/>
      <c r="K283" s="1298"/>
      <c r="L283" s="1298"/>
      <c r="M283" s="1298"/>
      <c r="N283" s="1298"/>
      <c r="O283" s="1298"/>
      <c r="P283" s="1298"/>
      <c r="Q283" s="1298"/>
      <c r="R283" s="1298"/>
      <c r="S283" s="1305"/>
      <c r="T283" s="1306"/>
      <c r="U283" s="1305">
        <v>0</v>
      </c>
      <c r="V283" s="1305"/>
      <c r="W283" s="1305"/>
      <c r="X283" s="1305"/>
      <c r="Y283" s="1306">
        <v>0</v>
      </c>
      <c r="Z283" s="1307"/>
      <c r="AA283" s="1307"/>
      <c r="AB283" s="1307"/>
      <c r="AC283" s="1307"/>
      <c r="AD283" s="1306">
        <f>+SUM(Z283:AC283)</f>
        <v>0</v>
      </c>
      <c r="AE283" s="1307"/>
      <c r="AF283" s="1307"/>
      <c r="AG283" s="1307"/>
      <c r="AH283" s="1307"/>
      <c r="AI283" s="1306">
        <f>+SUM(AE283:AH283)</f>
        <v>0</v>
      </c>
      <c r="AJ283" s="1307"/>
      <c r="AK283" s="1307"/>
      <c r="AL283" s="1307"/>
      <c r="AM283" s="1307"/>
      <c r="AN283" s="1308">
        <f>+SUM(AJ283:AM283)</f>
        <v>0</v>
      </c>
      <c r="AO283" s="1307">
        <v>298.3</v>
      </c>
      <c r="AP283" s="1307">
        <v>0.1</v>
      </c>
      <c r="AQ283" s="1307">
        <v>0</v>
      </c>
      <c r="AR283" s="1307">
        <v>0.1</v>
      </c>
      <c r="AS283" s="1306">
        <f>+SUM(AO283:AR283)</f>
        <v>298.50000000000006</v>
      </c>
      <c r="AT283" s="1307"/>
      <c r="AU283" s="1307">
        <v>0.2</v>
      </c>
      <c r="AV283" s="1307"/>
      <c r="AW283" s="1307">
        <v>0.1</v>
      </c>
      <c r="AX283" s="1308">
        <f>+SUM(AT283:AW283)</f>
        <v>0.30000000000000004</v>
      </c>
      <c r="AY283" s="1307">
        <v>0.1</v>
      </c>
      <c r="AZ283" s="1307">
        <v>0.1</v>
      </c>
      <c r="BA283" s="1307">
        <v>0.1</v>
      </c>
      <c r="BB283" s="1307">
        <v>0.1</v>
      </c>
      <c r="BC283" s="1306">
        <f>+SUM(AY283:BB283)</f>
        <v>0.4</v>
      </c>
      <c r="BD283" s="1307">
        <v>0.1</v>
      </c>
      <c r="BE283" s="1307">
        <v>0</v>
      </c>
      <c r="BF283" s="1307">
        <v>0.1</v>
      </c>
      <c r="BG283" s="1307">
        <v>0.1</v>
      </c>
      <c r="BH283" s="1308">
        <f>+SUM(BD283:BG283)</f>
        <v>0.30000000000000004</v>
      </c>
      <c r="BI283" s="1307">
        <v>0.1</v>
      </c>
      <c r="BJ283" s="1307">
        <f>310.7-BJ282</f>
        <v>11.099999999999909</v>
      </c>
      <c r="BK283" s="1307">
        <f>306.9-BK282</f>
        <v>-3.8000000000000114</v>
      </c>
      <c r="BL283" s="1307">
        <f>303.3-BL282</f>
        <v>-3.5999999999999659</v>
      </c>
      <c r="BM283" s="1309">
        <f>+SUM(BI283:BL283)</f>
        <v>3.7999999999999314</v>
      </c>
      <c r="BN283" s="1307">
        <v>-303.3</v>
      </c>
      <c r="BO283" s="1307">
        <v>0</v>
      </c>
      <c r="BP283" s="1307"/>
      <c r="BQ283" s="1307">
        <f>-BQ282</f>
        <v>0</v>
      </c>
      <c r="BR283" s="1309">
        <f>+SUM(BN283:BQ283)</f>
        <v>-303.3</v>
      </c>
      <c r="BS283" s="1307"/>
      <c r="BT283" s="1307"/>
      <c r="BU283" s="1307"/>
      <c r="BV283" s="1307"/>
      <c r="BW283" s="1309">
        <f>+SUM(BS283:BV283)</f>
        <v>0</v>
      </c>
      <c r="BX283" s="1307"/>
      <c r="BY283" s="1307"/>
      <c r="BZ283" s="1307"/>
      <c r="CA283" s="1307"/>
      <c r="CB283" s="1309">
        <f>+SUM(BX283:CA283)</f>
        <v>0</v>
      </c>
      <c r="CC283" s="1307"/>
      <c r="CD283" s="1307"/>
      <c r="CE283" s="1307"/>
      <c r="CF283" s="1307"/>
      <c r="CG283" s="1309">
        <f>+SUM(CC283:CF283)</f>
        <v>0</v>
      </c>
      <c r="CH283" s="1307"/>
      <c r="CI283" s="1307"/>
      <c r="CJ283" s="1307"/>
      <c r="CK283" s="1307"/>
      <c r="CL283" s="1309">
        <f>+SUM(CH283:CK283)</f>
        <v>0</v>
      </c>
      <c r="CM283" s="1307"/>
      <c r="CN283" s="1307"/>
      <c r="CO283" s="1307"/>
      <c r="CP283" s="1307"/>
      <c r="CQ283" s="1309">
        <f>+SUM(CM283:CP283)</f>
        <v>0</v>
      </c>
      <c r="CR283" s="1307"/>
      <c r="CS283" s="1307"/>
      <c r="CT283" s="1307"/>
      <c r="CU283" s="1307"/>
      <c r="CV283" s="1309">
        <f>+SUM(CR283:CU283)</f>
        <v>0</v>
      </c>
      <c r="CW283" s="1307"/>
      <c r="CX283" s="1307"/>
      <c r="CY283" s="1307"/>
      <c r="CZ283" s="1307"/>
      <c r="DA283" s="1309">
        <f>+SUM(CW283:CZ283)</f>
        <v>0</v>
      </c>
      <c r="DB283" s="1307"/>
      <c r="DC283" s="1307"/>
      <c r="DD283" s="1307"/>
      <c r="DE283" s="1307"/>
      <c r="DF283" s="1309">
        <f>+SUM(DB283:DE283)</f>
        <v>0</v>
      </c>
    </row>
    <row r="284" spans="1:110" s="1289" customFormat="1" ht="12.75" x14ac:dyDescent="0.2">
      <c r="A284" s="1273"/>
      <c r="B284" s="1290" t="s">
        <v>200</v>
      </c>
      <c r="C284" s="1298"/>
      <c r="D284" s="1298"/>
      <c r="E284" s="1298"/>
      <c r="F284" s="1298"/>
      <c r="G284" s="1298"/>
      <c r="H284" s="1298"/>
      <c r="I284" s="1298"/>
      <c r="J284" s="1298"/>
      <c r="K284" s="1298"/>
      <c r="L284" s="1298"/>
      <c r="M284" s="1298"/>
      <c r="N284" s="1298"/>
      <c r="O284" s="1298"/>
      <c r="P284" s="1298"/>
      <c r="Q284" s="1298"/>
      <c r="R284" s="1298"/>
      <c r="S284" s="1293">
        <v>0</v>
      </c>
      <c r="T284" s="1293">
        <f>+S284</f>
        <v>0</v>
      </c>
      <c r="U284" s="1293">
        <f t="shared" ref="U284:BW284" si="459">U282+U283</f>
        <v>0</v>
      </c>
      <c r="V284" s="1293">
        <f t="shared" si="459"/>
        <v>0</v>
      </c>
      <c r="W284" s="1293">
        <f t="shared" si="459"/>
        <v>0</v>
      </c>
      <c r="X284" s="1293">
        <f t="shared" si="459"/>
        <v>0</v>
      </c>
      <c r="Y284" s="1294">
        <f t="shared" si="459"/>
        <v>0</v>
      </c>
      <c r="Z284" s="1293">
        <f t="shared" si="459"/>
        <v>0</v>
      </c>
      <c r="AA284" s="1293">
        <f t="shared" si="459"/>
        <v>0</v>
      </c>
      <c r="AB284" s="1293">
        <f t="shared" si="459"/>
        <v>0</v>
      </c>
      <c r="AC284" s="1293">
        <f t="shared" si="459"/>
        <v>0</v>
      </c>
      <c r="AD284" s="1294">
        <f t="shared" si="459"/>
        <v>0</v>
      </c>
      <c r="AE284" s="1293">
        <f t="shared" si="459"/>
        <v>0</v>
      </c>
      <c r="AF284" s="1293">
        <f t="shared" si="459"/>
        <v>0</v>
      </c>
      <c r="AG284" s="1293">
        <f t="shared" si="459"/>
        <v>0</v>
      </c>
      <c r="AH284" s="1293">
        <f t="shared" si="459"/>
        <v>0</v>
      </c>
      <c r="AI284" s="1294">
        <f t="shared" si="459"/>
        <v>0</v>
      </c>
      <c r="AJ284" s="1293">
        <f t="shared" si="459"/>
        <v>0</v>
      </c>
      <c r="AK284" s="1293">
        <f t="shared" si="459"/>
        <v>0</v>
      </c>
      <c r="AL284" s="1293">
        <f t="shared" si="459"/>
        <v>0</v>
      </c>
      <c r="AM284" s="1293">
        <f t="shared" si="459"/>
        <v>0</v>
      </c>
      <c r="AN284" s="1303">
        <f t="shared" si="459"/>
        <v>0</v>
      </c>
      <c r="AO284" s="1293">
        <f t="shared" si="459"/>
        <v>298.3</v>
      </c>
      <c r="AP284" s="1293">
        <f t="shared" si="459"/>
        <v>298.40000000000003</v>
      </c>
      <c r="AQ284" s="1293">
        <f t="shared" si="459"/>
        <v>298.40000000000003</v>
      </c>
      <c r="AR284" s="1293">
        <f t="shared" si="459"/>
        <v>298.50000000000006</v>
      </c>
      <c r="AS284" s="1294">
        <f t="shared" si="459"/>
        <v>298.50000000000006</v>
      </c>
      <c r="AT284" s="1293">
        <f t="shared" si="459"/>
        <v>298.50000000000006</v>
      </c>
      <c r="AU284" s="1293">
        <f t="shared" si="459"/>
        <v>298.70000000000005</v>
      </c>
      <c r="AV284" s="1293">
        <f t="shared" si="459"/>
        <v>298.70000000000005</v>
      </c>
      <c r="AW284" s="1293">
        <f t="shared" si="459"/>
        <v>298.80000000000007</v>
      </c>
      <c r="AX284" s="1303">
        <f t="shared" si="459"/>
        <v>298.80000000000007</v>
      </c>
      <c r="AY284" s="1293">
        <f t="shared" si="459"/>
        <v>298.90000000000009</v>
      </c>
      <c r="AZ284" s="1293">
        <f t="shared" si="459"/>
        <v>299.00000000000011</v>
      </c>
      <c r="BA284" s="1293">
        <f t="shared" si="459"/>
        <v>299.10000000000014</v>
      </c>
      <c r="BB284" s="1293">
        <f t="shared" si="459"/>
        <v>299.20000000000016</v>
      </c>
      <c r="BC284" s="1294">
        <f t="shared" si="459"/>
        <v>299.20000000000005</v>
      </c>
      <c r="BD284" s="1293">
        <f t="shared" si="459"/>
        <v>299.30000000000007</v>
      </c>
      <c r="BE284" s="1293">
        <f t="shared" si="459"/>
        <v>299.30000000000007</v>
      </c>
      <c r="BF284" s="1293">
        <f t="shared" si="459"/>
        <v>299.40000000000009</v>
      </c>
      <c r="BG284" s="1293">
        <f t="shared" si="459"/>
        <v>299.50000000000011</v>
      </c>
      <c r="BH284" s="1303">
        <f t="shared" si="459"/>
        <v>299.50000000000006</v>
      </c>
      <c r="BI284" s="1293">
        <f t="shared" si="459"/>
        <v>299.60000000000008</v>
      </c>
      <c r="BJ284" s="1293">
        <f t="shared" si="459"/>
        <v>310.7</v>
      </c>
      <c r="BK284" s="1293">
        <f t="shared" si="459"/>
        <v>306.89999999999998</v>
      </c>
      <c r="BL284" s="1293">
        <f t="shared" si="459"/>
        <v>303.3</v>
      </c>
      <c r="BM284" s="1304">
        <f t="shared" si="459"/>
        <v>303.3</v>
      </c>
      <c r="BN284" s="1293">
        <f t="shared" si="459"/>
        <v>0</v>
      </c>
      <c r="BO284" s="1293">
        <f t="shared" si="459"/>
        <v>0</v>
      </c>
      <c r="BP284" s="1293">
        <f t="shared" si="459"/>
        <v>0</v>
      </c>
      <c r="BQ284" s="1293">
        <f t="shared" si="459"/>
        <v>0</v>
      </c>
      <c r="BR284" s="1304">
        <f t="shared" si="459"/>
        <v>0</v>
      </c>
      <c r="BS284" s="1293">
        <f t="shared" si="459"/>
        <v>0</v>
      </c>
      <c r="BT284" s="1293">
        <f t="shared" si="459"/>
        <v>0</v>
      </c>
      <c r="BU284" s="1293">
        <f t="shared" si="459"/>
        <v>0</v>
      </c>
      <c r="BV284" s="1293">
        <f t="shared" si="459"/>
        <v>0</v>
      </c>
      <c r="BW284" s="1304">
        <f t="shared" si="459"/>
        <v>0</v>
      </c>
      <c r="BX284" s="1293">
        <f t="shared" ref="BX284:CG284" si="460">BX282+BX283</f>
        <v>0</v>
      </c>
      <c r="BY284" s="1293">
        <f t="shared" si="460"/>
        <v>0</v>
      </c>
      <c r="BZ284" s="1293">
        <f t="shared" si="460"/>
        <v>0</v>
      </c>
      <c r="CA284" s="1293">
        <f t="shared" si="460"/>
        <v>0</v>
      </c>
      <c r="CB284" s="1304">
        <f t="shared" si="460"/>
        <v>0</v>
      </c>
      <c r="CC284" s="1293">
        <f t="shared" si="460"/>
        <v>0</v>
      </c>
      <c r="CD284" s="1293">
        <f t="shared" si="460"/>
        <v>0</v>
      </c>
      <c r="CE284" s="1293">
        <f t="shared" si="460"/>
        <v>0</v>
      </c>
      <c r="CF284" s="1293">
        <f t="shared" si="460"/>
        <v>0</v>
      </c>
      <c r="CG284" s="1304">
        <f t="shared" si="460"/>
        <v>0</v>
      </c>
      <c r="CH284" s="1293">
        <f t="shared" ref="CH284:CQ284" si="461">CH282+CH283</f>
        <v>0</v>
      </c>
      <c r="CI284" s="1293">
        <f t="shared" si="461"/>
        <v>0</v>
      </c>
      <c r="CJ284" s="1293">
        <f t="shared" si="461"/>
        <v>0</v>
      </c>
      <c r="CK284" s="1293">
        <f t="shared" si="461"/>
        <v>0</v>
      </c>
      <c r="CL284" s="1304">
        <f t="shared" si="461"/>
        <v>0</v>
      </c>
      <c r="CM284" s="1293">
        <f t="shared" si="461"/>
        <v>0</v>
      </c>
      <c r="CN284" s="1293">
        <f t="shared" si="461"/>
        <v>0</v>
      </c>
      <c r="CO284" s="1293">
        <f t="shared" si="461"/>
        <v>0</v>
      </c>
      <c r="CP284" s="1293">
        <f t="shared" si="461"/>
        <v>0</v>
      </c>
      <c r="CQ284" s="1304">
        <f t="shared" si="461"/>
        <v>0</v>
      </c>
      <c r="CR284" s="1293">
        <f t="shared" ref="CR284:CV284" si="462">CR282+CR283</f>
        <v>0</v>
      </c>
      <c r="CS284" s="1293">
        <f t="shared" si="462"/>
        <v>0</v>
      </c>
      <c r="CT284" s="1293">
        <f t="shared" si="462"/>
        <v>0</v>
      </c>
      <c r="CU284" s="1293">
        <f t="shared" si="462"/>
        <v>0</v>
      </c>
      <c r="CV284" s="1304">
        <f t="shared" si="462"/>
        <v>0</v>
      </c>
      <c r="CW284" s="1293">
        <f t="shared" ref="CW284:DF284" si="463">CW282+CW283</f>
        <v>0</v>
      </c>
      <c r="CX284" s="1293">
        <f t="shared" si="463"/>
        <v>0</v>
      </c>
      <c r="CY284" s="1293">
        <f t="shared" si="463"/>
        <v>0</v>
      </c>
      <c r="CZ284" s="1293">
        <f t="shared" si="463"/>
        <v>0</v>
      </c>
      <c r="DA284" s="1304">
        <f t="shared" si="463"/>
        <v>0</v>
      </c>
      <c r="DB284" s="1293">
        <f t="shared" si="463"/>
        <v>0</v>
      </c>
      <c r="DC284" s="1293">
        <f t="shared" si="463"/>
        <v>0</v>
      </c>
      <c r="DD284" s="1293">
        <f t="shared" si="463"/>
        <v>0</v>
      </c>
      <c r="DE284" s="1293">
        <f t="shared" si="463"/>
        <v>0</v>
      </c>
      <c r="DF284" s="1304">
        <f t="shared" si="463"/>
        <v>0</v>
      </c>
    </row>
    <row r="285" spans="1:110" s="1289" customFormat="1" ht="13.5" thickBot="1" x14ac:dyDescent="0.25">
      <c r="A285" s="1273"/>
      <c r="B285" s="1310" t="s">
        <v>147</v>
      </c>
      <c r="C285" s="1311"/>
      <c r="D285" s="1311"/>
      <c r="E285" s="1311"/>
      <c r="F285" s="1311"/>
      <c r="G285" s="1311"/>
      <c r="H285" s="1311"/>
      <c r="I285" s="1311"/>
      <c r="J285" s="1311"/>
      <c r="K285" s="1311"/>
      <c r="L285" s="1311"/>
      <c r="M285" s="1311"/>
      <c r="N285" s="1311"/>
      <c r="O285" s="1311"/>
      <c r="P285" s="1311"/>
      <c r="Q285" s="1311"/>
      <c r="R285" s="1311"/>
      <c r="S285" s="1312"/>
      <c r="T285" s="1313"/>
      <c r="U285" s="1312">
        <f>-(AVERAGE(U284,U282))*(($C280+U94)/4)</f>
        <v>0</v>
      </c>
      <c r="V285" s="1312">
        <f>-(AVERAGE(V284,V282))*(($C280+V94)/4)</f>
        <v>0</v>
      </c>
      <c r="W285" s="1312">
        <f>-(AVERAGE(W284,W282))*(($C280+W94)/4)</f>
        <v>0</v>
      </c>
      <c r="X285" s="1312">
        <f>-(AVERAGE(X284,X282))*(($C280+X94)/4)</f>
        <v>0</v>
      </c>
      <c r="Y285" s="1313">
        <v>0</v>
      </c>
      <c r="Z285" s="1312">
        <f>-(AVERAGE(Z284,Z282))*(($C280+Z94)/4)</f>
        <v>0</v>
      </c>
      <c r="AA285" s="1312">
        <f>-(AVERAGE(AA284,AA282))*(($C280+AA94)/4)</f>
        <v>0</v>
      </c>
      <c r="AB285" s="1312">
        <f>-(AVERAGE(AB284,AB282))*((AB280)/4)</f>
        <v>0</v>
      </c>
      <c r="AC285" s="1312">
        <f>-(AVERAGE(AC284,AC282))*((AC280)/4)</f>
        <v>0</v>
      </c>
      <c r="AD285" s="1313">
        <f>SUM(Z285:AC285)</f>
        <v>0</v>
      </c>
      <c r="AE285" s="1312">
        <f>-(AVERAGE(AE284,AE282))*((AE280)/4)</f>
        <v>0</v>
      </c>
      <c r="AF285" s="1312">
        <f>-(AVERAGE(AF284,AF282))*((AF280)/4)</f>
        <v>0</v>
      </c>
      <c r="AG285" s="1312">
        <f>-(AVERAGE(AG284,AG282))*((AG280)/4)</f>
        <v>0</v>
      </c>
      <c r="AH285" s="1312">
        <f>-(AVERAGE(AH284,AH282))*((AH280)/4)</f>
        <v>0</v>
      </c>
      <c r="AI285" s="1313">
        <f>SUM(AE285:AH285)</f>
        <v>0</v>
      </c>
      <c r="AJ285" s="1312">
        <f>-(AVERAGE(AJ284,AJ282))*((AJ280)/4)</f>
        <v>0</v>
      </c>
      <c r="AK285" s="1312">
        <f>-(AVERAGE(AK284,AK282))*((AK280)/4)</f>
        <v>0</v>
      </c>
      <c r="AL285" s="1312">
        <f>-(AVERAGE(AL284,AL282))*((AL280)/4)</f>
        <v>0</v>
      </c>
      <c r="AM285" s="1312">
        <f>-(AVERAGE(AM284,AM282))*((AM280)/4)</f>
        <v>0</v>
      </c>
      <c r="AN285" s="1315">
        <f>SUM(AJ285:AM285)</f>
        <v>0</v>
      </c>
      <c r="AO285" s="1312">
        <f>-(AVERAGE(AO284,AO282))*((AO280)/4)</f>
        <v>-2.283859375</v>
      </c>
      <c r="AP285" s="1312">
        <f>-(AVERAGE(AP284,AP282))*((AP280)/4)</f>
        <v>-4.5684843750000006</v>
      </c>
      <c r="AQ285" s="1312">
        <f>-(AVERAGE(AQ284,AQ282))*((AQ280)/4)</f>
        <v>-4.5692500000000003</v>
      </c>
      <c r="AR285" s="1312">
        <f>-(AVERAGE(AR284,AR282))*((AR280)/4)</f>
        <v>-4.5700156250000008</v>
      </c>
      <c r="AS285" s="1313">
        <f>SUM(AO285:AR285)</f>
        <v>-15.991609375000003</v>
      </c>
      <c r="AT285" s="1312">
        <f>-(AVERAGE(AT284,AT282))*((AT280)/4)</f>
        <v>-4.5707812500000005</v>
      </c>
      <c r="AU285" s="1312">
        <f>-(AVERAGE(AU284,AU282))*((AU280)/4)</f>
        <v>-4.5723125000000007</v>
      </c>
      <c r="AV285" s="1312">
        <f>-(AVERAGE(AV284,AV282))*((AV280)/4)</f>
        <v>-4.5738437500000009</v>
      </c>
      <c r="AW285" s="1312">
        <f>-(AVERAGE(AW284,AW282))*((AW280)/4)</f>
        <v>-4.5746093750000005</v>
      </c>
      <c r="AX285" s="1315">
        <f>SUM(AT285:AW285)</f>
        <v>-18.291546875000005</v>
      </c>
      <c r="AY285" s="1312">
        <f>-(AVERAGE(AY284,AY282))*((AY280)/4)</f>
        <v>-4.5761406250000007</v>
      </c>
      <c r="AZ285" s="1312">
        <f>-(AVERAGE(AZ284,AZ282))*((AZ280)/4)</f>
        <v>-4.5776718750000018</v>
      </c>
      <c r="BA285" s="1312">
        <f>-(AVERAGE(BA284,BA282))*((BA280)/4)</f>
        <v>-4.579203125000002</v>
      </c>
      <c r="BB285" s="1312">
        <f>-(AVERAGE(BB284,BB282))*((BB280)/4)</f>
        <v>-4.5807343750000022</v>
      </c>
      <c r="BC285" s="1313">
        <f>SUM(AY285:BB285)</f>
        <v>-18.313750000000006</v>
      </c>
      <c r="BD285" s="1312">
        <f>-(AVERAGE(BD284,BD282))*((BD280)/4)</f>
        <v>-4.5822656250000007</v>
      </c>
      <c r="BE285" s="1312">
        <f>-(AVERAGE(BE284,BE282))*((BE280)/4)</f>
        <v>-4.5830312500000012</v>
      </c>
      <c r="BF285" s="1312">
        <f>-(AVERAGE(BF284,BF282))*((BF280)/4)</f>
        <v>-4.5837968750000009</v>
      </c>
      <c r="BG285" s="1312">
        <f>-(AVERAGE(BG284,BG282))*((BG280)/4)</f>
        <v>-4.5853281250000011</v>
      </c>
      <c r="BH285" s="1315">
        <f>SUM(BD285:BG285)</f>
        <v>-18.334421875000004</v>
      </c>
      <c r="BI285" s="1312"/>
      <c r="BJ285" s="1312">
        <f>-(AVERAGE(BJ284,BJ282))*((BJ280)/4)</f>
        <v>-4.6726093750000004</v>
      </c>
      <c r="BK285" s="1312">
        <f>-(AVERAGE(BK284,BK282))*((BK280)/4)</f>
        <v>-4.7284999999999995</v>
      </c>
      <c r="BL285" s="1312">
        <f>-(AVERAGE(BL284,BL282))*((BL280)/4)</f>
        <v>-4.6718437499999999</v>
      </c>
      <c r="BM285" s="1314">
        <f>SUM(BI285:BL285)</f>
        <v>-14.072953125000002</v>
      </c>
      <c r="BN285" s="1578">
        <f>-(AVERAGE(BN284,BN282))*((BN280)/4)</f>
        <v>-2.3221406249999998</v>
      </c>
      <c r="BO285" s="1312">
        <f>-(AVERAGE(BO284,BO282))*((BO280)/4)</f>
        <v>0</v>
      </c>
      <c r="BP285" s="1312">
        <f>-(AVERAGE(BP284,BP282))*((BP280)/4)</f>
        <v>0</v>
      </c>
      <c r="BQ285" s="1312">
        <f>-(AVERAGE(BQ284,BQ282))*((BQ280)/4)</f>
        <v>0</v>
      </c>
      <c r="BR285" s="1314">
        <f>SUM(BN285:BQ285)</f>
        <v>-2.3221406249999998</v>
      </c>
      <c r="BS285" s="1312">
        <f>-(AVERAGE(BS284,BS282))*((BS280)/4)</f>
        <v>0</v>
      </c>
      <c r="BT285" s="1312">
        <f>-(AVERAGE(BT284,BT282))*((BT280)/4)</f>
        <v>0</v>
      </c>
      <c r="BU285" s="1312">
        <f>-(AVERAGE(BU284,BU282))*((BU280)/4)</f>
        <v>0</v>
      </c>
      <c r="BV285" s="1312">
        <f>-(AVERAGE(BV284,BV282))*((BV280)/4)</f>
        <v>0</v>
      </c>
      <c r="BW285" s="1314">
        <f>SUM(BS285:BV285)</f>
        <v>0</v>
      </c>
      <c r="BX285" s="1312">
        <f>-(AVERAGE(BX284,BX282))*((BX280)/4)</f>
        <v>0</v>
      </c>
      <c r="BY285" s="1312">
        <f>-(AVERAGE(BY284,BY282))*((BY280)/4)</f>
        <v>0</v>
      </c>
      <c r="BZ285" s="1312">
        <f>-(AVERAGE(BZ284,BZ282))*((BZ280)/4)</f>
        <v>0</v>
      </c>
      <c r="CA285" s="1312">
        <f>-(AVERAGE(CA284,CA282))*((CA280)/4)</f>
        <v>0</v>
      </c>
      <c r="CB285" s="1314">
        <f>SUM(BX285:CA285)</f>
        <v>0</v>
      </c>
      <c r="CC285" s="1312">
        <f>-(AVERAGE(CC284,CC282))*((CC280)/4)</f>
        <v>0</v>
      </c>
      <c r="CD285" s="1312">
        <f>-(AVERAGE(CD284,CD282))*((CD280)/4)</f>
        <v>0</v>
      </c>
      <c r="CE285" s="1312">
        <f>-(AVERAGE(CE284,CE282))*((CE280)/4)</f>
        <v>0</v>
      </c>
      <c r="CF285" s="1312">
        <f>-(AVERAGE(CF284,CF282))*((CF280)/4)</f>
        <v>0</v>
      </c>
      <c r="CG285" s="1314">
        <f>SUM(CC285:CF285)</f>
        <v>0</v>
      </c>
      <c r="CH285" s="1312">
        <f>-(AVERAGE(CH284,CH282))*((CH280)/4)</f>
        <v>0</v>
      </c>
      <c r="CI285" s="1312">
        <f>-(AVERAGE(CI284,CI282))*((CI280)/4)</f>
        <v>0</v>
      </c>
      <c r="CJ285" s="1312">
        <f>-(AVERAGE(CJ284,CJ282))*((CJ280)/4)</f>
        <v>0</v>
      </c>
      <c r="CK285" s="1312">
        <f>-(AVERAGE(CK284,CK282))*((CK280)/4)</f>
        <v>0</v>
      </c>
      <c r="CL285" s="1314">
        <f>SUM(CH285:CK285)</f>
        <v>0</v>
      </c>
      <c r="CM285" s="1312">
        <f>-(AVERAGE(CM284,CM282))*((CM280)/4)</f>
        <v>0</v>
      </c>
      <c r="CN285" s="1312">
        <f>-(AVERAGE(CN284,CN282))*((CN280)/4)</f>
        <v>0</v>
      </c>
      <c r="CO285" s="1312">
        <f>-(AVERAGE(CO284,CO282))*((CO280)/4)</f>
        <v>0</v>
      </c>
      <c r="CP285" s="1312">
        <f>-(AVERAGE(CP284,CP282))*((CP280)/4)</f>
        <v>0</v>
      </c>
      <c r="CQ285" s="1314">
        <f>SUM(CM285:CP285)</f>
        <v>0</v>
      </c>
      <c r="CR285" s="1312">
        <f>-(AVERAGE(CR284,CR282))*((CR280)/4)</f>
        <v>0</v>
      </c>
      <c r="CS285" s="1312">
        <f>-(AVERAGE(CS284,CS282))*((CS280)/4)</f>
        <v>0</v>
      </c>
      <c r="CT285" s="1312">
        <f>-(AVERAGE(CT284,CT282))*((CT280)/4)</f>
        <v>0</v>
      </c>
      <c r="CU285" s="1312">
        <f>-(AVERAGE(CU284,CU282))*((CU280)/4)</f>
        <v>0</v>
      </c>
      <c r="CV285" s="1314">
        <f>SUM(CR285:CU285)</f>
        <v>0</v>
      </c>
      <c r="CW285" s="1312">
        <f>-(AVERAGE(CW284,CW282))*((CW280)/4)</f>
        <v>0</v>
      </c>
      <c r="CX285" s="1312">
        <f>-(AVERAGE(CX284,CX282))*((CX280)/4)</f>
        <v>0</v>
      </c>
      <c r="CY285" s="1312">
        <f>-(AVERAGE(CY284,CY282))*((CY280)/4)</f>
        <v>0</v>
      </c>
      <c r="CZ285" s="1312">
        <f>-(AVERAGE(CZ284,CZ282))*((CZ280)/4)</f>
        <v>0</v>
      </c>
      <c r="DA285" s="1314">
        <f>SUM(CW285:CZ285)</f>
        <v>0</v>
      </c>
      <c r="DB285" s="1312">
        <f>-(AVERAGE(DB284,DB282))*((DB280)/4)</f>
        <v>0</v>
      </c>
      <c r="DC285" s="1312">
        <f>-(AVERAGE(DC284,DC282))*((DC280)/4)</f>
        <v>0</v>
      </c>
      <c r="DD285" s="1312">
        <f>-(AVERAGE(DD284,DD282))*((DD280)/4)</f>
        <v>0</v>
      </c>
      <c r="DE285" s="1312">
        <f>-(AVERAGE(DE284,DE282))*((DE280)/4)</f>
        <v>0</v>
      </c>
      <c r="DF285" s="1314">
        <f>SUM(DB285:DE285)</f>
        <v>0</v>
      </c>
    </row>
    <row r="286" spans="1:110" s="1273" customFormat="1" ht="13.5" thickBot="1" x14ac:dyDescent="0.25">
      <c r="C286" s="1298"/>
      <c r="D286" s="1298"/>
      <c r="E286" s="1298"/>
      <c r="F286" s="1298"/>
      <c r="G286" s="1298"/>
      <c r="H286" s="1298"/>
      <c r="I286" s="1298"/>
      <c r="J286" s="1298"/>
      <c r="K286" s="1298"/>
      <c r="L286" s="1298"/>
      <c r="M286" s="1298"/>
      <c r="N286" s="1298"/>
      <c r="O286" s="1298"/>
      <c r="P286" s="1298"/>
      <c r="Q286" s="1298"/>
      <c r="R286" s="1298"/>
      <c r="S286" s="1293"/>
      <c r="T286" s="1293"/>
      <c r="U286" s="1293"/>
      <c r="V286" s="1293"/>
      <c r="W286" s="1293"/>
      <c r="X286" s="1293"/>
      <c r="Y286" s="1293"/>
      <c r="Z286" s="1293"/>
      <c r="AA286" s="1293"/>
      <c r="AB286" s="1293"/>
      <c r="AC286" s="1293"/>
      <c r="AD286" s="1293"/>
      <c r="AE286" s="1293"/>
      <c r="AF286" s="1293"/>
      <c r="AG286" s="1293"/>
      <c r="AH286" s="1293"/>
      <c r="AI286" s="1293"/>
      <c r="AJ286" s="1293"/>
      <c r="AK286" s="1293"/>
      <c r="AL286" s="1293"/>
      <c r="AM286" s="1293"/>
      <c r="AN286" s="1293"/>
      <c r="AO286" s="1293"/>
      <c r="AP286" s="1293"/>
      <c r="AQ286" s="1293"/>
      <c r="AR286" s="1293"/>
      <c r="AS286" s="1293"/>
      <c r="AT286" s="1293"/>
      <c r="AU286" s="1293"/>
      <c r="AV286" s="1293"/>
      <c r="AW286" s="1293"/>
      <c r="AX286" s="1293"/>
      <c r="AY286" s="1293"/>
      <c r="AZ286" s="1293"/>
      <c r="BA286" s="1293"/>
      <c r="BB286" s="1293"/>
      <c r="BC286" s="1293"/>
      <c r="BD286" s="1293"/>
      <c r="BE286" s="1293"/>
      <c r="BF286" s="1293"/>
      <c r="BG286" s="1293"/>
      <c r="BH286" s="1293"/>
      <c r="BI286" s="1293"/>
      <c r="BJ286" s="1293"/>
      <c r="BK286" s="1293"/>
      <c r="BL286" s="1293"/>
      <c r="BM286" s="1293"/>
      <c r="BN286" s="1293"/>
      <c r="BO286" s="1293"/>
      <c r="BP286" s="1293"/>
      <c r="BQ286" s="1293"/>
      <c r="BR286" s="1293"/>
      <c r="BS286" s="1293"/>
      <c r="BT286" s="1293"/>
      <c r="BU286" s="1293"/>
      <c r="BV286" s="1293"/>
      <c r="BW286" s="1293"/>
      <c r="BX286" s="1293"/>
      <c r="BY286" s="1293"/>
      <c r="BZ286" s="1293"/>
      <c r="CA286" s="1293"/>
      <c r="CB286" s="1293"/>
      <c r="CC286" s="1293"/>
      <c r="CD286" s="1293"/>
      <c r="CE286" s="1293"/>
      <c r="CF286" s="1293"/>
      <c r="CG286" s="1293"/>
      <c r="CH286" s="1293"/>
      <c r="CI286" s="1293"/>
      <c r="CJ286" s="1293"/>
      <c r="CK286" s="1293"/>
      <c r="CL286" s="1293"/>
      <c r="CM286" s="1293"/>
      <c r="CN286" s="1293"/>
      <c r="CO286" s="1293"/>
      <c r="CP286" s="1293"/>
      <c r="CQ286" s="1293"/>
      <c r="CR286" s="1293"/>
      <c r="CS286" s="1293"/>
      <c r="CT286" s="1293"/>
      <c r="CU286" s="1293"/>
      <c r="CV286" s="1293"/>
      <c r="CW286" s="1293"/>
      <c r="CX286" s="1293"/>
      <c r="CY286" s="1293"/>
      <c r="CZ286" s="1293"/>
      <c r="DA286" s="1293"/>
      <c r="DB286" s="1293"/>
      <c r="DC286" s="1293"/>
      <c r="DD286" s="1293"/>
      <c r="DE286" s="1293"/>
      <c r="DF286" s="1293"/>
    </row>
    <row r="287" spans="1:110" s="326" customFormat="1" ht="12" thickBot="1" x14ac:dyDescent="0.25">
      <c r="B287" s="981" t="s">
        <v>428</v>
      </c>
      <c r="C287" s="989"/>
      <c r="D287" s="989"/>
      <c r="E287" s="989"/>
      <c r="F287" s="989"/>
      <c r="G287" s="989"/>
      <c r="H287" s="989"/>
      <c r="I287" s="989"/>
      <c r="J287" s="989"/>
      <c r="K287" s="989"/>
      <c r="L287" s="989"/>
      <c r="M287" s="989"/>
      <c r="N287" s="989"/>
      <c r="O287" s="989"/>
      <c r="P287" s="989"/>
      <c r="Q287" s="989"/>
      <c r="R287" s="989"/>
      <c r="S287" s="990"/>
      <c r="T287" s="990"/>
      <c r="U287" s="990"/>
      <c r="V287" s="991"/>
      <c r="W287" s="991"/>
      <c r="X287" s="991"/>
      <c r="Y287" s="990"/>
      <c r="Z287" s="990"/>
      <c r="AA287" s="990"/>
      <c r="AB287" s="990"/>
      <c r="AC287" s="990"/>
      <c r="AD287" s="990"/>
      <c r="AE287" s="990"/>
      <c r="AF287" s="990"/>
      <c r="AG287" s="990"/>
      <c r="AH287" s="990"/>
      <c r="AI287" s="990"/>
      <c r="AJ287" s="990"/>
      <c r="AK287" s="990"/>
      <c r="AL287" s="990"/>
      <c r="AM287" s="990"/>
      <c r="AN287" s="990"/>
      <c r="AO287" s="990"/>
      <c r="AP287" s="990"/>
      <c r="AQ287" s="990"/>
      <c r="AR287" s="990"/>
      <c r="AS287" s="990"/>
      <c r="AT287" s="990"/>
      <c r="AU287" s="990"/>
      <c r="AV287" s="990"/>
      <c r="AW287" s="990"/>
      <c r="AX287" s="990"/>
      <c r="AY287" s="990"/>
      <c r="AZ287" s="990"/>
      <c r="BA287" s="990"/>
      <c r="BB287" s="990"/>
      <c r="BC287" s="990"/>
      <c r="BD287" s="990"/>
      <c r="BE287" s="990"/>
      <c r="BF287" s="990"/>
      <c r="BG287" s="990"/>
      <c r="BH287" s="990"/>
      <c r="BI287" s="990"/>
      <c r="BJ287" s="990"/>
      <c r="BK287" s="990"/>
      <c r="BL287" s="990"/>
      <c r="BM287" s="990"/>
      <c r="BN287" s="990"/>
      <c r="BO287" s="990"/>
      <c r="BP287" s="990"/>
      <c r="BQ287" s="990"/>
      <c r="BR287" s="990"/>
      <c r="BS287" s="990"/>
      <c r="BT287" s="990"/>
      <c r="BU287" s="990"/>
      <c r="BV287" s="990"/>
      <c r="BW287" s="990"/>
      <c r="BX287" s="990"/>
      <c r="BY287" s="990"/>
      <c r="BZ287" s="990"/>
      <c r="CA287" s="990"/>
      <c r="CB287" s="992"/>
      <c r="CC287" s="990"/>
      <c r="CD287" s="990"/>
      <c r="CE287" s="990"/>
      <c r="CF287" s="990"/>
      <c r="CG287" s="992"/>
      <c r="CH287" s="990"/>
      <c r="CI287" s="990"/>
      <c r="CJ287" s="990"/>
      <c r="CK287" s="990"/>
      <c r="CL287" s="992"/>
      <c r="CM287" s="990"/>
      <c r="CN287" s="990"/>
      <c r="CO287" s="990"/>
      <c r="CP287" s="990"/>
      <c r="CQ287" s="992"/>
      <c r="CR287" s="990"/>
      <c r="CS287" s="990"/>
      <c r="CT287" s="990"/>
      <c r="CU287" s="990"/>
      <c r="CV287" s="992"/>
      <c r="CW287" s="990"/>
      <c r="CX287" s="990"/>
      <c r="CY287" s="990"/>
      <c r="CZ287" s="990"/>
      <c r="DA287" s="992"/>
      <c r="DB287" s="990"/>
      <c r="DC287" s="990"/>
      <c r="DD287" s="990"/>
      <c r="DE287" s="990"/>
      <c r="DF287" s="992"/>
    </row>
    <row r="288" spans="1:110" x14ac:dyDescent="0.2">
      <c r="B288" s="591" t="s">
        <v>203</v>
      </c>
      <c r="C288" s="561"/>
      <c r="D288" s="561"/>
      <c r="E288" s="561"/>
      <c r="F288" s="561"/>
      <c r="G288" s="561"/>
      <c r="H288" s="561"/>
      <c r="I288" s="561"/>
      <c r="J288" s="561"/>
      <c r="K288" s="561"/>
      <c r="L288" s="561"/>
      <c r="M288" s="561"/>
      <c r="N288" s="561"/>
      <c r="O288" s="561"/>
      <c r="P288" s="561"/>
      <c r="Q288" s="561"/>
      <c r="R288" s="561"/>
      <c r="S288" s="531"/>
      <c r="T288" s="531"/>
      <c r="U288" s="531"/>
      <c r="V288" s="577"/>
      <c r="W288" s="577"/>
      <c r="X288" s="577"/>
      <c r="Y288" s="532"/>
      <c r="Z288" s="531"/>
      <c r="AA288" s="531"/>
      <c r="AB288" s="531"/>
      <c r="AC288" s="531"/>
      <c r="AD288" s="532"/>
      <c r="AE288" s="531"/>
      <c r="AF288" s="531"/>
      <c r="AG288" s="531"/>
      <c r="AH288" s="531"/>
      <c r="AI288" s="532"/>
      <c r="AJ288" s="531"/>
      <c r="AK288" s="531"/>
      <c r="AL288" s="531"/>
      <c r="AM288" s="531"/>
      <c r="AN288" s="532"/>
      <c r="AO288" s="531"/>
      <c r="AP288" s="531"/>
      <c r="AQ288" s="531"/>
      <c r="AR288" s="531"/>
      <c r="AS288" s="532"/>
      <c r="AT288" s="531"/>
      <c r="AU288" s="588"/>
      <c r="AV288" s="54"/>
      <c r="AW288" s="54"/>
      <c r="AX288" s="532"/>
      <c r="AY288" s="54"/>
      <c r="AZ288" s="54"/>
      <c r="BA288" s="54"/>
      <c r="BB288" s="54"/>
      <c r="BC288" s="532"/>
      <c r="BD288" s="54"/>
      <c r="BE288" s="588"/>
      <c r="BF288" s="54"/>
      <c r="BG288" s="54">
        <f>BF288</f>
        <v>0</v>
      </c>
      <c r="BH288" s="532"/>
      <c r="BI288" s="54">
        <f>BG288</f>
        <v>0</v>
      </c>
      <c r="BJ288" s="54">
        <f t="shared" ref="BJ288:BL290" si="464">BI288</f>
        <v>0</v>
      </c>
      <c r="BK288" s="54">
        <f t="shared" si="464"/>
        <v>0</v>
      </c>
      <c r="BL288" s="54">
        <f t="shared" si="464"/>
        <v>0</v>
      </c>
      <c r="BM288" s="532"/>
      <c r="BN288" s="54">
        <f>BL288</f>
        <v>0</v>
      </c>
      <c r="BO288" s="54">
        <f t="shared" ref="BO288:BQ290" si="465">BN288</f>
        <v>0</v>
      </c>
      <c r="BP288" s="54">
        <f t="shared" si="465"/>
        <v>0</v>
      </c>
      <c r="BQ288" s="54">
        <f t="shared" si="465"/>
        <v>0</v>
      </c>
      <c r="BR288" s="532"/>
      <c r="BS288" s="54">
        <f>BQ288</f>
        <v>0</v>
      </c>
      <c r="BT288" s="54">
        <f t="shared" ref="BT288:BV290" si="466">BS288</f>
        <v>0</v>
      </c>
      <c r="BU288" s="54">
        <f t="shared" si="466"/>
        <v>0</v>
      </c>
      <c r="BV288" s="54">
        <f t="shared" si="466"/>
        <v>0</v>
      </c>
      <c r="BW288" s="532"/>
      <c r="BX288" s="54">
        <f>BV288</f>
        <v>0</v>
      </c>
      <c r="BY288" s="54">
        <f t="shared" ref="BY288:CA290" si="467">BX288</f>
        <v>0</v>
      </c>
      <c r="BZ288" s="54">
        <f t="shared" si="467"/>
        <v>0</v>
      </c>
      <c r="CA288" s="54">
        <f t="shared" si="467"/>
        <v>0</v>
      </c>
      <c r="CB288" s="562"/>
      <c r="CC288" s="54">
        <f>CA288</f>
        <v>0</v>
      </c>
      <c r="CD288" s="54">
        <f t="shared" ref="CD288:CF290" si="468">CC288</f>
        <v>0</v>
      </c>
      <c r="CE288" s="54">
        <f t="shared" si="468"/>
        <v>0</v>
      </c>
      <c r="CF288" s="54">
        <f t="shared" si="468"/>
        <v>0</v>
      </c>
      <c r="CG288" s="562"/>
      <c r="CH288" s="54">
        <f>CF288</f>
        <v>0</v>
      </c>
      <c r="CI288" s="54">
        <f t="shared" ref="CI288:CK290" si="469">CH288</f>
        <v>0</v>
      </c>
      <c r="CJ288" s="54">
        <f t="shared" si="469"/>
        <v>0</v>
      </c>
      <c r="CK288" s="54">
        <f t="shared" si="469"/>
        <v>0</v>
      </c>
      <c r="CL288" s="562"/>
      <c r="CM288" s="54">
        <f>CK288</f>
        <v>0</v>
      </c>
      <c r="CN288" s="54">
        <f t="shared" ref="CN288:CP290" si="470">CM288</f>
        <v>0</v>
      </c>
      <c r="CO288" s="54">
        <f t="shared" si="470"/>
        <v>0</v>
      </c>
      <c r="CP288" s="54">
        <f t="shared" si="470"/>
        <v>0</v>
      </c>
      <c r="CQ288" s="562"/>
      <c r="CR288" s="54">
        <f>CP288</f>
        <v>0</v>
      </c>
      <c r="CS288" s="54">
        <f t="shared" ref="CS288:CS290" si="471">CR288</f>
        <v>0</v>
      </c>
      <c r="CT288" s="54">
        <f t="shared" ref="CT288:CT290" si="472">CS288</f>
        <v>0</v>
      </c>
      <c r="CU288" s="54">
        <f t="shared" ref="CU288:CU290" si="473">CT288</f>
        <v>0</v>
      </c>
      <c r="CV288" s="562"/>
      <c r="CW288" s="54">
        <f>CU288</f>
        <v>0</v>
      </c>
      <c r="CX288" s="54">
        <f t="shared" ref="CX288:CX290" si="474">CW288</f>
        <v>0</v>
      </c>
      <c r="CY288" s="54">
        <f t="shared" ref="CY288:CY290" si="475">CX288</f>
        <v>0</v>
      </c>
      <c r="CZ288" s="54">
        <f t="shared" ref="CZ288:CZ290" si="476">CY288</f>
        <v>0</v>
      </c>
      <c r="DA288" s="562"/>
      <c r="DB288" s="54">
        <f>CZ288</f>
        <v>0</v>
      </c>
      <c r="DC288" s="54">
        <f t="shared" ref="DC288:DC290" si="477">DB288</f>
        <v>0</v>
      </c>
      <c r="DD288" s="54">
        <f t="shared" ref="DD288:DD290" si="478">DC288</f>
        <v>0</v>
      </c>
      <c r="DE288" s="54">
        <f t="shared" ref="DE288:DE290" si="479">DD288</f>
        <v>0</v>
      </c>
      <c r="DF288" s="562"/>
    </row>
    <row r="289" spans="2:110" x14ac:dyDescent="0.2">
      <c r="B289" s="578" t="s">
        <v>204</v>
      </c>
      <c r="C289" s="145"/>
      <c r="D289" s="145"/>
      <c r="E289" s="145"/>
      <c r="F289" s="145"/>
      <c r="G289" s="145"/>
      <c r="H289" s="145"/>
      <c r="I289" s="145"/>
      <c r="J289" s="145"/>
      <c r="K289" s="145"/>
      <c r="L289" s="145"/>
      <c r="M289" s="145"/>
      <c r="N289" s="145"/>
      <c r="O289" s="145"/>
      <c r="P289" s="145"/>
      <c r="Q289" s="145"/>
      <c r="R289" s="145"/>
      <c r="S289" s="346"/>
      <c r="T289" s="346"/>
      <c r="U289" s="346"/>
      <c r="V289" s="326"/>
      <c r="W289" s="326"/>
      <c r="X289" s="326"/>
      <c r="Y289" s="340"/>
      <c r="Z289" s="346"/>
      <c r="AA289" s="346"/>
      <c r="AB289" s="346"/>
      <c r="AC289" s="346"/>
      <c r="AD289" s="340"/>
      <c r="AE289" s="346"/>
      <c r="AF289" s="346"/>
      <c r="AG289" s="346"/>
      <c r="AH289" s="346"/>
      <c r="AI289" s="340"/>
      <c r="AJ289" s="346"/>
      <c r="AK289" s="346"/>
      <c r="AL289" s="346"/>
      <c r="AM289" s="346"/>
      <c r="AN289" s="340"/>
      <c r="AO289" s="346"/>
      <c r="AP289" s="346"/>
      <c r="AQ289" s="346"/>
      <c r="AR289" s="346"/>
      <c r="AS289" s="340"/>
      <c r="AT289" s="346"/>
      <c r="AU289" s="267"/>
      <c r="AV289" s="146"/>
      <c r="AW289" s="146"/>
      <c r="AX289" s="340"/>
      <c r="AY289" s="146"/>
      <c r="AZ289" s="146"/>
      <c r="BA289" s="146"/>
      <c r="BB289" s="146"/>
      <c r="BC289" s="340"/>
      <c r="BD289" s="146"/>
      <c r="BE289" s="267"/>
      <c r="BF289" s="146"/>
      <c r="BG289" s="146">
        <v>6.1249999999999999E-2</v>
      </c>
      <c r="BH289" s="340"/>
      <c r="BI289" s="146">
        <f>BG289</f>
        <v>6.1249999999999999E-2</v>
      </c>
      <c r="BJ289" s="146">
        <f t="shared" si="464"/>
        <v>6.1249999999999999E-2</v>
      </c>
      <c r="BK289" s="146">
        <f t="shared" si="464"/>
        <v>6.1249999999999999E-2</v>
      </c>
      <c r="BL289" s="146">
        <f t="shared" si="464"/>
        <v>6.1249999999999999E-2</v>
      </c>
      <c r="BM289" s="340"/>
      <c r="BN289" s="146">
        <f>BL289</f>
        <v>6.1249999999999999E-2</v>
      </c>
      <c r="BO289" s="146">
        <f t="shared" si="465"/>
        <v>6.1249999999999999E-2</v>
      </c>
      <c r="BP289" s="146">
        <f t="shared" si="465"/>
        <v>6.1249999999999999E-2</v>
      </c>
      <c r="BQ289" s="146">
        <f t="shared" si="465"/>
        <v>6.1249999999999999E-2</v>
      </c>
      <c r="BR289" s="340"/>
      <c r="BS289" s="146">
        <f>BQ289</f>
        <v>6.1249999999999999E-2</v>
      </c>
      <c r="BT289" s="146">
        <f t="shared" si="466"/>
        <v>6.1249999999999999E-2</v>
      </c>
      <c r="BU289" s="146">
        <f t="shared" si="466"/>
        <v>6.1249999999999999E-2</v>
      </c>
      <c r="BV289" s="146">
        <f t="shared" si="466"/>
        <v>6.1249999999999999E-2</v>
      </c>
      <c r="BW289" s="340"/>
      <c r="BX289" s="146">
        <f>BV289</f>
        <v>6.1249999999999999E-2</v>
      </c>
      <c r="BY289" s="146">
        <f t="shared" si="467"/>
        <v>6.1249999999999999E-2</v>
      </c>
      <c r="BZ289" s="146">
        <f t="shared" si="467"/>
        <v>6.1249999999999999E-2</v>
      </c>
      <c r="CA289" s="146">
        <f t="shared" si="467"/>
        <v>6.1249999999999999E-2</v>
      </c>
      <c r="CB289" s="563"/>
      <c r="CC289" s="146">
        <f>CA289</f>
        <v>6.1249999999999999E-2</v>
      </c>
      <c r="CD289" s="146">
        <f t="shared" si="468"/>
        <v>6.1249999999999999E-2</v>
      </c>
      <c r="CE289" s="146">
        <f t="shared" si="468"/>
        <v>6.1249999999999999E-2</v>
      </c>
      <c r="CF289" s="146">
        <f t="shared" si="468"/>
        <v>6.1249999999999999E-2</v>
      </c>
      <c r="CG289" s="563"/>
      <c r="CH289" s="146">
        <f>CF289</f>
        <v>6.1249999999999999E-2</v>
      </c>
      <c r="CI289" s="146">
        <f t="shared" si="469"/>
        <v>6.1249999999999999E-2</v>
      </c>
      <c r="CJ289" s="146">
        <f t="shared" si="469"/>
        <v>6.1249999999999999E-2</v>
      </c>
      <c r="CK289" s="146">
        <f t="shared" si="469"/>
        <v>6.1249999999999999E-2</v>
      </c>
      <c r="CL289" s="563"/>
      <c r="CM289" s="146">
        <f>CK289</f>
        <v>6.1249999999999999E-2</v>
      </c>
      <c r="CN289" s="146">
        <f t="shared" si="470"/>
        <v>6.1249999999999999E-2</v>
      </c>
      <c r="CO289" s="146">
        <f t="shared" si="470"/>
        <v>6.1249999999999999E-2</v>
      </c>
      <c r="CP289" s="146">
        <f t="shared" si="470"/>
        <v>6.1249999999999999E-2</v>
      </c>
      <c r="CQ289" s="563"/>
      <c r="CR289" s="146">
        <f>CP289</f>
        <v>6.1249999999999999E-2</v>
      </c>
      <c r="CS289" s="146">
        <f t="shared" si="471"/>
        <v>6.1249999999999999E-2</v>
      </c>
      <c r="CT289" s="146">
        <f t="shared" si="472"/>
        <v>6.1249999999999999E-2</v>
      </c>
      <c r="CU289" s="146">
        <f t="shared" si="473"/>
        <v>6.1249999999999999E-2</v>
      </c>
      <c r="CV289" s="563"/>
      <c r="CW289" s="146">
        <f>CU289</f>
        <v>6.1249999999999999E-2</v>
      </c>
      <c r="CX289" s="146">
        <f t="shared" si="474"/>
        <v>6.1249999999999999E-2</v>
      </c>
      <c r="CY289" s="146">
        <f t="shared" si="475"/>
        <v>6.1249999999999999E-2</v>
      </c>
      <c r="CZ289" s="146">
        <f t="shared" si="476"/>
        <v>6.1249999999999999E-2</v>
      </c>
      <c r="DA289" s="563"/>
      <c r="DB289" s="146">
        <f>CZ289</f>
        <v>6.1249999999999999E-2</v>
      </c>
      <c r="DC289" s="146">
        <f t="shared" si="477"/>
        <v>6.1249999999999999E-2</v>
      </c>
      <c r="DD289" s="146">
        <f t="shared" si="478"/>
        <v>6.1249999999999999E-2</v>
      </c>
      <c r="DE289" s="146">
        <f t="shared" si="479"/>
        <v>6.1249999999999999E-2</v>
      </c>
      <c r="DF289" s="563"/>
    </row>
    <row r="290" spans="2:110" x14ac:dyDescent="0.2">
      <c r="B290" s="536" t="s">
        <v>197</v>
      </c>
      <c r="C290" s="145"/>
      <c r="D290" s="145"/>
      <c r="E290" s="145"/>
      <c r="F290" s="145"/>
      <c r="G290" s="145"/>
      <c r="H290" s="145"/>
      <c r="I290" s="145"/>
      <c r="J290" s="145"/>
      <c r="K290" s="145"/>
      <c r="L290" s="145"/>
      <c r="M290" s="145"/>
      <c r="N290" s="145"/>
      <c r="O290" s="145"/>
      <c r="P290" s="145"/>
      <c r="Q290" s="145"/>
      <c r="R290" s="145"/>
      <c r="S290" s="346"/>
      <c r="T290" s="346"/>
      <c r="U290" s="346"/>
      <c r="V290" s="326"/>
      <c r="W290" s="326"/>
      <c r="X290" s="326"/>
      <c r="Y290" s="340"/>
      <c r="Z290" s="346"/>
      <c r="AA290" s="346"/>
      <c r="AB290" s="346"/>
      <c r="AC290" s="346"/>
      <c r="AD290" s="340"/>
      <c r="AE290" s="346"/>
      <c r="AF290" s="346"/>
      <c r="AG290" s="346"/>
      <c r="AH290" s="346"/>
      <c r="AI290" s="340"/>
      <c r="AJ290" s="346"/>
      <c r="AK290" s="346"/>
      <c r="AL290" s="346"/>
      <c r="AM290" s="346"/>
      <c r="AN290" s="340"/>
      <c r="AO290" s="346"/>
      <c r="AP290" s="346"/>
      <c r="AQ290" s="346"/>
      <c r="AR290" s="346"/>
      <c r="AS290" s="340"/>
      <c r="AT290" s="346"/>
      <c r="AU290" s="623"/>
      <c r="AV290" s="625"/>
      <c r="AW290" s="625"/>
      <c r="AX290" s="340"/>
      <c r="AY290" s="346"/>
      <c r="AZ290" s="346"/>
      <c r="BA290" s="346"/>
      <c r="BB290" s="346"/>
      <c r="BC290" s="340"/>
      <c r="BD290" s="346"/>
      <c r="BE290" s="623"/>
      <c r="BF290" s="346"/>
      <c r="BG290" s="346">
        <v>700</v>
      </c>
      <c r="BH290" s="340"/>
      <c r="BI290" s="346">
        <f>BG290</f>
        <v>700</v>
      </c>
      <c r="BJ290" s="346">
        <f t="shared" si="464"/>
        <v>700</v>
      </c>
      <c r="BK290" s="346">
        <f t="shared" si="464"/>
        <v>700</v>
      </c>
      <c r="BL290" s="346">
        <f t="shared" si="464"/>
        <v>700</v>
      </c>
      <c r="BM290" s="340"/>
      <c r="BN290" s="346">
        <f>BL290</f>
        <v>700</v>
      </c>
      <c r="BO290" s="346">
        <f t="shared" si="465"/>
        <v>700</v>
      </c>
      <c r="BP290" s="346">
        <f t="shared" si="465"/>
        <v>700</v>
      </c>
      <c r="BQ290" s="346">
        <f t="shared" si="465"/>
        <v>700</v>
      </c>
      <c r="BR290" s="340"/>
      <c r="BS290" s="346">
        <f>BQ290</f>
        <v>700</v>
      </c>
      <c r="BT290" s="346">
        <f t="shared" si="466"/>
        <v>700</v>
      </c>
      <c r="BU290" s="346">
        <f t="shared" si="466"/>
        <v>700</v>
      </c>
      <c r="BV290" s="346">
        <f t="shared" si="466"/>
        <v>700</v>
      </c>
      <c r="BW290" s="340"/>
      <c r="BX290" s="346">
        <f>BV290</f>
        <v>700</v>
      </c>
      <c r="BY290" s="346">
        <f t="shared" si="467"/>
        <v>700</v>
      </c>
      <c r="BZ290" s="346">
        <f t="shared" si="467"/>
        <v>700</v>
      </c>
      <c r="CA290" s="346">
        <f t="shared" si="467"/>
        <v>700</v>
      </c>
      <c r="CB290" s="563"/>
      <c r="CC290" s="346">
        <f>CA290</f>
        <v>700</v>
      </c>
      <c r="CD290" s="346">
        <f t="shared" si="468"/>
        <v>700</v>
      </c>
      <c r="CE290" s="346">
        <f t="shared" si="468"/>
        <v>700</v>
      </c>
      <c r="CF290" s="346">
        <f t="shared" si="468"/>
        <v>700</v>
      </c>
      <c r="CG290" s="563"/>
      <c r="CH290" s="346">
        <f>CF290</f>
        <v>700</v>
      </c>
      <c r="CI290" s="346">
        <f t="shared" si="469"/>
        <v>700</v>
      </c>
      <c r="CJ290" s="346">
        <f t="shared" si="469"/>
        <v>700</v>
      </c>
      <c r="CK290" s="346">
        <f t="shared" si="469"/>
        <v>700</v>
      </c>
      <c r="CL290" s="563"/>
      <c r="CM290" s="346">
        <f>CK290</f>
        <v>700</v>
      </c>
      <c r="CN290" s="346">
        <f t="shared" si="470"/>
        <v>700</v>
      </c>
      <c r="CO290" s="346">
        <f t="shared" si="470"/>
        <v>700</v>
      </c>
      <c r="CP290" s="346">
        <f t="shared" si="470"/>
        <v>700</v>
      </c>
      <c r="CQ290" s="563"/>
      <c r="CR290" s="346">
        <f>CP290</f>
        <v>700</v>
      </c>
      <c r="CS290" s="346">
        <f t="shared" si="471"/>
        <v>700</v>
      </c>
      <c r="CT290" s="346">
        <f t="shared" si="472"/>
        <v>700</v>
      </c>
      <c r="CU290" s="346">
        <f t="shared" si="473"/>
        <v>700</v>
      </c>
      <c r="CV290" s="563"/>
      <c r="CW290" s="346">
        <f>CU290</f>
        <v>700</v>
      </c>
      <c r="CX290" s="346">
        <f t="shared" si="474"/>
        <v>700</v>
      </c>
      <c r="CY290" s="346">
        <f t="shared" si="475"/>
        <v>700</v>
      </c>
      <c r="CZ290" s="346">
        <f t="shared" si="476"/>
        <v>700</v>
      </c>
      <c r="DA290" s="563"/>
      <c r="DB290" s="346">
        <f>CZ290</f>
        <v>700</v>
      </c>
      <c r="DC290" s="346">
        <f t="shared" si="477"/>
        <v>700</v>
      </c>
      <c r="DD290" s="346">
        <f t="shared" si="478"/>
        <v>700</v>
      </c>
      <c r="DE290" s="346">
        <f t="shared" si="479"/>
        <v>700</v>
      </c>
      <c r="DF290" s="563"/>
    </row>
    <row r="291" spans="2:110" x14ac:dyDescent="0.2">
      <c r="B291" s="544" t="s">
        <v>198</v>
      </c>
      <c r="C291" s="145"/>
      <c r="D291" s="145"/>
      <c r="E291" s="145"/>
      <c r="F291" s="145"/>
      <c r="G291" s="145"/>
      <c r="H291" s="145"/>
      <c r="I291" s="145"/>
      <c r="J291" s="145"/>
      <c r="K291" s="145"/>
      <c r="L291" s="145"/>
      <c r="M291" s="145"/>
      <c r="N291" s="145"/>
      <c r="O291" s="145"/>
      <c r="P291" s="145"/>
      <c r="Q291" s="145"/>
      <c r="R291" s="145"/>
      <c r="S291" s="346"/>
      <c r="T291" s="346"/>
      <c r="U291" s="346"/>
      <c r="V291" s="326"/>
      <c r="W291" s="326"/>
      <c r="X291" s="326"/>
      <c r="Y291" s="340"/>
      <c r="Z291" s="346"/>
      <c r="AA291" s="346"/>
      <c r="AB291" s="346"/>
      <c r="AC291" s="346"/>
      <c r="AD291" s="340"/>
      <c r="AE291" s="346"/>
      <c r="AF291" s="346"/>
      <c r="AG291" s="346"/>
      <c r="AH291" s="346"/>
      <c r="AI291" s="340"/>
      <c r="AJ291" s="346"/>
      <c r="AK291" s="346"/>
      <c r="AL291" s="346"/>
      <c r="AM291" s="346"/>
      <c r="AN291" s="340"/>
      <c r="AO291" s="346"/>
      <c r="AP291" s="346"/>
      <c r="AQ291" s="346"/>
      <c r="AR291" s="346"/>
      <c r="AS291" s="340"/>
      <c r="AT291" s="346"/>
      <c r="AU291" s="623"/>
      <c r="AV291" s="625"/>
      <c r="AW291" s="625"/>
      <c r="AX291" s="340"/>
      <c r="AY291" s="346"/>
      <c r="AZ291" s="346"/>
      <c r="BA291" s="346"/>
      <c r="BB291" s="346"/>
      <c r="BC291" s="340"/>
      <c r="BD291" s="346"/>
      <c r="BE291" s="346"/>
      <c r="BF291" s="346"/>
      <c r="BG291" s="346">
        <f>BF293</f>
        <v>0</v>
      </c>
      <c r="BH291" s="340"/>
      <c r="BI291" s="346">
        <f>BG293</f>
        <v>698.4</v>
      </c>
      <c r="BJ291" s="346">
        <f>BI293</f>
        <v>698.4</v>
      </c>
      <c r="BK291" s="346">
        <f>BJ293</f>
        <v>698.4</v>
      </c>
      <c r="BL291" s="346">
        <f>BK293</f>
        <v>698.4</v>
      </c>
      <c r="BM291" s="340"/>
      <c r="BN291" s="346">
        <f>BL293</f>
        <v>698.4</v>
      </c>
      <c r="BO291" s="346">
        <f>BN293</f>
        <v>698.4</v>
      </c>
      <c r="BP291" s="346">
        <f>BO293</f>
        <v>698.4</v>
      </c>
      <c r="BQ291" s="346">
        <f>BP293</f>
        <v>698.4</v>
      </c>
      <c r="BR291" s="340"/>
      <c r="BS291" s="346">
        <f>BQ293</f>
        <v>698.4</v>
      </c>
      <c r="BT291" s="346">
        <f>BS293</f>
        <v>698.5</v>
      </c>
      <c r="BU291" s="346">
        <f>BT293</f>
        <v>698.4</v>
      </c>
      <c r="BV291" s="346">
        <f>BU293</f>
        <v>698.5</v>
      </c>
      <c r="BW291" s="340"/>
      <c r="BX291" s="346">
        <f>BV293</f>
        <v>698.5</v>
      </c>
      <c r="BY291" s="346">
        <f>BX293</f>
        <v>698.5</v>
      </c>
      <c r="BZ291" s="346">
        <f>BY293</f>
        <v>698.5</v>
      </c>
      <c r="CA291" s="346">
        <f>BZ293</f>
        <v>698.5</v>
      </c>
      <c r="CB291" s="563"/>
      <c r="CC291" s="346">
        <f>CA293</f>
        <v>698.5</v>
      </c>
      <c r="CD291" s="346">
        <f>CC293</f>
        <v>698.5</v>
      </c>
      <c r="CE291" s="346">
        <f>CD293</f>
        <v>698.5</v>
      </c>
      <c r="CF291" s="346">
        <f>CE293</f>
        <v>444</v>
      </c>
      <c r="CG291" s="563"/>
      <c r="CH291" s="346">
        <f>CF293</f>
        <v>444</v>
      </c>
      <c r="CI291" s="346">
        <f>CH293</f>
        <v>444</v>
      </c>
      <c r="CJ291" s="346">
        <f>CI293</f>
        <v>444</v>
      </c>
      <c r="CK291" s="346">
        <f>CJ293</f>
        <v>444</v>
      </c>
      <c r="CL291" s="563"/>
      <c r="CM291" s="346">
        <f>CK293</f>
        <v>444</v>
      </c>
      <c r="CN291" s="346">
        <f>CM293</f>
        <v>444</v>
      </c>
      <c r="CO291" s="346">
        <f>CN293</f>
        <v>444</v>
      </c>
      <c r="CP291" s="346">
        <f>CO293</f>
        <v>444</v>
      </c>
      <c r="CQ291" s="563"/>
      <c r="CR291" s="346">
        <f>CP293</f>
        <v>444</v>
      </c>
      <c r="CS291" s="346">
        <f>CR293</f>
        <v>444</v>
      </c>
      <c r="CT291" s="346">
        <f>CS293</f>
        <v>444</v>
      </c>
      <c r="CU291" s="346">
        <f>CT293</f>
        <v>444</v>
      </c>
      <c r="CV291" s="563"/>
      <c r="CW291" s="346">
        <f>CU293</f>
        <v>444</v>
      </c>
      <c r="CX291" s="346">
        <f>CW293</f>
        <v>444</v>
      </c>
      <c r="CY291" s="346">
        <f>CX293</f>
        <v>444</v>
      </c>
      <c r="CZ291" s="346">
        <f>CY293</f>
        <v>444</v>
      </c>
      <c r="DA291" s="563"/>
      <c r="DB291" s="346">
        <f>CZ293</f>
        <v>444</v>
      </c>
      <c r="DC291" s="346">
        <f>DB293</f>
        <v>444</v>
      </c>
      <c r="DD291" s="346">
        <f>DC293</f>
        <v>444</v>
      </c>
      <c r="DE291" s="346">
        <f>DD293</f>
        <v>444</v>
      </c>
      <c r="DF291" s="563"/>
    </row>
    <row r="292" spans="2:110" x14ac:dyDescent="0.2">
      <c r="B292" s="589" t="s">
        <v>199</v>
      </c>
      <c r="C292" s="359"/>
      <c r="D292" s="359"/>
      <c r="E292" s="359"/>
      <c r="F292" s="359"/>
      <c r="G292" s="359"/>
      <c r="H292" s="359"/>
      <c r="I292" s="359"/>
      <c r="J292" s="359"/>
      <c r="K292" s="359"/>
      <c r="L292" s="359"/>
      <c r="M292" s="359"/>
      <c r="N292" s="359"/>
      <c r="O292" s="359"/>
      <c r="P292" s="359"/>
      <c r="Q292" s="359"/>
      <c r="R292" s="359"/>
      <c r="S292" s="347"/>
      <c r="T292" s="347"/>
      <c r="U292" s="347"/>
      <c r="V292" s="377"/>
      <c r="W292" s="377"/>
      <c r="X292" s="377"/>
      <c r="Y292" s="343"/>
      <c r="Z292" s="347"/>
      <c r="AA292" s="347"/>
      <c r="AB292" s="347"/>
      <c r="AC292" s="347"/>
      <c r="AD292" s="343"/>
      <c r="AE292" s="347"/>
      <c r="AF292" s="347"/>
      <c r="AG292" s="347"/>
      <c r="AH292" s="347"/>
      <c r="AI292" s="343"/>
      <c r="AJ292" s="347"/>
      <c r="AK292" s="347"/>
      <c r="AL292" s="347"/>
      <c r="AM292" s="347"/>
      <c r="AN292" s="343"/>
      <c r="AO292" s="347"/>
      <c r="AP292" s="347"/>
      <c r="AQ292" s="347"/>
      <c r="AR292" s="347"/>
      <c r="AS292" s="343"/>
      <c r="AT292" s="347"/>
      <c r="AU292" s="629"/>
      <c r="AV292" s="642"/>
      <c r="AW292" s="629"/>
      <c r="AX292" s="343"/>
      <c r="AY292" s="347"/>
      <c r="AZ292" s="347"/>
      <c r="BA292" s="347"/>
      <c r="BB292" s="347"/>
      <c r="BC292" s="343"/>
      <c r="BD292" s="347"/>
      <c r="BE292" s="629"/>
      <c r="BF292" s="347"/>
      <c r="BG292" s="347">
        <v>698.4</v>
      </c>
      <c r="BH292" s="343"/>
      <c r="BI292" s="347">
        <v>0</v>
      </c>
      <c r="BJ292" s="347">
        <v>0</v>
      </c>
      <c r="BK292" s="347">
        <f>698.4-BK291</f>
        <v>0</v>
      </c>
      <c r="BL292" s="348">
        <f>698.4-BL291</f>
        <v>0</v>
      </c>
      <c r="BM292" s="343"/>
      <c r="BN292" s="348">
        <v>0</v>
      </c>
      <c r="BO292" s="347">
        <f>BN292</f>
        <v>0</v>
      </c>
      <c r="BP292" s="347">
        <f>BO292</f>
        <v>0</v>
      </c>
      <c r="BQ292" s="347">
        <f>698.4-BQ291</f>
        <v>0</v>
      </c>
      <c r="BR292" s="343"/>
      <c r="BS292" s="347">
        <f>BS293-BS291</f>
        <v>0.10000000000002274</v>
      </c>
      <c r="BT292" s="347">
        <f>BT293-BT291</f>
        <v>-0.10000000000002274</v>
      </c>
      <c r="BU292" s="347">
        <f>BU293-BU291</f>
        <v>0.10000000000002274</v>
      </c>
      <c r="BV292" s="347">
        <f>BV293-BV291</f>
        <v>0</v>
      </c>
      <c r="BW292" s="343"/>
      <c r="BX292" s="347">
        <f>698.5-BX291</f>
        <v>0</v>
      </c>
      <c r="BY292" s="347">
        <f>BX292</f>
        <v>0</v>
      </c>
      <c r="BZ292" s="347">
        <f>BY292</f>
        <v>0</v>
      </c>
      <c r="CA292" s="347">
        <f>BZ292</f>
        <v>0</v>
      </c>
      <c r="CB292" s="585"/>
      <c r="CC292" s="347">
        <f>CA292</f>
        <v>0</v>
      </c>
      <c r="CD292" s="347">
        <f>CC292</f>
        <v>0</v>
      </c>
      <c r="CE292" s="347">
        <v>-254.5</v>
      </c>
      <c r="CF292" s="347">
        <v>0</v>
      </c>
      <c r="CG292" s="585"/>
      <c r="CH292" s="347">
        <f>CF292</f>
        <v>0</v>
      </c>
      <c r="CI292" s="347">
        <f>CH292</f>
        <v>0</v>
      </c>
      <c r="CJ292" s="347">
        <f>CI292</f>
        <v>0</v>
      </c>
      <c r="CK292" s="347">
        <f>CJ292</f>
        <v>0</v>
      </c>
      <c r="CL292" s="585"/>
      <c r="CM292" s="347">
        <f>CK292</f>
        <v>0</v>
      </c>
      <c r="CN292" s="347">
        <f>CM292</f>
        <v>0</v>
      </c>
      <c r="CO292" s="347">
        <f>CN292</f>
        <v>0</v>
      </c>
      <c r="CP292" s="347">
        <f>CO292</f>
        <v>0</v>
      </c>
      <c r="CQ292" s="585"/>
      <c r="CR292" s="347">
        <f>CP292</f>
        <v>0</v>
      </c>
      <c r="CS292" s="347">
        <f>CR292</f>
        <v>0</v>
      </c>
      <c r="CT292" s="347">
        <f>CS292</f>
        <v>0</v>
      </c>
      <c r="CU292" s="347">
        <f>CT292</f>
        <v>0</v>
      </c>
      <c r="CV292" s="585"/>
      <c r="CW292" s="347">
        <f>CU292</f>
        <v>0</v>
      </c>
      <c r="CX292" s="347">
        <f>CW292</f>
        <v>0</v>
      </c>
      <c r="CY292" s="347">
        <f>CX292</f>
        <v>0</v>
      </c>
      <c r="CZ292" s="347">
        <f>CY292</f>
        <v>0</v>
      </c>
      <c r="DA292" s="585"/>
      <c r="DB292" s="347">
        <f>CZ292</f>
        <v>0</v>
      </c>
      <c r="DC292" s="347">
        <f>DB292</f>
        <v>0</v>
      </c>
      <c r="DD292" s="347">
        <f>DC292</f>
        <v>0</v>
      </c>
      <c r="DE292" s="347">
        <f>DD292</f>
        <v>0</v>
      </c>
      <c r="DF292" s="585"/>
    </row>
    <row r="293" spans="2:110" x14ac:dyDescent="0.2">
      <c r="B293" s="544" t="s">
        <v>200</v>
      </c>
      <c r="C293" s="145"/>
      <c r="D293" s="145"/>
      <c r="E293" s="145"/>
      <c r="F293" s="145"/>
      <c r="G293" s="145"/>
      <c r="H293" s="145"/>
      <c r="I293" s="145"/>
      <c r="J293" s="145"/>
      <c r="K293" s="145"/>
      <c r="L293" s="145"/>
      <c r="M293" s="145"/>
      <c r="N293" s="145"/>
      <c r="O293" s="145"/>
      <c r="P293" s="145"/>
      <c r="Q293" s="145"/>
      <c r="R293" s="145"/>
      <c r="S293" s="346"/>
      <c r="T293" s="346"/>
      <c r="U293" s="346"/>
      <c r="V293" s="326"/>
      <c r="W293" s="326"/>
      <c r="X293" s="326"/>
      <c r="Y293" s="340"/>
      <c r="Z293" s="346"/>
      <c r="AA293" s="346"/>
      <c r="AB293" s="346"/>
      <c r="AC293" s="346"/>
      <c r="AD293" s="340"/>
      <c r="AE293" s="346"/>
      <c r="AF293" s="346"/>
      <c r="AG293" s="346"/>
      <c r="AH293" s="346"/>
      <c r="AI293" s="340"/>
      <c r="AJ293" s="346"/>
      <c r="AK293" s="346"/>
      <c r="AL293" s="346"/>
      <c r="AM293" s="346"/>
      <c r="AN293" s="340"/>
      <c r="AO293" s="346"/>
      <c r="AP293" s="346"/>
      <c r="AQ293" s="346"/>
      <c r="AR293" s="346"/>
      <c r="AS293" s="340"/>
      <c r="AT293" s="346"/>
      <c r="AU293" s="625"/>
      <c r="AV293" s="625"/>
      <c r="AW293" s="625"/>
      <c r="AX293" s="340"/>
      <c r="AY293" s="346"/>
      <c r="AZ293" s="346"/>
      <c r="BA293" s="346"/>
      <c r="BB293" s="346"/>
      <c r="BC293" s="340"/>
      <c r="BD293" s="346"/>
      <c r="BE293" s="625"/>
      <c r="BF293" s="346"/>
      <c r="BG293" s="346">
        <f>BG291+BG292</f>
        <v>698.4</v>
      </c>
      <c r="BH293" s="340"/>
      <c r="BI293" s="346">
        <f>BI291+BI292</f>
        <v>698.4</v>
      </c>
      <c r="BJ293" s="346">
        <f>BJ291+BJ292</f>
        <v>698.4</v>
      </c>
      <c r="BK293" s="346">
        <f>BK291+BK292</f>
        <v>698.4</v>
      </c>
      <c r="BL293" s="346">
        <f>BL291+BL292</f>
        <v>698.4</v>
      </c>
      <c r="BM293" s="340"/>
      <c r="BN293" s="346">
        <f>BN291+BN292</f>
        <v>698.4</v>
      </c>
      <c r="BO293" s="346">
        <f>BO291+BO292</f>
        <v>698.4</v>
      </c>
      <c r="BP293" s="346">
        <f>BP291+BP292</f>
        <v>698.4</v>
      </c>
      <c r="BQ293" s="346">
        <f>BQ291+BQ292</f>
        <v>698.4</v>
      </c>
      <c r="BR293" s="340"/>
      <c r="BS293" s="354">
        <v>698.5</v>
      </c>
      <c r="BT293" s="354">
        <v>698.4</v>
      </c>
      <c r="BU293" s="354">
        <v>698.5</v>
      </c>
      <c r="BV293" s="346">
        <v>698.5</v>
      </c>
      <c r="BW293" s="340"/>
      <c r="BX293" s="346">
        <f>BX291+BX292</f>
        <v>698.5</v>
      </c>
      <c r="BY293" s="346">
        <f>BY291+BY292</f>
        <v>698.5</v>
      </c>
      <c r="BZ293" s="346">
        <f>BZ291+BZ292</f>
        <v>698.5</v>
      </c>
      <c r="CA293" s="346">
        <f>CA291+CA292</f>
        <v>698.5</v>
      </c>
      <c r="CB293" s="563"/>
      <c r="CC293" s="346">
        <f>CC291+CC292</f>
        <v>698.5</v>
      </c>
      <c r="CD293" s="346">
        <f>CD291+CD292</f>
        <v>698.5</v>
      </c>
      <c r="CE293" s="346">
        <f>CE291+CE292</f>
        <v>444</v>
      </c>
      <c r="CF293" s="346">
        <f>CF291+CF292</f>
        <v>444</v>
      </c>
      <c r="CG293" s="563"/>
      <c r="CH293" s="346">
        <f>CH291+CH292</f>
        <v>444</v>
      </c>
      <c r="CI293" s="346">
        <f>CI291+CI292</f>
        <v>444</v>
      </c>
      <c r="CJ293" s="346">
        <f>CJ291+CJ292</f>
        <v>444</v>
      </c>
      <c r="CK293" s="346">
        <f>CK291+CK292</f>
        <v>444</v>
      </c>
      <c r="CL293" s="563"/>
      <c r="CM293" s="346">
        <f>CM291+CM292</f>
        <v>444</v>
      </c>
      <c r="CN293" s="346">
        <f>CN291+CN292</f>
        <v>444</v>
      </c>
      <c r="CO293" s="346">
        <f>CO291+CO292</f>
        <v>444</v>
      </c>
      <c r="CP293" s="346">
        <f>CP291+CP292</f>
        <v>444</v>
      </c>
      <c r="CQ293" s="563"/>
      <c r="CR293" s="346">
        <f>CR291+CR292</f>
        <v>444</v>
      </c>
      <c r="CS293" s="346">
        <f>CS291+CS292</f>
        <v>444</v>
      </c>
      <c r="CT293" s="346">
        <f>CT291+CT292</f>
        <v>444</v>
      </c>
      <c r="CU293" s="346">
        <f>CU291+CU292</f>
        <v>444</v>
      </c>
      <c r="CV293" s="563"/>
      <c r="CW293" s="346">
        <f>CW291+CW292</f>
        <v>444</v>
      </c>
      <c r="CX293" s="346">
        <f>CX291+CX292</f>
        <v>444</v>
      </c>
      <c r="CY293" s="346">
        <f>CY291+CY292</f>
        <v>444</v>
      </c>
      <c r="CZ293" s="346">
        <f>CZ291+CZ292</f>
        <v>444</v>
      </c>
      <c r="DA293" s="563"/>
      <c r="DB293" s="346">
        <f>DB291+DB292</f>
        <v>444</v>
      </c>
      <c r="DC293" s="346">
        <f>DC291+DC292</f>
        <v>444</v>
      </c>
      <c r="DD293" s="346">
        <f>DD291+DD292</f>
        <v>444</v>
      </c>
      <c r="DE293" s="346">
        <f>DE291+DE292</f>
        <v>444</v>
      </c>
      <c r="DF293" s="563"/>
    </row>
    <row r="294" spans="2:110" x14ac:dyDescent="0.2">
      <c r="B294" s="536" t="s">
        <v>201</v>
      </c>
      <c r="C294" s="145"/>
      <c r="D294" s="145"/>
      <c r="E294" s="145"/>
      <c r="F294" s="145"/>
      <c r="G294" s="145"/>
      <c r="H294" s="145"/>
      <c r="I294" s="145"/>
      <c r="J294" s="145"/>
      <c r="K294" s="145"/>
      <c r="L294" s="145"/>
      <c r="M294" s="145"/>
      <c r="N294" s="145"/>
      <c r="O294" s="145"/>
      <c r="P294" s="145"/>
      <c r="Q294" s="145"/>
      <c r="R294" s="145"/>
      <c r="S294" s="346"/>
      <c r="T294" s="346"/>
      <c r="U294" s="346"/>
      <c r="V294" s="326"/>
      <c r="W294" s="326"/>
      <c r="X294" s="326"/>
      <c r="Y294" s="340"/>
      <c r="Z294" s="346"/>
      <c r="AA294" s="346"/>
      <c r="AB294" s="346"/>
      <c r="AC294" s="346"/>
      <c r="AD294" s="340"/>
      <c r="AE294" s="346"/>
      <c r="AF294" s="346"/>
      <c r="AG294" s="346"/>
      <c r="AH294" s="346"/>
      <c r="AI294" s="340"/>
      <c r="AJ294" s="346"/>
      <c r="AK294" s="346"/>
      <c r="AL294" s="346"/>
      <c r="AM294" s="346"/>
      <c r="AN294" s="340"/>
      <c r="AO294" s="346"/>
      <c r="AP294" s="346"/>
      <c r="AQ294" s="346"/>
      <c r="AR294" s="346"/>
      <c r="AS294" s="340"/>
      <c r="AT294" s="346"/>
      <c r="AU294" s="625"/>
      <c r="AV294" s="625"/>
      <c r="AW294" s="625"/>
      <c r="AX294" s="340"/>
      <c r="AY294" s="346"/>
      <c r="AZ294" s="346"/>
      <c r="BA294" s="346"/>
      <c r="BB294" s="346"/>
      <c r="BC294" s="340"/>
      <c r="BD294" s="346"/>
      <c r="BE294" s="625"/>
      <c r="BF294" s="346"/>
      <c r="BG294" s="346">
        <f>BG290-BG293</f>
        <v>1.6000000000000227</v>
      </c>
      <c r="BH294" s="340"/>
      <c r="BI294" s="346">
        <f>BI290-BI293</f>
        <v>1.6000000000000227</v>
      </c>
      <c r="BJ294" s="346">
        <f>BJ290-BJ293</f>
        <v>1.6000000000000227</v>
      </c>
      <c r="BK294" s="346">
        <f>BK290-BK293</f>
        <v>1.6000000000000227</v>
      </c>
      <c r="BL294" s="346">
        <f>BL290-BL293</f>
        <v>1.6000000000000227</v>
      </c>
      <c r="BM294" s="340"/>
      <c r="BN294" s="346">
        <f>BN290-BN293</f>
        <v>1.6000000000000227</v>
      </c>
      <c r="BO294" s="346">
        <f>BO290-BO293</f>
        <v>1.6000000000000227</v>
      </c>
      <c r="BP294" s="346">
        <f>BP290-BP293</f>
        <v>1.6000000000000227</v>
      </c>
      <c r="BQ294" s="346">
        <f>BQ290-BQ293</f>
        <v>1.6000000000000227</v>
      </c>
      <c r="BR294" s="340"/>
      <c r="BS294" s="346">
        <f>BS290-BS293</f>
        <v>1.5</v>
      </c>
      <c r="BT294" s="346">
        <f>BT290-BT293</f>
        <v>1.6000000000000227</v>
      </c>
      <c r="BU294" s="346">
        <f>BU290-BU293</f>
        <v>1.5</v>
      </c>
      <c r="BV294" s="346">
        <f>BV290-BV293</f>
        <v>1.5</v>
      </c>
      <c r="BW294" s="340"/>
      <c r="BX294" s="346">
        <f>BX290-BX293</f>
        <v>1.5</v>
      </c>
      <c r="BY294" s="346">
        <f>BY290-BY293</f>
        <v>1.5</v>
      </c>
      <c r="BZ294" s="346">
        <f>BZ290-BZ293</f>
        <v>1.5</v>
      </c>
      <c r="CA294" s="346">
        <f>CA290-CA293</f>
        <v>1.5</v>
      </c>
      <c r="CB294" s="563"/>
      <c r="CC294" s="346">
        <f>CC290-CC293</f>
        <v>1.5</v>
      </c>
      <c r="CD294" s="346">
        <f>CD290-CD293</f>
        <v>1.5</v>
      </c>
      <c r="CE294" s="346">
        <f>CE290-CE293</f>
        <v>256</v>
      </c>
      <c r="CF294" s="346">
        <f>CF290-CF293</f>
        <v>256</v>
      </c>
      <c r="CG294" s="563"/>
      <c r="CH294" s="346">
        <f>CH290-CH293</f>
        <v>256</v>
      </c>
      <c r="CI294" s="346">
        <f>CI290-CI293</f>
        <v>256</v>
      </c>
      <c r="CJ294" s="346">
        <f>CJ290-CJ293</f>
        <v>256</v>
      </c>
      <c r="CK294" s="346">
        <f>CK290-CK293</f>
        <v>256</v>
      </c>
      <c r="CL294" s="563"/>
      <c r="CM294" s="346">
        <f>CM290-CM293</f>
        <v>256</v>
      </c>
      <c r="CN294" s="346">
        <f>CN290-CN293</f>
        <v>256</v>
      </c>
      <c r="CO294" s="346">
        <f>CO290-CO293</f>
        <v>256</v>
      </c>
      <c r="CP294" s="346">
        <f>CP290-CP293</f>
        <v>256</v>
      </c>
      <c r="CQ294" s="563"/>
      <c r="CR294" s="346">
        <f>CR290-CR293</f>
        <v>256</v>
      </c>
      <c r="CS294" s="346">
        <f>CS290-CS293</f>
        <v>256</v>
      </c>
      <c r="CT294" s="346">
        <f>CT290-CT293</f>
        <v>256</v>
      </c>
      <c r="CU294" s="346">
        <f>CU290-CU293</f>
        <v>256</v>
      </c>
      <c r="CV294" s="563"/>
      <c r="CW294" s="346">
        <f>CW290-CW293</f>
        <v>256</v>
      </c>
      <c r="CX294" s="346">
        <f>CX290-CX293</f>
        <v>256</v>
      </c>
      <c r="CY294" s="346">
        <f>CY290-CY293</f>
        <v>256</v>
      </c>
      <c r="CZ294" s="346">
        <f>CZ290-CZ293</f>
        <v>256</v>
      </c>
      <c r="DA294" s="563"/>
      <c r="DB294" s="346">
        <f>DB290-DB293</f>
        <v>256</v>
      </c>
      <c r="DC294" s="346">
        <f>DC290-DC293</f>
        <v>256</v>
      </c>
      <c r="DD294" s="346">
        <f>DD290-DD293</f>
        <v>256</v>
      </c>
      <c r="DE294" s="346">
        <f>DE290-DE293</f>
        <v>256</v>
      </c>
      <c r="DF294" s="563"/>
    </row>
    <row r="295" spans="2:110" x14ac:dyDescent="0.2">
      <c r="B295" s="544" t="s">
        <v>206</v>
      </c>
      <c r="C295" s="145"/>
      <c r="D295" s="145"/>
      <c r="E295" s="145"/>
      <c r="F295" s="145"/>
      <c r="G295" s="145"/>
      <c r="H295" s="145"/>
      <c r="I295" s="145"/>
      <c r="J295" s="145"/>
      <c r="K295" s="145"/>
      <c r="L295" s="145"/>
      <c r="M295" s="145"/>
      <c r="N295" s="145"/>
      <c r="O295" s="145"/>
      <c r="P295" s="145"/>
      <c r="Q295" s="145"/>
      <c r="R295" s="145"/>
      <c r="S295" s="346"/>
      <c r="T295" s="346"/>
      <c r="U295" s="346"/>
      <c r="V295" s="326"/>
      <c r="W295" s="326"/>
      <c r="X295" s="326"/>
      <c r="Y295" s="340"/>
      <c r="Z295" s="346"/>
      <c r="AA295" s="346"/>
      <c r="AB295" s="346"/>
      <c r="AC295" s="346"/>
      <c r="AD295" s="340"/>
      <c r="AE295" s="346"/>
      <c r="AF295" s="346"/>
      <c r="AG295" s="346"/>
      <c r="AH295" s="346"/>
      <c r="AI295" s="340"/>
      <c r="AJ295" s="346"/>
      <c r="AK295" s="346"/>
      <c r="AL295" s="346"/>
      <c r="AM295" s="346"/>
      <c r="AN295" s="340"/>
      <c r="AO295" s="346"/>
      <c r="AP295" s="346"/>
      <c r="AQ295" s="346"/>
      <c r="AR295" s="346"/>
      <c r="AS295" s="340"/>
      <c r="AT295" s="346"/>
      <c r="AU295" s="625"/>
      <c r="AV295" s="625"/>
      <c r="AW295" s="625"/>
      <c r="AX295" s="340"/>
      <c r="AY295" s="346"/>
      <c r="AZ295" s="346"/>
      <c r="BA295" s="346"/>
      <c r="BB295" s="346"/>
      <c r="BC295" s="340"/>
      <c r="BD295" s="346"/>
      <c r="BE295" s="625"/>
      <c r="BF295" s="346"/>
      <c r="BG295" s="346">
        <f>-(AVERAGE(BG293,BG291))*(BG289/4)</f>
        <v>-5.3471250000000001</v>
      </c>
      <c r="BH295" s="340"/>
      <c r="BI295" s="346">
        <f>-(AVERAGE(BI293,BI291))*(BI289/4)</f>
        <v>-10.69425</v>
      </c>
      <c r="BJ295" s="346">
        <f>-(AVERAGE(BJ293,BJ291))*(BJ289/4)</f>
        <v>-10.69425</v>
      </c>
      <c r="BK295" s="346">
        <f>-(AVERAGE(BK293,BK291))*(BK289/4)</f>
        <v>-10.69425</v>
      </c>
      <c r="BL295" s="346">
        <f>-(AVERAGE(BL293,BL291))*(BL289/4)</f>
        <v>-10.69425</v>
      </c>
      <c r="BM295" s="340"/>
      <c r="BN295" s="346">
        <f>-(AVERAGE(BN293,BN291))*(BN289/4)</f>
        <v>-10.69425</v>
      </c>
      <c r="BO295" s="346">
        <f>-(AVERAGE(BO293,BO291))*(BO289/4)</f>
        <v>-10.69425</v>
      </c>
      <c r="BP295" s="346">
        <f>-(AVERAGE(BP293,BP291))*(BP289/4)</f>
        <v>-10.69425</v>
      </c>
      <c r="BQ295" s="346">
        <f>-(AVERAGE(BQ293,BQ291))*(BQ289/4)</f>
        <v>-10.69425</v>
      </c>
      <c r="BR295" s="340"/>
      <c r="BS295" s="346">
        <f>-(AVERAGE(BS293,BS291))*(BS289/4)</f>
        <v>-10.695015625</v>
      </c>
      <c r="BT295" s="346">
        <f>-(AVERAGE(BT293,BT291))*(BT289/4)</f>
        <v>-10.695015625</v>
      </c>
      <c r="BU295" s="346">
        <f>-(AVERAGE(BU293,BU291))*(BU289/4)</f>
        <v>-10.695015625</v>
      </c>
      <c r="BV295" s="346">
        <f>-(AVERAGE(BV293,BV291))*(BV289/4)</f>
        <v>-10.69578125</v>
      </c>
      <c r="BW295" s="340"/>
      <c r="BX295" s="346">
        <f>-(AVERAGE(BX293,BX291))*(BX289/4)</f>
        <v>-10.69578125</v>
      </c>
      <c r="BY295" s="346">
        <f>-(AVERAGE(BY293,BY291))*(BY289/4)</f>
        <v>-10.69578125</v>
      </c>
      <c r="BZ295" s="346">
        <f>-(AVERAGE(BZ293,BZ291))*(BZ289/4)</f>
        <v>-10.69578125</v>
      </c>
      <c r="CA295" s="346">
        <f>-(AVERAGE(CA293,CA291))*(CA289/4)</f>
        <v>-10.69578125</v>
      </c>
      <c r="CB295" s="563"/>
      <c r="CC295" s="346">
        <f>-(AVERAGE(CC293,CC291))*(CC289/4)</f>
        <v>-10.69578125</v>
      </c>
      <c r="CD295" s="346">
        <f>-(AVERAGE(CD293,CD291))*(CD289/4)</f>
        <v>-10.69578125</v>
      </c>
      <c r="CE295" s="346">
        <f>-(AVERAGE(CE293,CE291))*(CE289/4)</f>
        <v>-8.7472656250000007</v>
      </c>
      <c r="CF295" s="346">
        <f>-(AVERAGE(CF293,CF291))*(CF289/4)</f>
        <v>-6.7987500000000001</v>
      </c>
      <c r="CG295" s="563"/>
      <c r="CH295" s="346">
        <f>-(AVERAGE(CH293,CH291))*(CH289/4)</f>
        <v>-6.7987500000000001</v>
      </c>
      <c r="CI295" s="346">
        <f>-(AVERAGE(CI293,CI291))*(CI289/4)</f>
        <v>-6.7987500000000001</v>
      </c>
      <c r="CJ295" s="346">
        <f>-(AVERAGE(CJ293,CJ291))*(CJ289/4)</f>
        <v>-6.7987500000000001</v>
      </c>
      <c r="CK295" s="346">
        <f>-(AVERAGE(CK293,CK291))*(CK289/4)</f>
        <v>-6.7987500000000001</v>
      </c>
      <c r="CL295" s="563"/>
      <c r="CM295" s="346">
        <f>-(AVERAGE(CM293,CM291))*(CM289/4)</f>
        <v>-6.7987500000000001</v>
      </c>
      <c r="CN295" s="346">
        <f>-(AVERAGE(CN293,CN291))*(CN289/4)</f>
        <v>-6.7987500000000001</v>
      </c>
      <c r="CO295" s="346">
        <f>-(AVERAGE(CO293,CO291))*(CO289/4)</f>
        <v>-6.7987500000000001</v>
      </c>
      <c r="CP295" s="346">
        <f>-(AVERAGE(CP293,CP291))*(CP289/4)</f>
        <v>-6.7987500000000001</v>
      </c>
      <c r="CQ295" s="563"/>
      <c r="CR295" s="346">
        <f>-(AVERAGE(CR293,CR291))*(CR289/4)</f>
        <v>-6.7987500000000001</v>
      </c>
      <c r="CS295" s="346">
        <f>-(AVERAGE(CS293,CS291))*(CS289/4)</f>
        <v>-6.7987500000000001</v>
      </c>
      <c r="CT295" s="346">
        <f>-(AVERAGE(CT293,CT291))*(CT289/4)</f>
        <v>-6.7987500000000001</v>
      </c>
      <c r="CU295" s="346">
        <f>-(AVERAGE(CU293,CU291))*(CU289/4)</f>
        <v>-6.7987500000000001</v>
      </c>
      <c r="CV295" s="563"/>
      <c r="CW295" s="346">
        <f>-(AVERAGE(CW293,CW291))*(CW289/4)</f>
        <v>-6.7987500000000001</v>
      </c>
      <c r="CX295" s="346">
        <f>-(AVERAGE(CX293,CX291))*(CX289/4)</f>
        <v>-6.7987500000000001</v>
      </c>
      <c r="CY295" s="346">
        <f>-(AVERAGE(CY293,CY291))*(CY289/4)</f>
        <v>-6.7987500000000001</v>
      </c>
      <c r="CZ295" s="346">
        <f>-(AVERAGE(CZ293,CZ291))*(CZ289/4)</f>
        <v>-6.7987500000000001</v>
      </c>
      <c r="DA295" s="563"/>
      <c r="DB295" s="346">
        <f>-(AVERAGE(DB293,DB291))*(DB289/4)</f>
        <v>-6.7987500000000001</v>
      </c>
      <c r="DC295" s="346">
        <f>-(AVERAGE(DC293,DC291))*(DC289/4)</f>
        <v>-6.7987500000000001</v>
      </c>
      <c r="DD295" s="346">
        <f>-(AVERAGE(DD293,DD291))*(DD289/4)</f>
        <v>-6.7987500000000001</v>
      </c>
      <c r="DE295" s="346">
        <f>-(AVERAGE(DE293,DE291))*(DE289/4)</f>
        <v>-6.7987500000000001</v>
      </c>
      <c r="DF295" s="563"/>
    </row>
    <row r="296" spans="2:110" ht="12" thickBot="1" x14ac:dyDescent="0.25">
      <c r="B296" s="548" t="s">
        <v>207</v>
      </c>
      <c r="C296" s="205"/>
      <c r="D296" s="205"/>
      <c r="E296" s="205"/>
      <c r="F296" s="205"/>
      <c r="G296" s="205"/>
      <c r="H296" s="205"/>
      <c r="I296" s="205"/>
      <c r="J296" s="205"/>
      <c r="K296" s="205"/>
      <c r="L296" s="205"/>
      <c r="M296" s="205"/>
      <c r="N296" s="205"/>
      <c r="O296" s="205"/>
      <c r="P296" s="205"/>
      <c r="Q296" s="205"/>
      <c r="R296" s="205"/>
      <c r="S296" s="549"/>
      <c r="T296" s="549"/>
      <c r="U296" s="549"/>
      <c r="V296" s="327"/>
      <c r="W296" s="327"/>
      <c r="X296" s="327"/>
      <c r="Y296" s="550"/>
      <c r="Z296" s="549"/>
      <c r="AA296" s="549"/>
      <c r="AB296" s="549"/>
      <c r="AC296" s="549"/>
      <c r="AD296" s="550"/>
      <c r="AE296" s="549"/>
      <c r="AF296" s="549"/>
      <c r="AG296" s="549"/>
      <c r="AH296" s="549"/>
      <c r="AI296" s="550"/>
      <c r="AJ296" s="549"/>
      <c r="AK296" s="549"/>
      <c r="AL296" s="549"/>
      <c r="AM296" s="549"/>
      <c r="AN296" s="550"/>
      <c r="AO296" s="549"/>
      <c r="AP296" s="549"/>
      <c r="AQ296" s="549"/>
      <c r="AR296" s="549"/>
      <c r="AS296" s="550"/>
      <c r="AT296" s="549"/>
      <c r="AU296" s="549"/>
      <c r="AV296" s="549"/>
      <c r="AW296" s="549"/>
      <c r="AX296" s="550"/>
      <c r="AY296" s="549"/>
      <c r="AZ296" s="549"/>
      <c r="BA296" s="549"/>
      <c r="BB296" s="549"/>
      <c r="BC296" s="550"/>
      <c r="BD296" s="549"/>
      <c r="BE296" s="549"/>
      <c r="BF296" s="549"/>
      <c r="BG296" s="549">
        <f>-BG288*BG294/4</f>
        <v>0</v>
      </c>
      <c r="BH296" s="550"/>
      <c r="BI296" s="549">
        <f>-BI288*BI294/4</f>
        <v>0</v>
      </c>
      <c r="BJ296" s="549">
        <f>-BJ288*BJ294/4</f>
        <v>0</v>
      </c>
      <c r="BK296" s="549">
        <f>-BK288*BK294/4</f>
        <v>0</v>
      </c>
      <c r="BL296" s="549">
        <f>-BL288*BL294/4</f>
        <v>0</v>
      </c>
      <c r="BM296" s="550"/>
      <c r="BN296" s="549">
        <f>-BN288*BN294/4</f>
        <v>0</v>
      </c>
      <c r="BO296" s="549">
        <f>-BO288*BO294/4</f>
        <v>0</v>
      </c>
      <c r="BP296" s="549">
        <f>-BP288*BP294/4</f>
        <v>0</v>
      </c>
      <c r="BQ296" s="549">
        <f>-BQ288*BQ294/4</f>
        <v>0</v>
      </c>
      <c r="BR296" s="550"/>
      <c r="BS296" s="549">
        <f>-BS288*BS294/4</f>
        <v>0</v>
      </c>
      <c r="BT296" s="549">
        <f>-BT288*BT294/4</f>
        <v>0</v>
      </c>
      <c r="BU296" s="549">
        <f>-BU288*BU294/4</f>
        <v>0</v>
      </c>
      <c r="BV296" s="549">
        <f>-BV288*BV294/4</f>
        <v>0</v>
      </c>
      <c r="BW296" s="550"/>
      <c r="BX296" s="549">
        <f>-BX288*BX294/4</f>
        <v>0</v>
      </c>
      <c r="BY296" s="549">
        <f>-BY288*BY294/4</f>
        <v>0</v>
      </c>
      <c r="BZ296" s="549">
        <f>-BZ288*BZ294/4</f>
        <v>0</v>
      </c>
      <c r="CA296" s="549">
        <f>-CA288*CA294/4</f>
        <v>0</v>
      </c>
      <c r="CB296" s="565"/>
      <c r="CC296" s="549">
        <f>-CC288*CC294/4</f>
        <v>0</v>
      </c>
      <c r="CD296" s="549">
        <f>-CD288*CD294/4</f>
        <v>0</v>
      </c>
      <c r="CE296" s="549">
        <f>-CE288*CE294/4</f>
        <v>0</v>
      </c>
      <c r="CF296" s="549">
        <f>-CF288*CF294/4</f>
        <v>0</v>
      </c>
      <c r="CG296" s="565"/>
      <c r="CH296" s="549">
        <f>-CH288*CH294/4</f>
        <v>0</v>
      </c>
      <c r="CI296" s="549">
        <f>-CI288*CI294/4</f>
        <v>0</v>
      </c>
      <c r="CJ296" s="549">
        <f>-CJ288*CJ294/4</f>
        <v>0</v>
      </c>
      <c r="CK296" s="549">
        <f>-CK288*CK294/4</f>
        <v>0</v>
      </c>
      <c r="CL296" s="565"/>
      <c r="CM296" s="549">
        <f>-CM288*CM294/4</f>
        <v>0</v>
      </c>
      <c r="CN296" s="549">
        <f>-CN288*CN294/4</f>
        <v>0</v>
      </c>
      <c r="CO296" s="549">
        <f>-CO288*CO294/4</f>
        <v>0</v>
      </c>
      <c r="CP296" s="549">
        <f>-CP288*CP294/4</f>
        <v>0</v>
      </c>
      <c r="CQ296" s="565"/>
      <c r="CR296" s="549">
        <f>-CR288*CR294/4</f>
        <v>0</v>
      </c>
      <c r="CS296" s="549">
        <f>-CS288*CS294/4</f>
        <v>0</v>
      </c>
      <c r="CT296" s="549">
        <f>-CT288*CT294/4</f>
        <v>0</v>
      </c>
      <c r="CU296" s="549">
        <f>-CU288*CU294/4</f>
        <v>0</v>
      </c>
      <c r="CV296" s="565"/>
      <c r="CW296" s="549">
        <f>-CW288*CW294/4</f>
        <v>0</v>
      </c>
      <c r="CX296" s="549">
        <f>-CX288*CX294/4</f>
        <v>0</v>
      </c>
      <c r="CY296" s="549">
        <f>-CY288*CY294/4</f>
        <v>0</v>
      </c>
      <c r="CZ296" s="549">
        <f>-CZ288*CZ294/4</f>
        <v>0</v>
      </c>
      <c r="DA296" s="565"/>
      <c r="DB296" s="549">
        <f>-DB288*DB294/4</f>
        <v>0</v>
      </c>
      <c r="DC296" s="549">
        <f>-DC288*DC294/4</f>
        <v>0</v>
      </c>
      <c r="DD296" s="549">
        <f>-DD288*DD294/4</f>
        <v>0</v>
      </c>
      <c r="DE296" s="549">
        <f>-DE288*DE294/4</f>
        <v>0</v>
      </c>
      <c r="DF296" s="565"/>
    </row>
    <row r="297" spans="2:110" ht="12" thickBot="1" x14ac:dyDescent="0.25">
      <c r="B297" s="355"/>
      <c r="C297" s="145"/>
      <c r="D297" s="145"/>
      <c r="E297" s="145"/>
      <c r="F297" s="145"/>
      <c r="G297" s="145"/>
      <c r="H297" s="145"/>
      <c r="I297" s="145"/>
      <c r="J297" s="145"/>
      <c r="K297" s="145"/>
      <c r="L297" s="145"/>
      <c r="M297" s="145"/>
      <c r="N297" s="145"/>
      <c r="O297" s="145"/>
      <c r="P297" s="145"/>
      <c r="Q297" s="145"/>
      <c r="R297" s="145"/>
      <c r="S297" s="346"/>
      <c r="T297" s="346"/>
      <c r="U297" s="346"/>
      <c r="V297" s="326"/>
      <c r="W297" s="326"/>
      <c r="X297" s="326"/>
      <c r="Y297" s="346"/>
      <c r="Z297" s="346"/>
      <c r="AA297" s="346"/>
      <c r="AB297" s="346"/>
      <c r="AC297" s="346"/>
      <c r="AD297" s="346"/>
      <c r="AE297" s="346"/>
      <c r="AF297" s="346"/>
      <c r="AG297" s="346"/>
      <c r="AH297" s="346"/>
      <c r="AI297" s="346"/>
      <c r="AJ297" s="346"/>
      <c r="AK297" s="346"/>
      <c r="AL297" s="346"/>
      <c r="AM297" s="346"/>
      <c r="AN297" s="346"/>
      <c r="AO297" s="346"/>
      <c r="AP297" s="346"/>
      <c r="AQ297" s="346"/>
      <c r="AR297" s="346"/>
      <c r="AS297" s="346"/>
      <c r="AT297" s="346"/>
      <c r="AU297" s="346"/>
      <c r="AV297" s="346"/>
      <c r="AW297" s="346"/>
      <c r="AX297" s="346"/>
      <c r="AY297" s="346"/>
      <c r="AZ297" s="346"/>
      <c r="BA297" s="346"/>
      <c r="BB297" s="346"/>
      <c r="BC297" s="346"/>
      <c r="BD297" s="346"/>
      <c r="BE297" s="346"/>
      <c r="BF297" s="346"/>
      <c r="BG297" s="346"/>
      <c r="BH297" s="346"/>
      <c r="BI297" s="346"/>
      <c r="BJ297" s="346"/>
      <c r="BK297" s="346"/>
      <c r="BL297" s="346"/>
      <c r="BM297" s="346"/>
      <c r="BN297" s="346"/>
      <c r="BO297" s="346"/>
      <c r="BP297" s="346"/>
      <c r="BQ297" s="346"/>
      <c r="BR297" s="346"/>
      <c r="BS297" s="346"/>
      <c r="BT297" s="346"/>
      <c r="BU297" s="346"/>
      <c r="BV297" s="346"/>
      <c r="BW297" s="346"/>
      <c r="BX297" s="346"/>
      <c r="BY297" s="346"/>
      <c r="BZ297" s="346"/>
      <c r="CA297" s="346"/>
      <c r="CB297" s="346"/>
      <c r="CC297" s="346"/>
      <c r="CD297" s="346"/>
      <c r="CE297" s="346"/>
      <c r="CF297" s="346"/>
      <c r="CG297" s="346"/>
      <c r="CH297" s="346"/>
      <c r="CI297" s="346"/>
      <c r="CJ297" s="346"/>
      <c r="CK297" s="346"/>
      <c r="CL297" s="346"/>
      <c r="CM297" s="346"/>
      <c r="CN297" s="346"/>
      <c r="CO297" s="346"/>
      <c r="CP297" s="346"/>
      <c r="CQ297" s="346"/>
      <c r="CR297" s="346"/>
      <c r="CS297" s="346"/>
      <c r="CT297" s="346"/>
      <c r="CU297" s="346"/>
      <c r="CV297" s="346"/>
      <c r="CW297" s="346"/>
      <c r="CX297" s="346"/>
      <c r="CY297" s="346"/>
      <c r="CZ297" s="346"/>
      <c r="DA297" s="346"/>
      <c r="DB297" s="346"/>
      <c r="DC297" s="346"/>
      <c r="DD297" s="346"/>
      <c r="DE297" s="346"/>
      <c r="DF297" s="346"/>
    </row>
    <row r="298" spans="2:110" s="326" customFormat="1" ht="12" thickBot="1" x14ac:dyDescent="0.25">
      <c r="B298" s="981" t="s">
        <v>696</v>
      </c>
      <c r="C298" s="989"/>
      <c r="D298" s="989"/>
      <c r="E298" s="989"/>
      <c r="F298" s="989"/>
      <c r="G298" s="989"/>
      <c r="H298" s="989"/>
      <c r="I298" s="989"/>
      <c r="J298" s="989"/>
      <c r="K298" s="989"/>
      <c r="L298" s="989"/>
      <c r="M298" s="989"/>
      <c r="N298" s="989"/>
      <c r="O298" s="989"/>
      <c r="P298" s="989"/>
      <c r="Q298" s="989"/>
      <c r="R298" s="989"/>
      <c r="S298" s="990"/>
      <c r="T298" s="990"/>
      <c r="U298" s="990"/>
      <c r="V298" s="991"/>
      <c r="W298" s="991"/>
      <c r="X298" s="991"/>
      <c r="Y298" s="990"/>
      <c r="Z298" s="990"/>
      <c r="AA298" s="990"/>
      <c r="AB298" s="990"/>
      <c r="AC298" s="990"/>
      <c r="AD298" s="990"/>
      <c r="AE298" s="990"/>
      <c r="AF298" s="990"/>
      <c r="AG298" s="990"/>
      <c r="AH298" s="990"/>
      <c r="AI298" s="990"/>
      <c r="AJ298" s="990"/>
      <c r="AK298" s="990"/>
      <c r="AL298" s="990"/>
      <c r="AM298" s="990"/>
      <c r="AN298" s="990"/>
      <c r="AO298" s="990"/>
      <c r="AP298" s="990"/>
      <c r="AQ298" s="990"/>
      <c r="AR298" s="990"/>
      <c r="AS298" s="990"/>
      <c r="AT298" s="990"/>
      <c r="AU298" s="990"/>
      <c r="AV298" s="990"/>
      <c r="AW298" s="990"/>
      <c r="AX298" s="990"/>
      <c r="AY298" s="990"/>
      <c r="AZ298" s="990"/>
      <c r="BA298" s="990"/>
      <c r="BB298" s="990"/>
      <c r="BC298" s="990"/>
      <c r="BD298" s="990"/>
      <c r="BE298" s="990"/>
      <c r="BF298" s="990"/>
      <c r="BG298" s="990"/>
      <c r="BH298" s="990"/>
      <c r="BI298" s="990"/>
      <c r="BJ298" s="990"/>
      <c r="BK298" s="990"/>
      <c r="BL298" s="990"/>
      <c r="BM298" s="990"/>
      <c r="BN298" s="990"/>
      <c r="BO298" s="990"/>
      <c r="BP298" s="990"/>
      <c r="BQ298" s="990"/>
      <c r="BR298" s="990"/>
      <c r="BS298" s="990"/>
      <c r="BT298" s="990"/>
      <c r="BU298" s="990"/>
      <c r="BV298" s="990"/>
      <c r="BW298" s="990"/>
      <c r="BX298" s="990"/>
      <c r="BY298" s="990"/>
      <c r="BZ298" s="990"/>
      <c r="CA298" s="990"/>
      <c r="CB298" s="992"/>
      <c r="CC298" s="990"/>
      <c r="CD298" s="990"/>
      <c r="CE298" s="990"/>
      <c r="CF298" s="990"/>
      <c r="CG298" s="992"/>
      <c r="CH298" s="990"/>
      <c r="CI298" s="990"/>
      <c r="CJ298" s="990"/>
      <c r="CK298" s="990"/>
      <c r="CL298" s="992"/>
      <c r="CM298" s="990"/>
      <c r="CN298" s="990"/>
      <c r="CO298" s="990"/>
      <c r="CP298" s="990"/>
      <c r="CQ298" s="992"/>
      <c r="CR298" s="990"/>
      <c r="CS298" s="990"/>
      <c r="CT298" s="990"/>
      <c r="CU298" s="990"/>
      <c r="CV298" s="992"/>
      <c r="CW298" s="990"/>
      <c r="CX298" s="990"/>
      <c r="CY298" s="990"/>
      <c r="CZ298" s="990"/>
      <c r="DA298" s="992"/>
      <c r="DB298" s="990"/>
      <c r="DC298" s="990"/>
      <c r="DD298" s="990"/>
      <c r="DE298" s="990"/>
      <c r="DF298" s="992"/>
    </row>
    <row r="299" spans="2:110" x14ac:dyDescent="0.2">
      <c r="B299" s="591" t="s">
        <v>203</v>
      </c>
      <c r="C299" s="561"/>
      <c r="D299" s="561"/>
      <c r="E299" s="561"/>
      <c r="F299" s="561"/>
      <c r="G299" s="561"/>
      <c r="H299" s="561"/>
      <c r="I299" s="561"/>
      <c r="J299" s="561"/>
      <c r="K299" s="561"/>
      <c r="L299" s="561"/>
      <c r="M299" s="561"/>
      <c r="N299" s="561"/>
      <c r="O299" s="561"/>
      <c r="P299" s="561"/>
      <c r="Q299" s="561"/>
      <c r="R299" s="561"/>
      <c r="S299" s="531"/>
      <c r="T299" s="531"/>
      <c r="U299" s="531"/>
      <c r="V299" s="577"/>
      <c r="W299" s="577"/>
      <c r="X299" s="577"/>
      <c r="Y299" s="532"/>
      <c r="Z299" s="531"/>
      <c r="AA299" s="531"/>
      <c r="AB299" s="531"/>
      <c r="AC299" s="531"/>
      <c r="AD299" s="532"/>
      <c r="AE299" s="531"/>
      <c r="AF299" s="531"/>
      <c r="AG299" s="531"/>
      <c r="AH299" s="531"/>
      <c r="AI299" s="532"/>
      <c r="AJ299" s="531"/>
      <c r="AK299" s="531"/>
      <c r="AL299" s="531"/>
      <c r="AM299" s="531"/>
      <c r="AN299" s="532"/>
      <c r="AO299" s="531"/>
      <c r="AP299" s="531"/>
      <c r="AQ299" s="531"/>
      <c r="AR299" s="531"/>
      <c r="AS299" s="532"/>
      <c r="AT299" s="531"/>
      <c r="AU299" s="588"/>
      <c r="AV299" s="54"/>
      <c r="AW299" s="54"/>
      <c r="AX299" s="532"/>
      <c r="AY299" s="54"/>
      <c r="AZ299" s="54"/>
      <c r="BA299" s="54"/>
      <c r="BB299" s="54"/>
      <c r="BC299" s="532"/>
      <c r="BD299" s="54"/>
      <c r="BE299" s="588"/>
      <c r="BF299" s="54"/>
      <c r="BG299" s="54"/>
      <c r="BH299" s="532"/>
      <c r="BI299" s="54"/>
      <c r="BJ299" s="54"/>
      <c r="BK299" s="54"/>
      <c r="BL299" s="54"/>
      <c r="BM299" s="532"/>
      <c r="BN299" s="54"/>
      <c r="BO299" s="54"/>
      <c r="BP299" s="54"/>
      <c r="BQ299" s="54"/>
      <c r="BR299" s="532"/>
      <c r="BS299" s="54"/>
      <c r="BT299" s="54"/>
      <c r="BU299" s="54"/>
      <c r="BV299" s="54"/>
      <c r="BW299" s="532"/>
      <c r="BX299" s="54"/>
      <c r="BY299" s="54"/>
      <c r="BZ299" s="54"/>
      <c r="CA299" s="54"/>
      <c r="CB299" s="562"/>
      <c r="CC299" s="54">
        <f>CA299</f>
        <v>0</v>
      </c>
      <c r="CD299" s="54">
        <f t="shared" ref="CD299:CD301" si="480">CC299</f>
        <v>0</v>
      </c>
      <c r="CE299" s="54">
        <f t="shared" ref="CE299:CE301" si="481">CD299</f>
        <v>0</v>
      </c>
      <c r="CF299" s="54">
        <f t="shared" ref="CF299:CF301" si="482">CE299</f>
        <v>0</v>
      </c>
      <c r="CG299" s="562"/>
      <c r="CH299" s="54">
        <f>CF299</f>
        <v>0</v>
      </c>
      <c r="CI299" s="54">
        <f t="shared" ref="CI299:CI301" si="483">CH299</f>
        <v>0</v>
      </c>
      <c r="CJ299" s="54">
        <f t="shared" ref="CJ299:CJ301" si="484">CI299</f>
        <v>0</v>
      </c>
      <c r="CK299" s="54">
        <f t="shared" ref="CK299:CK301" si="485">CJ299</f>
        <v>0</v>
      </c>
      <c r="CL299" s="562"/>
      <c r="CM299" s="54">
        <f>CK299</f>
        <v>0</v>
      </c>
      <c r="CN299" s="54">
        <f t="shared" ref="CN299:CN301" si="486">CM299</f>
        <v>0</v>
      </c>
      <c r="CO299" s="54">
        <f t="shared" ref="CO299:CO301" si="487">CN299</f>
        <v>0</v>
      </c>
      <c r="CP299" s="54">
        <f t="shared" ref="CP299:CP301" si="488">CO299</f>
        <v>0</v>
      </c>
      <c r="CQ299" s="562"/>
      <c r="CR299" s="54">
        <f>CP299</f>
        <v>0</v>
      </c>
      <c r="CS299" s="54">
        <f t="shared" ref="CS299:CS301" si="489">CR299</f>
        <v>0</v>
      </c>
      <c r="CT299" s="54">
        <f t="shared" ref="CT299:CT301" si="490">CS299</f>
        <v>0</v>
      </c>
      <c r="CU299" s="54">
        <f t="shared" ref="CU299:CU301" si="491">CT299</f>
        <v>0</v>
      </c>
      <c r="CV299" s="562"/>
      <c r="CW299" s="54">
        <f>CU299</f>
        <v>0</v>
      </c>
      <c r="CX299" s="54">
        <f t="shared" ref="CX299:CX301" si="492">CW299</f>
        <v>0</v>
      </c>
      <c r="CY299" s="54">
        <f t="shared" ref="CY299:CY301" si="493">CX299</f>
        <v>0</v>
      </c>
      <c r="CZ299" s="54">
        <f t="shared" ref="CZ299:CZ301" si="494">CY299</f>
        <v>0</v>
      </c>
      <c r="DA299" s="562"/>
      <c r="DB299" s="54">
        <f>CZ299</f>
        <v>0</v>
      </c>
      <c r="DC299" s="54">
        <f t="shared" ref="DC299:DC301" si="495">DB299</f>
        <v>0</v>
      </c>
      <c r="DD299" s="54">
        <f t="shared" ref="DD299:DD301" si="496">DC299</f>
        <v>0</v>
      </c>
      <c r="DE299" s="54">
        <f t="shared" ref="DE299:DE301" si="497">DD299</f>
        <v>0</v>
      </c>
      <c r="DF299" s="562"/>
    </row>
    <row r="300" spans="2:110" x14ac:dyDescent="0.2">
      <c r="B300" s="578" t="s">
        <v>204</v>
      </c>
      <c r="C300" s="145"/>
      <c r="D300" s="145"/>
      <c r="E300" s="145"/>
      <c r="F300" s="145"/>
      <c r="G300" s="145"/>
      <c r="H300" s="145"/>
      <c r="I300" s="145"/>
      <c r="J300" s="145"/>
      <c r="K300" s="145"/>
      <c r="L300" s="145"/>
      <c r="M300" s="145"/>
      <c r="N300" s="145"/>
      <c r="O300" s="145"/>
      <c r="P300" s="145"/>
      <c r="Q300" s="145"/>
      <c r="R300" s="145"/>
      <c r="S300" s="346"/>
      <c r="T300" s="346"/>
      <c r="U300" s="346"/>
      <c r="V300" s="326"/>
      <c r="W300" s="326"/>
      <c r="X300" s="326"/>
      <c r="Y300" s="340"/>
      <c r="Z300" s="346"/>
      <c r="AA300" s="346"/>
      <c r="AB300" s="346"/>
      <c r="AC300" s="346"/>
      <c r="AD300" s="340"/>
      <c r="AE300" s="346"/>
      <c r="AF300" s="346"/>
      <c r="AG300" s="346"/>
      <c r="AH300" s="346"/>
      <c r="AI300" s="340"/>
      <c r="AJ300" s="346"/>
      <c r="AK300" s="346"/>
      <c r="AL300" s="346"/>
      <c r="AM300" s="346"/>
      <c r="AN300" s="340"/>
      <c r="AO300" s="346"/>
      <c r="AP300" s="346"/>
      <c r="AQ300" s="346"/>
      <c r="AR300" s="346"/>
      <c r="AS300" s="340"/>
      <c r="AT300" s="346"/>
      <c r="AU300" s="267"/>
      <c r="AV300" s="146"/>
      <c r="AW300" s="146"/>
      <c r="AX300" s="340"/>
      <c r="AY300" s="146"/>
      <c r="AZ300" s="146"/>
      <c r="BA300" s="146"/>
      <c r="BB300" s="146"/>
      <c r="BC300" s="340"/>
      <c r="BD300" s="146"/>
      <c r="BE300" s="267"/>
      <c r="BF300" s="146"/>
      <c r="BG300" s="146"/>
      <c r="BH300" s="340"/>
      <c r="BI300" s="146"/>
      <c r="BJ300" s="146"/>
      <c r="BK300" s="146"/>
      <c r="BL300" s="146"/>
      <c r="BM300" s="340"/>
      <c r="BN300" s="146"/>
      <c r="BO300" s="146"/>
      <c r="BP300" s="146"/>
      <c r="BQ300" s="146"/>
      <c r="BR300" s="340"/>
      <c r="BS300" s="146"/>
      <c r="BT300" s="146"/>
      <c r="BU300" s="146"/>
      <c r="BV300" s="146"/>
      <c r="BW300" s="340"/>
      <c r="BX300" s="146"/>
      <c r="BY300" s="146"/>
      <c r="BZ300" s="146"/>
      <c r="CA300" s="146"/>
      <c r="CB300" s="563"/>
      <c r="CC300" s="146">
        <f>CA300</f>
        <v>0</v>
      </c>
      <c r="CD300" s="146">
        <f t="shared" si="480"/>
        <v>0</v>
      </c>
      <c r="CE300" s="146">
        <v>0.03</v>
      </c>
      <c r="CF300" s="146">
        <f t="shared" si="482"/>
        <v>0.03</v>
      </c>
      <c r="CG300" s="563"/>
      <c r="CH300" s="146">
        <f>CF300</f>
        <v>0.03</v>
      </c>
      <c r="CI300" s="146">
        <f t="shared" si="483"/>
        <v>0.03</v>
      </c>
      <c r="CJ300" s="146">
        <f t="shared" si="484"/>
        <v>0.03</v>
      </c>
      <c r="CK300" s="146">
        <f t="shared" si="485"/>
        <v>0.03</v>
      </c>
      <c r="CL300" s="563"/>
      <c r="CM300" s="146">
        <f>CK300</f>
        <v>0.03</v>
      </c>
      <c r="CN300" s="146">
        <f t="shared" si="486"/>
        <v>0.03</v>
      </c>
      <c r="CO300" s="146">
        <f t="shared" si="487"/>
        <v>0.03</v>
      </c>
      <c r="CP300" s="146">
        <f t="shared" si="488"/>
        <v>0.03</v>
      </c>
      <c r="CQ300" s="563"/>
      <c r="CR300" s="146">
        <f>CP300</f>
        <v>0.03</v>
      </c>
      <c r="CS300" s="146">
        <f t="shared" si="489"/>
        <v>0.03</v>
      </c>
      <c r="CT300" s="146">
        <f t="shared" si="490"/>
        <v>0.03</v>
      </c>
      <c r="CU300" s="146">
        <f t="shared" si="491"/>
        <v>0.03</v>
      </c>
      <c r="CV300" s="563"/>
      <c r="CW300" s="146">
        <f>CU300</f>
        <v>0.03</v>
      </c>
      <c r="CX300" s="146">
        <f t="shared" si="492"/>
        <v>0.03</v>
      </c>
      <c r="CY300" s="146">
        <f t="shared" si="493"/>
        <v>0.03</v>
      </c>
      <c r="CZ300" s="146">
        <f t="shared" si="494"/>
        <v>0.03</v>
      </c>
      <c r="DA300" s="563"/>
      <c r="DB300" s="146">
        <f>CZ300</f>
        <v>0.03</v>
      </c>
      <c r="DC300" s="146">
        <f t="shared" si="495"/>
        <v>0.03</v>
      </c>
      <c r="DD300" s="146">
        <f t="shared" si="496"/>
        <v>0.03</v>
      </c>
      <c r="DE300" s="146">
        <f t="shared" si="497"/>
        <v>0.03</v>
      </c>
      <c r="DF300" s="563"/>
    </row>
    <row r="301" spans="2:110" x14ac:dyDescent="0.2">
      <c r="B301" s="536" t="s">
        <v>197</v>
      </c>
      <c r="C301" s="145"/>
      <c r="D301" s="145"/>
      <c r="E301" s="145"/>
      <c r="F301" s="145"/>
      <c r="G301" s="145"/>
      <c r="H301" s="145"/>
      <c r="I301" s="145"/>
      <c r="J301" s="145"/>
      <c r="K301" s="145"/>
      <c r="L301" s="145"/>
      <c r="M301" s="145"/>
      <c r="N301" s="145"/>
      <c r="O301" s="145"/>
      <c r="P301" s="145"/>
      <c r="Q301" s="145"/>
      <c r="R301" s="145"/>
      <c r="S301" s="346"/>
      <c r="T301" s="346"/>
      <c r="U301" s="346"/>
      <c r="V301" s="326"/>
      <c r="W301" s="326"/>
      <c r="X301" s="326"/>
      <c r="Y301" s="340"/>
      <c r="Z301" s="346"/>
      <c r="AA301" s="346"/>
      <c r="AB301" s="346"/>
      <c r="AC301" s="346"/>
      <c r="AD301" s="340"/>
      <c r="AE301" s="346"/>
      <c r="AF301" s="346"/>
      <c r="AG301" s="346"/>
      <c r="AH301" s="346"/>
      <c r="AI301" s="340"/>
      <c r="AJ301" s="346"/>
      <c r="AK301" s="346"/>
      <c r="AL301" s="346"/>
      <c r="AM301" s="346"/>
      <c r="AN301" s="340"/>
      <c r="AO301" s="346"/>
      <c r="AP301" s="346"/>
      <c r="AQ301" s="346"/>
      <c r="AR301" s="346"/>
      <c r="AS301" s="340"/>
      <c r="AT301" s="346"/>
      <c r="AU301" s="623"/>
      <c r="AV301" s="625"/>
      <c r="AW301" s="625"/>
      <c r="AX301" s="340"/>
      <c r="AY301" s="346"/>
      <c r="AZ301" s="346"/>
      <c r="BA301" s="346"/>
      <c r="BB301" s="346"/>
      <c r="BC301" s="340"/>
      <c r="BD301" s="346"/>
      <c r="BE301" s="623"/>
      <c r="BF301" s="346"/>
      <c r="BG301" s="346"/>
      <c r="BH301" s="340"/>
      <c r="BI301" s="346"/>
      <c r="BJ301" s="346"/>
      <c r="BK301" s="346"/>
      <c r="BL301" s="346"/>
      <c r="BM301" s="340"/>
      <c r="BN301" s="346"/>
      <c r="BO301" s="346"/>
      <c r="BP301" s="346"/>
      <c r="BQ301" s="346"/>
      <c r="BR301" s="340"/>
      <c r="BS301" s="346"/>
      <c r="BT301" s="346"/>
      <c r="BU301" s="346"/>
      <c r="BV301" s="346"/>
      <c r="BW301" s="340"/>
      <c r="BX301" s="346"/>
      <c r="BY301" s="346"/>
      <c r="BZ301" s="346"/>
      <c r="CA301" s="346"/>
      <c r="CB301" s="563"/>
      <c r="CC301" s="346">
        <f>CA301</f>
        <v>0</v>
      </c>
      <c r="CD301" s="346">
        <f t="shared" si="480"/>
        <v>0</v>
      </c>
      <c r="CE301" s="346">
        <f t="shared" si="481"/>
        <v>0</v>
      </c>
      <c r="CF301" s="346">
        <f t="shared" si="482"/>
        <v>0</v>
      </c>
      <c r="CG301" s="563"/>
      <c r="CH301" s="346">
        <f>CF301</f>
        <v>0</v>
      </c>
      <c r="CI301" s="346">
        <f t="shared" si="483"/>
        <v>0</v>
      </c>
      <c r="CJ301" s="346">
        <f t="shared" si="484"/>
        <v>0</v>
      </c>
      <c r="CK301" s="346">
        <f t="shared" si="485"/>
        <v>0</v>
      </c>
      <c r="CL301" s="563"/>
      <c r="CM301" s="346">
        <f>CK301</f>
        <v>0</v>
      </c>
      <c r="CN301" s="346">
        <f t="shared" si="486"/>
        <v>0</v>
      </c>
      <c r="CO301" s="346">
        <f t="shared" si="487"/>
        <v>0</v>
      </c>
      <c r="CP301" s="346">
        <f t="shared" si="488"/>
        <v>0</v>
      </c>
      <c r="CQ301" s="563"/>
      <c r="CR301" s="346">
        <f>CP301</f>
        <v>0</v>
      </c>
      <c r="CS301" s="346">
        <f t="shared" si="489"/>
        <v>0</v>
      </c>
      <c r="CT301" s="346">
        <f t="shared" si="490"/>
        <v>0</v>
      </c>
      <c r="CU301" s="346">
        <f t="shared" si="491"/>
        <v>0</v>
      </c>
      <c r="CV301" s="563"/>
      <c r="CW301" s="346">
        <f>CU301</f>
        <v>0</v>
      </c>
      <c r="CX301" s="346">
        <f t="shared" si="492"/>
        <v>0</v>
      </c>
      <c r="CY301" s="346">
        <f t="shared" si="493"/>
        <v>0</v>
      </c>
      <c r="CZ301" s="346">
        <f t="shared" si="494"/>
        <v>0</v>
      </c>
      <c r="DA301" s="563"/>
      <c r="DB301" s="346">
        <f>CZ301</f>
        <v>0</v>
      </c>
      <c r="DC301" s="346">
        <f t="shared" si="495"/>
        <v>0</v>
      </c>
      <c r="DD301" s="346">
        <f t="shared" si="496"/>
        <v>0</v>
      </c>
      <c r="DE301" s="346">
        <f t="shared" si="497"/>
        <v>0</v>
      </c>
      <c r="DF301" s="563"/>
    </row>
    <row r="302" spans="2:110" x14ac:dyDescent="0.2">
      <c r="B302" s="544" t="s">
        <v>198</v>
      </c>
      <c r="C302" s="145"/>
      <c r="D302" s="145"/>
      <c r="E302" s="145"/>
      <c r="F302" s="145"/>
      <c r="G302" s="145"/>
      <c r="H302" s="145"/>
      <c r="I302" s="145"/>
      <c r="J302" s="145"/>
      <c r="K302" s="145"/>
      <c r="L302" s="145"/>
      <c r="M302" s="145"/>
      <c r="N302" s="145"/>
      <c r="O302" s="145"/>
      <c r="P302" s="145"/>
      <c r="Q302" s="145"/>
      <c r="R302" s="145"/>
      <c r="S302" s="346"/>
      <c r="T302" s="346"/>
      <c r="U302" s="346"/>
      <c r="V302" s="326"/>
      <c r="W302" s="326"/>
      <c r="X302" s="326"/>
      <c r="Y302" s="340"/>
      <c r="Z302" s="346"/>
      <c r="AA302" s="346"/>
      <c r="AB302" s="346"/>
      <c r="AC302" s="346"/>
      <c r="AD302" s="340"/>
      <c r="AE302" s="346"/>
      <c r="AF302" s="346"/>
      <c r="AG302" s="346"/>
      <c r="AH302" s="346"/>
      <c r="AI302" s="340"/>
      <c r="AJ302" s="346"/>
      <c r="AK302" s="346"/>
      <c r="AL302" s="346"/>
      <c r="AM302" s="346"/>
      <c r="AN302" s="340"/>
      <c r="AO302" s="346"/>
      <c r="AP302" s="346"/>
      <c r="AQ302" s="346"/>
      <c r="AR302" s="346"/>
      <c r="AS302" s="340"/>
      <c r="AT302" s="346"/>
      <c r="AU302" s="623"/>
      <c r="AV302" s="625"/>
      <c r="AW302" s="625"/>
      <c r="AX302" s="340"/>
      <c r="AY302" s="346"/>
      <c r="AZ302" s="346"/>
      <c r="BA302" s="346"/>
      <c r="BB302" s="346"/>
      <c r="BC302" s="340"/>
      <c r="BD302" s="346"/>
      <c r="BE302" s="346"/>
      <c r="BF302" s="346"/>
      <c r="BG302" s="346"/>
      <c r="BH302" s="340"/>
      <c r="BI302" s="346"/>
      <c r="BJ302" s="346"/>
      <c r="BK302" s="346"/>
      <c r="BL302" s="346"/>
      <c r="BM302" s="340"/>
      <c r="BN302" s="346"/>
      <c r="BO302" s="346"/>
      <c r="BP302" s="346"/>
      <c r="BQ302" s="346"/>
      <c r="BR302" s="340"/>
      <c r="BS302" s="346"/>
      <c r="BT302" s="346"/>
      <c r="BU302" s="346"/>
      <c r="BV302" s="346"/>
      <c r="BW302" s="340"/>
      <c r="BX302" s="346"/>
      <c r="BY302" s="346"/>
      <c r="BZ302" s="346"/>
      <c r="CA302" s="346"/>
      <c r="CB302" s="563"/>
      <c r="CC302" s="346">
        <f>CA304</f>
        <v>0</v>
      </c>
      <c r="CD302" s="346">
        <f>CC304</f>
        <v>0</v>
      </c>
      <c r="CE302" s="346">
        <v>0</v>
      </c>
      <c r="CF302" s="346">
        <f>CE304</f>
        <v>992.1</v>
      </c>
      <c r="CG302" s="563"/>
      <c r="CH302" s="346">
        <f>CF304</f>
        <v>992.5</v>
      </c>
      <c r="CI302" s="346">
        <f>CH304</f>
        <v>992.5</v>
      </c>
      <c r="CJ302" s="346">
        <f>CI304</f>
        <v>992.5</v>
      </c>
      <c r="CK302" s="346">
        <f>CJ304</f>
        <v>992.5</v>
      </c>
      <c r="CL302" s="563"/>
      <c r="CM302" s="346">
        <f>CK304</f>
        <v>992.5</v>
      </c>
      <c r="CN302" s="346">
        <f>CM304</f>
        <v>992.5</v>
      </c>
      <c r="CO302" s="346">
        <f>CN304</f>
        <v>992.5</v>
      </c>
      <c r="CP302" s="346">
        <f>CO304</f>
        <v>992.5</v>
      </c>
      <c r="CQ302" s="563"/>
      <c r="CR302" s="346">
        <f>CP304</f>
        <v>992.5</v>
      </c>
      <c r="CS302" s="346">
        <f>CR304</f>
        <v>992.5</v>
      </c>
      <c r="CT302" s="346">
        <f>CS304</f>
        <v>992.5</v>
      </c>
      <c r="CU302" s="346">
        <f>CT304</f>
        <v>992.5</v>
      </c>
      <c r="CV302" s="563"/>
      <c r="CW302" s="346">
        <f>CU304</f>
        <v>992.5</v>
      </c>
      <c r="CX302" s="346">
        <f>CW304</f>
        <v>992.5</v>
      </c>
      <c r="CY302" s="346">
        <f>CX304</f>
        <v>992.5</v>
      </c>
      <c r="CZ302" s="346">
        <f>CY304</f>
        <v>992.5</v>
      </c>
      <c r="DA302" s="563"/>
      <c r="DB302" s="346">
        <f>CZ304</f>
        <v>992.5</v>
      </c>
      <c r="DC302" s="346">
        <f>DB304</f>
        <v>992.5</v>
      </c>
      <c r="DD302" s="346">
        <f>DC304</f>
        <v>992.5</v>
      </c>
      <c r="DE302" s="346">
        <f>DD304</f>
        <v>992.5</v>
      </c>
      <c r="DF302" s="563"/>
    </row>
    <row r="303" spans="2:110" x14ac:dyDescent="0.2">
      <c r="B303" s="589" t="s">
        <v>199</v>
      </c>
      <c r="C303" s="359"/>
      <c r="D303" s="359"/>
      <c r="E303" s="359"/>
      <c r="F303" s="359"/>
      <c r="G303" s="359"/>
      <c r="H303" s="359"/>
      <c r="I303" s="359"/>
      <c r="J303" s="359"/>
      <c r="K303" s="359"/>
      <c r="L303" s="359"/>
      <c r="M303" s="359"/>
      <c r="N303" s="359"/>
      <c r="O303" s="359"/>
      <c r="P303" s="359"/>
      <c r="Q303" s="359"/>
      <c r="R303" s="359"/>
      <c r="S303" s="347"/>
      <c r="T303" s="347"/>
      <c r="U303" s="347"/>
      <c r="V303" s="377"/>
      <c r="W303" s="377"/>
      <c r="X303" s="377"/>
      <c r="Y303" s="343"/>
      <c r="Z303" s="347"/>
      <c r="AA303" s="347"/>
      <c r="AB303" s="347"/>
      <c r="AC303" s="347"/>
      <c r="AD303" s="343"/>
      <c r="AE303" s="347"/>
      <c r="AF303" s="347"/>
      <c r="AG303" s="347"/>
      <c r="AH303" s="347"/>
      <c r="AI303" s="343"/>
      <c r="AJ303" s="347"/>
      <c r="AK303" s="347"/>
      <c r="AL303" s="347"/>
      <c r="AM303" s="347"/>
      <c r="AN303" s="343"/>
      <c r="AO303" s="347"/>
      <c r="AP303" s="347"/>
      <c r="AQ303" s="347"/>
      <c r="AR303" s="347"/>
      <c r="AS303" s="343"/>
      <c r="AT303" s="347"/>
      <c r="AU303" s="629"/>
      <c r="AV303" s="642"/>
      <c r="AW303" s="629"/>
      <c r="AX303" s="343"/>
      <c r="AY303" s="347"/>
      <c r="AZ303" s="347"/>
      <c r="BA303" s="347"/>
      <c r="BB303" s="347"/>
      <c r="BC303" s="343"/>
      <c r="BD303" s="347"/>
      <c r="BE303" s="629"/>
      <c r="BF303" s="347"/>
      <c r="BG303" s="347"/>
      <c r="BH303" s="343"/>
      <c r="BI303" s="347"/>
      <c r="BJ303" s="347"/>
      <c r="BK303" s="347"/>
      <c r="BL303" s="348"/>
      <c r="BM303" s="343"/>
      <c r="BN303" s="348"/>
      <c r="BO303" s="347"/>
      <c r="BP303" s="347"/>
      <c r="BQ303" s="347"/>
      <c r="BR303" s="343"/>
      <c r="BS303" s="347"/>
      <c r="BT303" s="347"/>
      <c r="BU303" s="347"/>
      <c r="BV303" s="347"/>
      <c r="BW303" s="343"/>
      <c r="BX303" s="347"/>
      <c r="BY303" s="347"/>
      <c r="BZ303" s="347"/>
      <c r="CA303" s="347"/>
      <c r="CB303" s="585"/>
      <c r="CC303" s="347">
        <f>CA303</f>
        <v>0</v>
      </c>
      <c r="CD303" s="347">
        <f>CC303</f>
        <v>0</v>
      </c>
      <c r="CE303" s="347">
        <v>992.1</v>
      </c>
      <c r="CF303" s="347">
        <v>0.4</v>
      </c>
      <c r="CG303" s="585"/>
      <c r="CH303" s="347">
        <v>0</v>
      </c>
      <c r="CI303" s="347">
        <f>CH303</f>
        <v>0</v>
      </c>
      <c r="CJ303" s="347">
        <f>CI303</f>
        <v>0</v>
      </c>
      <c r="CK303" s="347">
        <f>CJ303</f>
        <v>0</v>
      </c>
      <c r="CL303" s="585"/>
      <c r="CM303" s="347">
        <f>CK303</f>
        <v>0</v>
      </c>
      <c r="CN303" s="347">
        <f>CM303</f>
        <v>0</v>
      </c>
      <c r="CO303" s="347">
        <f>CN303</f>
        <v>0</v>
      </c>
      <c r="CP303" s="347">
        <f>CO303</f>
        <v>0</v>
      </c>
      <c r="CQ303" s="585"/>
      <c r="CR303" s="347">
        <f>CP303</f>
        <v>0</v>
      </c>
      <c r="CS303" s="347">
        <f>CR303</f>
        <v>0</v>
      </c>
      <c r="CT303" s="347">
        <f>CS303</f>
        <v>0</v>
      </c>
      <c r="CU303" s="347">
        <f>CT303</f>
        <v>0</v>
      </c>
      <c r="CV303" s="585"/>
      <c r="CW303" s="347">
        <f>CU303</f>
        <v>0</v>
      </c>
      <c r="CX303" s="347">
        <f>CW303</f>
        <v>0</v>
      </c>
      <c r="CY303" s="347">
        <f>CX303</f>
        <v>0</v>
      </c>
      <c r="CZ303" s="347">
        <f>CY303</f>
        <v>0</v>
      </c>
      <c r="DA303" s="585"/>
      <c r="DB303" s="347">
        <f>CZ303</f>
        <v>0</v>
      </c>
      <c r="DC303" s="347">
        <f>DB303</f>
        <v>0</v>
      </c>
      <c r="DD303" s="347">
        <f>DC303</f>
        <v>0</v>
      </c>
      <c r="DE303" s="347">
        <f>DD303</f>
        <v>0</v>
      </c>
      <c r="DF303" s="585"/>
    </row>
    <row r="304" spans="2:110" x14ac:dyDescent="0.2">
      <c r="B304" s="544" t="s">
        <v>200</v>
      </c>
      <c r="C304" s="145"/>
      <c r="D304" s="145"/>
      <c r="E304" s="145"/>
      <c r="F304" s="145"/>
      <c r="G304" s="145"/>
      <c r="H304" s="145"/>
      <c r="I304" s="145"/>
      <c r="J304" s="145"/>
      <c r="K304" s="145"/>
      <c r="L304" s="145"/>
      <c r="M304" s="145"/>
      <c r="N304" s="145"/>
      <c r="O304" s="145"/>
      <c r="P304" s="145"/>
      <c r="Q304" s="145"/>
      <c r="R304" s="145"/>
      <c r="S304" s="346"/>
      <c r="T304" s="346"/>
      <c r="U304" s="346"/>
      <c r="V304" s="326"/>
      <c r="W304" s="326"/>
      <c r="X304" s="326"/>
      <c r="Y304" s="340"/>
      <c r="Z304" s="346"/>
      <c r="AA304" s="346"/>
      <c r="AB304" s="346"/>
      <c r="AC304" s="346"/>
      <c r="AD304" s="340"/>
      <c r="AE304" s="346"/>
      <c r="AF304" s="346"/>
      <c r="AG304" s="346"/>
      <c r="AH304" s="346"/>
      <c r="AI304" s="340"/>
      <c r="AJ304" s="346"/>
      <c r="AK304" s="346"/>
      <c r="AL304" s="346"/>
      <c r="AM304" s="346"/>
      <c r="AN304" s="340"/>
      <c r="AO304" s="346"/>
      <c r="AP304" s="346"/>
      <c r="AQ304" s="346"/>
      <c r="AR304" s="346"/>
      <c r="AS304" s="340"/>
      <c r="AT304" s="346"/>
      <c r="AU304" s="625"/>
      <c r="AV304" s="625"/>
      <c r="AW304" s="625"/>
      <c r="AX304" s="340"/>
      <c r="AY304" s="346"/>
      <c r="AZ304" s="346"/>
      <c r="BA304" s="346"/>
      <c r="BB304" s="346"/>
      <c r="BC304" s="340"/>
      <c r="BD304" s="346"/>
      <c r="BE304" s="625"/>
      <c r="BF304" s="346"/>
      <c r="BG304" s="346"/>
      <c r="BH304" s="340"/>
      <c r="BI304" s="346"/>
      <c r="BJ304" s="346"/>
      <c r="BK304" s="346"/>
      <c r="BL304" s="346"/>
      <c r="BM304" s="340"/>
      <c r="BN304" s="346"/>
      <c r="BO304" s="346"/>
      <c r="BP304" s="346"/>
      <c r="BQ304" s="346"/>
      <c r="BR304" s="340"/>
      <c r="BS304" s="354"/>
      <c r="BT304" s="354"/>
      <c r="BU304" s="354"/>
      <c r="BV304" s="346"/>
      <c r="BW304" s="340"/>
      <c r="BX304" s="346"/>
      <c r="BY304" s="346"/>
      <c r="BZ304" s="346"/>
      <c r="CA304" s="346"/>
      <c r="CB304" s="563"/>
      <c r="CC304" s="346">
        <f>CC302+CC303</f>
        <v>0</v>
      </c>
      <c r="CD304" s="346">
        <f>CD302+CD303</f>
        <v>0</v>
      </c>
      <c r="CE304" s="346">
        <f>CE302+CE303</f>
        <v>992.1</v>
      </c>
      <c r="CF304" s="346">
        <f>CF302+CF303</f>
        <v>992.5</v>
      </c>
      <c r="CG304" s="563"/>
      <c r="CH304" s="346">
        <f>CH302+CH303</f>
        <v>992.5</v>
      </c>
      <c r="CI304" s="346">
        <f>CI302+CI303</f>
        <v>992.5</v>
      </c>
      <c r="CJ304" s="346">
        <f>CJ302+CJ303</f>
        <v>992.5</v>
      </c>
      <c r="CK304" s="346">
        <f>CK302+CK303</f>
        <v>992.5</v>
      </c>
      <c r="CL304" s="563"/>
      <c r="CM304" s="346">
        <f>CM302+CM303</f>
        <v>992.5</v>
      </c>
      <c r="CN304" s="346">
        <f>CN302+CN303</f>
        <v>992.5</v>
      </c>
      <c r="CO304" s="346">
        <f>CO302+CO303</f>
        <v>992.5</v>
      </c>
      <c r="CP304" s="346">
        <f>CP302+CP303</f>
        <v>992.5</v>
      </c>
      <c r="CQ304" s="563"/>
      <c r="CR304" s="346">
        <f>CR302+CR303</f>
        <v>992.5</v>
      </c>
      <c r="CS304" s="346">
        <f>CS302+CS303</f>
        <v>992.5</v>
      </c>
      <c r="CT304" s="346">
        <f>CT302+CT303</f>
        <v>992.5</v>
      </c>
      <c r="CU304" s="346">
        <f>CU302+CU303</f>
        <v>992.5</v>
      </c>
      <c r="CV304" s="563"/>
      <c r="CW304" s="346">
        <f>CW302+CW303</f>
        <v>992.5</v>
      </c>
      <c r="CX304" s="346">
        <f>CX302+CX303</f>
        <v>992.5</v>
      </c>
      <c r="CY304" s="346">
        <f>CY302+CY303</f>
        <v>992.5</v>
      </c>
      <c r="CZ304" s="346">
        <f>CZ302+CZ303</f>
        <v>992.5</v>
      </c>
      <c r="DA304" s="563"/>
      <c r="DB304" s="346">
        <f>DB302+DB303</f>
        <v>992.5</v>
      </c>
      <c r="DC304" s="346">
        <f>DC302+DC303</f>
        <v>992.5</v>
      </c>
      <c r="DD304" s="346">
        <f>DD302+DD303</f>
        <v>992.5</v>
      </c>
      <c r="DE304" s="346">
        <f>DE302+DE303</f>
        <v>992.5</v>
      </c>
      <c r="DF304" s="563"/>
    </row>
    <row r="305" spans="2:110" x14ac:dyDescent="0.2">
      <c r="B305" s="536" t="s">
        <v>201</v>
      </c>
      <c r="C305" s="145"/>
      <c r="D305" s="145"/>
      <c r="E305" s="145"/>
      <c r="F305" s="145"/>
      <c r="G305" s="145"/>
      <c r="H305" s="145"/>
      <c r="I305" s="145"/>
      <c r="J305" s="145"/>
      <c r="K305" s="145"/>
      <c r="L305" s="145"/>
      <c r="M305" s="145"/>
      <c r="N305" s="145"/>
      <c r="O305" s="145"/>
      <c r="P305" s="145"/>
      <c r="Q305" s="145"/>
      <c r="R305" s="145"/>
      <c r="S305" s="346"/>
      <c r="T305" s="346"/>
      <c r="U305" s="346"/>
      <c r="V305" s="326"/>
      <c r="W305" s="326"/>
      <c r="X305" s="326"/>
      <c r="Y305" s="340"/>
      <c r="Z305" s="346"/>
      <c r="AA305" s="346"/>
      <c r="AB305" s="346"/>
      <c r="AC305" s="346"/>
      <c r="AD305" s="340"/>
      <c r="AE305" s="346"/>
      <c r="AF305" s="346"/>
      <c r="AG305" s="346"/>
      <c r="AH305" s="346"/>
      <c r="AI305" s="340"/>
      <c r="AJ305" s="346"/>
      <c r="AK305" s="346"/>
      <c r="AL305" s="346"/>
      <c r="AM305" s="346"/>
      <c r="AN305" s="340"/>
      <c r="AO305" s="346"/>
      <c r="AP305" s="346"/>
      <c r="AQ305" s="346"/>
      <c r="AR305" s="346"/>
      <c r="AS305" s="340"/>
      <c r="AT305" s="346"/>
      <c r="AU305" s="625"/>
      <c r="AV305" s="625"/>
      <c r="AW305" s="625"/>
      <c r="AX305" s="340"/>
      <c r="AY305" s="346"/>
      <c r="AZ305" s="346"/>
      <c r="BA305" s="346"/>
      <c r="BB305" s="346"/>
      <c r="BC305" s="340"/>
      <c r="BD305" s="346"/>
      <c r="BE305" s="625"/>
      <c r="BF305" s="346"/>
      <c r="BG305" s="346"/>
      <c r="BH305" s="340"/>
      <c r="BI305" s="346"/>
      <c r="BJ305" s="346"/>
      <c r="BK305" s="346"/>
      <c r="BL305" s="346"/>
      <c r="BM305" s="340"/>
      <c r="BN305" s="346"/>
      <c r="BO305" s="346"/>
      <c r="BP305" s="346"/>
      <c r="BQ305" s="346"/>
      <c r="BR305" s="340"/>
      <c r="BS305" s="346"/>
      <c r="BT305" s="346"/>
      <c r="BU305" s="346"/>
      <c r="BV305" s="346"/>
      <c r="BW305" s="340"/>
      <c r="BX305" s="346"/>
      <c r="BY305" s="346"/>
      <c r="BZ305" s="346"/>
      <c r="CA305" s="346"/>
      <c r="CB305" s="563"/>
      <c r="CC305" s="346">
        <f>CC301-CC304</f>
        <v>0</v>
      </c>
      <c r="CD305" s="346">
        <f>CD301-CD304</f>
        <v>0</v>
      </c>
      <c r="CE305" s="346">
        <f>CE301-CE304</f>
        <v>-992.1</v>
      </c>
      <c r="CF305" s="346">
        <f>CF301-CF304</f>
        <v>-992.5</v>
      </c>
      <c r="CG305" s="563"/>
      <c r="CH305" s="346">
        <f>CH301-CH304</f>
        <v>-992.5</v>
      </c>
      <c r="CI305" s="346">
        <f>CI301-CI304</f>
        <v>-992.5</v>
      </c>
      <c r="CJ305" s="346">
        <f>CJ301-CJ304</f>
        <v>-992.5</v>
      </c>
      <c r="CK305" s="346">
        <f>CK301-CK304</f>
        <v>-992.5</v>
      </c>
      <c r="CL305" s="563"/>
      <c r="CM305" s="346">
        <f>CM301-CM304</f>
        <v>-992.5</v>
      </c>
      <c r="CN305" s="346">
        <f>CN301-CN304</f>
        <v>-992.5</v>
      </c>
      <c r="CO305" s="346">
        <f>CO301-CO304</f>
        <v>-992.5</v>
      </c>
      <c r="CP305" s="346">
        <f>CP301-CP304</f>
        <v>-992.5</v>
      </c>
      <c r="CQ305" s="563"/>
      <c r="CR305" s="346">
        <f>CR301-CR304</f>
        <v>-992.5</v>
      </c>
      <c r="CS305" s="346">
        <f>CS301-CS304</f>
        <v>-992.5</v>
      </c>
      <c r="CT305" s="346">
        <f>CT301-CT304</f>
        <v>-992.5</v>
      </c>
      <c r="CU305" s="346">
        <f>CU301-CU304</f>
        <v>-992.5</v>
      </c>
      <c r="CV305" s="563"/>
      <c r="CW305" s="346">
        <f>CW301-CW304</f>
        <v>-992.5</v>
      </c>
      <c r="CX305" s="346">
        <f>CX301-CX304</f>
        <v>-992.5</v>
      </c>
      <c r="CY305" s="346">
        <f>CY301-CY304</f>
        <v>-992.5</v>
      </c>
      <c r="CZ305" s="346">
        <f>CZ301-CZ304</f>
        <v>-992.5</v>
      </c>
      <c r="DA305" s="563"/>
      <c r="DB305" s="346">
        <f>DB301-DB304</f>
        <v>-992.5</v>
      </c>
      <c r="DC305" s="346">
        <f>DC301-DC304</f>
        <v>-992.5</v>
      </c>
      <c r="DD305" s="346">
        <f>DD301-DD304</f>
        <v>-992.5</v>
      </c>
      <c r="DE305" s="346">
        <f>DE301-DE304</f>
        <v>-992.5</v>
      </c>
      <c r="DF305" s="563"/>
    </row>
    <row r="306" spans="2:110" x14ac:dyDescent="0.2">
      <c r="B306" s="544" t="s">
        <v>206</v>
      </c>
      <c r="C306" s="145"/>
      <c r="D306" s="145"/>
      <c r="E306" s="145"/>
      <c r="F306" s="145"/>
      <c r="G306" s="145"/>
      <c r="H306" s="145"/>
      <c r="I306" s="145"/>
      <c r="J306" s="145"/>
      <c r="K306" s="145"/>
      <c r="L306" s="145"/>
      <c r="M306" s="145"/>
      <c r="N306" s="145"/>
      <c r="O306" s="145"/>
      <c r="P306" s="145"/>
      <c r="Q306" s="145"/>
      <c r="R306" s="145"/>
      <c r="S306" s="346"/>
      <c r="T306" s="346"/>
      <c r="U306" s="346"/>
      <c r="V306" s="326"/>
      <c r="W306" s="326"/>
      <c r="X306" s="326"/>
      <c r="Y306" s="340"/>
      <c r="Z306" s="346"/>
      <c r="AA306" s="346"/>
      <c r="AB306" s="346"/>
      <c r="AC306" s="346"/>
      <c r="AD306" s="340"/>
      <c r="AE306" s="346"/>
      <c r="AF306" s="346"/>
      <c r="AG306" s="346"/>
      <c r="AH306" s="346"/>
      <c r="AI306" s="340"/>
      <c r="AJ306" s="346"/>
      <c r="AK306" s="346"/>
      <c r="AL306" s="346"/>
      <c r="AM306" s="346"/>
      <c r="AN306" s="340"/>
      <c r="AO306" s="346"/>
      <c r="AP306" s="346"/>
      <c r="AQ306" s="346"/>
      <c r="AR306" s="346"/>
      <c r="AS306" s="340"/>
      <c r="AT306" s="346"/>
      <c r="AU306" s="625"/>
      <c r="AV306" s="625"/>
      <c r="AW306" s="625"/>
      <c r="AX306" s="340"/>
      <c r="AY306" s="346"/>
      <c r="AZ306" s="346"/>
      <c r="BA306" s="346"/>
      <c r="BB306" s="346"/>
      <c r="BC306" s="340"/>
      <c r="BD306" s="346"/>
      <c r="BE306" s="625"/>
      <c r="BF306" s="346"/>
      <c r="BG306" s="346"/>
      <c r="BH306" s="340"/>
      <c r="BI306" s="346"/>
      <c r="BJ306" s="346"/>
      <c r="BK306" s="346"/>
      <c r="BL306" s="346"/>
      <c r="BM306" s="340"/>
      <c r="BN306" s="346"/>
      <c r="BO306" s="346"/>
      <c r="BP306" s="346"/>
      <c r="BQ306" s="346"/>
      <c r="BR306" s="340"/>
      <c r="BS306" s="346"/>
      <c r="BT306" s="346"/>
      <c r="BU306" s="346"/>
      <c r="BV306" s="346"/>
      <c r="BW306" s="340"/>
      <c r="BX306" s="346"/>
      <c r="BY306" s="346"/>
      <c r="BZ306" s="346"/>
      <c r="CA306" s="346"/>
      <c r="CB306" s="563"/>
      <c r="CC306" s="346">
        <f>-(AVERAGE(CC304,CC302))*(CC300/4)</f>
        <v>0</v>
      </c>
      <c r="CD306" s="346">
        <f>-(AVERAGE(CD304,CD302))*(CD300/4)</f>
        <v>0</v>
      </c>
      <c r="CE306" s="346">
        <f>-(AVERAGE(CE304,CE302))*(CE300/4)</f>
        <v>-3.7203749999999998</v>
      </c>
      <c r="CF306" s="346">
        <f>-(AVERAGE(CF304,CF302))*(CF300/4)</f>
        <v>-7.4422499999999996</v>
      </c>
      <c r="CG306" s="563"/>
      <c r="CH306" s="346">
        <f>-(AVERAGE(CH304,CH302))*(CH300/4)</f>
        <v>-7.4437499999999996</v>
      </c>
      <c r="CI306" s="346">
        <f>-(AVERAGE(CI304,CI302))*(CI300/4)</f>
        <v>-7.4437499999999996</v>
      </c>
      <c r="CJ306" s="346">
        <f>-(AVERAGE(CJ304,CJ302))*(CJ300/4)</f>
        <v>-7.4437499999999996</v>
      </c>
      <c r="CK306" s="346">
        <f>-(AVERAGE(CK304,CK302))*(CK300/4)</f>
        <v>-7.4437499999999996</v>
      </c>
      <c r="CL306" s="563"/>
      <c r="CM306" s="346">
        <f>-(AVERAGE(CM304,CM302))*(CM300/4)</f>
        <v>-7.4437499999999996</v>
      </c>
      <c r="CN306" s="346">
        <f>-(AVERAGE(CN304,CN302))*(CN300/4)</f>
        <v>-7.4437499999999996</v>
      </c>
      <c r="CO306" s="346">
        <f>-(AVERAGE(CO304,CO302))*(CO300/4)</f>
        <v>-7.4437499999999996</v>
      </c>
      <c r="CP306" s="346">
        <f>-(AVERAGE(CP304,CP302))*(CP300/4)</f>
        <v>-7.4437499999999996</v>
      </c>
      <c r="CQ306" s="563"/>
      <c r="CR306" s="346">
        <f>-(AVERAGE(CR304,CR302))*(CR300/4)</f>
        <v>-7.4437499999999996</v>
      </c>
      <c r="CS306" s="346">
        <f>-(AVERAGE(CS304,CS302))*(CS300/4)</f>
        <v>-7.4437499999999996</v>
      </c>
      <c r="CT306" s="346">
        <f>-(AVERAGE(CT304,CT302))*(CT300/4)</f>
        <v>-7.4437499999999996</v>
      </c>
      <c r="CU306" s="346">
        <f>-(AVERAGE(CU304,CU302))*(CU300/4)</f>
        <v>-7.4437499999999996</v>
      </c>
      <c r="CV306" s="563"/>
      <c r="CW306" s="346">
        <f>-(AVERAGE(CW304,CW302))*(CW300/4)</f>
        <v>-7.4437499999999996</v>
      </c>
      <c r="CX306" s="346">
        <f>-(AVERAGE(CX304,CX302))*(CX300/4)</f>
        <v>-7.4437499999999996</v>
      </c>
      <c r="CY306" s="346">
        <f>-(AVERAGE(CY304,CY302))*(CY300/4)</f>
        <v>-7.4437499999999996</v>
      </c>
      <c r="CZ306" s="346">
        <f>-(AVERAGE(CZ304,CZ302))*(CZ300/4)</f>
        <v>-7.4437499999999996</v>
      </c>
      <c r="DA306" s="563"/>
      <c r="DB306" s="346">
        <f>-(AVERAGE(DB304,DB302))*(DB300/4)</f>
        <v>-7.4437499999999996</v>
      </c>
      <c r="DC306" s="346">
        <f>-(AVERAGE(DC304,DC302))*(DC300/4)</f>
        <v>-7.4437499999999996</v>
      </c>
      <c r="DD306" s="346">
        <f>-(AVERAGE(DD304,DD302))*(DD300/4)</f>
        <v>-7.4437499999999996</v>
      </c>
      <c r="DE306" s="346">
        <f>-(AVERAGE(DE304,DE302))*(DE300/4)</f>
        <v>-7.4437499999999996</v>
      </c>
      <c r="DF306" s="563"/>
    </row>
    <row r="307" spans="2:110" ht="12" thickBot="1" x14ac:dyDescent="0.25">
      <c r="B307" s="548" t="s">
        <v>207</v>
      </c>
      <c r="C307" s="205"/>
      <c r="D307" s="205"/>
      <c r="E307" s="205"/>
      <c r="F307" s="205"/>
      <c r="G307" s="205"/>
      <c r="H307" s="205"/>
      <c r="I307" s="205"/>
      <c r="J307" s="205"/>
      <c r="K307" s="205"/>
      <c r="L307" s="205"/>
      <c r="M307" s="205"/>
      <c r="N307" s="205"/>
      <c r="O307" s="205"/>
      <c r="P307" s="205"/>
      <c r="Q307" s="205"/>
      <c r="R307" s="205"/>
      <c r="S307" s="549"/>
      <c r="T307" s="549"/>
      <c r="U307" s="549"/>
      <c r="V307" s="327"/>
      <c r="W307" s="327"/>
      <c r="X307" s="327"/>
      <c r="Y307" s="550"/>
      <c r="Z307" s="549"/>
      <c r="AA307" s="549"/>
      <c r="AB307" s="549"/>
      <c r="AC307" s="549"/>
      <c r="AD307" s="550"/>
      <c r="AE307" s="549"/>
      <c r="AF307" s="549"/>
      <c r="AG307" s="549"/>
      <c r="AH307" s="549"/>
      <c r="AI307" s="550"/>
      <c r="AJ307" s="549"/>
      <c r="AK307" s="549"/>
      <c r="AL307" s="549"/>
      <c r="AM307" s="549"/>
      <c r="AN307" s="550"/>
      <c r="AO307" s="549"/>
      <c r="AP307" s="549"/>
      <c r="AQ307" s="549"/>
      <c r="AR307" s="549"/>
      <c r="AS307" s="550"/>
      <c r="AT307" s="549"/>
      <c r="AU307" s="549"/>
      <c r="AV307" s="549"/>
      <c r="AW307" s="549"/>
      <c r="AX307" s="550"/>
      <c r="AY307" s="549"/>
      <c r="AZ307" s="549"/>
      <c r="BA307" s="549"/>
      <c r="BB307" s="549"/>
      <c r="BC307" s="550"/>
      <c r="BD307" s="549"/>
      <c r="BE307" s="549"/>
      <c r="BF307" s="549"/>
      <c r="BG307" s="549"/>
      <c r="BH307" s="550"/>
      <c r="BI307" s="549"/>
      <c r="BJ307" s="549"/>
      <c r="BK307" s="549"/>
      <c r="BL307" s="549"/>
      <c r="BM307" s="550"/>
      <c r="BN307" s="549"/>
      <c r="BO307" s="549"/>
      <c r="BP307" s="549"/>
      <c r="BQ307" s="549"/>
      <c r="BR307" s="550"/>
      <c r="BS307" s="549"/>
      <c r="BT307" s="549"/>
      <c r="BU307" s="549"/>
      <c r="BV307" s="549"/>
      <c r="BW307" s="550"/>
      <c r="BX307" s="549"/>
      <c r="BY307" s="549"/>
      <c r="BZ307" s="549"/>
      <c r="CA307" s="549"/>
      <c r="CB307" s="565"/>
      <c r="CC307" s="549">
        <f>-CC299*CC305/4</f>
        <v>0</v>
      </c>
      <c r="CD307" s="549">
        <f>-CD299*CD305/4</f>
        <v>0</v>
      </c>
      <c r="CE307" s="549">
        <f>-CE299*CE305/4</f>
        <v>0</v>
      </c>
      <c r="CF307" s="549">
        <f>-CF299*CF305/4</f>
        <v>0</v>
      </c>
      <c r="CG307" s="565"/>
      <c r="CH307" s="549">
        <f>-CH299*CH305/4</f>
        <v>0</v>
      </c>
      <c r="CI307" s="549">
        <f>-CI299*CI305/4</f>
        <v>0</v>
      </c>
      <c r="CJ307" s="549">
        <f>-CJ299*CJ305/4</f>
        <v>0</v>
      </c>
      <c r="CK307" s="549">
        <f>-CK299*CK305/4</f>
        <v>0</v>
      </c>
      <c r="CL307" s="565"/>
      <c r="CM307" s="549">
        <f>-CM299*CM305/4</f>
        <v>0</v>
      </c>
      <c r="CN307" s="549">
        <f>-CN299*CN305/4</f>
        <v>0</v>
      </c>
      <c r="CO307" s="549">
        <f>-CO299*CO305/4</f>
        <v>0</v>
      </c>
      <c r="CP307" s="549">
        <f>-CP299*CP305/4</f>
        <v>0</v>
      </c>
      <c r="CQ307" s="565"/>
      <c r="CR307" s="549">
        <f>-CR299*CR305/4</f>
        <v>0</v>
      </c>
      <c r="CS307" s="549">
        <f>-CS299*CS305/4</f>
        <v>0</v>
      </c>
      <c r="CT307" s="549">
        <f>-CT299*CT305/4</f>
        <v>0</v>
      </c>
      <c r="CU307" s="549">
        <f>-CU299*CU305/4</f>
        <v>0</v>
      </c>
      <c r="CV307" s="565"/>
      <c r="CW307" s="549">
        <f>-CW299*CW305/4</f>
        <v>0</v>
      </c>
      <c r="CX307" s="549">
        <f>-CX299*CX305/4</f>
        <v>0</v>
      </c>
      <c r="CY307" s="549">
        <f>-CY299*CY305/4</f>
        <v>0</v>
      </c>
      <c r="CZ307" s="549">
        <f>-CZ299*CZ305/4</f>
        <v>0</v>
      </c>
      <c r="DA307" s="565"/>
      <c r="DB307" s="549">
        <f>-DB299*DB305/4</f>
        <v>0</v>
      </c>
      <c r="DC307" s="549">
        <f>-DC299*DC305/4</f>
        <v>0</v>
      </c>
      <c r="DD307" s="549">
        <f>-DD299*DD305/4</f>
        <v>0</v>
      </c>
      <c r="DE307" s="549">
        <f>-DE299*DE305/4</f>
        <v>0</v>
      </c>
      <c r="DF307" s="565"/>
    </row>
    <row r="308" spans="2:110" ht="12" thickBot="1" x14ac:dyDescent="0.25">
      <c r="B308" s="355"/>
      <c r="C308" s="145"/>
      <c r="D308" s="145"/>
      <c r="E308" s="145"/>
      <c r="F308" s="145"/>
      <c r="G308" s="145"/>
      <c r="H308" s="145"/>
      <c r="I308" s="145"/>
      <c r="J308" s="145"/>
      <c r="K308" s="145"/>
      <c r="L308" s="145"/>
      <c r="M308" s="145"/>
      <c r="N308" s="145"/>
      <c r="O308" s="145"/>
      <c r="P308" s="145"/>
      <c r="Q308" s="145"/>
      <c r="R308" s="145"/>
      <c r="S308" s="346"/>
      <c r="T308" s="346"/>
      <c r="U308" s="346"/>
      <c r="V308" s="326"/>
      <c r="W308" s="326"/>
      <c r="X308" s="326"/>
      <c r="Y308" s="346"/>
      <c r="Z308" s="346"/>
      <c r="AA308" s="346"/>
      <c r="AB308" s="346"/>
      <c r="AC308" s="346"/>
      <c r="AD308" s="346"/>
      <c r="AE308" s="346"/>
      <c r="AF308" s="346"/>
      <c r="AG308" s="346"/>
      <c r="AH308" s="346"/>
      <c r="AI308" s="346"/>
      <c r="AJ308" s="346"/>
      <c r="AK308" s="346"/>
      <c r="AL308" s="346"/>
      <c r="AM308" s="346"/>
      <c r="AN308" s="346"/>
      <c r="AO308" s="346"/>
      <c r="AP308" s="346"/>
      <c r="AQ308" s="346"/>
      <c r="AR308" s="346"/>
      <c r="AS308" s="346"/>
      <c r="AT308" s="346"/>
      <c r="AU308" s="346"/>
      <c r="AV308" s="346"/>
      <c r="AW308" s="346"/>
      <c r="AX308" s="346"/>
      <c r="AY308" s="346"/>
      <c r="AZ308" s="346"/>
      <c r="BA308" s="346"/>
      <c r="BB308" s="346"/>
      <c r="BC308" s="346"/>
      <c r="BD308" s="346"/>
      <c r="BE308" s="346"/>
      <c r="BF308" s="346"/>
      <c r="BG308" s="346"/>
      <c r="BH308" s="346"/>
      <c r="BI308" s="346"/>
      <c r="BJ308" s="346"/>
      <c r="BK308" s="346"/>
      <c r="BL308" s="346"/>
      <c r="BM308" s="346"/>
      <c r="BN308" s="346"/>
      <c r="BO308" s="346"/>
      <c r="BP308" s="346"/>
      <c r="BQ308" s="346"/>
      <c r="BR308" s="346"/>
      <c r="BS308" s="346"/>
      <c r="BT308" s="346"/>
      <c r="BU308" s="346"/>
      <c r="BV308" s="346"/>
      <c r="BW308" s="346"/>
      <c r="BX308" s="346"/>
      <c r="BY308" s="346"/>
      <c r="BZ308" s="346"/>
      <c r="CA308" s="346"/>
      <c r="CB308" s="346"/>
      <c r="CC308" s="346"/>
      <c r="CD308" s="346"/>
      <c r="CE308" s="346"/>
      <c r="CF308" s="346"/>
      <c r="CG308" s="346"/>
      <c r="CH308" s="346"/>
      <c r="CI308" s="346"/>
      <c r="CJ308" s="346"/>
      <c r="CK308" s="346"/>
      <c r="CL308" s="346"/>
      <c r="CM308" s="346"/>
      <c r="CN308" s="346"/>
      <c r="CO308" s="346"/>
      <c r="CP308" s="346"/>
      <c r="CQ308" s="346"/>
      <c r="CR308" s="346"/>
      <c r="CS308" s="346"/>
      <c r="CT308" s="346"/>
      <c r="CU308" s="346"/>
      <c r="CV308" s="346"/>
      <c r="CW308" s="346"/>
      <c r="CX308" s="346"/>
      <c r="CY308" s="346"/>
      <c r="CZ308" s="346"/>
      <c r="DA308" s="346"/>
      <c r="DB308" s="346"/>
      <c r="DC308" s="346"/>
      <c r="DD308" s="346"/>
      <c r="DE308" s="346"/>
      <c r="DF308" s="346"/>
    </row>
    <row r="309" spans="2:110" s="326" customFormat="1" ht="12" thickBot="1" x14ac:dyDescent="0.25">
      <c r="B309" s="981" t="s">
        <v>698</v>
      </c>
      <c r="C309" s="989"/>
      <c r="D309" s="989"/>
      <c r="E309" s="989"/>
      <c r="F309" s="989"/>
      <c r="G309" s="989"/>
      <c r="H309" s="989"/>
      <c r="I309" s="989"/>
      <c r="J309" s="989"/>
      <c r="K309" s="989"/>
      <c r="L309" s="989"/>
      <c r="M309" s="989"/>
      <c r="N309" s="989"/>
      <c r="O309" s="989"/>
      <c r="P309" s="989"/>
      <c r="Q309" s="989"/>
      <c r="R309" s="989"/>
      <c r="S309" s="990"/>
      <c r="T309" s="990"/>
      <c r="U309" s="990"/>
      <c r="V309" s="991"/>
      <c r="W309" s="991"/>
      <c r="X309" s="991"/>
      <c r="Y309" s="990"/>
      <c r="Z309" s="990"/>
      <c r="AA309" s="990"/>
      <c r="AB309" s="990"/>
      <c r="AC309" s="990"/>
      <c r="AD309" s="990"/>
      <c r="AE309" s="990"/>
      <c r="AF309" s="990"/>
      <c r="AG309" s="990"/>
      <c r="AH309" s="990"/>
      <c r="AI309" s="990"/>
      <c r="AJ309" s="990"/>
      <c r="AK309" s="990"/>
      <c r="AL309" s="990"/>
      <c r="AM309" s="990"/>
      <c r="AN309" s="990"/>
      <c r="AO309" s="990"/>
      <c r="AP309" s="990"/>
      <c r="AQ309" s="990"/>
      <c r="AR309" s="990"/>
      <c r="AS309" s="990"/>
      <c r="AT309" s="990"/>
      <c r="AU309" s="990"/>
      <c r="AV309" s="990"/>
      <c r="AW309" s="990"/>
      <c r="AX309" s="990"/>
      <c r="AY309" s="990"/>
      <c r="AZ309" s="990"/>
      <c r="BA309" s="990"/>
      <c r="BB309" s="990"/>
      <c r="BC309" s="990"/>
      <c r="BD309" s="990"/>
      <c r="BE309" s="990"/>
      <c r="BF309" s="990"/>
      <c r="BG309" s="990"/>
      <c r="BH309" s="990"/>
      <c r="BI309" s="990"/>
      <c r="BJ309" s="990"/>
      <c r="BK309" s="990"/>
      <c r="BL309" s="990"/>
      <c r="BM309" s="990"/>
      <c r="BN309" s="990"/>
      <c r="BO309" s="990"/>
      <c r="BP309" s="990"/>
      <c r="BQ309" s="990"/>
      <c r="BR309" s="990"/>
      <c r="BS309" s="990"/>
      <c r="BT309" s="990"/>
      <c r="BU309" s="990"/>
      <c r="BV309" s="990"/>
      <c r="BW309" s="990"/>
      <c r="BX309" s="990"/>
      <c r="BY309" s="990"/>
      <c r="BZ309" s="990"/>
      <c r="CA309" s="990"/>
      <c r="CB309" s="992"/>
      <c r="CC309" s="990"/>
      <c r="CD309" s="990"/>
      <c r="CE309" s="990"/>
      <c r="CF309" s="990"/>
      <c r="CG309" s="992"/>
      <c r="CH309" s="990"/>
      <c r="CI309" s="990"/>
      <c r="CJ309" s="990"/>
      <c r="CK309" s="990"/>
      <c r="CL309" s="992"/>
      <c r="CM309" s="990"/>
      <c r="CN309" s="990"/>
      <c r="CO309" s="990"/>
      <c r="CP309" s="990"/>
      <c r="CQ309" s="992"/>
      <c r="CR309" s="990"/>
      <c r="CS309" s="990"/>
      <c r="CT309" s="990"/>
      <c r="CU309" s="990"/>
      <c r="CV309" s="992"/>
      <c r="CW309" s="990"/>
      <c r="CX309" s="990"/>
      <c r="CY309" s="990"/>
      <c r="CZ309" s="990"/>
      <c r="DA309" s="992"/>
      <c r="DB309" s="990"/>
      <c r="DC309" s="990"/>
      <c r="DD309" s="990"/>
      <c r="DE309" s="990"/>
      <c r="DF309" s="992"/>
    </row>
    <row r="310" spans="2:110" x14ac:dyDescent="0.2">
      <c r="B310" s="591" t="s">
        <v>203</v>
      </c>
      <c r="C310" s="561"/>
      <c r="D310" s="561"/>
      <c r="E310" s="561"/>
      <c r="F310" s="561"/>
      <c r="G310" s="561"/>
      <c r="H310" s="561"/>
      <c r="I310" s="561"/>
      <c r="J310" s="561"/>
      <c r="K310" s="561"/>
      <c r="L310" s="561"/>
      <c r="M310" s="561"/>
      <c r="N310" s="561"/>
      <c r="O310" s="561"/>
      <c r="P310" s="561"/>
      <c r="Q310" s="561"/>
      <c r="R310" s="561"/>
      <c r="S310" s="531"/>
      <c r="T310" s="531"/>
      <c r="U310" s="531"/>
      <c r="V310" s="577"/>
      <c r="W310" s="577"/>
      <c r="X310" s="577"/>
      <c r="Y310" s="532"/>
      <c r="Z310" s="531"/>
      <c r="AA310" s="531"/>
      <c r="AB310" s="531"/>
      <c r="AC310" s="531"/>
      <c r="AD310" s="532"/>
      <c r="AE310" s="531"/>
      <c r="AF310" s="531"/>
      <c r="AG310" s="531"/>
      <c r="AH310" s="531"/>
      <c r="AI310" s="532"/>
      <c r="AJ310" s="531"/>
      <c r="AK310" s="531"/>
      <c r="AL310" s="531"/>
      <c r="AM310" s="531"/>
      <c r="AN310" s="532"/>
      <c r="AO310" s="531"/>
      <c r="AP310" s="531"/>
      <c r="AQ310" s="531"/>
      <c r="AR310" s="531"/>
      <c r="AS310" s="532"/>
      <c r="AT310" s="531"/>
      <c r="AU310" s="588"/>
      <c r="AV310" s="54"/>
      <c r="AW310" s="54"/>
      <c r="AX310" s="532"/>
      <c r="AY310" s="54"/>
      <c r="AZ310" s="54"/>
      <c r="BA310" s="54"/>
      <c r="BB310" s="54"/>
      <c r="BC310" s="532"/>
      <c r="BD310" s="54"/>
      <c r="BE310" s="588"/>
      <c r="BF310" s="54"/>
      <c r="BG310" s="54"/>
      <c r="BH310" s="532"/>
      <c r="BI310" s="54"/>
      <c r="BJ310" s="54"/>
      <c r="BK310" s="54"/>
      <c r="BL310" s="54"/>
      <c r="BM310" s="532"/>
      <c r="BN310" s="54"/>
      <c r="BO310" s="54"/>
      <c r="BP310" s="54"/>
      <c r="BQ310" s="54"/>
      <c r="BR310" s="532"/>
      <c r="BS310" s="54"/>
      <c r="BT310" s="54"/>
      <c r="BU310" s="54"/>
      <c r="BV310" s="54"/>
      <c r="BW310" s="532"/>
      <c r="BX310" s="54"/>
      <c r="BY310" s="54"/>
      <c r="BZ310" s="54"/>
      <c r="CA310" s="54"/>
      <c r="CB310" s="562"/>
      <c r="CC310" s="54">
        <f>CA310</f>
        <v>0</v>
      </c>
      <c r="CD310" s="54">
        <f t="shared" ref="CD310:CD312" si="498">CC310</f>
        <v>0</v>
      </c>
      <c r="CE310" s="54">
        <f t="shared" ref="CE310:CE312" si="499">CD310</f>
        <v>0</v>
      </c>
      <c r="CF310" s="54">
        <f t="shared" ref="CF310:CF312" si="500">CE310</f>
        <v>0</v>
      </c>
      <c r="CG310" s="562"/>
      <c r="CH310" s="54">
        <f>CF310</f>
        <v>0</v>
      </c>
      <c r="CI310" s="54">
        <f t="shared" ref="CI310:CI312" si="501">CH310</f>
        <v>0</v>
      </c>
      <c r="CJ310" s="54">
        <f t="shared" ref="CJ310:CJ312" si="502">CI310</f>
        <v>0</v>
      </c>
      <c r="CK310" s="54">
        <f t="shared" ref="CK310:CK312" si="503">CJ310</f>
        <v>0</v>
      </c>
      <c r="CL310" s="562"/>
      <c r="CM310" s="54">
        <f>CK310</f>
        <v>0</v>
      </c>
      <c r="CN310" s="54">
        <f t="shared" ref="CN310:CN312" si="504">CM310</f>
        <v>0</v>
      </c>
      <c r="CO310" s="54">
        <f t="shared" ref="CO310:CO312" si="505">CN310</f>
        <v>0</v>
      </c>
      <c r="CP310" s="54">
        <f t="shared" ref="CP310:CP312" si="506">CO310</f>
        <v>0</v>
      </c>
      <c r="CQ310" s="562"/>
      <c r="CR310" s="54">
        <f>CP310</f>
        <v>0</v>
      </c>
      <c r="CS310" s="54">
        <f t="shared" ref="CS310:CS312" si="507">CR310</f>
        <v>0</v>
      </c>
      <c r="CT310" s="54">
        <f t="shared" ref="CT310:CT312" si="508">CS310</f>
        <v>0</v>
      </c>
      <c r="CU310" s="54">
        <f t="shared" ref="CU310:CU312" si="509">CT310</f>
        <v>0</v>
      </c>
      <c r="CV310" s="562"/>
      <c r="CW310" s="54">
        <f>CU310</f>
        <v>0</v>
      </c>
      <c r="CX310" s="54">
        <f t="shared" ref="CX310:CX312" si="510">CW310</f>
        <v>0</v>
      </c>
      <c r="CY310" s="54">
        <f t="shared" ref="CY310:CY312" si="511">CX310</f>
        <v>0</v>
      </c>
      <c r="CZ310" s="54">
        <f t="shared" ref="CZ310:CZ312" si="512">CY310</f>
        <v>0</v>
      </c>
      <c r="DA310" s="562"/>
      <c r="DB310" s="54">
        <f>CZ310</f>
        <v>0</v>
      </c>
      <c r="DC310" s="54">
        <f t="shared" ref="DC310:DC312" si="513">DB310</f>
        <v>0</v>
      </c>
      <c r="DD310" s="54">
        <f t="shared" ref="DD310:DD312" si="514">DC310</f>
        <v>0</v>
      </c>
      <c r="DE310" s="54">
        <f t="shared" ref="DE310:DE312" si="515">DD310</f>
        <v>0</v>
      </c>
      <c r="DF310" s="562"/>
    </row>
    <row r="311" spans="2:110" x14ac:dyDescent="0.2">
      <c r="B311" s="578" t="s">
        <v>204</v>
      </c>
      <c r="C311" s="145"/>
      <c r="D311" s="145"/>
      <c r="E311" s="145"/>
      <c r="F311" s="145"/>
      <c r="G311" s="145"/>
      <c r="H311" s="145"/>
      <c r="I311" s="145"/>
      <c r="J311" s="145"/>
      <c r="K311" s="145"/>
      <c r="L311" s="145"/>
      <c r="M311" s="145"/>
      <c r="N311" s="145"/>
      <c r="O311" s="145"/>
      <c r="P311" s="145"/>
      <c r="Q311" s="145"/>
      <c r="R311" s="145"/>
      <c r="S311" s="346"/>
      <c r="T311" s="346"/>
      <c r="U311" s="346"/>
      <c r="V311" s="326"/>
      <c r="W311" s="326"/>
      <c r="X311" s="326"/>
      <c r="Y311" s="340"/>
      <c r="Z311" s="346"/>
      <c r="AA311" s="346"/>
      <c r="AB311" s="346"/>
      <c r="AC311" s="346"/>
      <c r="AD311" s="340"/>
      <c r="AE311" s="346"/>
      <c r="AF311" s="346"/>
      <c r="AG311" s="346"/>
      <c r="AH311" s="346"/>
      <c r="AI311" s="340"/>
      <c r="AJ311" s="346"/>
      <c r="AK311" s="346"/>
      <c r="AL311" s="346"/>
      <c r="AM311" s="346"/>
      <c r="AN311" s="340"/>
      <c r="AO311" s="346"/>
      <c r="AP311" s="346"/>
      <c r="AQ311" s="346"/>
      <c r="AR311" s="346"/>
      <c r="AS311" s="340"/>
      <c r="AT311" s="346"/>
      <c r="AU311" s="267"/>
      <c r="AV311" s="146"/>
      <c r="AW311" s="146"/>
      <c r="AX311" s="340"/>
      <c r="AY311" s="146"/>
      <c r="AZ311" s="146"/>
      <c r="BA311" s="146"/>
      <c r="BB311" s="146"/>
      <c r="BC311" s="340"/>
      <c r="BD311" s="146"/>
      <c r="BE311" s="267"/>
      <c r="BF311" s="146"/>
      <c r="BG311" s="146"/>
      <c r="BH311" s="340"/>
      <c r="BI311" s="146"/>
      <c r="BJ311" s="146"/>
      <c r="BK311" s="146"/>
      <c r="BL311" s="146"/>
      <c r="BM311" s="340"/>
      <c r="BN311" s="146"/>
      <c r="BO311" s="146"/>
      <c r="BP311" s="146"/>
      <c r="BQ311" s="146"/>
      <c r="BR311" s="340"/>
      <c r="BS311" s="146"/>
      <c r="BT311" s="146"/>
      <c r="BU311" s="146"/>
      <c r="BV311" s="146"/>
      <c r="BW311" s="340"/>
      <c r="BX311" s="146"/>
      <c r="BY311" s="146"/>
      <c r="BZ311" s="146"/>
      <c r="CA311" s="146"/>
      <c r="CB311" s="563"/>
      <c r="CC311" s="146">
        <f>CA311</f>
        <v>0</v>
      </c>
      <c r="CD311" s="146">
        <f t="shared" si="498"/>
        <v>0</v>
      </c>
      <c r="CE311" s="146">
        <v>3.4000000000000002E-2</v>
      </c>
      <c r="CF311" s="146">
        <f t="shared" si="500"/>
        <v>3.4000000000000002E-2</v>
      </c>
      <c r="CG311" s="563"/>
      <c r="CH311" s="146">
        <f>CF311</f>
        <v>3.4000000000000002E-2</v>
      </c>
      <c r="CI311" s="146">
        <f t="shared" si="501"/>
        <v>3.4000000000000002E-2</v>
      </c>
      <c r="CJ311" s="146">
        <f t="shared" si="502"/>
        <v>3.4000000000000002E-2</v>
      </c>
      <c r="CK311" s="146">
        <f t="shared" si="503"/>
        <v>3.4000000000000002E-2</v>
      </c>
      <c r="CL311" s="563"/>
      <c r="CM311" s="146">
        <f>CK311</f>
        <v>3.4000000000000002E-2</v>
      </c>
      <c r="CN311" s="146">
        <f t="shared" si="504"/>
        <v>3.4000000000000002E-2</v>
      </c>
      <c r="CO311" s="146">
        <f t="shared" si="505"/>
        <v>3.4000000000000002E-2</v>
      </c>
      <c r="CP311" s="146">
        <f t="shared" si="506"/>
        <v>3.4000000000000002E-2</v>
      </c>
      <c r="CQ311" s="563"/>
      <c r="CR311" s="146">
        <f>CP311</f>
        <v>3.4000000000000002E-2</v>
      </c>
      <c r="CS311" s="146">
        <f t="shared" si="507"/>
        <v>3.4000000000000002E-2</v>
      </c>
      <c r="CT311" s="146">
        <f t="shared" si="508"/>
        <v>3.4000000000000002E-2</v>
      </c>
      <c r="CU311" s="146">
        <f t="shared" si="509"/>
        <v>3.4000000000000002E-2</v>
      </c>
      <c r="CV311" s="563"/>
      <c r="CW311" s="146">
        <f>CU311</f>
        <v>3.4000000000000002E-2</v>
      </c>
      <c r="CX311" s="146">
        <f t="shared" si="510"/>
        <v>3.4000000000000002E-2</v>
      </c>
      <c r="CY311" s="146">
        <f t="shared" si="511"/>
        <v>3.4000000000000002E-2</v>
      </c>
      <c r="CZ311" s="146">
        <f t="shared" si="512"/>
        <v>3.4000000000000002E-2</v>
      </c>
      <c r="DA311" s="563"/>
      <c r="DB311" s="146">
        <f>CZ311</f>
        <v>3.4000000000000002E-2</v>
      </c>
      <c r="DC311" s="146">
        <f t="shared" si="513"/>
        <v>3.4000000000000002E-2</v>
      </c>
      <c r="DD311" s="146">
        <f t="shared" si="514"/>
        <v>3.4000000000000002E-2</v>
      </c>
      <c r="DE311" s="146">
        <f t="shared" si="515"/>
        <v>3.4000000000000002E-2</v>
      </c>
      <c r="DF311" s="563"/>
    </row>
    <row r="312" spans="2:110" x14ac:dyDescent="0.2">
      <c r="B312" s="536" t="s">
        <v>197</v>
      </c>
      <c r="C312" s="145"/>
      <c r="D312" s="145"/>
      <c r="E312" s="145"/>
      <c r="F312" s="145"/>
      <c r="G312" s="145"/>
      <c r="H312" s="145"/>
      <c r="I312" s="145"/>
      <c r="J312" s="145"/>
      <c r="K312" s="145"/>
      <c r="L312" s="145"/>
      <c r="M312" s="145"/>
      <c r="N312" s="145"/>
      <c r="O312" s="145"/>
      <c r="P312" s="145"/>
      <c r="Q312" s="145"/>
      <c r="R312" s="145"/>
      <c r="S312" s="346"/>
      <c r="T312" s="346"/>
      <c r="U312" s="346"/>
      <c r="V312" s="326"/>
      <c r="W312" s="326"/>
      <c r="X312" s="326"/>
      <c r="Y312" s="340"/>
      <c r="Z312" s="346"/>
      <c r="AA312" s="346"/>
      <c r="AB312" s="346"/>
      <c r="AC312" s="346"/>
      <c r="AD312" s="340"/>
      <c r="AE312" s="346"/>
      <c r="AF312" s="346"/>
      <c r="AG312" s="346"/>
      <c r="AH312" s="346"/>
      <c r="AI312" s="340"/>
      <c r="AJ312" s="346"/>
      <c r="AK312" s="346"/>
      <c r="AL312" s="346"/>
      <c r="AM312" s="346"/>
      <c r="AN312" s="340"/>
      <c r="AO312" s="346"/>
      <c r="AP312" s="346"/>
      <c r="AQ312" s="346"/>
      <c r="AR312" s="346"/>
      <c r="AS312" s="340"/>
      <c r="AT312" s="346"/>
      <c r="AU312" s="623"/>
      <c r="AV312" s="625"/>
      <c r="AW312" s="625"/>
      <c r="AX312" s="340"/>
      <c r="AY312" s="346"/>
      <c r="AZ312" s="346"/>
      <c r="BA312" s="346"/>
      <c r="BB312" s="346"/>
      <c r="BC312" s="340"/>
      <c r="BD312" s="346"/>
      <c r="BE312" s="623"/>
      <c r="BF312" s="346"/>
      <c r="BG312" s="346"/>
      <c r="BH312" s="340"/>
      <c r="BI312" s="346"/>
      <c r="BJ312" s="346"/>
      <c r="BK312" s="346"/>
      <c r="BL312" s="346"/>
      <c r="BM312" s="340"/>
      <c r="BN312" s="346"/>
      <c r="BO312" s="346"/>
      <c r="BP312" s="346"/>
      <c r="BQ312" s="346"/>
      <c r="BR312" s="340"/>
      <c r="BS312" s="346"/>
      <c r="BT312" s="346"/>
      <c r="BU312" s="346"/>
      <c r="BV312" s="346"/>
      <c r="BW312" s="340"/>
      <c r="BX312" s="346"/>
      <c r="BY312" s="346"/>
      <c r="BZ312" s="346"/>
      <c r="CA312" s="346"/>
      <c r="CB312" s="563"/>
      <c r="CC312" s="346">
        <f>CA312</f>
        <v>0</v>
      </c>
      <c r="CD312" s="346">
        <f t="shared" si="498"/>
        <v>0</v>
      </c>
      <c r="CE312" s="346">
        <f t="shared" si="499"/>
        <v>0</v>
      </c>
      <c r="CF312" s="346">
        <f t="shared" si="500"/>
        <v>0</v>
      </c>
      <c r="CG312" s="563"/>
      <c r="CH312" s="346">
        <f>CF312</f>
        <v>0</v>
      </c>
      <c r="CI312" s="346">
        <f t="shared" si="501"/>
        <v>0</v>
      </c>
      <c r="CJ312" s="346">
        <f t="shared" si="502"/>
        <v>0</v>
      </c>
      <c r="CK312" s="346">
        <f t="shared" si="503"/>
        <v>0</v>
      </c>
      <c r="CL312" s="563"/>
      <c r="CM312" s="346">
        <f>CK312</f>
        <v>0</v>
      </c>
      <c r="CN312" s="346">
        <f t="shared" si="504"/>
        <v>0</v>
      </c>
      <c r="CO312" s="346">
        <f t="shared" si="505"/>
        <v>0</v>
      </c>
      <c r="CP312" s="346">
        <f t="shared" si="506"/>
        <v>0</v>
      </c>
      <c r="CQ312" s="563"/>
      <c r="CR312" s="346">
        <f>CP312</f>
        <v>0</v>
      </c>
      <c r="CS312" s="346">
        <f t="shared" si="507"/>
        <v>0</v>
      </c>
      <c r="CT312" s="346">
        <f t="shared" si="508"/>
        <v>0</v>
      </c>
      <c r="CU312" s="346">
        <f t="shared" si="509"/>
        <v>0</v>
      </c>
      <c r="CV312" s="563"/>
      <c r="CW312" s="346">
        <f>CU312</f>
        <v>0</v>
      </c>
      <c r="CX312" s="346">
        <f t="shared" si="510"/>
        <v>0</v>
      </c>
      <c r="CY312" s="346">
        <f t="shared" si="511"/>
        <v>0</v>
      </c>
      <c r="CZ312" s="346">
        <f t="shared" si="512"/>
        <v>0</v>
      </c>
      <c r="DA312" s="563"/>
      <c r="DB312" s="346">
        <f>CZ312</f>
        <v>0</v>
      </c>
      <c r="DC312" s="346">
        <f t="shared" si="513"/>
        <v>0</v>
      </c>
      <c r="DD312" s="346">
        <f t="shared" si="514"/>
        <v>0</v>
      </c>
      <c r="DE312" s="346">
        <f t="shared" si="515"/>
        <v>0</v>
      </c>
      <c r="DF312" s="563"/>
    </row>
    <row r="313" spans="2:110" x14ac:dyDescent="0.2">
      <c r="B313" s="544" t="s">
        <v>198</v>
      </c>
      <c r="C313" s="145"/>
      <c r="D313" s="145"/>
      <c r="E313" s="145"/>
      <c r="F313" s="145"/>
      <c r="G313" s="145"/>
      <c r="H313" s="145"/>
      <c r="I313" s="145"/>
      <c r="J313" s="145"/>
      <c r="K313" s="145"/>
      <c r="L313" s="145"/>
      <c r="M313" s="145"/>
      <c r="N313" s="145"/>
      <c r="O313" s="145"/>
      <c r="P313" s="145"/>
      <c r="Q313" s="145"/>
      <c r="R313" s="145"/>
      <c r="S313" s="346"/>
      <c r="T313" s="346"/>
      <c r="U313" s="346"/>
      <c r="V313" s="326"/>
      <c r="W313" s="326"/>
      <c r="X313" s="326"/>
      <c r="Y313" s="340"/>
      <c r="Z313" s="346"/>
      <c r="AA313" s="346"/>
      <c r="AB313" s="346"/>
      <c r="AC313" s="346"/>
      <c r="AD313" s="340"/>
      <c r="AE313" s="346"/>
      <c r="AF313" s="346"/>
      <c r="AG313" s="346"/>
      <c r="AH313" s="346"/>
      <c r="AI313" s="340"/>
      <c r="AJ313" s="346"/>
      <c r="AK313" s="346"/>
      <c r="AL313" s="346"/>
      <c r="AM313" s="346"/>
      <c r="AN313" s="340"/>
      <c r="AO313" s="346"/>
      <c r="AP313" s="346"/>
      <c r="AQ313" s="346"/>
      <c r="AR313" s="346"/>
      <c r="AS313" s="340"/>
      <c r="AT313" s="346"/>
      <c r="AU313" s="623"/>
      <c r="AV313" s="625"/>
      <c r="AW313" s="625"/>
      <c r="AX313" s="340"/>
      <c r="AY313" s="346"/>
      <c r="AZ313" s="346"/>
      <c r="BA313" s="346"/>
      <c r="BB313" s="346"/>
      <c r="BC313" s="340"/>
      <c r="BD313" s="346"/>
      <c r="BE313" s="346"/>
      <c r="BF313" s="346"/>
      <c r="BG313" s="346"/>
      <c r="BH313" s="340"/>
      <c r="BI313" s="346"/>
      <c r="BJ313" s="346"/>
      <c r="BK313" s="346"/>
      <c r="BL313" s="346"/>
      <c r="BM313" s="340"/>
      <c r="BN313" s="346"/>
      <c r="BO313" s="346"/>
      <c r="BP313" s="346"/>
      <c r="BQ313" s="346"/>
      <c r="BR313" s="340"/>
      <c r="BS313" s="346"/>
      <c r="BT313" s="346"/>
      <c r="BU313" s="346"/>
      <c r="BV313" s="346"/>
      <c r="BW313" s="340"/>
      <c r="BX313" s="346"/>
      <c r="BY313" s="346"/>
      <c r="BZ313" s="346"/>
      <c r="CA313" s="346"/>
      <c r="CB313" s="563"/>
      <c r="CC313" s="346">
        <f>CA315</f>
        <v>0</v>
      </c>
      <c r="CD313" s="346">
        <f>CC315</f>
        <v>0</v>
      </c>
      <c r="CE313" s="346">
        <f>CD315</f>
        <v>0</v>
      </c>
      <c r="CF313" s="346">
        <f>CE315</f>
        <v>1488.5</v>
      </c>
      <c r="CG313" s="563"/>
      <c r="CH313" s="346">
        <f>CF315</f>
        <v>1488.7</v>
      </c>
      <c r="CI313" s="346">
        <f>CH315</f>
        <v>1488.7</v>
      </c>
      <c r="CJ313" s="346">
        <f>CI315</f>
        <v>1488.7</v>
      </c>
      <c r="CK313" s="346">
        <f>CJ315</f>
        <v>1488.7</v>
      </c>
      <c r="CL313" s="563"/>
      <c r="CM313" s="346">
        <f>CK315</f>
        <v>1488.7</v>
      </c>
      <c r="CN313" s="346">
        <f>CM315</f>
        <v>1488.7</v>
      </c>
      <c r="CO313" s="346">
        <f>CN315</f>
        <v>1488.7</v>
      </c>
      <c r="CP313" s="346">
        <f>CO315</f>
        <v>1488.7</v>
      </c>
      <c r="CQ313" s="563"/>
      <c r="CR313" s="346">
        <f>CP315</f>
        <v>1488.7</v>
      </c>
      <c r="CS313" s="346">
        <f>CR315</f>
        <v>1488.7</v>
      </c>
      <c r="CT313" s="346">
        <f>CS315</f>
        <v>1488.7</v>
      </c>
      <c r="CU313" s="346">
        <f>CT315</f>
        <v>1488.7</v>
      </c>
      <c r="CV313" s="563"/>
      <c r="CW313" s="346">
        <f>CU315</f>
        <v>1488.7</v>
      </c>
      <c r="CX313" s="346">
        <f>CW315</f>
        <v>1488.7</v>
      </c>
      <c r="CY313" s="346">
        <f>CX315</f>
        <v>1488.7</v>
      </c>
      <c r="CZ313" s="346">
        <f>CY315</f>
        <v>1488.7</v>
      </c>
      <c r="DA313" s="563"/>
      <c r="DB313" s="346">
        <f>CZ315</f>
        <v>1488.7</v>
      </c>
      <c r="DC313" s="346">
        <f>DB315</f>
        <v>1488.7</v>
      </c>
      <c r="DD313" s="346">
        <f>DC315</f>
        <v>1488.7</v>
      </c>
      <c r="DE313" s="346">
        <f>DD315</f>
        <v>1488.7</v>
      </c>
      <c r="DF313" s="563"/>
    </row>
    <row r="314" spans="2:110" x14ac:dyDescent="0.2">
      <c r="B314" s="589" t="s">
        <v>199</v>
      </c>
      <c r="C314" s="359"/>
      <c r="D314" s="359"/>
      <c r="E314" s="359"/>
      <c r="F314" s="359"/>
      <c r="G314" s="359"/>
      <c r="H314" s="359"/>
      <c r="I314" s="359"/>
      <c r="J314" s="359"/>
      <c r="K314" s="359"/>
      <c r="L314" s="359"/>
      <c r="M314" s="359"/>
      <c r="N314" s="359"/>
      <c r="O314" s="359"/>
      <c r="P314" s="359"/>
      <c r="Q314" s="359"/>
      <c r="R314" s="359"/>
      <c r="S314" s="347"/>
      <c r="T314" s="347"/>
      <c r="U314" s="347"/>
      <c r="V314" s="377"/>
      <c r="W314" s="377"/>
      <c r="X314" s="377"/>
      <c r="Y314" s="343"/>
      <c r="Z314" s="347"/>
      <c r="AA314" s="347"/>
      <c r="AB314" s="347"/>
      <c r="AC314" s="347"/>
      <c r="AD314" s="343"/>
      <c r="AE314" s="347"/>
      <c r="AF314" s="347"/>
      <c r="AG314" s="347"/>
      <c r="AH314" s="347"/>
      <c r="AI314" s="343"/>
      <c r="AJ314" s="347"/>
      <c r="AK314" s="347"/>
      <c r="AL314" s="347"/>
      <c r="AM314" s="347"/>
      <c r="AN314" s="343"/>
      <c r="AO314" s="347"/>
      <c r="AP314" s="347"/>
      <c r="AQ314" s="347"/>
      <c r="AR314" s="347"/>
      <c r="AS314" s="343"/>
      <c r="AT314" s="347"/>
      <c r="AU314" s="629"/>
      <c r="AV314" s="642"/>
      <c r="AW314" s="629"/>
      <c r="AX314" s="343"/>
      <c r="AY314" s="347"/>
      <c r="AZ314" s="347"/>
      <c r="BA314" s="347"/>
      <c r="BB314" s="347"/>
      <c r="BC314" s="343"/>
      <c r="BD314" s="347"/>
      <c r="BE314" s="629"/>
      <c r="BF314" s="347"/>
      <c r="BG314" s="347"/>
      <c r="BH314" s="343"/>
      <c r="BI314" s="347"/>
      <c r="BJ314" s="347"/>
      <c r="BK314" s="347"/>
      <c r="BL314" s="348"/>
      <c r="BM314" s="343"/>
      <c r="BN314" s="348"/>
      <c r="BO314" s="347"/>
      <c r="BP314" s="347"/>
      <c r="BQ314" s="347"/>
      <c r="BR314" s="343"/>
      <c r="BS314" s="347"/>
      <c r="BT314" s="347"/>
      <c r="BU314" s="347"/>
      <c r="BV314" s="347"/>
      <c r="BW314" s="343"/>
      <c r="BX314" s="347"/>
      <c r="BY314" s="347"/>
      <c r="BZ314" s="347"/>
      <c r="CA314" s="347"/>
      <c r="CB314" s="585"/>
      <c r="CC314" s="347">
        <v>0</v>
      </c>
      <c r="CD314" s="347">
        <v>0</v>
      </c>
      <c r="CE314" s="347">
        <v>1488.5</v>
      </c>
      <c r="CF314" s="347">
        <v>0.2</v>
      </c>
      <c r="CG314" s="585"/>
      <c r="CH314" s="347">
        <v>0</v>
      </c>
      <c r="CI314" s="347">
        <f>CH314</f>
        <v>0</v>
      </c>
      <c r="CJ314" s="347">
        <f>CI314</f>
        <v>0</v>
      </c>
      <c r="CK314" s="347">
        <f>CJ314</f>
        <v>0</v>
      </c>
      <c r="CL314" s="585"/>
      <c r="CM314" s="347">
        <f>CK314</f>
        <v>0</v>
      </c>
      <c r="CN314" s="347">
        <f>CM314</f>
        <v>0</v>
      </c>
      <c r="CO314" s="347">
        <f>CN314</f>
        <v>0</v>
      </c>
      <c r="CP314" s="347">
        <f>CO314</f>
        <v>0</v>
      </c>
      <c r="CQ314" s="585"/>
      <c r="CR314" s="347">
        <f>CP314</f>
        <v>0</v>
      </c>
      <c r="CS314" s="347">
        <f>CR314</f>
        <v>0</v>
      </c>
      <c r="CT314" s="347">
        <f>CS314</f>
        <v>0</v>
      </c>
      <c r="CU314" s="347">
        <f>CT314</f>
        <v>0</v>
      </c>
      <c r="CV314" s="585"/>
      <c r="CW314" s="347">
        <f>CU314</f>
        <v>0</v>
      </c>
      <c r="CX314" s="347">
        <f>CW314</f>
        <v>0</v>
      </c>
      <c r="CY314" s="347">
        <f>CX314</f>
        <v>0</v>
      </c>
      <c r="CZ314" s="347">
        <f>CY314</f>
        <v>0</v>
      </c>
      <c r="DA314" s="585"/>
      <c r="DB314" s="347">
        <f>CZ314</f>
        <v>0</v>
      </c>
      <c r="DC314" s="347">
        <f>DB314</f>
        <v>0</v>
      </c>
      <c r="DD314" s="347">
        <f>DC314</f>
        <v>0</v>
      </c>
      <c r="DE314" s="347">
        <f>DD314</f>
        <v>0</v>
      </c>
      <c r="DF314" s="585"/>
    </row>
    <row r="315" spans="2:110" x14ac:dyDescent="0.2">
      <c r="B315" s="544" t="s">
        <v>200</v>
      </c>
      <c r="C315" s="145"/>
      <c r="D315" s="145"/>
      <c r="E315" s="145"/>
      <c r="F315" s="145"/>
      <c r="G315" s="145"/>
      <c r="H315" s="145"/>
      <c r="I315" s="145"/>
      <c r="J315" s="145"/>
      <c r="K315" s="145"/>
      <c r="L315" s="145"/>
      <c r="M315" s="145"/>
      <c r="N315" s="145"/>
      <c r="O315" s="145"/>
      <c r="P315" s="145"/>
      <c r="Q315" s="145"/>
      <c r="R315" s="145"/>
      <c r="S315" s="346"/>
      <c r="T315" s="346"/>
      <c r="U315" s="346"/>
      <c r="V315" s="326"/>
      <c r="W315" s="326"/>
      <c r="X315" s="326"/>
      <c r="Y315" s="340"/>
      <c r="Z315" s="346"/>
      <c r="AA315" s="346"/>
      <c r="AB315" s="346"/>
      <c r="AC315" s="346"/>
      <c r="AD315" s="340"/>
      <c r="AE315" s="346"/>
      <c r="AF315" s="346"/>
      <c r="AG315" s="346"/>
      <c r="AH315" s="346"/>
      <c r="AI315" s="340"/>
      <c r="AJ315" s="346"/>
      <c r="AK315" s="346"/>
      <c r="AL315" s="346"/>
      <c r="AM315" s="346"/>
      <c r="AN315" s="340"/>
      <c r="AO315" s="346"/>
      <c r="AP315" s="346"/>
      <c r="AQ315" s="346"/>
      <c r="AR315" s="346"/>
      <c r="AS315" s="340"/>
      <c r="AT315" s="346"/>
      <c r="AU315" s="625"/>
      <c r="AV315" s="625"/>
      <c r="AW315" s="625"/>
      <c r="AX315" s="340"/>
      <c r="AY315" s="346"/>
      <c r="AZ315" s="346"/>
      <c r="BA315" s="346"/>
      <c r="BB315" s="346"/>
      <c r="BC315" s="340"/>
      <c r="BD315" s="346"/>
      <c r="BE315" s="625"/>
      <c r="BF315" s="346"/>
      <c r="BG315" s="346"/>
      <c r="BH315" s="340"/>
      <c r="BI315" s="346"/>
      <c r="BJ315" s="346"/>
      <c r="BK315" s="346"/>
      <c r="BL315" s="346"/>
      <c r="BM315" s="340"/>
      <c r="BN315" s="346"/>
      <c r="BO315" s="346"/>
      <c r="BP315" s="346"/>
      <c r="BQ315" s="346"/>
      <c r="BR315" s="340"/>
      <c r="BS315" s="354"/>
      <c r="BT315" s="354"/>
      <c r="BU315" s="354"/>
      <c r="BV315" s="346"/>
      <c r="BW315" s="340"/>
      <c r="BX315" s="346"/>
      <c r="BY315" s="346"/>
      <c r="BZ315" s="346"/>
      <c r="CA315" s="346"/>
      <c r="CB315" s="563"/>
      <c r="CC315" s="346">
        <f>CC313+CC314</f>
        <v>0</v>
      </c>
      <c r="CD315" s="346">
        <f>CD313+CD314</f>
        <v>0</v>
      </c>
      <c r="CE315" s="346">
        <f>CE313+CE314</f>
        <v>1488.5</v>
      </c>
      <c r="CF315" s="346">
        <f>CF313+CF314</f>
        <v>1488.7</v>
      </c>
      <c r="CG315" s="563"/>
      <c r="CH315" s="346">
        <f>CH313+CH314</f>
        <v>1488.7</v>
      </c>
      <c r="CI315" s="346">
        <f>CI313+CI314</f>
        <v>1488.7</v>
      </c>
      <c r="CJ315" s="346">
        <f>CJ313+CJ314</f>
        <v>1488.7</v>
      </c>
      <c r="CK315" s="346">
        <f>CK313+CK314</f>
        <v>1488.7</v>
      </c>
      <c r="CL315" s="563"/>
      <c r="CM315" s="346">
        <f>CM313+CM314</f>
        <v>1488.7</v>
      </c>
      <c r="CN315" s="346">
        <f>CN313+CN314</f>
        <v>1488.7</v>
      </c>
      <c r="CO315" s="346">
        <f>CO313+CO314</f>
        <v>1488.7</v>
      </c>
      <c r="CP315" s="346">
        <f>CP313+CP314</f>
        <v>1488.7</v>
      </c>
      <c r="CQ315" s="563"/>
      <c r="CR315" s="346">
        <f>CR313+CR314</f>
        <v>1488.7</v>
      </c>
      <c r="CS315" s="346">
        <f>CS313+CS314</f>
        <v>1488.7</v>
      </c>
      <c r="CT315" s="346">
        <f>CT313+CT314</f>
        <v>1488.7</v>
      </c>
      <c r="CU315" s="346">
        <f>CU313+CU314</f>
        <v>1488.7</v>
      </c>
      <c r="CV315" s="563"/>
      <c r="CW315" s="346">
        <f>CW313+CW314</f>
        <v>1488.7</v>
      </c>
      <c r="CX315" s="346">
        <f>CX313+CX314</f>
        <v>1488.7</v>
      </c>
      <c r="CY315" s="346">
        <f>CY313+CY314</f>
        <v>1488.7</v>
      </c>
      <c r="CZ315" s="346">
        <f>CZ313+CZ314</f>
        <v>1488.7</v>
      </c>
      <c r="DA315" s="563"/>
      <c r="DB315" s="346">
        <f>DB313+DB314</f>
        <v>1488.7</v>
      </c>
      <c r="DC315" s="346">
        <f>DC313+DC314</f>
        <v>1488.7</v>
      </c>
      <c r="DD315" s="346">
        <f>DD313+DD314</f>
        <v>1488.7</v>
      </c>
      <c r="DE315" s="346">
        <f>DE313+DE314</f>
        <v>1488.7</v>
      </c>
      <c r="DF315" s="563"/>
    </row>
    <row r="316" spans="2:110" x14ac:dyDescent="0.2">
      <c r="B316" s="536" t="s">
        <v>201</v>
      </c>
      <c r="C316" s="145"/>
      <c r="D316" s="145"/>
      <c r="E316" s="145"/>
      <c r="F316" s="145"/>
      <c r="G316" s="145"/>
      <c r="H316" s="145"/>
      <c r="I316" s="145"/>
      <c r="J316" s="145"/>
      <c r="K316" s="145"/>
      <c r="L316" s="145"/>
      <c r="M316" s="145"/>
      <c r="N316" s="145"/>
      <c r="O316" s="145"/>
      <c r="P316" s="145"/>
      <c r="Q316" s="145"/>
      <c r="R316" s="145"/>
      <c r="S316" s="346"/>
      <c r="T316" s="346"/>
      <c r="U316" s="346"/>
      <c r="V316" s="326"/>
      <c r="W316" s="326"/>
      <c r="X316" s="326"/>
      <c r="Y316" s="340"/>
      <c r="Z316" s="346"/>
      <c r="AA316" s="346"/>
      <c r="AB316" s="346"/>
      <c r="AC316" s="346"/>
      <c r="AD316" s="340"/>
      <c r="AE316" s="346"/>
      <c r="AF316" s="346"/>
      <c r="AG316" s="346"/>
      <c r="AH316" s="346"/>
      <c r="AI316" s="340"/>
      <c r="AJ316" s="346"/>
      <c r="AK316" s="346"/>
      <c r="AL316" s="346"/>
      <c r="AM316" s="346"/>
      <c r="AN316" s="340"/>
      <c r="AO316" s="346"/>
      <c r="AP316" s="346"/>
      <c r="AQ316" s="346"/>
      <c r="AR316" s="346"/>
      <c r="AS316" s="340"/>
      <c r="AT316" s="346"/>
      <c r="AU316" s="625"/>
      <c r="AV316" s="625"/>
      <c r="AW316" s="625"/>
      <c r="AX316" s="340"/>
      <c r="AY316" s="346"/>
      <c r="AZ316" s="346"/>
      <c r="BA316" s="346"/>
      <c r="BB316" s="346"/>
      <c r="BC316" s="340"/>
      <c r="BD316" s="346"/>
      <c r="BE316" s="625"/>
      <c r="BF316" s="346"/>
      <c r="BG316" s="346"/>
      <c r="BH316" s="340"/>
      <c r="BI316" s="346"/>
      <c r="BJ316" s="346"/>
      <c r="BK316" s="346"/>
      <c r="BL316" s="346"/>
      <c r="BM316" s="340"/>
      <c r="BN316" s="346"/>
      <c r="BO316" s="346"/>
      <c r="BP316" s="346"/>
      <c r="BQ316" s="346"/>
      <c r="BR316" s="340"/>
      <c r="BS316" s="346"/>
      <c r="BT316" s="346"/>
      <c r="BU316" s="346"/>
      <c r="BV316" s="346"/>
      <c r="BW316" s="340"/>
      <c r="BX316" s="346"/>
      <c r="BY316" s="346"/>
      <c r="BZ316" s="346"/>
      <c r="CA316" s="346"/>
      <c r="CB316" s="563"/>
      <c r="CC316" s="346">
        <f>CC312-CC315</f>
        <v>0</v>
      </c>
      <c r="CD316" s="346">
        <f>CD312-CD315</f>
        <v>0</v>
      </c>
      <c r="CE316" s="346">
        <f>CE312-CE315</f>
        <v>-1488.5</v>
      </c>
      <c r="CF316" s="346">
        <f>CF312-CF315</f>
        <v>-1488.7</v>
      </c>
      <c r="CG316" s="563"/>
      <c r="CH316" s="346">
        <f>CH312-CH315</f>
        <v>-1488.7</v>
      </c>
      <c r="CI316" s="346">
        <f>CI312-CI315</f>
        <v>-1488.7</v>
      </c>
      <c r="CJ316" s="346">
        <f>CJ312-CJ315</f>
        <v>-1488.7</v>
      </c>
      <c r="CK316" s="346">
        <f>CK312-CK315</f>
        <v>-1488.7</v>
      </c>
      <c r="CL316" s="563"/>
      <c r="CM316" s="346">
        <f>CM312-CM315</f>
        <v>-1488.7</v>
      </c>
      <c r="CN316" s="346">
        <f>CN312-CN315</f>
        <v>-1488.7</v>
      </c>
      <c r="CO316" s="346">
        <f>CO312-CO315</f>
        <v>-1488.7</v>
      </c>
      <c r="CP316" s="346">
        <f>CP312-CP315</f>
        <v>-1488.7</v>
      </c>
      <c r="CQ316" s="563"/>
      <c r="CR316" s="346">
        <f>CR312-CR315</f>
        <v>-1488.7</v>
      </c>
      <c r="CS316" s="346">
        <f>CS312-CS315</f>
        <v>-1488.7</v>
      </c>
      <c r="CT316" s="346">
        <f>CT312-CT315</f>
        <v>-1488.7</v>
      </c>
      <c r="CU316" s="346">
        <f>CU312-CU315</f>
        <v>-1488.7</v>
      </c>
      <c r="CV316" s="563"/>
      <c r="CW316" s="346">
        <f>CW312-CW315</f>
        <v>-1488.7</v>
      </c>
      <c r="CX316" s="346">
        <f>CX312-CX315</f>
        <v>-1488.7</v>
      </c>
      <c r="CY316" s="346">
        <f>CY312-CY315</f>
        <v>-1488.7</v>
      </c>
      <c r="CZ316" s="346">
        <f>CZ312-CZ315</f>
        <v>-1488.7</v>
      </c>
      <c r="DA316" s="563"/>
      <c r="DB316" s="346">
        <f>DB312-DB315</f>
        <v>-1488.7</v>
      </c>
      <c r="DC316" s="346">
        <f>DC312-DC315</f>
        <v>-1488.7</v>
      </c>
      <c r="DD316" s="346">
        <f>DD312-DD315</f>
        <v>-1488.7</v>
      </c>
      <c r="DE316" s="346">
        <f>DE312-DE315</f>
        <v>-1488.7</v>
      </c>
      <c r="DF316" s="563"/>
    </row>
    <row r="317" spans="2:110" x14ac:dyDescent="0.2">
      <c r="B317" s="544" t="s">
        <v>206</v>
      </c>
      <c r="C317" s="145"/>
      <c r="D317" s="145"/>
      <c r="E317" s="145"/>
      <c r="F317" s="145"/>
      <c r="G317" s="145"/>
      <c r="H317" s="145"/>
      <c r="I317" s="145"/>
      <c r="J317" s="145"/>
      <c r="K317" s="145"/>
      <c r="L317" s="145"/>
      <c r="M317" s="145"/>
      <c r="N317" s="145"/>
      <c r="O317" s="145"/>
      <c r="P317" s="145"/>
      <c r="Q317" s="145"/>
      <c r="R317" s="145"/>
      <c r="S317" s="346"/>
      <c r="T317" s="346"/>
      <c r="U317" s="346"/>
      <c r="V317" s="326"/>
      <c r="W317" s="326"/>
      <c r="X317" s="326"/>
      <c r="Y317" s="340"/>
      <c r="Z317" s="346"/>
      <c r="AA317" s="346"/>
      <c r="AB317" s="346"/>
      <c r="AC317" s="346"/>
      <c r="AD317" s="340"/>
      <c r="AE317" s="346"/>
      <c r="AF317" s="346"/>
      <c r="AG317" s="346"/>
      <c r="AH317" s="346"/>
      <c r="AI317" s="340"/>
      <c r="AJ317" s="346"/>
      <c r="AK317" s="346"/>
      <c r="AL317" s="346"/>
      <c r="AM317" s="346"/>
      <c r="AN317" s="340"/>
      <c r="AO317" s="346"/>
      <c r="AP317" s="346"/>
      <c r="AQ317" s="346"/>
      <c r="AR317" s="346"/>
      <c r="AS317" s="340"/>
      <c r="AT317" s="346"/>
      <c r="AU317" s="625"/>
      <c r="AV317" s="625"/>
      <c r="AW317" s="625"/>
      <c r="AX317" s="340"/>
      <c r="AY317" s="346"/>
      <c r="AZ317" s="346"/>
      <c r="BA317" s="346"/>
      <c r="BB317" s="346"/>
      <c r="BC317" s="340"/>
      <c r="BD317" s="346"/>
      <c r="BE317" s="625"/>
      <c r="BF317" s="346"/>
      <c r="BG317" s="346"/>
      <c r="BH317" s="340"/>
      <c r="BI317" s="346"/>
      <c r="BJ317" s="346"/>
      <c r="BK317" s="346"/>
      <c r="BL317" s="346"/>
      <c r="BM317" s="340"/>
      <c r="BN317" s="346"/>
      <c r="BO317" s="346"/>
      <c r="BP317" s="346"/>
      <c r="BQ317" s="346"/>
      <c r="BR317" s="340"/>
      <c r="BS317" s="346"/>
      <c r="BT317" s="346"/>
      <c r="BU317" s="346"/>
      <c r="BV317" s="346"/>
      <c r="BW317" s="340"/>
      <c r="BX317" s="346"/>
      <c r="BY317" s="346"/>
      <c r="BZ317" s="346"/>
      <c r="CA317" s="346"/>
      <c r="CB317" s="563"/>
      <c r="CC317" s="346">
        <f>-(AVERAGE(CC315,CC313))*(CC311/4)</f>
        <v>0</v>
      </c>
      <c r="CD317" s="346">
        <f>-(AVERAGE(CD315,CD313))*(CD311/4)</f>
        <v>0</v>
      </c>
      <c r="CE317" s="346">
        <f>-(AVERAGE(CE315,CE313))*(CE311/4)</f>
        <v>-6.3261250000000002</v>
      </c>
      <c r="CF317" s="346">
        <f>-(AVERAGE(CF315,CF313))*(CF311/4)</f>
        <v>-12.6531</v>
      </c>
      <c r="CG317" s="563"/>
      <c r="CH317" s="346">
        <f>-(AVERAGE(CH315,CH313))*(CH311/4)</f>
        <v>-12.653950000000002</v>
      </c>
      <c r="CI317" s="346">
        <f>-(AVERAGE(CI315,CI313))*(CI311/4)</f>
        <v>-12.653950000000002</v>
      </c>
      <c r="CJ317" s="346">
        <f>-(AVERAGE(CJ315,CJ313))*(CJ311/4)</f>
        <v>-12.653950000000002</v>
      </c>
      <c r="CK317" s="346">
        <f>-(AVERAGE(CK315,CK313))*(CK311/4)</f>
        <v>-12.653950000000002</v>
      </c>
      <c r="CL317" s="563"/>
      <c r="CM317" s="346">
        <f>-(AVERAGE(CM315,CM313))*(CM311/4)</f>
        <v>-12.653950000000002</v>
      </c>
      <c r="CN317" s="346">
        <f>-(AVERAGE(CN315,CN313))*(CN311/4)</f>
        <v>-12.653950000000002</v>
      </c>
      <c r="CO317" s="346">
        <f>-(AVERAGE(CO315,CO313))*(CO311/4)</f>
        <v>-12.653950000000002</v>
      </c>
      <c r="CP317" s="346">
        <f>-(AVERAGE(CP315,CP313))*(CP311/4)</f>
        <v>-12.653950000000002</v>
      </c>
      <c r="CQ317" s="563"/>
      <c r="CR317" s="346">
        <f>-(AVERAGE(CR315,CR313))*(CR311/4)</f>
        <v>-12.653950000000002</v>
      </c>
      <c r="CS317" s="346">
        <f>-(AVERAGE(CS315,CS313))*(CS311/4)</f>
        <v>-12.653950000000002</v>
      </c>
      <c r="CT317" s="346">
        <f>-(AVERAGE(CT315,CT313))*(CT311/4)</f>
        <v>-12.653950000000002</v>
      </c>
      <c r="CU317" s="346">
        <f>-(AVERAGE(CU315,CU313))*(CU311/4)</f>
        <v>-12.653950000000002</v>
      </c>
      <c r="CV317" s="563"/>
      <c r="CW317" s="346">
        <f>-(AVERAGE(CW315,CW313))*(CW311/4)</f>
        <v>-12.653950000000002</v>
      </c>
      <c r="CX317" s="346">
        <f>-(AVERAGE(CX315,CX313))*(CX311/4)</f>
        <v>-12.653950000000002</v>
      </c>
      <c r="CY317" s="346">
        <f>-(AVERAGE(CY315,CY313))*(CY311/4)</f>
        <v>-12.653950000000002</v>
      </c>
      <c r="CZ317" s="346">
        <f>-(AVERAGE(CZ315,CZ313))*(CZ311/4)</f>
        <v>-12.653950000000002</v>
      </c>
      <c r="DA317" s="563"/>
      <c r="DB317" s="346">
        <f>-(AVERAGE(DB315,DB313))*(DB311/4)</f>
        <v>-12.653950000000002</v>
      </c>
      <c r="DC317" s="346">
        <f>-(AVERAGE(DC315,DC313))*(DC311/4)</f>
        <v>-12.653950000000002</v>
      </c>
      <c r="DD317" s="346">
        <f>-(AVERAGE(DD315,DD313))*(DD311/4)</f>
        <v>-12.653950000000002</v>
      </c>
      <c r="DE317" s="346">
        <f>-(AVERAGE(DE315,DE313))*(DE311/4)</f>
        <v>-12.653950000000002</v>
      </c>
      <c r="DF317" s="563"/>
    </row>
    <row r="318" spans="2:110" ht="12" thickBot="1" x14ac:dyDescent="0.25">
      <c r="B318" s="548" t="s">
        <v>207</v>
      </c>
      <c r="C318" s="205"/>
      <c r="D318" s="205"/>
      <c r="E318" s="205"/>
      <c r="F318" s="205"/>
      <c r="G318" s="205"/>
      <c r="H318" s="205"/>
      <c r="I318" s="205"/>
      <c r="J318" s="205"/>
      <c r="K318" s="205"/>
      <c r="L318" s="205"/>
      <c r="M318" s="205"/>
      <c r="N318" s="205"/>
      <c r="O318" s="205"/>
      <c r="P318" s="205"/>
      <c r="Q318" s="205"/>
      <c r="R318" s="205"/>
      <c r="S318" s="549"/>
      <c r="T318" s="549"/>
      <c r="U318" s="549"/>
      <c r="V318" s="327"/>
      <c r="W318" s="327"/>
      <c r="X318" s="327"/>
      <c r="Y318" s="550"/>
      <c r="Z318" s="549"/>
      <c r="AA318" s="549"/>
      <c r="AB318" s="549"/>
      <c r="AC318" s="549"/>
      <c r="AD318" s="550"/>
      <c r="AE318" s="549"/>
      <c r="AF318" s="549"/>
      <c r="AG318" s="549"/>
      <c r="AH318" s="549"/>
      <c r="AI318" s="550"/>
      <c r="AJ318" s="549"/>
      <c r="AK318" s="549"/>
      <c r="AL318" s="549"/>
      <c r="AM318" s="549"/>
      <c r="AN318" s="550"/>
      <c r="AO318" s="549"/>
      <c r="AP318" s="549"/>
      <c r="AQ318" s="549"/>
      <c r="AR318" s="549"/>
      <c r="AS318" s="550"/>
      <c r="AT318" s="549"/>
      <c r="AU318" s="549"/>
      <c r="AV318" s="549"/>
      <c r="AW318" s="549"/>
      <c r="AX318" s="550"/>
      <c r="AY318" s="549"/>
      <c r="AZ318" s="549"/>
      <c r="BA318" s="549"/>
      <c r="BB318" s="549"/>
      <c r="BC318" s="550"/>
      <c r="BD318" s="549"/>
      <c r="BE318" s="549"/>
      <c r="BF318" s="549"/>
      <c r="BG318" s="549"/>
      <c r="BH318" s="550"/>
      <c r="BI318" s="549"/>
      <c r="BJ318" s="549"/>
      <c r="BK318" s="549"/>
      <c r="BL318" s="549"/>
      <c r="BM318" s="550"/>
      <c r="BN318" s="549"/>
      <c r="BO318" s="549"/>
      <c r="BP318" s="549"/>
      <c r="BQ318" s="549"/>
      <c r="BR318" s="550"/>
      <c r="BS318" s="549"/>
      <c r="BT318" s="549"/>
      <c r="BU318" s="549"/>
      <c r="BV318" s="549"/>
      <c r="BW318" s="550"/>
      <c r="BX318" s="549"/>
      <c r="BY318" s="549"/>
      <c r="BZ318" s="549"/>
      <c r="CA318" s="549"/>
      <c r="CB318" s="565"/>
      <c r="CC318" s="549">
        <f>-CC310*CC316/4</f>
        <v>0</v>
      </c>
      <c r="CD318" s="549">
        <f>-CD310*CD316/4</f>
        <v>0</v>
      </c>
      <c r="CE318" s="549">
        <f>-CE310*CE316/4</f>
        <v>0</v>
      </c>
      <c r="CF318" s="549">
        <f>-CF310*CF316/4</f>
        <v>0</v>
      </c>
      <c r="CG318" s="565"/>
      <c r="CH318" s="549">
        <f>-CH310*CH316/4</f>
        <v>0</v>
      </c>
      <c r="CI318" s="549">
        <f>-CI310*CI316/4</f>
        <v>0</v>
      </c>
      <c r="CJ318" s="549">
        <f>-CJ310*CJ316/4</f>
        <v>0</v>
      </c>
      <c r="CK318" s="549">
        <f>-CK310*CK316/4</f>
        <v>0</v>
      </c>
      <c r="CL318" s="565"/>
      <c r="CM318" s="549">
        <f>-CM310*CM316/4</f>
        <v>0</v>
      </c>
      <c r="CN318" s="549">
        <f>-CN310*CN316/4</f>
        <v>0</v>
      </c>
      <c r="CO318" s="549">
        <f>-CO310*CO316/4</f>
        <v>0</v>
      </c>
      <c r="CP318" s="549">
        <f>-CP310*CP316/4</f>
        <v>0</v>
      </c>
      <c r="CQ318" s="565"/>
      <c r="CR318" s="549">
        <f>-CR310*CR316/4</f>
        <v>0</v>
      </c>
      <c r="CS318" s="549">
        <f>-CS310*CS316/4</f>
        <v>0</v>
      </c>
      <c r="CT318" s="549">
        <f>-CT310*CT316/4</f>
        <v>0</v>
      </c>
      <c r="CU318" s="549">
        <f>-CU310*CU316/4</f>
        <v>0</v>
      </c>
      <c r="CV318" s="565"/>
      <c r="CW318" s="549">
        <f>-CW310*CW316/4</f>
        <v>0</v>
      </c>
      <c r="CX318" s="549">
        <f>-CX310*CX316/4</f>
        <v>0</v>
      </c>
      <c r="CY318" s="549">
        <f>-CY310*CY316/4</f>
        <v>0</v>
      </c>
      <c r="CZ318" s="549">
        <f>-CZ310*CZ316/4</f>
        <v>0</v>
      </c>
      <c r="DA318" s="565"/>
      <c r="DB318" s="549">
        <f>-DB310*DB316/4</f>
        <v>0</v>
      </c>
      <c r="DC318" s="549">
        <f>-DC310*DC316/4</f>
        <v>0</v>
      </c>
      <c r="DD318" s="549">
        <f>-DD310*DD316/4</f>
        <v>0</v>
      </c>
      <c r="DE318" s="549">
        <f>-DE310*DE316/4</f>
        <v>0</v>
      </c>
      <c r="DF318" s="565"/>
    </row>
    <row r="319" spans="2:110" ht="12" thickBot="1" x14ac:dyDescent="0.25">
      <c r="B319" s="355"/>
      <c r="C319" s="145"/>
      <c r="D319" s="145"/>
      <c r="E319" s="145"/>
      <c r="F319" s="145"/>
      <c r="G319" s="145"/>
      <c r="H319" s="145"/>
      <c r="I319" s="145"/>
      <c r="J319" s="145"/>
      <c r="K319" s="145"/>
      <c r="L319" s="145"/>
      <c r="M319" s="145"/>
      <c r="N319" s="145"/>
      <c r="O319" s="145"/>
      <c r="P319" s="145"/>
      <c r="Q319" s="145"/>
      <c r="R319" s="145"/>
      <c r="S319" s="346"/>
      <c r="T319" s="346"/>
      <c r="U319" s="346"/>
      <c r="V319" s="326"/>
      <c r="W319" s="326"/>
      <c r="X319" s="326"/>
      <c r="Y319" s="346"/>
      <c r="Z319" s="346"/>
      <c r="AA319" s="346"/>
      <c r="AB319" s="346"/>
      <c r="AC319" s="346"/>
      <c r="AD319" s="346"/>
      <c r="AE319" s="346"/>
      <c r="AF319" s="346"/>
      <c r="AG319" s="346"/>
      <c r="AH319" s="346"/>
      <c r="AI319" s="346"/>
      <c r="AJ319" s="346"/>
      <c r="AK319" s="346"/>
      <c r="AL319" s="346"/>
      <c r="AM319" s="346"/>
      <c r="AN319" s="346"/>
      <c r="AO319" s="346"/>
      <c r="AP319" s="346"/>
      <c r="AQ319" s="346"/>
      <c r="AR319" s="346"/>
      <c r="AS319" s="346"/>
      <c r="AT319" s="346"/>
      <c r="AU319" s="346"/>
      <c r="AV319" s="346"/>
      <c r="AW319" s="346"/>
      <c r="AX319" s="346"/>
      <c r="AY319" s="346"/>
      <c r="AZ319" s="346"/>
      <c r="BA319" s="346"/>
      <c r="BB319" s="346"/>
      <c r="BC319" s="346"/>
      <c r="BD319" s="346"/>
      <c r="BE319" s="346"/>
      <c r="BF319" s="346"/>
      <c r="BG319" s="346"/>
      <c r="BH319" s="346"/>
      <c r="BI319" s="346"/>
      <c r="BJ319" s="346"/>
      <c r="BK319" s="346"/>
      <c r="BL319" s="346"/>
      <c r="BM319" s="346"/>
      <c r="BN319" s="346"/>
      <c r="BO319" s="346"/>
      <c r="BP319" s="346"/>
      <c r="BQ319" s="346"/>
      <c r="BR319" s="346"/>
      <c r="BS319" s="346"/>
      <c r="BT319" s="346"/>
      <c r="BU319" s="346"/>
      <c r="BV319" s="346"/>
      <c r="BW319" s="346"/>
      <c r="BX319" s="346"/>
      <c r="BY319" s="346"/>
      <c r="BZ319" s="346"/>
      <c r="CA319" s="346"/>
      <c r="CB319" s="346"/>
      <c r="CC319" s="346"/>
      <c r="CD319" s="346"/>
      <c r="CE319" s="346"/>
      <c r="CF319" s="346"/>
      <c r="CG319" s="346"/>
      <c r="CH319" s="346"/>
      <c r="CI319" s="346"/>
      <c r="CJ319" s="346"/>
      <c r="CK319" s="346"/>
      <c r="CL319" s="346"/>
      <c r="CM319" s="346"/>
      <c r="CN319" s="346"/>
      <c r="CO319" s="346"/>
      <c r="CP319" s="346"/>
      <c r="CQ319" s="346"/>
      <c r="CR319" s="346"/>
      <c r="CS319" s="346"/>
      <c r="CT319" s="346"/>
      <c r="CU319" s="346"/>
      <c r="CV319" s="346"/>
      <c r="CW319" s="346"/>
      <c r="CX319" s="346"/>
      <c r="CY319" s="346"/>
      <c r="CZ319" s="346"/>
      <c r="DA319" s="346"/>
      <c r="DB319" s="346"/>
      <c r="DC319" s="346"/>
      <c r="DD319" s="346"/>
      <c r="DE319" s="346"/>
      <c r="DF319" s="346"/>
    </row>
    <row r="320" spans="2:110" s="326" customFormat="1" ht="12" thickBot="1" x14ac:dyDescent="0.25">
      <c r="B320" s="981" t="s">
        <v>697</v>
      </c>
      <c r="C320" s="989"/>
      <c r="D320" s="989"/>
      <c r="E320" s="989"/>
      <c r="F320" s="989"/>
      <c r="G320" s="989"/>
      <c r="H320" s="989"/>
      <c r="I320" s="989"/>
      <c r="J320" s="989"/>
      <c r="K320" s="989"/>
      <c r="L320" s="989"/>
      <c r="M320" s="989"/>
      <c r="N320" s="989"/>
      <c r="O320" s="989"/>
      <c r="P320" s="989"/>
      <c r="Q320" s="989"/>
      <c r="R320" s="989"/>
      <c r="S320" s="990"/>
      <c r="T320" s="990"/>
      <c r="U320" s="990"/>
      <c r="V320" s="991"/>
      <c r="W320" s="991"/>
      <c r="X320" s="991"/>
      <c r="Y320" s="990"/>
      <c r="Z320" s="990"/>
      <c r="AA320" s="990"/>
      <c r="AB320" s="990"/>
      <c r="AC320" s="990"/>
      <c r="AD320" s="990"/>
      <c r="AE320" s="990"/>
      <c r="AF320" s="990"/>
      <c r="AG320" s="990"/>
      <c r="AH320" s="990"/>
      <c r="AI320" s="990"/>
      <c r="AJ320" s="990"/>
      <c r="AK320" s="990"/>
      <c r="AL320" s="990"/>
      <c r="AM320" s="990"/>
      <c r="AN320" s="990"/>
      <c r="AO320" s="990"/>
      <c r="AP320" s="990"/>
      <c r="AQ320" s="990"/>
      <c r="AR320" s="990"/>
      <c r="AS320" s="990"/>
      <c r="AT320" s="990"/>
      <c r="AU320" s="990"/>
      <c r="AV320" s="990"/>
      <c r="AW320" s="990"/>
      <c r="AX320" s="990"/>
      <c r="AY320" s="990"/>
      <c r="AZ320" s="990"/>
      <c r="BA320" s="990"/>
      <c r="BB320" s="990"/>
      <c r="BC320" s="990"/>
      <c r="BD320" s="990"/>
      <c r="BE320" s="990"/>
      <c r="BF320" s="990"/>
      <c r="BG320" s="990"/>
      <c r="BH320" s="990"/>
      <c r="BI320" s="990"/>
      <c r="BJ320" s="990"/>
      <c r="BK320" s="990"/>
      <c r="BL320" s="990"/>
      <c r="BM320" s="990"/>
      <c r="BN320" s="990"/>
      <c r="BO320" s="990"/>
      <c r="BP320" s="990"/>
      <c r="BQ320" s="990"/>
      <c r="BR320" s="990"/>
      <c r="BS320" s="990"/>
      <c r="BT320" s="990"/>
      <c r="BU320" s="990"/>
      <c r="BV320" s="990"/>
      <c r="BW320" s="990"/>
      <c r="BX320" s="990"/>
      <c r="BY320" s="990"/>
      <c r="BZ320" s="990"/>
      <c r="CA320" s="990"/>
      <c r="CB320" s="992"/>
      <c r="CC320" s="990"/>
      <c r="CD320" s="990"/>
      <c r="CE320" s="990"/>
      <c r="CF320" s="990"/>
      <c r="CG320" s="992"/>
      <c r="CH320" s="990"/>
      <c r="CI320" s="990"/>
      <c r="CJ320" s="990"/>
      <c r="CK320" s="990"/>
      <c r="CL320" s="992"/>
      <c r="CM320" s="990"/>
      <c r="CN320" s="990"/>
      <c r="CO320" s="990"/>
      <c r="CP320" s="990"/>
      <c r="CQ320" s="992"/>
      <c r="CR320" s="990"/>
      <c r="CS320" s="990"/>
      <c r="CT320" s="990"/>
      <c r="CU320" s="990"/>
      <c r="CV320" s="992"/>
      <c r="CW320" s="990"/>
      <c r="CX320" s="990"/>
      <c r="CY320" s="990"/>
      <c r="CZ320" s="990"/>
      <c r="DA320" s="992"/>
      <c r="DB320" s="990"/>
      <c r="DC320" s="990"/>
      <c r="DD320" s="990"/>
      <c r="DE320" s="990"/>
      <c r="DF320" s="992"/>
    </row>
    <row r="321" spans="1:110" x14ac:dyDescent="0.2">
      <c r="B321" s="591" t="s">
        <v>203</v>
      </c>
      <c r="C321" s="561"/>
      <c r="D321" s="561"/>
      <c r="E321" s="561"/>
      <c r="F321" s="561"/>
      <c r="G321" s="561"/>
      <c r="H321" s="561"/>
      <c r="I321" s="561"/>
      <c r="J321" s="561"/>
      <c r="K321" s="561"/>
      <c r="L321" s="561"/>
      <c r="M321" s="561"/>
      <c r="N321" s="561"/>
      <c r="O321" s="561"/>
      <c r="P321" s="561"/>
      <c r="Q321" s="561"/>
      <c r="R321" s="561"/>
      <c r="S321" s="531"/>
      <c r="T321" s="531"/>
      <c r="U321" s="531"/>
      <c r="V321" s="577"/>
      <c r="W321" s="577"/>
      <c r="X321" s="577"/>
      <c r="Y321" s="532"/>
      <c r="Z321" s="531"/>
      <c r="AA321" s="531"/>
      <c r="AB321" s="531"/>
      <c r="AC321" s="531"/>
      <c r="AD321" s="532"/>
      <c r="AE321" s="531"/>
      <c r="AF321" s="531"/>
      <c r="AG321" s="531"/>
      <c r="AH321" s="531"/>
      <c r="AI321" s="532"/>
      <c r="AJ321" s="531"/>
      <c r="AK321" s="531"/>
      <c r="AL321" s="531"/>
      <c r="AM321" s="531"/>
      <c r="AN321" s="532"/>
      <c r="AO321" s="531"/>
      <c r="AP321" s="531"/>
      <c r="AQ321" s="531"/>
      <c r="AR321" s="531"/>
      <c r="AS321" s="532"/>
      <c r="AT321" s="531"/>
      <c r="AU321" s="588"/>
      <c r="AV321" s="54"/>
      <c r="AW321" s="54"/>
      <c r="AX321" s="532"/>
      <c r="AY321" s="54"/>
      <c r="AZ321" s="54"/>
      <c r="BA321" s="54"/>
      <c r="BB321" s="54"/>
      <c r="BC321" s="532"/>
      <c r="BD321" s="54"/>
      <c r="BE321" s="588"/>
      <c r="BF321" s="54"/>
      <c r="BG321" s="54"/>
      <c r="BH321" s="532"/>
      <c r="BI321" s="54"/>
      <c r="BJ321" s="54"/>
      <c r="BK321" s="54"/>
      <c r="BL321" s="54"/>
      <c r="BM321" s="532"/>
      <c r="BN321" s="54"/>
      <c r="BO321" s="54"/>
      <c r="BP321" s="54"/>
      <c r="BQ321" s="54"/>
      <c r="BR321" s="532"/>
      <c r="BS321" s="54"/>
      <c r="BT321" s="54"/>
      <c r="BU321" s="54"/>
      <c r="BV321" s="54"/>
      <c r="BW321" s="532"/>
      <c r="BX321" s="54"/>
      <c r="BY321" s="54"/>
      <c r="BZ321" s="54"/>
      <c r="CA321" s="54"/>
      <c r="CB321" s="562"/>
      <c r="CC321" s="54">
        <f>CA321</f>
        <v>0</v>
      </c>
      <c r="CD321" s="54">
        <f t="shared" ref="CD321:CD323" si="516">CC321</f>
        <v>0</v>
      </c>
      <c r="CE321" s="54">
        <f t="shared" ref="CE321:CE323" si="517">CD321</f>
        <v>0</v>
      </c>
      <c r="CF321" s="54">
        <f t="shared" ref="CF321:CF323" si="518">CE321</f>
        <v>0</v>
      </c>
      <c r="CG321" s="562"/>
      <c r="CH321" s="54">
        <f>CF321</f>
        <v>0</v>
      </c>
      <c r="CI321" s="54">
        <f t="shared" ref="CI321:CI323" si="519">CH321</f>
        <v>0</v>
      </c>
      <c r="CJ321" s="54">
        <f t="shared" ref="CJ321:CJ323" si="520">CI321</f>
        <v>0</v>
      </c>
      <c r="CK321" s="54">
        <f t="shared" ref="CK321:CK323" si="521">CJ321</f>
        <v>0</v>
      </c>
      <c r="CL321" s="562"/>
      <c r="CM321" s="54">
        <f>CK321</f>
        <v>0</v>
      </c>
      <c r="CN321" s="54">
        <f t="shared" ref="CN321:CN323" si="522">CM321</f>
        <v>0</v>
      </c>
      <c r="CO321" s="54">
        <f t="shared" ref="CO321:CO323" si="523">CN321</f>
        <v>0</v>
      </c>
      <c r="CP321" s="54">
        <f t="shared" ref="CP321:CP323" si="524">CO321</f>
        <v>0</v>
      </c>
      <c r="CQ321" s="562"/>
      <c r="CR321" s="54">
        <f>CP321</f>
        <v>0</v>
      </c>
      <c r="CS321" s="54">
        <f t="shared" ref="CS321:CS323" si="525">CR321</f>
        <v>0</v>
      </c>
      <c r="CT321" s="54">
        <f t="shared" ref="CT321:CT323" si="526">CS321</f>
        <v>0</v>
      </c>
      <c r="CU321" s="54">
        <f t="shared" ref="CU321:CU323" si="527">CT321</f>
        <v>0</v>
      </c>
      <c r="CV321" s="562"/>
      <c r="CW321" s="54">
        <f>CU321</f>
        <v>0</v>
      </c>
      <c r="CX321" s="54">
        <f t="shared" ref="CX321:CX323" si="528">CW321</f>
        <v>0</v>
      </c>
      <c r="CY321" s="54">
        <f t="shared" ref="CY321:CY323" si="529">CX321</f>
        <v>0</v>
      </c>
      <c r="CZ321" s="54">
        <f t="shared" ref="CZ321:CZ323" si="530">CY321</f>
        <v>0</v>
      </c>
      <c r="DA321" s="562"/>
      <c r="DB321" s="54">
        <f>CZ321</f>
        <v>0</v>
      </c>
      <c r="DC321" s="54">
        <f t="shared" ref="DC321:DC323" si="531">DB321</f>
        <v>0</v>
      </c>
      <c r="DD321" s="54">
        <f t="shared" ref="DD321:DD323" si="532">DC321</f>
        <v>0</v>
      </c>
      <c r="DE321" s="54">
        <f t="shared" ref="DE321:DE323" si="533">DD321</f>
        <v>0</v>
      </c>
      <c r="DF321" s="562"/>
    </row>
    <row r="322" spans="1:110" x14ac:dyDescent="0.2">
      <c r="B322" s="578" t="s">
        <v>204</v>
      </c>
      <c r="C322" s="145"/>
      <c r="D322" s="145"/>
      <c r="E322" s="145"/>
      <c r="F322" s="145"/>
      <c r="G322" s="145"/>
      <c r="H322" s="145"/>
      <c r="I322" s="145"/>
      <c r="J322" s="145"/>
      <c r="K322" s="145"/>
      <c r="L322" s="145"/>
      <c r="M322" s="145"/>
      <c r="N322" s="145"/>
      <c r="O322" s="145"/>
      <c r="P322" s="145"/>
      <c r="Q322" s="145"/>
      <c r="R322" s="145"/>
      <c r="S322" s="346"/>
      <c r="T322" s="346"/>
      <c r="U322" s="346"/>
      <c r="V322" s="326"/>
      <c r="W322" s="326"/>
      <c r="X322" s="326"/>
      <c r="Y322" s="340"/>
      <c r="Z322" s="346"/>
      <c r="AA322" s="346"/>
      <c r="AB322" s="346"/>
      <c r="AC322" s="346"/>
      <c r="AD322" s="340"/>
      <c r="AE322" s="346"/>
      <c r="AF322" s="346"/>
      <c r="AG322" s="346"/>
      <c r="AH322" s="346"/>
      <c r="AI322" s="340"/>
      <c r="AJ322" s="346"/>
      <c r="AK322" s="346"/>
      <c r="AL322" s="346"/>
      <c r="AM322" s="346"/>
      <c r="AN322" s="340"/>
      <c r="AO322" s="346"/>
      <c r="AP322" s="346"/>
      <c r="AQ322" s="346"/>
      <c r="AR322" s="346"/>
      <c r="AS322" s="340"/>
      <c r="AT322" s="346"/>
      <c r="AU322" s="267"/>
      <c r="AV322" s="146"/>
      <c r="AW322" s="146"/>
      <c r="AX322" s="340"/>
      <c r="AY322" s="146"/>
      <c r="AZ322" s="146"/>
      <c r="BA322" s="146"/>
      <c r="BB322" s="146"/>
      <c r="BC322" s="340"/>
      <c r="BD322" s="146"/>
      <c r="BE322" s="267"/>
      <c r="BF322" s="146"/>
      <c r="BG322" s="146"/>
      <c r="BH322" s="340"/>
      <c r="BI322" s="146"/>
      <c r="BJ322" s="146"/>
      <c r="BK322" s="146"/>
      <c r="BL322" s="146"/>
      <c r="BM322" s="340"/>
      <c r="BN322" s="146"/>
      <c r="BO322" s="146"/>
      <c r="BP322" s="146"/>
      <c r="BQ322" s="146"/>
      <c r="BR322" s="340"/>
      <c r="BS322" s="146"/>
      <c r="BT322" s="146"/>
      <c r="BU322" s="146"/>
      <c r="BV322" s="146"/>
      <c r="BW322" s="340"/>
      <c r="BX322" s="146"/>
      <c r="BY322" s="146"/>
      <c r="BZ322" s="146"/>
      <c r="CA322" s="146"/>
      <c r="CB322" s="563"/>
      <c r="CC322" s="146">
        <f>CA322</f>
        <v>0</v>
      </c>
      <c r="CD322" s="146">
        <f t="shared" si="516"/>
        <v>0</v>
      </c>
      <c r="CE322" s="146">
        <v>4.8000000000000001E-2</v>
      </c>
      <c r="CF322" s="146">
        <f t="shared" si="518"/>
        <v>4.8000000000000001E-2</v>
      </c>
      <c r="CG322" s="563"/>
      <c r="CH322" s="146">
        <f>CF322</f>
        <v>4.8000000000000001E-2</v>
      </c>
      <c r="CI322" s="146">
        <f t="shared" si="519"/>
        <v>4.8000000000000001E-2</v>
      </c>
      <c r="CJ322" s="146">
        <f t="shared" si="520"/>
        <v>4.8000000000000001E-2</v>
      </c>
      <c r="CK322" s="146">
        <f t="shared" si="521"/>
        <v>4.8000000000000001E-2</v>
      </c>
      <c r="CL322" s="563"/>
      <c r="CM322" s="146">
        <f>CK322</f>
        <v>4.8000000000000001E-2</v>
      </c>
      <c r="CN322" s="146">
        <f t="shared" si="522"/>
        <v>4.8000000000000001E-2</v>
      </c>
      <c r="CO322" s="146">
        <f t="shared" si="523"/>
        <v>4.8000000000000001E-2</v>
      </c>
      <c r="CP322" s="146">
        <f t="shared" si="524"/>
        <v>4.8000000000000001E-2</v>
      </c>
      <c r="CQ322" s="563"/>
      <c r="CR322" s="146">
        <f>CP322</f>
        <v>4.8000000000000001E-2</v>
      </c>
      <c r="CS322" s="146">
        <f t="shared" si="525"/>
        <v>4.8000000000000001E-2</v>
      </c>
      <c r="CT322" s="146">
        <f t="shared" si="526"/>
        <v>4.8000000000000001E-2</v>
      </c>
      <c r="CU322" s="146">
        <f t="shared" si="527"/>
        <v>4.8000000000000001E-2</v>
      </c>
      <c r="CV322" s="563"/>
      <c r="CW322" s="146">
        <f>CU322</f>
        <v>4.8000000000000001E-2</v>
      </c>
      <c r="CX322" s="146">
        <f t="shared" si="528"/>
        <v>4.8000000000000001E-2</v>
      </c>
      <c r="CY322" s="146">
        <f t="shared" si="529"/>
        <v>4.8000000000000001E-2</v>
      </c>
      <c r="CZ322" s="146">
        <f t="shared" si="530"/>
        <v>4.8000000000000001E-2</v>
      </c>
      <c r="DA322" s="563"/>
      <c r="DB322" s="146">
        <f>CZ322</f>
        <v>4.8000000000000001E-2</v>
      </c>
      <c r="DC322" s="146">
        <f t="shared" si="531"/>
        <v>4.8000000000000001E-2</v>
      </c>
      <c r="DD322" s="146">
        <f t="shared" si="532"/>
        <v>4.8000000000000001E-2</v>
      </c>
      <c r="DE322" s="146">
        <f t="shared" si="533"/>
        <v>4.8000000000000001E-2</v>
      </c>
      <c r="DF322" s="563"/>
    </row>
    <row r="323" spans="1:110" x14ac:dyDescent="0.2">
      <c r="B323" s="536" t="s">
        <v>197</v>
      </c>
      <c r="C323" s="145"/>
      <c r="D323" s="145"/>
      <c r="E323" s="145"/>
      <c r="F323" s="145"/>
      <c r="G323" s="145"/>
      <c r="H323" s="145"/>
      <c r="I323" s="145"/>
      <c r="J323" s="145"/>
      <c r="K323" s="145"/>
      <c r="L323" s="145"/>
      <c r="M323" s="145"/>
      <c r="N323" s="145"/>
      <c r="O323" s="145"/>
      <c r="P323" s="145"/>
      <c r="Q323" s="145"/>
      <c r="R323" s="145"/>
      <c r="S323" s="346"/>
      <c r="T323" s="346"/>
      <c r="U323" s="346"/>
      <c r="V323" s="326"/>
      <c r="W323" s="326"/>
      <c r="X323" s="326"/>
      <c r="Y323" s="340"/>
      <c r="Z323" s="346"/>
      <c r="AA323" s="346"/>
      <c r="AB323" s="346"/>
      <c r="AC323" s="346"/>
      <c r="AD323" s="340"/>
      <c r="AE323" s="346"/>
      <c r="AF323" s="346"/>
      <c r="AG323" s="346"/>
      <c r="AH323" s="346"/>
      <c r="AI323" s="340"/>
      <c r="AJ323" s="346"/>
      <c r="AK323" s="346"/>
      <c r="AL323" s="346"/>
      <c r="AM323" s="346"/>
      <c r="AN323" s="340"/>
      <c r="AO323" s="346"/>
      <c r="AP323" s="346"/>
      <c r="AQ323" s="346"/>
      <c r="AR323" s="346"/>
      <c r="AS323" s="340"/>
      <c r="AT323" s="346"/>
      <c r="AU323" s="623"/>
      <c r="AV323" s="625"/>
      <c r="AW323" s="625"/>
      <c r="AX323" s="340"/>
      <c r="AY323" s="346"/>
      <c r="AZ323" s="346"/>
      <c r="BA323" s="346"/>
      <c r="BB323" s="346"/>
      <c r="BC323" s="340"/>
      <c r="BD323" s="346"/>
      <c r="BE323" s="623"/>
      <c r="BF323" s="346"/>
      <c r="BG323" s="346"/>
      <c r="BH323" s="340"/>
      <c r="BI323" s="346"/>
      <c r="BJ323" s="346"/>
      <c r="BK323" s="346"/>
      <c r="BL323" s="346"/>
      <c r="BM323" s="340"/>
      <c r="BN323" s="346"/>
      <c r="BO323" s="346"/>
      <c r="BP323" s="346"/>
      <c r="BQ323" s="346"/>
      <c r="BR323" s="340"/>
      <c r="BS323" s="346"/>
      <c r="BT323" s="346"/>
      <c r="BU323" s="346"/>
      <c r="BV323" s="346"/>
      <c r="BW323" s="340"/>
      <c r="BX323" s="346"/>
      <c r="BY323" s="346"/>
      <c r="BZ323" s="346"/>
      <c r="CA323" s="346"/>
      <c r="CB323" s="563"/>
      <c r="CC323" s="346">
        <f>CA323</f>
        <v>0</v>
      </c>
      <c r="CD323" s="346">
        <f t="shared" si="516"/>
        <v>0</v>
      </c>
      <c r="CE323" s="346">
        <f t="shared" si="517"/>
        <v>0</v>
      </c>
      <c r="CF323" s="346">
        <f t="shared" si="518"/>
        <v>0</v>
      </c>
      <c r="CG323" s="563"/>
      <c r="CH323" s="346">
        <f>CF323</f>
        <v>0</v>
      </c>
      <c r="CI323" s="346">
        <f t="shared" si="519"/>
        <v>0</v>
      </c>
      <c r="CJ323" s="346">
        <f t="shared" si="520"/>
        <v>0</v>
      </c>
      <c r="CK323" s="346">
        <f t="shared" si="521"/>
        <v>0</v>
      </c>
      <c r="CL323" s="563"/>
      <c r="CM323" s="346">
        <f>CK323</f>
        <v>0</v>
      </c>
      <c r="CN323" s="346">
        <f t="shared" si="522"/>
        <v>0</v>
      </c>
      <c r="CO323" s="346">
        <f t="shared" si="523"/>
        <v>0</v>
      </c>
      <c r="CP323" s="346">
        <f t="shared" si="524"/>
        <v>0</v>
      </c>
      <c r="CQ323" s="563"/>
      <c r="CR323" s="346">
        <f>CP323</f>
        <v>0</v>
      </c>
      <c r="CS323" s="346">
        <f t="shared" si="525"/>
        <v>0</v>
      </c>
      <c r="CT323" s="346">
        <f t="shared" si="526"/>
        <v>0</v>
      </c>
      <c r="CU323" s="346">
        <f t="shared" si="527"/>
        <v>0</v>
      </c>
      <c r="CV323" s="563"/>
      <c r="CW323" s="346">
        <f>CU323</f>
        <v>0</v>
      </c>
      <c r="CX323" s="346">
        <f t="shared" si="528"/>
        <v>0</v>
      </c>
      <c r="CY323" s="346">
        <f t="shared" si="529"/>
        <v>0</v>
      </c>
      <c r="CZ323" s="346">
        <f t="shared" si="530"/>
        <v>0</v>
      </c>
      <c r="DA323" s="563"/>
      <c r="DB323" s="346">
        <f>CZ323</f>
        <v>0</v>
      </c>
      <c r="DC323" s="346">
        <f t="shared" si="531"/>
        <v>0</v>
      </c>
      <c r="DD323" s="346">
        <f t="shared" si="532"/>
        <v>0</v>
      </c>
      <c r="DE323" s="346">
        <f t="shared" si="533"/>
        <v>0</v>
      </c>
      <c r="DF323" s="563"/>
    </row>
    <row r="324" spans="1:110" x14ac:dyDescent="0.2">
      <c r="B324" s="544" t="s">
        <v>198</v>
      </c>
      <c r="C324" s="145"/>
      <c r="D324" s="145"/>
      <c r="E324" s="145"/>
      <c r="F324" s="145"/>
      <c r="G324" s="145"/>
      <c r="H324" s="145"/>
      <c r="I324" s="145"/>
      <c r="J324" s="145"/>
      <c r="K324" s="145"/>
      <c r="L324" s="145"/>
      <c r="M324" s="145"/>
      <c r="N324" s="145"/>
      <c r="O324" s="145"/>
      <c r="P324" s="145"/>
      <c r="Q324" s="145"/>
      <c r="R324" s="145"/>
      <c r="S324" s="346"/>
      <c r="T324" s="346"/>
      <c r="U324" s="346"/>
      <c r="V324" s="326"/>
      <c r="W324" s="326"/>
      <c r="X324" s="326"/>
      <c r="Y324" s="340"/>
      <c r="Z324" s="346"/>
      <c r="AA324" s="346"/>
      <c r="AB324" s="346"/>
      <c r="AC324" s="346"/>
      <c r="AD324" s="340"/>
      <c r="AE324" s="346"/>
      <c r="AF324" s="346"/>
      <c r="AG324" s="346"/>
      <c r="AH324" s="346"/>
      <c r="AI324" s="340"/>
      <c r="AJ324" s="346"/>
      <c r="AK324" s="346"/>
      <c r="AL324" s="346"/>
      <c r="AM324" s="346"/>
      <c r="AN324" s="340"/>
      <c r="AO324" s="346"/>
      <c r="AP324" s="346"/>
      <c r="AQ324" s="346"/>
      <c r="AR324" s="346"/>
      <c r="AS324" s="340"/>
      <c r="AT324" s="346"/>
      <c r="AU324" s="623"/>
      <c r="AV324" s="625"/>
      <c r="AW324" s="625"/>
      <c r="AX324" s="340"/>
      <c r="AY324" s="346"/>
      <c r="AZ324" s="346"/>
      <c r="BA324" s="346"/>
      <c r="BB324" s="346"/>
      <c r="BC324" s="340"/>
      <c r="BD324" s="346"/>
      <c r="BE324" s="346"/>
      <c r="BF324" s="346"/>
      <c r="BG324" s="346"/>
      <c r="BH324" s="340"/>
      <c r="BI324" s="346"/>
      <c r="BJ324" s="346"/>
      <c r="BK324" s="346"/>
      <c r="BL324" s="346"/>
      <c r="BM324" s="340"/>
      <c r="BN324" s="346"/>
      <c r="BO324" s="346"/>
      <c r="BP324" s="346"/>
      <c r="BQ324" s="346"/>
      <c r="BR324" s="340"/>
      <c r="BS324" s="346"/>
      <c r="BT324" s="346"/>
      <c r="BU324" s="346"/>
      <c r="BV324" s="346"/>
      <c r="BW324" s="340"/>
      <c r="BX324" s="346"/>
      <c r="BY324" s="346"/>
      <c r="BZ324" s="346"/>
      <c r="CA324" s="346"/>
      <c r="CB324" s="563"/>
      <c r="CC324" s="346">
        <f>CA326</f>
        <v>0</v>
      </c>
      <c r="CD324" s="346">
        <f>CC326</f>
        <v>0</v>
      </c>
      <c r="CE324" s="346">
        <f>CD326</f>
        <v>0</v>
      </c>
      <c r="CF324" s="346">
        <f>CE326</f>
        <v>1482.9</v>
      </c>
      <c r="CG324" s="563"/>
      <c r="CH324" s="346">
        <f>CF326</f>
        <v>1483</v>
      </c>
      <c r="CI324" s="346">
        <f>CH326</f>
        <v>1483</v>
      </c>
      <c r="CJ324" s="346">
        <f>CI326</f>
        <v>1483</v>
      </c>
      <c r="CK324" s="346">
        <f>CJ326</f>
        <v>1483</v>
      </c>
      <c r="CL324" s="563"/>
      <c r="CM324" s="346">
        <f>CK326</f>
        <v>1483</v>
      </c>
      <c r="CN324" s="346">
        <f>CM326</f>
        <v>1483</v>
      </c>
      <c r="CO324" s="346">
        <f>CN326</f>
        <v>1483</v>
      </c>
      <c r="CP324" s="346">
        <f>CO326</f>
        <v>1483</v>
      </c>
      <c r="CQ324" s="563"/>
      <c r="CR324" s="346">
        <f>CP326</f>
        <v>1483</v>
      </c>
      <c r="CS324" s="346">
        <f>CR326</f>
        <v>1483</v>
      </c>
      <c r="CT324" s="346">
        <f>CS326</f>
        <v>1483</v>
      </c>
      <c r="CU324" s="346">
        <f>CT326</f>
        <v>1483</v>
      </c>
      <c r="CV324" s="563"/>
      <c r="CW324" s="346">
        <f>CU326</f>
        <v>1483</v>
      </c>
      <c r="CX324" s="346">
        <f>CW326</f>
        <v>1483</v>
      </c>
      <c r="CY324" s="346">
        <f>CX326</f>
        <v>1483</v>
      </c>
      <c r="CZ324" s="346">
        <f>CY326</f>
        <v>1483</v>
      </c>
      <c r="DA324" s="563"/>
      <c r="DB324" s="346">
        <f>CZ326</f>
        <v>1483</v>
      </c>
      <c r="DC324" s="346">
        <f>DB326</f>
        <v>1483</v>
      </c>
      <c r="DD324" s="346">
        <f>DC326</f>
        <v>1483</v>
      </c>
      <c r="DE324" s="346">
        <f>DD326</f>
        <v>1483</v>
      </c>
      <c r="DF324" s="563"/>
    </row>
    <row r="325" spans="1:110" x14ac:dyDescent="0.2">
      <c r="B325" s="589" t="s">
        <v>199</v>
      </c>
      <c r="C325" s="359"/>
      <c r="D325" s="359"/>
      <c r="E325" s="359"/>
      <c r="F325" s="359"/>
      <c r="G325" s="359"/>
      <c r="H325" s="359"/>
      <c r="I325" s="359"/>
      <c r="J325" s="359"/>
      <c r="K325" s="359"/>
      <c r="L325" s="359"/>
      <c r="M325" s="359"/>
      <c r="N325" s="359"/>
      <c r="O325" s="359"/>
      <c r="P325" s="359"/>
      <c r="Q325" s="359"/>
      <c r="R325" s="359"/>
      <c r="S325" s="347"/>
      <c r="T325" s="347"/>
      <c r="U325" s="347"/>
      <c r="V325" s="377"/>
      <c r="W325" s="377"/>
      <c r="X325" s="377"/>
      <c r="Y325" s="343"/>
      <c r="Z325" s="347"/>
      <c r="AA325" s="347"/>
      <c r="AB325" s="347"/>
      <c r="AC325" s="347"/>
      <c r="AD325" s="343"/>
      <c r="AE325" s="347"/>
      <c r="AF325" s="347"/>
      <c r="AG325" s="347"/>
      <c r="AH325" s="347"/>
      <c r="AI325" s="343"/>
      <c r="AJ325" s="347"/>
      <c r="AK325" s="347"/>
      <c r="AL325" s="347"/>
      <c r="AM325" s="347"/>
      <c r="AN325" s="343"/>
      <c r="AO325" s="347"/>
      <c r="AP325" s="347"/>
      <c r="AQ325" s="347"/>
      <c r="AR325" s="347"/>
      <c r="AS325" s="343"/>
      <c r="AT325" s="347"/>
      <c r="AU325" s="629"/>
      <c r="AV325" s="642"/>
      <c r="AW325" s="629"/>
      <c r="AX325" s="343"/>
      <c r="AY325" s="347"/>
      <c r="AZ325" s="347"/>
      <c r="BA325" s="347"/>
      <c r="BB325" s="347"/>
      <c r="BC325" s="343"/>
      <c r="BD325" s="347"/>
      <c r="BE325" s="629"/>
      <c r="BF325" s="347"/>
      <c r="BG325" s="347"/>
      <c r="BH325" s="343"/>
      <c r="BI325" s="347"/>
      <c r="BJ325" s="347"/>
      <c r="BK325" s="347"/>
      <c r="BL325" s="348"/>
      <c r="BM325" s="343"/>
      <c r="BN325" s="348"/>
      <c r="BO325" s="347"/>
      <c r="BP325" s="347"/>
      <c r="BQ325" s="347"/>
      <c r="BR325" s="343"/>
      <c r="BS325" s="347"/>
      <c r="BT325" s="347"/>
      <c r="BU325" s="347"/>
      <c r="BV325" s="347"/>
      <c r="BW325" s="343"/>
      <c r="BX325" s="347"/>
      <c r="BY325" s="347"/>
      <c r="BZ325" s="347"/>
      <c r="CA325" s="347"/>
      <c r="CB325" s="585"/>
      <c r="CC325" s="347">
        <f>CA325</f>
        <v>0</v>
      </c>
      <c r="CD325" s="347">
        <f>CC325</f>
        <v>0</v>
      </c>
      <c r="CE325" s="347">
        <v>1482.9</v>
      </c>
      <c r="CF325" s="347">
        <v>0.1</v>
      </c>
      <c r="CG325" s="585"/>
      <c r="CH325" s="347">
        <v>0</v>
      </c>
      <c r="CI325" s="347">
        <f>CH325</f>
        <v>0</v>
      </c>
      <c r="CJ325" s="347">
        <f>CI325</f>
        <v>0</v>
      </c>
      <c r="CK325" s="347">
        <f>CJ325</f>
        <v>0</v>
      </c>
      <c r="CL325" s="585"/>
      <c r="CM325" s="347">
        <f>CK325</f>
        <v>0</v>
      </c>
      <c r="CN325" s="347">
        <f>CM325</f>
        <v>0</v>
      </c>
      <c r="CO325" s="347">
        <f>CN325</f>
        <v>0</v>
      </c>
      <c r="CP325" s="347">
        <f>CO325</f>
        <v>0</v>
      </c>
      <c r="CQ325" s="585"/>
      <c r="CR325" s="347">
        <f>CP325</f>
        <v>0</v>
      </c>
      <c r="CS325" s="347">
        <f>CR325</f>
        <v>0</v>
      </c>
      <c r="CT325" s="347">
        <f>CS325</f>
        <v>0</v>
      </c>
      <c r="CU325" s="347">
        <f>CT325</f>
        <v>0</v>
      </c>
      <c r="CV325" s="585"/>
      <c r="CW325" s="347">
        <f>CU325</f>
        <v>0</v>
      </c>
      <c r="CX325" s="347">
        <f>CW325</f>
        <v>0</v>
      </c>
      <c r="CY325" s="347">
        <f>CX325</f>
        <v>0</v>
      </c>
      <c r="CZ325" s="347">
        <f>CY325</f>
        <v>0</v>
      </c>
      <c r="DA325" s="585"/>
      <c r="DB325" s="347">
        <f>CZ325</f>
        <v>0</v>
      </c>
      <c r="DC325" s="347">
        <f>DB325</f>
        <v>0</v>
      </c>
      <c r="DD325" s="347">
        <f>DC325</f>
        <v>0</v>
      </c>
      <c r="DE325" s="347">
        <f>DD325</f>
        <v>0</v>
      </c>
      <c r="DF325" s="585"/>
    </row>
    <row r="326" spans="1:110" x14ac:dyDescent="0.2">
      <c r="B326" s="544" t="s">
        <v>200</v>
      </c>
      <c r="C326" s="145"/>
      <c r="D326" s="145"/>
      <c r="E326" s="145"/>
      <c r="F326" s="145"/>
      <c r="G326" s="145"/>
      <c r="H326" s="145"/>
      <c r="I326" s="145"/>
      <c r="J326" s="145"/>
      <c r="K326" s="145"/>
      <c r="L326" s="145"/>
      <c r="M326" s="145"/>
      <c r="N326" s="145"/>
      <c r="O326" s="145"/>
      <c r="P326" s="145"/>
      <c r="Q326" s="145"/>
      <c r="R326" s="145"/>
      <c r="S326" s="346"/>
      <c r="T326" s="346"/>
      <c r="U326" s="346"/>
      <c r="V326" s="326"/>
      <c r="W326" s="326"/>
      <c r="X326" s="326"/>
      <c r="Y326" s="340"/>
      <c r="Z326" s="346"/>
      <c r="AA326" s="346"/>
      <c r="AB326" s="346"/>
      <c r="AC326" s="346"/>
      <c r="AD326" s="340"/>
      <c r="AE326" s="346"/>
      <c r="AF326" s="346"/>
      <c r="AG326" s="346"/>
      <c r="AH326" s="346"/>
      <c r="AI326" s="340"/>
      <c r="AJ326" s="346"/>
      <c r="AK326" s="346"/>
      <c r="AL326" s="346"/>
      <c r="AM326" s="346"/>
      <c r="AN326" s="340"/>
      <c r="AO326" s="346"/>
      <c r="AP326" s="346"/>
      <c r="AQ326" s="346"/>
      <c r="AR326" s="346"/>
      <c r="AS326" s="340"/>
      <c r="AT326" s="346"/>
      <c r="AU326" s="625"/>
      <c r="AV326" s="625"/>
      <c r="AW326" s="625"/>
      <c r="AX326" s="340"/>
      <c r="AY326" s="346"/>
      <c r="AZ326" s="346"/>
      <c r="BA326" s="346"/>
      <c r="BB326" s="346"/>
      <c r="BC326" s="340"/>
      <c r="BD326" s="346"/>
      <c r="BE326" s="625"/>
      <c r="BF326" s="346"/>
      <c r="BG326" s="346"/>
      <c r="BH326" s="340"/>
      <c r="BI326" s="346"/>
      <c r="BJ326" s="346"/>
      <c r="BK326" s="346"/>
      <c r="BL326" s="346"/>
      <c r="BM326" s="340"/>
      <c r="BN326" s="346"/>
      <c r="BO326" s="346"/>
      <c r="BP326" s="346"/>
      <c r="BQ326" s="346"/>
      <c r="BR326" s="340"/>
      <c r="BS326" s="354"/>
      <c r="BT326" s="354"/>
      <c r="BU326" s="354"/>
      <c r="BV326" s="346"/>
      <c r="BW326" s="340"/>
      <c r="BX326" s="346"/>
      <c r="BY326" s="346"/>
      <c r="BZ326" s="346"/>
      <c r="CA326" s="346"/>
      <c r="CB326" s="563"/>
      <c r="CC326" s="346">
        <f>CC324+CC325</f>
        <v>0</v>
      </c>
      <c r="CD326" s="346">
        <f>CD324+CD325</f>
        <v>0</v>
      </c>
      <c r="CE326" s="346">
        <f>CE324+CE325</f>
        <v>1482.9</v>
      </c>
      <c r="CF326" s="346">
        <f>CF324+CF325</f>
        <v>1483</v>
      </c>
      <c r="CG326" s="563"/>
      <c r="CH326" s="346">
        <f>CH324+CH325</f>
        <v>1483</v>
      </c>
      <c r="CI326" s="346">
        <f>CI324+CI325</f>
        <v>1483</v>
      </c>
      <c r="CJ326" s="346">
        <f>CJ324+CJ325</f>
        <v>1483</v>
      </c>
      <c r="CK326" s="346">
        <f>CK324+CK325</f>
        <v>1483</v>
      </c>
      <c r="CL326" s="563"/>
      <c r="CM326" s="346">
        <f>CM324+CM325</f>
        <v>1483</v>
      </c>
      <c r="CN326" s="346">
        <f>CN324+CN325</f>
        <v>1483</v>
      </c>
      <c r="CO326" s="346">
        <f>CO324+CO325</f>
        <v>1483</v>
      </c>
      <c r="CP326" s="346">
        <f>CP324+CP325</f>
        <v>1483</v>
      </c>
      <c r="CQ326" s="563"/>
      <c r="CR326" s="346">
        <f>CR324+CR325</f>
        <v>1483</v>
      </c>
      <c r="CS326" s="346">
        <f>CS324+CS325</f>
        <v>1483</v>
      </c>
      <c r="CT326" s="346">
        <f>CT324+CT325</f>
        <v>1483</v>
      </c>
      <c r="CU326" s="346">
        <f>CU324+CU325</f>
        <v>1483</v>
      </c>
      <c r="CV326" s="563"/>
      <c r="CW326" s="346">
        <f>CW324+CW325</f>
        <v>1483</v>
      </c>
      <c r="CX326" s="346">
        <f>CX324+CX325</f>
        <v>1483</v>
      </c>
      <c r="CY326" s="346">
        <f>CY324+CY325</f>
        <v>1483</v>
      </c>
      <c r="CZ326" s="346">
        <f>CZ324+CZ325</f>
        <v>1483</v>
      </c>
      <c r="DA326" s="563"/>
      <c r="DB326" s="346">
        <f>DB324+DB325</f>
        <v>1483</v>
      </c>
      <c r="DC326" s="346">
        <f>DC324+DC325</f>
        <v>1483</v>
      </c>
      <c r="DD326" s="346">
        <f>DD324+DD325</f>
        <v>1483</v>
      </c>
      <c r="DE326" s="346">
        <f>DE324+DE325</f>
        <v>1483</v>
      </c>
      <c r="DF326" s="563"/>
    </row>
    <row r="327" spans="1:110" x14ac:dyDescent="0.2">
      <c r="B327" s="536" t="s">
        <v>201</v>
      </c>
      <c r="C327" s="145"/>
      <c r="D327" s="145"/>
      <c r="E327" s="145"/>
      <c r="F327" s="145"/>
      <c r="G327" s="145"/>
      <c r="H327" s="145"/>
      <c r="I327" s="145"/>
      <c r="J327" s="145"/>
      <c r="K327" s="145"/>
      <c r="L327" s="145"/>
      <c r="M327" s="145"/>
      <c r="N327" s="145"/>
      <c r="O327" s="145"/>
      <c r="P327" s="145"/>
      <c r="Q327" s="145"/>
      <c r="R327" s="145"/>
      <c r="S327" s="346"/>
      <c r="T327" s="346"/>
      <c r="U327" s="346"/>
      <c r="V327" s="326"/>
      <c r="W327" s="326"/>
      <c r="X327" s="326"/>
      <c r="Y327" s="340"/>
      <c r="Z327" s="346"/>
      <c r="AA327" s="346"/>
      <c r="AB327" s="346"/>
      <c r="AC327" s="346"/>
      <c r="AD327" s="340"/>
      <c r="AE327" s="346"/>
      <c r="AF327" s="346"/>
      <c r="AG327" s="346"/>
      <c r="AH327" s="346"/>
      <c r="AI327" s="340"/>
      <c r="AJ327" s="346"/>
      <c r="AK327" s="346"/>
      <c r="AL327" s="346"/>
      <c r="AM327" s="346"/>
      <c r="AN327" s="340"/>
      <c r="AO327" s="346"/>
      <c r="AP327" s="346"/>
      <c r="AQ327" s="346"/>
      <c r="AR327" s="346"/>
      <c r="AS327" s="340"/>
      <c r="AT327" s="346"/>
      <c r="AU327" s="625"/>
      <c r="AV327" s="625"/>
      <c r="AW327" s="625"/>
      <c r="AX327" s="340"/>
      <c r="AY327" s="346"/>
      <c r="AZ327" s="346"/>
      <c r="BA327" s="346"/>
      <c r="BB327" s="346"/>
      <c r="BC327" s="340"/>
      <c r="BD327" s="346"/>
      <c r="BE327" s="625"/>
      <c r="BF327" s="346"/>
      <c r="BG327" s="346"/>
      <c r="BH327" s="340"/>
      <c r="BI327" s="346"/>
      <c r="BJ327" s="346"/>
      <c r="BK327" s="346"/>
      <c r="BL327" s="346"/>
      <c r="BM327" s="340"/>
      <c r="BN327" s="346"/>
      <c r="BO327" s="346"/>
      <c r="BP327" s="346"/>
      <c r="BQ327" s="346"/>
      <c r="BR327" s="340"/>
      <c r="BS327" s="346"/>
      <c r="BT327" s="346"/>
      <c r="BU327" s="346"/>
      <c r="BV327" s="346"/>
      <c r="BW327" s="340"/>
      <c r="BX327" s="346"/>
      <c r="BY327" s="346"/>
      <c r="BZ327" s="346"/>
      <c r="CA327" s="346"/>
      <c r="CB327" s="563"/>
      <c r="CC327" s="346">
        <f>CC323-CC326</f>
        <v>0</v>
      </c>
      <c r="CD327" s="346">
        <f>CD323-CD326</f>
        <v>0</v>
      </c>
      <c r="CE327" s="346">
        <f>CE323-CE326</f>
        <v>-1482.9</v>
      </c>
      <c r="CF327" s="346">
        <f>CF323-CF326</f>
        <v>-1483</v>
      </c>
      <c r="CG327" s="563"/>
      <c r="CH327" s="346">
        <f>CH323-CH326</f>
        <v>-1483</v>
      </c>
      <c r="CI327" s="346">
        <f>CI323-CI326</f>
        <v>-1483</v>
      </c>
      <c r="CJ327" s="346">
        <f>CJ323-CJ326</f>
        <v>-1483</v>
      </c>
      <c r="CK327" s="346">
        <f>CK323-CK326</f>
        <v>-1483</v>
      </c>
      <c r="CL327" s="563"/>
      <c r="CM327" s="346">
        <f>CM323-CM326</f>
        <v>-1483</v>
      </c>
      <c r="CN327" s="346">
        <f>CN323-CN326</f>
        <v>-1483</v>
      </c>
      <c r="CO327" s="346">
        <f>CO323-CO326</f>
        <v>-1483</v>
      </c>
      <c r="CP327" s="346">
        <f>CP323-CP326</f>
        <v>-1483</v>
      </c>
      <c r="CQ327" s="563"/>
      <c r="CR327" s="346">
        <f>CR323-CR326</f>
        <v>-1483</v>
      </c>
      <c r="CS327" s="346">
        <f>CS323-CS326</f>
        <v>-1483</v>
      </c>
      <c r="CT327" s="346">
        <f>CT323-CT326</f>
        <v>-1483</v>
      </c>
      <c r="CU327" s="346">
        <f>CU323-CU326</f>
        <v>-1483</v>
      </c>
      <c r="CV327" s="563"/>
      <c r="CW327" s="346">
        <f>CW323-CW326</f>
        <v>-1483</v>
      </c>
      <c r="CX327" s="346">
        <f>CX323-CX326</f>
        <v>-1483</v>
      </c>
      <c r="CY327" s="346">
        <f>CY323-CY326</f>
        <v>-1483</v>
      </c>
      <c r="CZ327" s="346">
        <f>CZ323-CZ326</f>
        <v>-1483</v>
      </c>
      <c r="DA327" s="563"/>
      <c r="DB327" s="346">
        <f>DB323-DB326</f>
        <v>-1483</v>
      </c>
      <c r="DC327" s="346">
        <f>DC323-DC326</f>
        <v>-1483</v>
      </c>
      <c r="DD327" s="346">
        <f>DD323-DD326</f>
        <v>-1483</v>
      </c>
      <c r="DE327" s="346">
        <f>DE323-DE326</f>
        <v>-1483</v>
      </c>
      <c r="DF327" s="563"/>
    </row>
    <row r="328" spans="1:110" x14ac:dyDescent="0.2">
      <c r="B328" s="544" t="s">
        <v>206</v>
      </c>
      <c r="C328" s="145"/>
      <c r="D328" s="145"/>
      <c r="E328" s="145"/>
      <c r="F328" s="145"/>
      <c r="G328" s="145"/>
      <c r="H328" s="145"/>
      <c r="I328" s="145"/>
      <c r="J328" s="145"/>
      <c r="K328" s="145"/>
      <c r="L328" s="145"/>
      <c r="M328" s="145"/>
      <c r="N328" s="145"/>
      <c r="O328" s="145"/>
      <c r="P328" s="145"/>
      <c r="Q328" s="145"/>
      <c r="R328" s="145"/>
      <c r="S328" s="346"/>
      <c r="T328" s="346"/>
      <c r="U328" s="346"/>
      <c r="V328" s="326"/>
      <c r="W328" s="326"/>
      <c r="X328" s="326"/>
      <c r="Y328" s="340"/>
      <c r="Z328" s="346"/>
      <c r="AA328" s="346"/>
      <c r="AB328" s="346"/>
      <c r="AC328" s="346"/>
      <c r="AD328" s="340"/>
      <c r="AE328" s="346"/>
      <c r="AF328" s="346"/>
      <c r="AG328" s="346"/>
      <c r="AH328" s="346"/>
      <c r="AI328" s="340"/>
      <c r="AJ328" s="346"/>
      <c r="AK328" s="346"/>
      <c r="AL328" s="346"/>
      <c r="AM328" s="346"/>
      <c r="AN328" s="340"/>
      <c r="AO328" s="346"/>
      <c r="AP328" s="346"/>
      <c r="AQ328" s="346"/>
      <c r="AR328" s="346"/>
      <c r="AS328" s="340"/>
      <c r="AT328" s="346"/>
      <c r="AU328" s="625"/>
      <c r="AV328" s="625"/>
      <c r="AW328" s="625"/>
      <c r="AX328" s="340"/>
      <c r="AY328" s="346"/>
      <c r="AZ328" s="346"/>
      <c r="BA328" s="346"/>
      <c r="BB328" s="346"/>
      <c r="BC328" s="340"/>
      <c r="BD328" s="346"/>
      <c r="BE328" s="625"/>
      <c r="BF328" s="346"/>
      <c r="BG328" s="346"/>
      <c r="BH328" s="340"/>
      <c r="BI328" s="346"/>
      <c r="BJ328" s="346"/>
      <c r="BK328" s="346"/>
      <c r="BL328" s="346"/>
      <c r="BM328" s="340"/>
      <c r="BN328" s="346"/>
      <c r="BO328" s="346"/>
      <c r="BP328" s="346"/>
      <c r="BQ328" s="346"/>
      <c r="BR328" s="340"/>
      <c r="BS328" s="346"/>
      <c r="BT328" s="346"/>
      <c r="BU328" s="346"/>
      <c r="BV328" s="346"/>
      <c r="BW328" s="340"/>
      <c r="BX328" s="346"/>
      <c r="BY328" s="346"/>
      <c r="BZ328" s="346"/>
      <c r="CA328" s="346"/>
      <c r="CB328" s="563"/>
      <c r="CC328" s="346">
        <f>-(AVERAGE(CC326,CC324))*(CC322/4)</f>
        <v>0</v>
      </c>
      <c r="CD328" s="346">
        <f>-(AVERAGE(CD326,CD324))*(CD322/4)</f>
        <v>0</v>
      </c>
      <c r="CE328" s="346">
        <f>-(AVERAGE(CE326,CE324))*(CE322/4)</f>
        <v>-8.8974000000000011</v>
      </c>
      <c r="CF328" s="346">
        <f>-(AVERAGE(CF326,CF324))*(CF322/4)</f>
        <v>-17.795400000000001</v>
      </c>
      <c r="CG328" s="563"/>
      <c r="CH328" s="346">
        <f>-(AVERAGE(CH326,CH324))*(CH322/4)</f>
        <v>-17.795999999999999</v>
      </c>
      <c r="CI328" s="346">
        <f>-(AVERAGE(CI326,CI324))*(CI322/4)</f>
        <v>-17.795999999999999</v>
      </c>
      <c r="CJ328" s="346">
        <f>-(AVERAGE(CJ326,CJ324))*(CJ322/4)</f>
        <v>-17.795999999999999</v>
      </c>
      <c r="CK328" s="346">
        <f>-(AVERAGE(CK326,CK324))*(CK322/4)</f>
        <v>-17.795999999999999</v>
      </c>
      <c r="CL328" s="563"/>
      <c r="CM328" s="346">
        <f>-(AVERAGE(CM326,CM324))*(CM322/4)</f>
        <v>-17.795999999999999</v>
      </c>
      <c r="CN328" s="346">
        <f>-(AVERAGE(CN326,CN324))*(CN322/4)</f>
        <v>-17.795999999999999</v>
      </c>
      <c r="CO328" s="346">
        <f>-(AVERAGE(CO326,CO324))*(CO322/4)</f>
        <v>-17.795999999999999</v>
      </c>
      <c r="CP328" s="346">
        <f>-(AVERAGE(CP326,CP324))*(CP322/4)</f>
        <v>-17.795999999999999</v>
      </c>
      <c r="CQ328" s="563"/>
      <c r="CR328" s="346">
        <f>-(AVERAGE(CR326,CR324))*(CR322/4)</f>
        <v>-17.795999999999999</v>
      </c>
      <c r="CS328" s="346">
        <f>-(AVERAGE(CS326,CS324))*(CS322/4)</f>
        <v>-17.795999999999999</v>
      </c>
      <c r="CT328" s="346">
        <f>-(AVERAGE(CT326,CT324))*(CT322/4)</f>
        <v>-17.795999999999999</v>
      </c>
      <c r="CU328" s="346">
        <f>-(AVERAGE(CU326,CU324))*(CU322/4)</f>
        <v>-17.795999999999999</v>
      </c>
      <c r="CV328" s="563"/>
      <c r="CW328" s="346">
        <f>-(AVERAGE(CW326,CW324))*(CW322/4)</f>
        <v>-17.795999999999999</v>
      </c>
      <c r="CX328" s="346">
        <f>-(AVERAGE(CX326,CX324))*(CX322/4)</f>
        <v>-17.795999999999999</v>
      </c>
      <c r="CY328" s="346">
        <f>-(AVERAGE(CY326,CY324))*(CY322/4)</f>
        <v>-17.795999999999999</v>
      </c>
      <c r="CZ328" s="346">
        <f>-(AVERAGE(CZ326,CZ324))*(CZ322/4)</f>
        <v>-17.795999999999999</v>
      </c>
      <c r="DA328" s="563"/>
      <c r="DB328" s="346">
        <f>-(AVERAGE(DB326,DB324))*(DB322/4)</f>
        <v>-17.795999999999999</v>
      </c>
      <c r="DC328" s="346">
        <f>-(AVERAGE(DC326,DC324))*(DC322/4)</f>
        <v>-17.795999999999999</v>
      </c>
      <c r="DD328" s="346">
        <f>-(AVERAGE(DD326,DD324))*(DD322/4)</f>
        <v>-17.795999999999999</v>
      </c>
      <c r="DE328" s="346">
        <f>-(AVERAGE(DE326,DE324))*(DE322/4)</f>
        <v>-17.795999999999999</v>
      </c>
      <c r="DF328" s="563"/>
    </row>
    <row r="329" spans="1:110" ht="12" thickBot="1" x14ac:dyDescent="0.25">
      <c r="B329" s="548" t="s">
        <v>207</v>
      </c>
      <c r="C329" s="205"/>
      <c r="D329" s="205"/>
      <c r="E329" s="205"/>
      <c r="F329" s="205"/>
      <c r="G329" s="205"/>
      <c r="H329" s="205"/>
      <c r="I329" s="205"/>
      <c r="J329" s="205"/>
      <c r="K329" s="205"/>
      <c r="L329" s="205"/>
      <c r="M329" s="205"/>
      <c r="N329" s="205"/>
      <c r="O329" s="205"/>
      <c r="P329" s="205"/>
      <c r="Q329" s="205"/>
      <c r="R329" s="205"/>
      <c r="S329" s="549"/>
      <c r="T329" s="549"/>
      <c r="U329" s="549"/>
      <c r="V329" s="327"/>
      <c r="W329" s="327"/>
      <c r="X329" s="327"/>
      <c r="Y329" s="550"/>
      <c r="Z329" s="549"/>
      <c r="AA329" s="549"/>
      <c r="AB329" s="549"/>
      <c r="AC329" s="549"/>
      <c r="AD329" s="550"/>
      <c r="AE329" s="549"/>
      <c r="AF329" s="549"/>
      <c r="AG329" s="549"/>
      <c r="AH329" s="549"/>
      <c r="AI329" s="550"/>
      <c r="AJ329" s="549"/>
      <c r="AK329" s="549"/>
      <c r="AL329" s="549"/>
      <c r="AM329" s="549"/>
      <c r="AN329" s="550"/>
      <c r="AO329" s="549"/>
      <c r="AP329" s="549"/>
      <c r="AQ329" s="549"/>
      <c r="AR329" s="549"/>
      <c r="AS329" s="550"/>
      <c r="AT329" s="549"/>
      <c r="AU329" s="549"/>
      <c r="AV329" s="549"/>
      <c r="AW329" s="549"/>
      <c r="AX329" s="550"/>
      <c r="AY329" s="549"/>
      <c r="AZ329" s="549"/>
      <c r="BA329" s="549"/>
      <c r="BB329" s="549"/>
      <c r="BC329" s="550"/>
      <c r="BD329" s="549"/>
      <c r="BE329" s="549"/>
      <c r="BF329" s="549"/>
      <c r="BG329" s="549"/>
      <c r="BH329" s="550"/>
      <c r="BI329" s="549"/>
      <c r="BJ329" s="549"/>
      <c r="BK329" s="549"/>
      <c r="BL329" s="549"/>
      <c r="BM329" s="550"/>
      <c r="BN329" s="549"/>
      <c r="BO329" s="549"/>
      <c r="BP329" s="549"/>
      <c r="BQ329" s="549"/>
      <c r="BR329" s="550"/>
      <c r="BS329" s="549"/>
      <c r="BT329" s="549"/>
      <c r="BU329" s="549"/>
      <c r="BV329" s="549"/>
      <c r="BW329" s="550"/>
      <c r="BX329" s="549"/>
      <c r="BY329" s="549"/>
      <c r="BZ329" s="549"/>
      <c r="CA329" s="549"/>
      <c r="CB329" s="565"/>
      <c r="CC329" s="549">
        <f>-CC321*CC327/4</f>
        <v>0</v>
      </c>
      <c r="CD329" s="549">
        <f>-CD321*CD327/4</f>
        <v>0</v>
      </c>
      <c r="CE329" s="549">
        <f>-CE321*CE327/4</f>
        <v>0</v>
      </c>
      <c r="CF329" s="549">
        <f>-CF321*CF327/4</f>
        <v>0</v>
      </c>
      <c r="CG329" s="565"/>
      <c r="CH329" s="549">
        <f>-CH321*CH327/4</f>
        <v>0</v>
      </c>
      <c r="CI329" s="549">
        <f>-CI321*CI327/4</f>
        <v>0</v>
      </c>
      <c r="CJ329" s="549">
        <f>-CJ321*CJ327/4</f>
        <v>0</v>
      </c>
      <c r="CK329" s="549">
        <f>-CK321*CK327/4</f>
        <v>0</v>
      </c>
      <c r="CL329" s="565"/>
      <c r="CM329" s="549">
        <f>-CM321*CM327/4</f>
        <v>0</v>
      </c>
      <c r="CN329" s="549">
        <f>-CN321*CN327/4</f>
        <v>0</v>
      </c>
      <c r="CO329" s="549">
        <f>-CO321*CO327/4</f>
        <v>0</v>
      </c>
      <c r="CP329" s="549">
        <f>-CP321*CP327/4</f>
        <v>0</v>
      </c>
      <c r="CQ329" s="565"/>
      <c r="CR329" s="549">
        <f>-CR321*CR327/4</f>
        <v>0</v>
      </c>
      <c r="CS329" s="549">
        <f>-CS321*CS327/4</f>
        <v>0</v>
      </c>
      <c r="CT329" s="549">
        <f>-CT321*CT327/4</f>
        <v>0</v>
      </c>
      <c r="CU329" s="549">
        <f>-CU321*CU327/4</f>
        <v>0</v>
      </c>
      <c r="CV329" s="565"/>
      <c r="CW329" s="549">
        <f>-CW321*CW327/4</f>
        <v>0</v>
      </c>
      <c r="CX329" s="549">
        <f>-CX321*CX327/4</f>
        <v>0</v>
      </c>
      <c r="CY329" s="549">
        <f>-CY321*CY327/4</f>
        <v>0</v>
      </c>
      <c r="CZ329" s="549">
        <f>-CZ321*CZ327/4</f>
        <v>0</v>
      </c>
      <c r="DA329" s="565"/>
      <c r="DB329" s="549">
        <f>-DB321*DB327/4</f>
        <v>0</v>
      </c>
      <c r="DC329" s="549">
        <f>-DC321*DC327/4</f>
        <v>0</v>
      </c>
      <c r="DD329" s="549">
        <f>-DD321*DD327/4</f>
        <v>0</v>
      </c>
      <c r="DE329" s="549">
        <f>-DE321*DE327/4</f>
        <v>0</v>
      </c>
      <c r="DF329" s="565"/>
    </row>
    <row r="330" spans="1:110" ht="12" thickBot="1" x14ac:dyDescent="0.25">
      <c r="B330" s="355"/>
      <c r="C330" s="145"/>
      <c r="D330" s="145"/>
      <c r="E330" s="145"/>
      <c r="F330" s="145"/>
      <c r="G330" s="145"/>
      <c r="H330" s="145"/>
      <c r="I330" s="145"/>
      <c r="J330" s="145"/>
      <c r="K330" s="145"/>
      <c r="L330" s="145"/>
      <c r="M330" s="145"/>
      <c r="N330" s="145"/>
      <c r="O330" s="145"/>
      <c r="P330" s="145"/>
      <c r="Q330" s="145"/>
      <c r="R330" s="145"/>
      <c r="S330" s="346"/>
      <c r="T330" s="346"/>
      <c r="U330" s="346"/>
      <c r="V330" s="326"/>
      <c r="W330" s="326"/>
      <c r="X330" s="326"/>
      <c r="Y330" s="346"/>
      <c r="Z330" s="346"/>
      <c r="AA330" s="346"/>
      <c r="AB330" s="346"/>
      <c r="AC330" s="346"/>
      <c r="AD330" s="346"/>
      <c r="AE330" s="346"/>
      <c r="AF330" s="346"/>
      <c r="AG330" s="346"/>
      <c r="AH330" s="346"/>
      <c r="AI330" s="346"/>
      <c r="AJ330" s="346"/>
      <c r="AK330" s="346"/>
      <c r="AL330" s="346"/>
      <c r="AM330" s="346"/>
      <c r="AN330" s="346"/>
      <c r="AO330" s="346"/>
      <c r="AP330" s="346"/>
      <c r="AQ330" s="346"/>
      <c r="AR330" s="346"/>
      <c r="AS330" s="346"/>
      <c r="AT330" s="346"/>
      <c r="AU330" s="346"/>
      <c r="AV330" s="346"/>
      <c r="AW330" s="346"/>
      <c r="AX330" s="346"/>
      <c r="AY330" s="346"/>
      <c r="AZ330" s="346"/>
      <c r="BA330" s="346"/>
      <c r="BB330" s="346"/>
      <c r="BC330" s="346"/>
      <c r="BD330" s="346"/>
      <c r="BE330" s="346"/>
      <c r="BF330" s="346"/>
      <c r="BG330" s="346"/>
      <c r="BH330" s="346"/>
      <c r="BI330" s="346"/>
      <c r="BJ330" s="346"/>
      <c r="BK330" s="346"/>
      <c r="BL330" s="346"/>
      <c r="BM330" s="346"/>
      <c r="BN330" s="346"/>
      <c r="BO330" s="346"/>
      <c r="BP330" s="346"/>
      <c r="BQ330" s="346"/>
      <c r="BR330" s="346"/>
      <c r="BS330" s="346"/>
      <c r="BT330" s="346"/>
      <c r="BU330" s="346"/>
      <c r="BV330" s="346"/>
      <c r="BW330" s="346"/>
      <c r="BX330" s="346"/>
      <c r="BY330" s="346"/>
      <c r="BZ330" s="346"/>
      <c r="CA330" s="346"/>
      <c r="CB330" s="346"/>
      <c r="CC330" s="346"/>
      <c r="CD330" s="346"/>
      <c r="CE330" s="346"/>
      <c r="CF330" s="346"/>
      <c r="CG330" s="346"/>
      <c r="CH330" s="346"/>
      <c r="CI330" s="346"/>
      <c r="CJ330" s="346"/>
      <c r="CK330" s="346"/>
      <c r="CL330" s="346"/>
      <c r="CM330" s="346"/>
      <c r="CN330" s="346"/>
      <c r="CO330" s="346"/>
      <c r="CP330" s="346"/>
      <c r="CQ330" s="346"/>
      <c r="CR330" s="346"/>
      <c r="CS330" s="346"/>
      <c r="CT330" s="346"/>
      <c r="CU330" s="346"/>
      <c r="CV330" s="346"/>
      <c r="CW330" s="346"/>
      <c r="CX330" s="346"/>
      <c r="CY330" s="346"/>
      <c r="CZ330" s="346"/>
      <c r="DA330" s="346"/>
      <c r="DB330" s="346"/>
      <c r="DC330" s="346"/>
      <c r="DD330" s="346"/>
      <c r="DE330" s="346"/>
      <c r="DF330" s="346"/>
    </row>
    <row r="331" spans="1:110" s="1273" customFormat="1" ht="13.5" thickBot="1" x14ac:dyDescent="0.25">
      <c r="B331" s="1274" t="s">
        <v>409</v>
      </c>
      <c r="C331" s="1316"/>
      <c r="D331" s="1316"/>
      <c r="E331" s="1316"/>
      <c r="F331" s="1316"/>
      <c r="G331" s="1316"/>
      <c r="H331" s="1316"/>
      <c r="I331" s="1316"/>
      <c r="J331" s="1316"/>
      <c r="K331" s="1316"/>
      <c r="L331" s="1316"/>
      <c r="M331" s="1316"/>
      <c r="N331" s="1316"/>
      <c r="O331" s="1316"/>
      <c r="P331" s="1316"/>
      <c r="Q331" s="1316"/>
      <c r="R331" s="1316"/>
      <c r="S331" s="1317"/>
      <c r="T331" s="1317"/>
      <c r="U331" s="1317"/>
      <c r="V331" s="1317"/>
      <c r="W331" s="1317"/>
      <c r="X331" s="1317"/>
      <c r="Y331" s="1317"/>
      <c r="Z331" s="1317"/>
      <c r="AA331" s="1317"/>
      <c r="AB331" s="1317"/>
      <c r="AC331" s="1317"/>
      <c r="AD331" s="1317"/>
      <c r="AE331" s="1317"/>
      <c r="AF331" s="1317"/>
      <c r="AG331" s="1317"/>
      <c r="AH331" s="1317"/>
      <c r="AI331" s="1317"/>
      <c r="AJ331" s="1317"/>
      <c r="AK331" s="1317"/>
      <c r="AL331" s="1317"/>
      <c r="AM331" s="1317"/>
      <c r="AN331" s="1317"/>
      <c r="AO331" s="1317"/>
      <c r="AP331" s="1317"/>
      <c r="AQ331" s="1317"/>
      <c r="AR331" s="1317"/>
      <c r="AS331" s="1317"/>
      <c r="AT331" s="1317"/>
      <c r="AU331" s="1317"/>
      <c r="AV331" s="1317"/>
      <c r="AW331" s="1317"/>
      <c r="AX331" s="1317"/>
      <c r="AY331" s="1317"/>
      <c r="AZ331" s="1317"/>
      <c r="BA331" s="1317"/>
      <c r="BB331" s="1317"/>
      <c r="BC331" s="1317"/>
      <c r="BD331" s="1317"/>
      <c r="BE331" s="1317"/>
      <c r="BF331" s="1317"/>
      <c r="BG331" s="1317"/>
      <c r="BH331" s="1317"/>
      <c r="BI331" s="1317"/>
      <c r="BJ331" s="1317"/>
      <c r="BK331" s="1317"/>
      <c r="BL331" s="1317"/>
      <c r="BM331" s="1317"/>
      <c r="BN331" s="1317"/>
      <c r="BO331" s="1317"/>
      <c r="BP331" s="1317"/>
      <c r="BQ331" s="1317"/>
      <c r="BR331" s="1317"/>
      <c r="BS331" s="1317"/>
      <c r="BT331" s="1317"/>
      <c r="BU331" s="1317"/>
      <c r="BV331" s="1317"/>
      <c r="BW331" s="1317"/>
      <c r="BX331" s="1317"/>
      <c r="BY331" s="1317"/>
      <c r="BZ331" s="1317"/>
      <c r="CA331" s="1317"/>
      <c r="CB331" s="1318"/>
      <c r="CC331" s="1317"/>
      <c r="CD331" s="1317"/>
      <c r="CE331" s="1317"/>
      <c r="CF331" s="1317"/>
      <c r="CG331" s="1318"/>
      <c r="CH331" s="1317"/>
      <c r="CI331" s="1317"/>
      <c r="CJ331" s="1317"/>
      <c r="CK331" s="1317"/>
      <c r="CL331" s="1318"/>
      <c r="CM331" s="1317"/>
      <c r="CN331" s="1317"/>
      <c r="CO331" s="1317"/>
      <c r="CP331" s="1317"/>
      <c r="CQ331" s="1318"/>
      <c r="CR331" s="1317"/>
      <c r="CS331" s="1317"/>
      <c r="CT331" s="1317"/>
      <c r="CU331" s="1317"/>
      <c r="CV331" s="1318"/>
      <c r="CW331" s="1317"/>
      <c r="CX331" s="1317"/>
      <c r="CY331" s="1317"/>
      <c r="CZ331" s="1317"/>
      <c r="DA331" s="1318"/>
      <c r="DB331" s="1317"/>
      <c r="DC331" s="1317"/>
      <c r="DD331" s="1317"/>
      <c r="DE331" s="1317"/>
      <c r="DF331" s="1318"/>
    </row>
    <row r="332" spans="1:110" s="1289" customFormat="1" ht="12.75" x14ac:dyDescent="0.2">
      <c r="A332" s="1273"/>
      <c r="B332" s="1280" t="s">
        <v>327</v>
      </c>
      <c r="C332" s="1319">
        <v>7.3649999999999993E-2</v>
      </c>
      <c r="D332" s="1282"/>
      <c r="E332" s="1282"/>
      <c r="F332" s="1282"/>
      <c r="G332" s="1282"/>
      <c r="H332" s="1282"/>
      <c r="I332" s="1282"/>
      <c r="J332" s="1282"/>
      <c r="K332" s="1282"/>
      <c r="L332" s="1282"/>
      <c r="M332" s="1282"/>
      <c r="N332" s="1282"/>
      <c r="O332" s="1282"/>
      <c r="P332" s="1282"/>
      <c r="Q332" s="1282"/>
      <c r="R332" s="1282"/>
      <c r="S332" s="1283"/>
      <c r="T332" s="1284"/>
      <c r="U332" s="1283"/>
      <c r="V332" s="1283"/>
      <c r="W332" s="1283"/>
      <c r="X332" s="1283"/>
      <c r="Y332" s="1284"/>
      <c r="Z332" s="1283"/>
      <c r="AA332" s="1283"/>
      <c r="AB332" s="1286">
        <v>6.5000000000000002E-2</v>
      </c>
      <c r="AC332" s="1285">
        <v>6.5000000000000002E-2</v>
      </c>
      <c r="AD332" s="1284"/>
      <c r="AE332" s="1286">
        <v>0.06</v>
      </c>
      <c r="AF332" s="1285">
        <v>0.06</v>
      </c>
      <c r="AG332" s="1285">
        <v>0.06</v>
      </c>
      <c r="AH332" s="1285">
        <v>0.06</v>
      </c>
      <c r="AI332" s="1284"/>
      <c r="AJ332" s="1285">
        <v>8.0456069281262074E-2</v>
      </c>
      <c r="AK332" s="1285">
        <v>8.5800233571839774E-2</v>
      </c>
      <c r="AL332" s="1286">
        <v>7.0000000000000007E-2</v>
      </c>
      <c r="AM332" s="1286">
        <v>6.8500000000000005E-2</v>
      </c>
      <c r="AN332" s="1287"/>
      <c r="AO332" s="1286">
        <v>0.06</v>
      </c>
      <c r="AP332" s="1285">
        <v>6.5500000000000003E-2</v>
      </c>
      <c r="AQ332" s="1285">
        <v>6.2E-2</v>
      </c>
      <c r="AR332" s="1285">
        <v>6.4338629166249633E-2</v>
      </c>
      <c r="AS332" s="1284"/>
      <c r="AT332" s="1285">
        <v>4.0034108415405549E-2</v>
      </c>
      <c r="AU332" s="1285">
        <v>4.07E-2</v>
      </c>
      <c r="AV332" s="1285">
        <v>3.9506107363743638E-2</v>
      </c>
      <c r="AW332" s="1285">
        <v>4.1852342533474786E-2</v>
      </c>
      <c r="AX332" s="1287"/>
      <c r="AY332" s="1285">
        <v>4.3935341138797143E-2</v>
      </c>
      <c r="AZ332" s="1285">
        <v>4.0871554225788961E-2</v>
      </c>
      <c r="BA332" s="1285">
        <v>4.3849468070203526E-2</v>
      </c>
      <c r="BB332" s="1285">
        <v>4.7637024993496424E-2</v>
      </c>
      <c r="BC332" s="1284"/>
      <c r="BD332" s="1285">
        <v>4.8190117656475122E-2</v>
      </c>
      <c r="BE332" s="1285">
        <v>5.164190787762369E-2</v>
      </c>
      <c r="BF332" s="1285">
        <v>4.8000000000000001E-2</v>
      </c>
      <c r="BG332" s="1285">
        <v>4.8000000000000001E-2</v>
      </c>
      <c r="BH332" s="1287"/>
      <c r="BI332" s="1285">
        <v>0.05</v>
      </c>
      <c r="BJ332" s="1285">
        <v>0.05</v>
      </c>
      <c r="BK332" s="1285">
        <v>0.05</v>
      </c>
      <c r="BL332" s="1285">
        <v>0.05</v>
      </c>
      <c r="BM332" s="1288"/>
      <c r="BN332" s="1285">
        <v>5.1999999999999998E-2</v>
      </c>
      <c r="BO332" s="1285">
        <v>5.1999999999999998E-2</v>
      </c>
      <c r="BP332" s="1285">
        <v>5.4258000000000001E-2</v>
      </c>
      <c r="BQ332" s="1285">
        <v>5.6099999999999997E-2</v>
      </c>
      <c r="BR332" s="1288"/>
      <c r="BS332" s="1285">
        <v>5.7858E-2</v>
      </c>
      <c r="BT332" s="1285">
        <v>5.9590000000000004E-2</v>
      </c>
      <c r="BU332" s="1285">
        <v>6.1456999999999998E-2</v>
      </c>
      <c r="BV332" s="1285">
        <v>6.3127000000000003E-2</v>
      </c>
      <c r="BW332" s="1288"/>
      <c r="BX332" s="1285">
        <v>6.4743999999999996E-2</v>
      </c>
      <c r="BY332" s="1285">
        <v>6.6328999999999999E-2</v>
      </c>
      <c r="BZ332" s="1285">
        <v>6.6159999999999997E-2</v>
      </c>
      <c r="CA332" s="1285">
        <v>6.7531000000000008E-2</v>
      </c>
      <c r="CB332" s="1288"/>
      <c r="CC332" s="1285">
        <v>6.4743999999999996E-2</v>
      </c>
      <c r="CD332" s="1285">
        <v>6.6328999999999999E-2</v>
      </c>
      <c r="CE332" s="1285">
        <v>6.6159999999999997E-2</v>
      </c>
      <c r="CF332" s="1285">
        <v>6.7531000000000008E-2</v>
      </c>
      <c r="CG332" s="1288"/>
      <c r="CH332" s="1285">
        <v>6.4743999999999996E-2</v>
      </c>
      <c r="CI332" s="1285">
        <v>6.6328999999999999E-2</v>
      </c>
      <c r="CJ332" s="1285">
        <v>6.6159999999999997E-2</v>
      </c>
      <c r="CK332" s="1285">
        <v>6.7531000000000008E-2</v>
      </c>
      <c r="CL332" s="1288"/>
      <c r="CM332" s="1285">
        <v>6.4743999999999996E-2</v>
      </c>
      <c r="CN332" s="1285">
        <v>6.6328999999999999E-2</v>
      </c>
      <c r="CO332" s="1285">
        <v>6.6159999999999997E-2</v>
      </c>
      <c r="CP332" s="1285">
        <v>6.7531000000000008E-2</v>
      </c>
      <c r="CQ332" s="1288"/>
      <c r="CR332" s="1285">
        <v>6.4743999999999996E-2</v>
      </c>
      <c r="CS332" s="1285">
        <v>6.6328999999999999E-2</v>
      </c>
      <c r="CT332" s="1285">
        <v>6.6159999999999997E-2</v>
      </c>
      <c r="CU332" s="1285">
        <v>6.7531000000000008E-2</v>
      </c>
      <c r="CV332" s="1288"/>
      <c r="CW332" s="1285">
        <v>6.4743999999999996E-2</v>
      </c>
      <c r="CX332" s="1285">
        <v>6.6328999999999999E-2</v>
      </c>
      <c r="CY332" s="1285">
        <v>6.6159999999999997E-2</v>
      </c>
      <c r="CZ332" s="1285">
        <v>6.7531000000000008E-2</v>
      </c>
      <c r="DA332" s="1288"/>
      <c r="DB332" s="1285">
        <v>6.4743999999999996E-2</v>
      </c>
      <c r="DC332" s="1285">
        <v>6.6328999999999999E-2</v>
      </c>
      <c r="DD332" s="1285">
        <v>6.6159999999999997E-2</v>
      </c>
      <c r="DE332" s="1285">
        <v>6.7531000000000008E-2</v>
      </c>
      <c r="DF332" s="1288"/>
    </row>
    <row r="333" spans="1:110" s="1289" customFormat="1" ht="12.75" x14ac:dyDescent="0.2">
      <c r="A333" s="1273"/>
      <c r="B333" s="1290" t="s">
        <v>198</v>
      </c>
      <c r="D333" s="1301"/>
      <c r="E333" s="1301"/>
      <c r="F333" s="1301"/>
      <c r="G333" s="1301"/>
      <c r="H333" s="1301"/>
      <c r="I333" s="1301"/>
      <c r="J333" s="1301"/>
      <c r="K333" s="1301"/>
      <c r="L333" s="1301"/>
      <c r="M333" s="1301"/>
      <c r="N333" s="1301"/>
      <c r="O333" s="1301"/>
      <c r="P333" s="1301"/>
      <c r="Q333" s="1301"/>
      <c r="R333" s="1301"/>
      <c r="S333" s="1293"/>
      <c r="T333" s="1294"/>
      <c r="U333" s="1293">
        <f>+T335</f>
        <v>496.3</v>
      </c>
      <c r="V333" s="1293">
        <f>+U335</f>
        <v>496.3</v>
      </c>
      <c r="W333" s="1293">
        <f>+V335</f>
        <v>496.3</v>
      </c>
      <c r="X333" s="1293">
        <f>+W335</f>
        <v>496.3</v>
      </c>
      <c r="Y333" s="1294">
        <f>T335</f>
        <v>496.3</v>
      </c>
      <c r="Z333" s="1293">
        <f>+Y335</f>
        <v>496.3</v>
      </c>
      <c r="AA333" s="1293">
        <f>+Z335</f>
        <v>496.4</v>
      </c>
      <c r="AB333" s="1293">
        <f>+AA335</f>
        <v>496.5</v>
      </c>
      <c r="AC333" s="1293">
        <f>+AB335</f>
        <v>496.6</v>
      </c>
      <c r="AD333" s="1294">
        <f>Y335</f>
        <v>496.3</v>
      </c>
      <c r="AE333" s="1293">
        <f>+AD335</f>
        <v>496.6</v>
      </c>
      <c r="AF333" s="1293">
        <f>+AE335</f>
        <v>483</v>
      </c>
      <c r="AG333" s="1293">
        <f>+AF335</f>
        <v>483</v>
      </c>
      <c r="AH333" s="1293">
        <f>+AG335</f>
        <v>483</v>
      </c>
      <c r="AI333" s="1294">
        <f>AD335</f>
        <v>496.6</v>
      </c>
      <c r="AJ333" s="1293">
        <f>+AI335</f>
        <v>497</v>
      </c>
      <c r="AK333" s="1293">
        <f>+AJ335</f>
        <v>497.1</v>
      </c>
      <c r="AL333" s="1293">
        <f>+AK335</f>
        <v>497.20000000000005</v>
      </c>
      <c r="AM333" s="1293">
        <f>+AL335</f>
        <v>497.30000000000007</v>
      </c>
      <c r="AN333" s="1303">
        <f>AI335</f>
        <v>497</v>
      </c>
      <c r="AO333" s="1293">
        <f>+AN335</f>
        <v>497.4</v>
      </c>
      <c r="AP333" s="1293">
        <f>+AO335</f>
        <v>497.5</v>
      </c>
      <c r="AQ333" s="1293">
        <f>+AP335</f>
        <v>497.6</v>
      </c>
      <c r="AR333" s="1293">
        <f>+AQ335</f>
        <v>497.70000000000005</v>
      </c>
      <c r="AS333" s="1294">
        <f>AN335</f>
        <v>497.4</v>
      </c>
      <c r="AT333" s="1293">
        <f>+AS335</f>
        <v>497.79999999999995</v>
      </c>
      <c r="AU333" s="1293">
        <f>+AT335</f>
        <v>497.79999999999995</v>
      </c>
      <c r="AV333" s="1293">
        <f>+AU335</f>
        <v>497.99999999999994</v>
      </c>
      <c r="AW333" s="1293">
        <f>+AV335</f>
        <v>498.09999999999997</v>
      </c>
      <c r="AX333" s="1303">
        <f>AS335</f>
        <v>497.79999999999995</v>
      </c>
      <c r="AY333" s="1293">
        <f>+AX335</f>
        <v>498.19999999999993</v>
      </c>
      <c r="AZ333" s="1293">
        <f>+AY335</f>
        <v>498.29999999999995</v>
      </c>
      <c r="BA333" s="1293">
        <f>+AZ335</f>
        <v>498.4</v>
      </c>
      <c r="BB333" s="1293">
        <f>+BA335</f>
        <v>498.5</v>
      </c>
      <c r="BC333" s="1294">
        <f>AX335</f>
        <v>498.19999999999993</v>
      </c>
      <c r="BD333" s="1293">
        <f>+BC335</f>
        <v>498.79999999999995</v>
      </c>
      <c r="BE333" s="1293">
        <f>+BD335</f>
        <v>498.79999999999995</v>
      </c>
      <c r="BF333" s="1293">
        <f>+BE335</f>
        <v>498.9</v>
      </c>
      <c r="BG333" s="1293">
        <f>+BF335</f>
        <v>499</v>
      </c>
      <c r="BH333" s="1303">
        <f>BC335</f>
        <v>498.79999999999995</v>
      </c>
      <c r="BI333" s="1293">
        <f>+BH335</f>
        <v>499.09999999999997</v>
      </c>
      <c r="BJ333" s="1293">
        <f>+BI335</f>
        <v>499.2</v>
      </c>
      <c r="BK333" s="1293">
        <f>+BJ335</f>
        <v>0</v>
      </c>
      <c r="BL333" s="1293">
        <f>+BK335</f>
        <v>0</v>
      </c>
      <c r="BM333" s="1304">
        <f>BH335</f>
        <v>499.09999999999997</v>
      </c>
      <c r="BN333" s="1293">
        <f>+BM335</f>
        <v>0</v>
      </c>
      <c r="BO333" s="1293">
        <f>+BN335</f>
        <v>0</v>
      </c>
      <c r="BP333" s="1293">
        <f>+BO335</f>
        <v>0</v>
      </c>
      <c r="BQ333" s="1293">
        <f>+BP335</f>
        <v>0</v>
      </c>
      <c r="BR333" s="1304">
        <f>BM335</f>
        <v>0</v>
      </c>
      <c r="BS333" s="1293">
        <f>+BR335</f>
        <v>0</v>
      </c>
      <c r="BT333" s="1293">
        <f>+BS335</f>
        <v>0</v>
      </c>
      <c r="BU333" s="1293">
        <f>+BT335</f>
        <v>0</v>
      </c>
      <c r="BV333" s="1293">
        <f>+BU335</f>
        <v>0</v>
      </c>
      <c r="BW333" s="1304">
        <f>BR335</f>
        <v>0</v>
      </c>
      <c r="BX333" s="1293">
        <f>+BW335</f>
        <v>0</v>
      </c>
      <c r="BY333" s="1293">
        <f>+BX335</f>
        <v>0</v>
      </c>
      <c r="BZ333" s="1293">
        <f>+BY335</f>
        <v>0</v>
      </c>
      <c r="CA333" s="1293">
        <f>+BZ335</f>
        <v>0</v>
      </c>
      <c r="CB333" s="1304">
        <f>BW335</f>
        <v>0</v>
      </c>
      <c r="CC333" s="1293">
        <f>+CB335</f>
        <v>0</v>
      </c>
      <c r="CD333" s="1293">
        <f>+CC335</f>
        <v>0</v>
      </c>
      <c r="CE333" s="1293">
        <f>+CD335</f>
        <v>0</v>
      </c>
      <c r="CF333" s="1293">
        <f>+CE335</f>
        <v>0</v>
      </c>
      <c r="CG333" s="1304">
        <f>CB335</f>
        <v>0</v>
      </c>
      <c r="CH333" s="1293">
        <f>+CG335</f>
        <v>0</v>
      </c>
      <c r="CI333" s="1293">
        <f>+CH335</f>
        <v>0</v>
      </c>
      <c r="CJ333" s="1293">
        <f>+CI335</f>
        <v>0</v>
      </c>
      <c r="CK333" s="1293">
        <f>+CJ335</f>
        <v>0</v>
      </c>
      <c r="CL333" s="1304">
        <f>CG335</f>
        <v>0</v>
      </c>
      <c r="CM333" s="1293">
        <f>+CL335</f>
        <v>0</v>
      </c>
      <c r="CN333" s="1293">
        <f>+CM335</f>
        <v>0</v>
      </c>
      <c r="CO333" s="1293">
        <f>+CN335</f>
        <v>0</v>
      </c>
      <c r="CP333" s="1293">
        <f>+CO335</f>
        <v>0</v>
      </c>
      <c r="CQ333" s="1304">
        <f>CL335</f>
        <v>0</v>
      </c>
      <c r="CR333" s="1293">
        <f>+CQ335</f>
        <v>0</v>
      </c>
      <c r="CS333" s="1293">
        <f>+CR335</f>
        <v>0</v>
      </c>
      <c r="CT333" s="1293">
        <f>+CS335</f>
        <v>0</v>
      </c>
      <c r="CU333" s="1293">
        <f>+CT335</f>
        <v>0</v>
      </c>
      <c r="CV333" s="1304">
        <f>CQ335</f>
        <v>0</v>
      </c>
      <c r="CW333" s="1293">
        <f>+CV335</f>
        <v>0</v>
      </c>
      <c r="CX333" s="1293">
        <f>+CW335</f>
        <v>0</v>
      </c>
      <c r="CY333" s="1293">
        <f>+CX335</f>
        <v>0</v>
      </c>
      <c r="CZ333" s="1293">
        <f>+CY335</f>
        <v>0</v>
      </c>
      <c r="DA333" s="1304">
        <f>CV335</f>
        <v>0</v>
      </c>
      <c r="DB333" s="1293">
        <f>+DA335</f>
        <v>0</v>
      </c>
      <c r="DC333" s="1293">
        <f>+DB335</f>
        <v>0</v>
      </c>
      <c r="DD333" s="1293">
        <f>+DC335</f>
        <v>0</v>
      </c>
      <c r="DE333" s="1293">
        <f>+DD335</f>
        <v>0</v>
      </c>
      <c r="DF333" s="1304">
        <f>DA335</f>
        <v>0</v>
      </c>
    </row>
    <row r="334" spans="1:110" s="1289" customFormat="1" ht="12.75" x14ac:dyDescent="0.2">
      <c r="A334" s="1273"/>
      <c r="B334" s="1290" t="s">
        <v>199</v>
      </c>
      <c r="C334" s="1298"/>
      <c r="D334" s="1298"/>
      <c r="E334" s="1298"/>
      <c r="F334" s="1298"/>
      <c r="G334" s="1298"/>
      <c r="H334" s="1298"/>
      <c r="I334" s="1298"/>
      <c r="J334" s="1298"/>
      <c r="K334" s="1298"/>
      <c r="L334" s="1298"/>
      <c r="M334" s="1298"/>
      <c r="N334" s="1298"/>
      <c r="O334" s="1298"/>
      <c r="P334" s="1298"/>
      <c r="Q334" s="1298"/>
      <c r="R334" s="1298"/>
      <c r="S334" s="1305"/>
      <c r="T334" s="1306"/>
      <c r="U334" s="1305"/>
      <c r="V334" s="1305"/>
      <c r="W334" s="1305"/>
      <c r="X334" s="1305"/>
      <c r="Y334" s="1306">
        <f>+SUM(U334:X334)</f>
        <v>0</v>
      </c>
      <c r="Z334" s="1307">
        <f>496.4-Z333</f>
        <v>9.9999999999965894E-2</v>
      </c>
      <c r="AA334" s="1307">
        <f>496.5-AA333</f>
        <v>0.10000000000002274</v>
      </c>
      <c r="AB334" s="1307">
        <v>0.1</v>
      </c>
      <c r="AC334" s="1307">
        <v>0</v>
      </c>
      <c r="AD334" s="1306">
        <f>+SUM(Z334:AC334)</f>
        <v>0.29999999999998861</v>
      </c>
      <c r="AE334" s="1307">
        <f>-13.6</f>
        <v>-13.6</v>
      </c>
      <c r="AF334" s="1305"/>
      <c r="AG334" s="1305"/>
      <c r="AH334" s="1307">
        <f>497-AH333</f>
        <v>14</v>
      </c>
      <c r="AI334" s="1306">
        <f>+SUM(AE334:AH334)</f>
        <v>0.40000000000000036</v>
      </c>
      <c r="AJ334" s="1307">
        <f>0.1</f>
        <v>0.1</v>
      </c>
      <c r="AK334" s="1307">
        <v>0.1</v>
      </c>
      <c r="AL334" s="1307">
        <v>0.1</v>
      </c>
      <c r="AM334" s="1307">
        <v>0.1</v>
      </c>
      <c r="AN334" s="1308">
        <f>+SUM(AJ334:AM334)</f>
        <v>0.4</v>
      </c>
      <c r="AO334" s="1307">
        <v>0.1</v>
      </c>
      <c r="AP334" s="1307">
        <v>0.1</v>
      </c>
      <c r="AQ334" s="1307">
        <v>0.1</v>
      </c>
      <c r="AR334" s="1307">
        <v>0.1</v>
      </c>
      <c r="AS334" s="1306">
        <f>+SUM(AO334:AR334)</f>
        <v>0.4</v>
      </c>
      <c r="AT334" s="1307"/>
      <c r="AU334" s="1307">
        <v>0.2</v>
      </c>
      <c r="AV334" s="1307">
        <v>0.1</v>
      </c>
      <c r="AW334" s="1307">
        <v>0.1</v>
      </c>
      <c r="AX334" s="1308">
        <f>+SUM(AT334:AW334)</f>
        <v>0.4</v>
      </c>
      <c r="AY334" s="1307">
        <v>0.1</v>
      </c>
      <c r="AZ334" s="1307">
        <v>0.1</v>
      </c>
      <c r="BA334" s="1307">
        <v>0.1</v>
      </c>
      <c r="BB334" s="1307">
        <v>0.3</v>
      </c>
      <c r="BC334" s="1306">
        <f>+SUM(AY334:BB334)</f>
        <v>0.60000000000000009</v>
      </c>
      <c r="BD334" s="1307">
        <v>0</v>
      </c>
      <c r="BE334" s="1307">
        <v>0.1</v>
      </c>
      <c r="BF334" s="1307">
        <v>0.1</v>
      </c>
      <c r="BG334" s="1307">
        <v>0.1</v>
      </c>
      <c r="BH334" s="1308">
        <f>+SUM(BD334:BG334)</f>
        <v>0.30000000000000004</v>
      </c>
      <c r="BI334" s="1307">
        <v>0.1</v>
      </c>
      <c r="BJ334" s="1307">
        <f>-BJ333</f>
        <v>-499.2</v>
      </c>
      <c r="BK334" s="1307">
        <v>0</v>
      </c>
      <c r="BL334" s="1307">
        <v>0</v>
      </c>
      <c r="BM334" s="1309">
        <f>+SUM(BI334:BL334)</f>
        <v>-499.09999999999997</v>
      </c>
      <c r="BN334" s="1307">
        <v>0</v>
      </c>
      <c r="BO334" s="1307">
        <v>0</v>
      </c>
      <c r="BP334" s="1307">
        <v>0</v>
      </c>
      <c r="BQ334" s="1307">
        <v>0</v>
      </c>
      <c r="BR334" s="1309">
        <f>+SUM(BN334:BQ334)</f>
        <v>0</v>
      </c>
      <c r="BS334" s="1307">
        <v>0</v>
      </c>
      <c r="BT334" s="1307">
        <v>0</v>
      </c>
      <c r="BU334" s="1307">
        <v>0</v>
      </c>
      <c r="BV334" s="1307">
        <v>0</v>
      </c>
      <c r="BW334" s="1309">
        <f>+SUM(BS334:BV334)</f>
        <v>0</v>
      </c>
      <c r="BX334" s="1307">
        <v>0</v>
      </c>
      <c r="BY334" s="1307">
        <v>0</v>
      </c>
      <c r="BZ334" s="1307">
        <v>0</v>
      </c>
      <c r="CA334" s="1307">
        <v>0</v>
      </c>
      <c r="CB334" s="1309">
        <f>+SUM(BX334:CA334)</f>
        <v>0</v>
      </c>
      <c r="CC334" s="1307">
        <v>0</v>
      </c>
      <c r="CD334" s="1307">
        <v>0</v>
      </c>
      <c r="CE334" s="1307">
        <v>0</v>
      </c>
      <c r="CF334" s="1307">
        <v>0</v>
      </c>
      <c r="CG334" s="1309">
        <f>+SUM(CC334:CF334)</f>
        <v>0</v>
      </c>
      <c r="CH334" s="1307">
        <v>0</v>
      </c>
      <c r="CI334" s="1307">
        <v>0</v>
      </c>
      <c r="CJ334" s="1307">
        <v>0</v>
      </c>
      <c r="CK334" s="1307">
        <v>0</v>
      </c>
      <c r="CL334" s="1309">
        <f>+SUM(CH334:CK334)</f>
        <v>0</v>
      </c>
      <c r="CM334" s="1307">
        <v>0</v>
      </c>
      <c r="CN334" s="1307">
        <v>0</v>
      </c>
      <c r="CO334" s="1307">
        <v>0</v>
      </c>
      <c r="CP334" s="1307">
        <v>0</v>
      </c>
      <c r="CQ334" s="1309">
        <f>+SUM(CM334:CP334)</f>
        <v>0</v>
      </c>
      <c r="CR334" s="1307">
        <v>0</v>
      </c>
      <c r="CS334" s="1307">
        <v>0</v>
      </c>
      <c r="CT334" s="1307">
        <v>0</v>
      </c>
      <c r="CU334" s="1307">
        <v>0</v>
      </c>
      <c r="CV334" s="1309">
        <f>+SUM(CR334:CU334)</f>
        <v>0</v>
      </c>
      <c r="CW334" s="1307">
        <v>0</v>
      </c>
      <c r="CX334" s="1307">
        <v>0</v>
      </c>
      <c r="CY334" s="1307">
        <v>0</v>
      </c>
      <c r="CZ334" s="1307">
        <v>0</v>
      </c>
      <c r="DA334" s="1309">
        <f>+SUM(CW334:CZ334)</f>
        <v>0</v>
      </c>
      <c r="DB334" s="1307">
        <v>0</v>
      </c>
      <c r="DC334" s="1307">
        <v>0</v>
      </c>
      <c r="DD334" s="1307">
        <v>0</v>
      </c>
      <c r="DE334" s="1307">
        <v>0</v>
      </c>
      <c r="DF334" s="1309">
        <f>+SUM(DB334:DE334)</f>
        <v>0</v>
      </c>
    </row>
    <row r="335" spans="1:110" s="1289" customFormat="1" ht="12.75" x14ac:dyDescent="0.2">
      <c r="A335" s="1273"/>
      <c r="B335" s="1290" t="s">
        <v>200</v>
      </c>
      <c r="C335" s="1298"/>
      <c r="D335" s="1298"/>
      <c r="E335" s="1298"/>
      <c r="F335" s="1298"/>
      <c r="G335" s="1298"/>
      <c r="H335" s="1298"/>
      <c r="I335" s="1298"/>
      <c r="J335" s="1298"/>
      <c r="K335" s="1298"/>
      <c r="L335" s="1298"/>
      <c r="M335" s="1298"/>
      <c r="N335" s="1298"/>
      <c r="O335" s="1298"/>
      <c r="P335" s="1298"/>
      <c r="Q335" s="1298"/>
      <c r="R335" s="1298"/>
      <c r="S335" s="1293">
        <v>496.3</v>
      </c>
      <c r="T335" s="1293">
        <f>+S335</f>
        <v>496.3</v>
      </c>
      <c r="U335" s="1293">
        <f t="shared" ref="U335:BW335" si="534">U333+U334</f>
        <v>496.3</v>
      </c>
      <c r="V335" s="1293">
        <f t="shared" si="534"/>
        <v>496.3</v>
      </c>
      <c r="W335" s="1293">
        <f t="shared" si="534"/>
        <v>496.3</v>
      </c>
      <c r="X335" s="1293">
        <f t="shared" si="534"/>
        <v>496.3</v>
      </c>
      <c r="Y335" s="1294">
        <f t="shared" si="534"/>
        <v>496.3</v>
      </c>
      <c r="Z335" s="1293">
        <f t="shared" si="534"/>
        <v>496.4</v>
      </c>
      <c r="AA335" s="1293">
        <f t="shared" si="534"/>
        <v>496.5</v>
      </c>
      <c r="AB335" s="1293">
        <f t="shared" si="534"/>
        <v>496.6</v>
      </c>
      <c r="AC335" s="1293">
        <f t="shared" si="534"/>
        <v>496.6</v>
      </c>
      <c r="AD335" s="1294">
        <f t="shared" si="534"/>
        <v>496.6</v>
      </c>
      <c r="AE335" s="1293">
        <f t="shared" si="534"/>
        <v>483</v>
      </c>
      <c r="AF335" s="1293">
        <f t="shared" si="534"/>
        <v>483</v>
      </c>
      <c r="AG335" s="1293">
        <f t="shared" si="534"/>
        <v>483</v>
      </c>
      <c r="AH335" s="1293">
        <f t="shared" si="534"/>
        <v>497</v>
      </c>
      <c r="AI335" s="1294">
        <f t="shared" si="534"/>
        <v>497</v>
      </c>
      <c r="AJ335" s="1293">
        <f t="shared" si="534"/>
        <v>497.1</v>
      </c>
      <c r="AK335" s="1293">
        <f t="shared" si="534"/>
        <v>497.20000000000005</v>
      </c>
      <c r="AL335" s="1293">
        <f t="shared" si="534"/>
        <v>497.30000000000007</v>
      </c>
      <c r="AM335" s="1293">
        <f t="shared" si="534"/>
        <v>497.40000000000009</v>
      </c>
      <c r="AN335" s="1303">
        <f t="shared" si="534"/>
        <v>497.4</v>
      </c>
      <c r="AO335" s="1293">
        <f t="shared" si="534"/>
        <v>497.5</v>
      </c>
      <c r="AP335" s="1293">
        <f t="shared" si="534"/>
        <v>497.6</v>
      </c>
      <c r="AQ335" s="1293">
        <f t="shared" si="534"/>
        <v>497.70000000000005</v>
      </c>
      <c r="AR335" s="1293">
        <f t="shared" si="534"/>
        <v>497.80000000000007</v>
      </c>
      <c r="AS335" s="1294">
        <f t="shared" si="534"/>
        <v>497.79999999999995</v>
      </c>
      <c r="AT335" s="1293">
        <f t="shared" si="534"/>
        <v>497.79999999999995</v>
      </c>
      <c r="AU335" s="1293">
        <f t="shared" si="534"/>
        <v>497.99999999999994</v>
      </c>
      <c r="AV335" s="1293">
        <f t="shared" si="534"/>
        <v>498.09999999999997</v>
      </c>
      <c r="AW335" s="1293">
        <f t="shared" si="534"/>
        <v>498.2</v>
      </c>
      <c r="AX335" s="1303">
        <f t="shared" si="534"/>
        <v>498.19999999999993</v>
      </c>
      <c r="AY335" s="1293">
        <f t="shared" si="534"/>
        <v>498.29999999999995</v>
      </c>
      <c r="AZ335" s="1293">
        <f t="shared" si="534"/>
        <v>498.4</v>
      </c>
      <c r="BA335" s="1293">
        <f t="shared" si="534"/>
        <v>498.5</v>
      </c>
      <c r="BB335" s="1293">
        <f t="shared" si="534"/>
        <v>498.8</v>
      </c>
      <c r="BC335" s="1294">
        <f t="shared" si="534"/>
        <v>498.79999999999995</v>
      </c>
      <c r="BD335" s="1293">
        <f t="shared" si="534"/>
        <v>498.79999999999995</v>
      </c>
      <c r="BE335" s="1293">
        <f t="shared" si="534"/>
        <v>498.9</v>
      </c>
      <c r="BF335" s="1293">
        <f t="shared" si="534"/>
        <v>499</v>
      </c>
      <c r="BG335" s="1293">
        <f t="shared" si="534"/>
        <v>499.1</v>
      </c>
      <c r="BH335" s="1303">
        <f t="shared" si="534"/>
        <v>499.09999999999997</v>
      </c>
      <c r="BI335" s="1293">
        <f t="shared" si="534"/>
        <v>499.2</v>
      </c>
      <c r="BJ335" s="1293">
        <f t="shared" si="534"/>
        <v>0</v>
      </c>
      <c r="BK335" s="1293">
        <f t="shared" si="534"/>
        <v>0</v>
      </c>
      <c r="BL335" s="1293">
        <f t="shared" si="534"/>
        <v>0</v>
      </c>
      <c r="BM335" s="1304">
        <f t="shared" si="534"/>
        <v>0</v>
      </c>
      <c r="BN335" s="1293">
        <f t="shared" si="534"/>
        <v>0</v>
      </c>
      <c r="BO335" s="1293">
        <f t="shared" si="534"/>
        <v>0</v>
      </c>
      <c r="BP335" s="1293">
        <f t="shared" si="534"/>
        <v>0</v>
      </c>
      <c r="BQ335" s="1293">
        <f t="shared" si="534"/>
        <v>0</v>
      </c>
      <c r="BR335" s="1304">
        <f t="shared" si="534"/>
        <v>0</v>
      </c>
      <c r="BS335" s="1293">
        <f t="shared" si="534"/>
        <v>0</v>
      </c>
      <c r="BT335" s="1293">
        <f t="shared" si="534"/>
        <v>0</v>
      </c>
      <c r="BU335" s="1293">
        <f t="shared" si="534"/>
        <v>0</v>
      </c>
      <c r="BV335" s="1293">
        <f t="shared" si="534"/>
        <v>0</v>
      </c>
      <c r="BW335" s="1304">
        <f t="shared" si="534"/>
        <v>0</v>
      </c>
      <c r="BX335" s="1293">
        <f t="shared" ref="BX335:CG335" si="535">BX333+BX334</f>
        <v>0</v>
      </c>
      <c r="BY335" s="1293">
        <f t="shared" si="535"/>
        <v>0</v>
      </c>
      <c r="BZ335" s="1293">
        <f t="shared" si="535"/>
        <v>0</v>
      </c>
      <c r="CA335" s="1293">
        <f t="shared" si="535"/>
        <v>0</v>
      </c>
      <c r="CB335" s="1304">
        <f t="shared" si="535"/>
        <v>0</v>
      </c>
      <c r="CC335" s="1293">
        <f t="shared" si="535"/>
        <v>0</v>
      </c>
      <c r="CD335" s="1293">
        <f t="shared" si="535"/>
        <v>0</v>
      </c>
      <c r="CE335" s="1293">
        <f t="shared" si="535"/>
        <v>0</v>
      </c>
      <c r="CF335" s="1293">
        <f t="shared" si="535"/>
        <v>0</v>
      </c>
      <c r="CG335" s="1304">
        <f t="shared" si="535"/>
        <v>0</v>
      </c>
      <c r="CH335" s="1293">
        <f t="shared" ref="CH335:CQ335" si="536">CH333+CH334</f>
        <v>0</v>
      </c>
      <c r="CI335" s="1293">
        <f t="shared" si="536"/>
        <v>0</v>
      </c>
      <c r="CJ335" s="1293">
        <f t="shared" si="536"/>
        <v>0</v>
      </c>
      <c r="CK335" s="1293">
        <f t="shared" si="536"/>
        <v>0</v>
      </c>
      <c r="CL335" s="1304">
        <f t="shared" si="536"/>
        <v>0</v>
      </c>
      <c r="CM335" s="1293">
        <f t="shared" si="536"/>
        <v>0</v>
      </c>
      <c r="CN335" s="1293">
        <f t="shared" si="536"/>
        <v>0</v>
      </c>
      <c r="CO335" s="1293">
        <f t="shared" si="536"/>
        <v>0</v>
      </c>
      <c r="CP335" s="1293">
        <f t="shared" si="536"/>
        <v>0</v>
      </c>
      <c r="CQ335" s="1304">
        <f t="shared" si="536"/>
        <v>0</v>
      </c>
      <c r="CR335" s="1293">
        <f t="shared" ref="CR335:CV335" si="537">CR333+CR334</f>
        <v>0</v>
      </c>
      <c r="CS335" s="1293">
        <f t="shared" si="537"/>
        <v>0</v>
      </c>
      <c r="CT335" s="1293">
        <f t="shared" si="537"/>
        <v>0</v>
      </c>
      <c r="CU335" s="1293">
        <f t="shared" si="537"/>
        <v>0</v>
      </c>
      <c r="CV335" s="1304">
        <f t="shared" si="537"/>
        <v>0</v>
      </c>
      <c r="CW335" s="1293">
        <f t="shared" ref="CW335:DF335" si="538">CW333+CW334</f>
        <v>0</v>
      </c>
      <c r="CX335" s="1293">
        <f t="shared" si="538"/>
        <v>0</v>
      </c>
      <c r="CY335" s="1293">
        <f t="shared" si="538"/>
        <v>0</v>
      </c>
      <c r="CZ335" s="1293">
        <f t="shared" si="538"/>
        <v>0</v>
      </c>
      <c r="DA335" s="1304">
        <f t="shared" si="538"/>
        <v>0</v>
      </c>
      <c r="DB335" s="1293">
        <f t="shared" si="538"/>
        <v>0</v>
      </c>
      <c r="DC335" s="1293">
        <f t="shared" si="538"/>
        <v>0</v>
      </c>
      <c r="DD335" s="1293">
        <f t="shared" si="538"/>
        <v>0</v>
      </c>
      <c r="DE335" s="1293">
        <f t="shared" si="538"/>
        <v>0</v>
      </c>
      <c r="DF335" s="1304">
        <f t="shared" si="538"/>
        <v>0</v>
      </c>
    </row>
    <row r="336" spans="1:110" s="1289" customFormat="1" ht="13.5" thickBot="1" x14ac:dyDescent="0.25">
      <c r="A336" s="1273"/>
      <c r="B336" s="1310" t="s">
        <v>147</v>
      </c>
      <c r="C336" s="1311"/>
      <c r="D336" s="1311"/>
      <c r="E336" s="1311"/>
      <c r="F336" s="1311"/>
      <c r="G336" s="1311"/>
      <c r="H336" s="1311"/>
      <c r="I336" s="1311"/>
      <c r="J336" s="1311"/>
      <c r="K336" s="1311"/>
      <c r="L336" s="1311"/>
      <c r="M336" s="1311"/>
      <c r="N336" s="1311"/>
      <c r="O336" s="1311"/>
      <c r="P336" s="1311"/>
      <c r="Q336" s="1311"/>
      <c r="R336" s="1311"/>
      <c r="S336" s="1312"/>
      <c r="T336" s="1313"/>
      <c r="U336" s="1312">
        <f>-(AVERAGE(U335,U333))*($C332/4)</f>
        <v>-9.1381237500000001</v>
      </c>
      <c r="V336" s="1312">
        <f>-(AVERAGE(V335,V333))*($C332/4)</f>
        <v>-9.1381237500000001</v>
      </c>
      <c r="W336" s="1312">
        <f>-(AVERAGE(W335,W333))*($C332/4)</f>
        <v>-9.1381237500000001</v>
      </c>
      <c r="X336" s="1312">
        <f>-(AVERAGE(X335,X333))*($C332/4)</f>
        <v>-9.1381237500000001</v>
      </c>
      <c r="Y336" s="1313">
        <f>SUM(U336:X336)</f>
        <v>-36.552495</v>
      </c>
      <c r="Z336" s="1312">
        <f>-(AVERAGE(Z335,Z333))*($C332/4)</f>
        <v>-9.1390443749999992</v>
      </c>
      <c r="AA336" s="1312">
        <f>-(AVERAGE(AA335,AA333))*($C332/4)</f>
        <v>-9.1408856249999992</v>
      </c>
      <c r="AB336" s="1312">
        <f>-(AVERAGE(AB335,AB333))*(AB332/4)</f>
        <v>-8.0689375000000005</v>
      </c>
      <c r="AC336" s="1312">
        <f>-(AVERAGE(AC335,AC333))*(AC332/4)</f>
        <v>-8.0697500000000009</v>
      </c>
      <c r="AD336" s="1313">
        <f>SUM(Z336:AC336)</f>
        <v>-34.418617500000003</v>
      </c>
      <c r="AE336" s="1312">
        <f>-(AVERAGE(AE335,AE333))*(AE332/4)</f>
        <v>-7.3469999999999995</v>
      </c>
      <c r="AF336" s="1312">
        <f>-(AVERAGE(AF335,AF333))*(AF332/4)</f>
        <v>-7.2450000000000001</v>
      </c>
      <c r="AG336" s="1312">
        <f>-(AVERAGE(AG335,AG333))*(AG332/4)</f>
        <v>-7.2450000000000001</v>
      </c>
      <c r="AH336" s="1312">
        <f>-(AVERAGE(AH335,AH333))*(AH332/4)</f>
        <v>-7.35</v>
      </c>
      <c r="AI336" s="1313">
        <f>SUM(AE336:AH336)</f>
        <v>-29.186999999999998</v>
      </c>
      <c r="AJ336" s="1312">
        <f>-(AVERAGE(AJ335,AJ333))*(AJ332/4)</f>
        <v>-9.9976723090628283</v>
      </c>
      <c r="AK336" s="1312">
        <f>-(AVERAGE(AK335,AK333))*(AK332/4)</f>
        <v>-10.663896530060036</v>
      </c>
      <c r="AL336" s="1312">
        <f>-(AVERAGE(AL335,AL333))*(AL332/4)</f>
        <v>-8.7018750000000011</v>
      </c>
      <c r="AM336" s="1312">
        <f>-(AVERAGE(AM335,AM333))*(AM332/4)</f>
        <v>-8.5171187500000016</v>
      </c>
      <c r="AN336" s="1315">
        <f>SUM(AJ336:AM336)</f>
        <v>-37.880562589122867</v>
      </c>
      <c r="AO336" s="1312">
        <f>-(AVERAGE(AO335,AO333))*(AO332/4)</f>
        <v>-7.4617499999999994</v>
      </c>
      <c r="AP336" s="1312">
        <f>-(AVERAGE(AP335,AP333))*(AP332/4)</f>
        <v>-8.1473812500000005</v>
      </c>
      <c r="AQ336" s="1312">
        <f>-(AVERAGE(AQ335,AQ333))*(AQ332/4)</f>
        <v>-7.7135750000000005</v>
      </c>
      <c r="AR336" s="1312">
        <f>-(AVERAGE(AR335,AR333))*(AR332/4)</f>
        <v>-8.0061381668751892</v>
      </c>
      <c r="AS336" s="1313">
        <f>SUM(AO336:AR336)</f>
        <v>-31.328844416875192</v>
      </c>
      <c r="AT336" s="1312">
        <f>-(AVERAGE(AT335,AT333))*(AT332/4)</f>
        <v>-4.9822447922972204</v>
      </c>
      <c r="AU336" s="1312">
        <f>-(AVERAGE(AU335,AU333))*(AU332/4)</f>
        <v>-5.0661325000000001</v>
      </c>
      <c r="AV336" s="1312">
        <f>-(AVERAGE(AV335,AV333))*(AV332/4)</f>
        <v>-4.9190041931281296</v>
      </c>
      <c r="AW336" s="1312">
        <f>-(AVERAGE(AW335,AW333))*(AW332/4)</f>
        <v>-5.2121861082626157</v>
      </c>
      <c r="AX336" s="1315">
        <f>SUM(AT336:AW336)</f>
        <v>-20.179567593687967</v>
      </c>
      <c r="AY336" s="1312">
        <f>-(AVERAGE(AY335,AY333))*(AY332/4)</f>
        <v>-5.4726959306014189</v>
      </c>
      <c r="AZ336" s="1312">
        <f>-(AVERAGE(AZ335,AZ333))*(AZ332/4)</f>
        <v>-5.0920847621054817</v>
      </c>
      <c r="BA336" s="1312">
        <f>-(AVERAGE(BA335,BA333))*(BA332/4)</f>
        <v>-5.4641918398982368</v>
      </c>
      <c r="BB336" s="1312">
        <f>-(AVERAGE(BB335,BB333))*(BB332/4)</f>
        <v>-5.9385506282517477</v>
      </c>
      <c r="BC336" s="1313">
        <f>SUM(AY336:BB336)</f>
        <v>-21.967523160856885</v>
      </c>
      <c r="BD336" s="1312">
        <f>-(AVERAGE(BD335,BD333))*(BD332/4)</f>
        <v>-6.0093076717624472</v>
      </c>
      <c r="BE336" s="1312">
        <f>-(AVERAGE(BE335,BE333))*(BE332/4)</f>
        <v>-6.4403914361881442</v>
      </c>
      <c r="BF336" s="1312">
        <f>-(AVERAGE(BF335,BF333))*(BF332/4)</f>
        <v>-5.9874000000000001</v>
      </c>
      <c r="BG336" s="1312">
        <f>-(AVERAGE(BG335,BG333))*(BG332/4)</f>
        <v>-5.9885999999999999</v>
      </c>
      <c r="BH336" s="1315">
        <f>SUM(BD336:BG336)</f>
        <v>-24.425699107950592</v>
      </c>
      <c r="BI336" s="1312"/>
      <c r="BJ336" s="1312">
        <f>-(AVERAGE(BJ335,BJ333))*(BJ332/4)</f>
        <v>-3.12</v>
      </c>
      <c r="BK336" s="1312">
        <f>-(AVERAGE(BK335,BK333))*(BK332/4)</f>
        <v>0</v>
      </c>
      <c r="BL336" s="1312">
        <f>-(AVERAGE(BL335,BL333))*(BL332/4)</f>
        <v>0</v>
      </c>
      <c r="BM336" s="1314">
        <f>SUM(BI336:BL336)</f>
        <v>-3.12</v>
      </c>
      <c r="BN336" s="1312">
        <f>-(AVERAGE(BN335,BN333))*(BN332/4)</f>
        <v>0</v>
      </c>
      <c r="BO336" s="1312">
        <f>-(AVERAGE(BO335,BO333))*(BO332/4)</f>
        <v>0</v>
      </c>
      <c r="BP336" s="1312">
        <f>-(AVERAGE(BP335,BP333))*(BP332/4)</f>
        <v>0</v>
      </c>
      <c r="BQ336" s="1312">
        <f>-(AVERAGE(BQ335,BQ333))*(BQ332/4)</f>
        <v>0</v>
      </c>
      <c r="BR336" s="1314">
        <f>SUM(BN336:BQ336)</f>
        <v>0</v>
      </c>
      <c r="BS336" s="1312">
        <f>-(AVERAGE(BS335,BS333))*(BS332/4)</f>
        <v>0</v>
      </c>
      <c r="BT336" s="1312">
        <f>-(AVERAGE(BT335,BT333))*(BT332/4)</f>
        <v>0</v>
      </c>
      <c r="BU336" s="1312">
        <f>-(AVERAGE(BU335,BU333))*(BU332/4)</f>
        <v>0</v>
      </c>
      <c r="BV336" s="1312">
        <f>-(AVERAGE(BV335,BV333))*(BV332/4)</f>
        <v>0</v>
      </c>
      <c r="BW336" s="1314">
        <f>SUM(BS336:BV336)</f>
        <v>0</v>
      </c>
      <c r="BX336" s="1312">
        <f>-(AVERAGE(BX335,BX333))*(BX332/4)</f>
        <v>0</v>
      </c>
      <c r="BY336" s="1312">
        <f>-(AVERAGE(BY335,BY333))*(BY332/4)</f>
        <v>0</v>
      </c>
      <c r="BZ336" s="1312">
        <f>-(AVERAGE(BZ335,BZ333))*(BZ332/4)</f>
        <v>0</v>
      </c>
      <c r="CA336" s="1312">
        <f>-(AVERAGE(CA335,CA333))*(CA332/4)</f>
        <v>0</v>
      </c>
      <c r="CB336" s="1314">
        <f>SUM(BX336:CA336)</f>
        <v>0</v>
      </c>
      <c r="CC336" s="1312">
        <f>-(AVERAGE(CC335,CC333))*(CC332/4)</f>
        <v>0</v>
      </c>
      <c r="CD336" s="1312">
        <f>-(AVERAGE(CD335,CD333))*(CD332/4)</f>
        <v>0</v>
      </c>
      <c r="CE336" s="1312">
        <f>-(AVERAGE(CE335,CE333))*(CE332/4)</f>
        <v>0</v>
      </c>
      <c r="CF336" s="1312">
        <f>-(AVERAGE(CF335,CF333))*(CF332/4)</f>
        <v>0</v>
      </c>
      <c r="CG336" s="1314">
        <f>SUM(CC336:CF336)</f>
        <v>0</v>
      </c>
      <c r="CH336" s="1312">
        <f>-(AVERAGE(CH335,CH333))*(CH332/4)</f>
        <v>0</v>
      </c>
      <c r="CI336" s="1312">
        <f>-(AVERAGE(CI335,CI333))*(CI332/4)</f>
        <v>0</v>
      </c>
      <c r="CJ336" s="1312">
        <f>-(AVERAGE(CJ335,CJ333))*(CJ332/4)</f>
        <v>0</v>
      </c>
      <c r="CK336" s="1312">
        <f>-(AVERAGE(CK335,CK333))*(CK332/4)</f>
        <v>0</v>
      </c>
      <c r="CL336" s="1314">
        <f>SUM(CH336:CK336)</f>
        <v>0</v>
      </c>
      <c r="CM336" s="1312">
        <f>-(AVERAGE(CM335,CM333))*(CM332/4)</f>
        <v>0</v>
      </c>
      <c r="CN336" s="1312">
        <f>-(AVERAGE(CN335,CN333))*(CN332/4)</f>
        <v>0</v>
      </c>
      <c r="CO336" s="1312">
        <f>-(AVERAGE(CO335,CO333))*(CO332/4)</f>
        <v>0</v>
      </c>
      <c r="CP336" s="1312">
        <f>-(AVERAGE(CP335,CP333))*(CP332/4)</f>
        <v>0</v>
      </c>
      <c r="CQ336" s="1314">
        <f>SUM(CM336:CP336)</f>
        <v>0</v>
      </c>
      <c r="CR336" s="1312">
        <f>-(AVERAGE(CR335,CR333))*(CR332/4)</f>
        <v>0</v>
      </c>
      <c r="CS336" s="1312">
        <f>-(AVERAGE(CS335,CS333))*(CS332/4)</f>
        <v>0</v>
      </c>
      <c r="CT336" s="1312">
        <f>-(AVERAGE(CT335,CT333))*(CT332/4)</f>
        <v>0</v>
      </c>
      <c r="CU336" s="1312">
        <f>-(AVERAGE(CU335,CU333))*(CU332/4)</f>
        <v>0</v>
      </c>
      <c r="CV336" s="1314">
        <f>SUM(CR336:CU336)</f>
        <v>0</v>
      </c>
      <c r="CW336" s="1312">
        <f>-(AVERAGE(CW335,CW333))*(CW332/4)</f>
        <v>0</v>
      </c>
      <c r="CX336" s="1312">
        <f>-(AVERAGE(CX335,CX333))*(CX332/4)</f>
        <v>0</v>
      </c>
      <c r="CY336" s="1312">
        <f>-(AVERAGE(CY335,CY333))*(CY332/4)</f>
        <v>0</v>
      </c>
      <c r="CZ336" s="1312">
        <f>-(AVERAGE(CZ335,CZ333))*(CZ332/4)</f>
        <v>0</v>
      </c>
      <c r="DA336" s="1314">
        <f>SUM(CW336:CZ336)</f>
        <v>0</v>
      </c>
      <c r="DB336" s="1312">
        <f>-(AVERAGE(DB335,DB333))*(DB332/4)</f>
        <v>0</v>
      </c>
      <c r="DC336" s="1312">
        <f>-(AVERAGE(DC335,DC333))*(DC332/4)</f>
        <v>0</v>
      </c>
      <c r="DD336" s="1312">
        <f>-(AVERAGE(DD335,DD333))*(DD332/4)</f>
        <v>0</v>
      </c>
      <c r="DE336" s="1312">
        <f>-(AVERAGE(DE335,DE333))*(DE332/4)</f>
        <v>0</v>
      </c>
      <c r="DF336" s="1314">
        <f>SUM(DB336:DE336)</f>
        <v>0</v>
      </c>
    </row>
    <row r="337" spans="1:110" s="1273" customFormat="1" ht="13.5" thickBot="1" x14ac:dyDescent="0.25">
      <c r="C337" s="1298"/>
      <c r="D337" s="1298"/>
      <c r="E337" s="1298"/>
      <c r="F337" s="1298"/>
      <c r="G337" s="1298"/>
      <c r="H337" s="1298"/>
      <c r="I337" s="1298"/>
      <c r="J337" s="1298"/>
      <c r="K337" s="1298"/>
      <c r="L337" s="1298"/>
      <c r="M337" s="1298"/>
      <c r="N337" s="1298"/>
      <c r="O337" s="1298"/>
      <c r="P337" s="1298"/>
      <c r="Q337" s="1298"/>
      <c r="R337" s="1298"/>
      <c r="S337" s="1293"/>
      <c r="T337" s="1293"/>
      <c r="U337" s="1293"/>
      <c r="V337" s="1293"/>
      <c r="W337" s="1293"/>
      <c r="X337" s="1293"/>
      <c r="Y337" s="1293"/>
      <c r="Z337" s="1293"/>
      <c r="AA337" s="1293"/>
      <c r="AB337" s="1293"/>
      <c r="AC337" s="1293"/>
      <c r="AD337" s="1293"/>
      <c r="AE337" s="1293"/>
      <c r="AF337" s="1293"/>
      <c r="AG337" s="1293"/>
      <c r="AH337" s="1293"/>
      <c r="AI337" s="1293"/>
      <c r="AJ337" s="1293"/>
      <c r="AK337" s="1293"/>
      <c r="AL337" s="1293"/>
      <c r="AM337" s="1293"/>
      <c r="AN337" s="1293"/>
      <c r="AO337" s="1293"/>
      <c r="AP337" s="1293"/>
      <c r="AQ337" s="1293"/>
      <c r="AR337" s="1293"/>
      <c r="AS337" s="1293"/>
      <c r="AT337" s="1293"/>
      <c r="AU337" s="1293"/>
      <c r="AV337" s="1293"/>
      <c r="AW337" s="1293"/>
      <c r="AX337" s="1293"/>
      <c r="AY337" s="1293"/>
      <c r="AZ337" s="1293"/>
      <c r="BA337" s="1293"/>
      <c r="BB337" s="1293"/>
      <c r="BC337" s="1293"/>
      <c r="BD337" s="1293"/>
      <c r="BE337" s="1293"/>
      <c r="BF337" s="1293"/>
      <c r="BG337" s="1293"/>
      <c r="BH337" s="1293"/>
      <c r="BI337" s="1293"/>
      <c r="BJ337" s="1293"/>
      <c r="BK337" s="1293"/>
      <c r="BL337" s="1293"/>
      <c r="BM337" s="1293"/>
      <c r="BN337" s="1293"/>
      <c r="BO337" s="1293"/>
      <c r="BP337" s="1293"/>
      <c r="BQ337" s="1293"/>
      <c r="BR337" s="1293"/>
      <c r="BS337" s="1293"/>
      <c r="BT337" s="1293"/>
      <c r="BU337" s="1293"/>
      <c r="BV337" s="1293"/>
      <c r="BW337" s="1293"/>
      <c r="BX337" s="1293"/>
      <c r="BY337" s="1293"/>
      <c r="BZ337" s="1293"/>
      <c r="CA337" s="1293"/>
      <c r="CB337" s="1293"/>
      <c r="CC337" s="1293"/>
      <c r="CD337" s="1293"/>
      <c r="CE337" s="1293"/>
      <c r="CF337" s="1293"/>
      <c r="CG337" s="1293"/>
      <c r="CH337" s="1293"/>
      <c r="CI337" s="1293"/>
      <c r="CJ337" s="1293"/>
      <c r="CK337" s="1293"/>
      <c r="CL337" s="1293"/>
      <c r="CM337" s="1293"/>
      <c r="CN337" s="1293"/>
      <c r="CO337" s="1293"/>
      <c r="CP337" s="1293"/>
      <c r="CQ337" s="1293"/>
      <c r="CR337" s="1293"/>
      <c r="CS337" s="1293"/>
      <c r="CT337" s="1293"/>
      <c r="CU337" s="1293"/>
      <c r="CV337" s="1293"/>
      <c r="CW337" s="1293"/>
      <c r="CX337" s="1293"/>
      <c r="CY337" s="1293"/>
      <c r="CZ337" s="1293"/>
      <c r="DA337" s="1293"/>
      <c r="DB337" s="1293"/>
      <c r="DC337" s="1293"/>
      <c r="DD337" s="1293"/>
      <c r="DE337" s="1293"/>
      <c r="DF337" s="1293"/>
    </row>
    <row r="338" spans="1:110" s="326" customFormat="1" ht="12" thickBot="1" x14ac:dyDescent="0.25">
      <c r="B338" s="993" t="s">
        <v>324</v>
      </c>
      <c r="C338" s="989"/>
      <c r="D338" s="989"/>
      <c r="E338" s="989"/>
      <c r="F338" s="989"/>
      <c r="G338" s="989"/>
      <c r="H338" s="989"/>
      <c r="I338" s="989"/>
      <c r="J338" s="989"/>
      <c r="K338" s="989"/>
      <c r="L338" s="989"/>
      <c r="M338" s="989"/>
      <c r="N338" s="989"/>
      <c r="O338" s="989"/>
      <c r="P338" s="989"/>
      <c r="Q338" s="989"/>
      <c r="R338" s="989"/>
      <c r="S338" s="990"/>
      <c r="T338" s="990"/>
      <c r="U338" s="990"/>
      <c r="V338" s="991"/>
      <c r="W338" s="991"/>
      <c r="X338" s="991"/>
      <c r="Y338" s="990"/>
      <c r="Z338" s="990"/>
      <c r="AA338" s="990"/>
      <c r="AB338" s="990"/>
      <c r="AC338" s="990"/>
      <c r="AD338" s="990"/>
      <c r="AE338" s="990"/>
      <c r="AF338" s="990"/>
      <c r="AG338" s="990"/>
      <c r="AH338" s="990"/>
      <c r="AI338" s="990"/>
      <c r="AJ338" s="990"/>
      <c r="AK338" s="990"/>
      <c r="AL338" s="990"/>
      <c r="AM338" s="990"/>
      <c r="AN338" s="990"/>
      <c r="AO338" s="990"/>
      <c r="AP338" s="990"/>
      <c r="AQ338" s="990"/>
      <c r="AR338" s="990"/>
      <c r="AS338" s="990"/>
      <c r="AT338" s="990"/>
      <c r="AU338" s="990"/>
      <c r="AV338" s="990"/>
      <c r="AW338" s="990"/>
      <c r="AX338" s="990"/>
      <c r="AY338" s="990"/>
      <c r="AZ338" s="990"/>
      <c r="BA338" s="990"/>
      <c r="BB338" s="990"/>
      <c r="BC338" s="990"/>
      <c r="BD338" s="990"/>
      <c r="BE338" s="990"/>
      <c r="BF338" s="990"/>
      <c r="BG338" s="990"/>
      <c r="BH338" s="990"/>
      <c r="BI338" s="990"/>
      <c r="BJ338" s="990"/>
      <c r="BK338" s="990"/>
      <c r="BL338" s="990"/>
      <c r="BM338" s="990"/>
      <c r="BN338" s="990"/>
      <c r="BO338" s="990"/>
      <c r="BP338" s="990"/>
      <c r="BQ338" s="990"/>
      <c r="BR338" s="990"/>
      <c r="BS338" s="990"/>
      <c r="BT338" s="990"/>
      <c r="BU338" s="990"/>
      <c r="BV338" s="990"/>
      <c r="BW338" s="990"/>
      <c r="BX338" s="990"/>
      <c r="BY338" s="990"/>
      <c r="BZ338" s="990"/>
      <c r="CA338" s="990"/>
      <c r="CB338" s="992"/>
      <c r="CC338" s="990"/>
      <c r="CD338" s="990"/>
      <c r="CE338" s="990"/>
      <c r="CF338" s="990"/>
      <c r="CG338" s="992"/>
      <c r="CH338" s="990"/>
      <c r="CI338" s="990"/>
      <c r="CJ338" s="990"/>
      <c r="CK338" s="990"/>
      <c r="CL338" s="992"/>
      <c r="CM338" s="990"/>
      <c r="CN338" s="990"/>
      <c r="CO338" s="990"/>
      <c r="CP338" s="990"/>
      <c r="CQ338" s="992"/>
      <c r="CR338" s="990"/>
      <c r="CS338" s="990"/>
      <c r="CT338" s="990"/>
      <c r="CU338" s="990"/>
      <c r="CV338" s="992"/>
      <c r="CW338" s="990"/>
      <c r="CX338" s="990"/>
      <c r="CY338" s="990"/>
      <c r="CZ338" s="990"/>
      <c r="DA338" s="992"/>
      <c r="DB338" s="990"/>
      <c r="DC338" s="990"/>
      <c r="DD338" s="990"/>
      <c r="DE338" s="990"/>
      <c r="DF338" s="992"/>
    </row>
    <row r="339" spans="1:110" x14ac:dyDescent="0.2">
      <c r="B339" s="591" t="s">
        <v>327</v>
      </c>
      <c r="C339" s="592"/>
      <c r="D339" s="576"/>
      <c r="E339" s="576"/>
      <c r="F339" s="576"/>
      <c r="G339" s="576"/>
      <c r="H339" s="576"/>
      <c r="I339" s="576"/>
      <c r="J339" s="576"/>
      <c r="K339" s="576"/>
      <c r="L339" s="576"/>
      <c r="M339" s="576"/>
      <c r="N339" s="576"/>
      <c r="O339" s="576"/>
      <c r="P339" s="576"/>
      <c r="Q339" s="576"/>
      <c r="R339" s="576"/>
      <c r="S339" s="593"/>
      <c r="T339" s="594"/>
      <c r="U339" s="593"/>
      <c r="V339" s="593"/>
      <c r="W339" s="593"/>
      <c r="X339" s="595"/>
      <c r="Y339" s="594"/>
      <c r="Z339" s="593"/>
      <c r="AA339" s="593"/>
      <c r="AB339" s="593"/>
      <c r="AC339" s="593"/>
      <c r="AD339" s="594"/>
      <c r="AE339" s="596">
        <f>AE32</f>
        <v>4.1799999999999997E-2</v>
      </c>
      <c r="AF339" s="596">
        <f>AF32</f>
        <v>4.1799999999999997E-2</v>
      </c>
      <c r="AG339" s="596">
        <f>AG32</f>
        <v>4.1799999999999997E-2</v>
      </c>
      <c r="AH339" s="596">
        <f>AH32</f>
        <v>4.1799999999999997E-2</v>
      </c>
      <c r="AI339" s="594"/>
      <c r="AJ339" s="596">
        <f>AJ32</f>
        <v>4.2500000000000003E-2</v>
      </c>
      <c r="AK339" s="596">
        <f>AK32</f>
        <v>4.2500000000000003E-2</v>
      </c>
      <c r="AL339" s="596">
        <f>AL32</f>
        <v>5.5E-2</v>
      </c>
      <c r="AM339" s="596">
        <f>AM32</f>
        <v>0.05</v>
      </c>
      <c r="AN339" s="597"/>
      <c r="AO339" s="596">
        <f>AO32</f>
        <v>3.5000000000000003E-2</v>
      </c>
      <c r="AP339" s="596">
        <f>AP32</f>
        <v>3.5000000000000003E-2</v>
      </c>
      <c r="AQ339" s="596">
        <f>AQ32</f>
        <v>3.15E-2</v>
      </c>
      <c r="AR339" s="596">
        <f>AR32</f>
        <v>4.0524999999999999E-2</v>
      </c>
      <c r="AS339" s="597"/>
      <c r="AT339" s="596">
        <v>3.6999999999999998E-2</v>
      </c>
      <c r="AU339" s="596">
        <v>3.6999999999999998E-2</v>
      </c>
      <c r="AV339" s="596">
        <v>3.6999999999999998E-2</v>
      </c>
      <c r="AW339" s="596">
        <f>AW32</f>
        <v>5.1864510489510575E-3</v>
      </c>
      <c r="AX339" s="597"/>
      <c r="AY339" s="596">
        <f>AY32</f>
        <v>1.0157903199999976E-2</v>
      </c>
      <c r="AZ339" s="596">
        <f>AZ32</f>
        <v>9.699645794392522E-3</v>
      </c>
      <c r="BA339" s="596">
        <f>BA32</f>
        <v>1.1461479591836727E-2</v>
      </c>
      <c r="BB339" s="596">
        <f>BB32</f>
        <v>1.1461479591836727E-2</v>
      </c>
      <c r="BC339" s="597"/>
      <c r="BD339" s="596">
        <f>BD32</f>
        <v>1.1461479591836727E-2</v>
      </c>
      <c r="BE339" s="596">
        <f>BE32</f>
        <v>0.05</v>
      </c>
      <c r="BF339" s="596">
        <f>BF32</f>
        <v>1.1461479591836727E-2</v>
      </c>
      <c r="BG339" s="596">
        <f>BG32</f>
        <v>1.1461479591836727E-2</v>
      </c>
      <c r="BH339" s="597"/>
      <c r="BI339" s="596">
        <f>BI32</f>
        <v>0.02</v>
      </c>
      <c r="BJ339" s="596">
        <f>BJ32</f>
        <v>0.02</v>
      </c>
      <c r="BK339" s="596">
        <f>BK32</f>
        <v>0.02</v>
      </c>
      <c r="BL339" s="596">
        <f>BL32</f>
        <v>0.02</v>
      </c>
      <c r="BM339" s="594"/>
      <c r="BN339" s="596">
        <f>BN32</f>
        <v>2.1499999999999998E-2</v>
      </c>
      <c r="BO339" s="596">
        <f>BO32</f>
        <v>2.1499999999999998E-2</v>
      </c>
      <c r="BP339" s="596">
        <f>BP32</f>
        <v>2.3758000000000001E-2</v>
      </c>
      <c r="BQ339" s="596">
        <f>BQ32</f>
        <v>2.5600000000000001E-2</v>
      </c>
      <c r="BR339" s="594"/>
      <c r="BS339" s="596">
        <f>BS32</f>
        <v>2.7358E-2</v>
      </c>
      <c r="BT339" s="596">
        <f>BT32</f>
        <v>2.9090000000000001E-2</v>
      </c>
      <c r="BU339" s="596">
        <f>BU32</f>
        <v>3.0956999999999998E-2</v>
      </c>
      <c r="BV339" s="596">
        <f>BV32</f>
        <v>3.2627000000000003E-2</v>
      </c>
      <c r="BW339" s="594"/>
      <c r="BX339" s="596">
        <f>BX32</f>
        <v>0.02</v>
      </c>
      <c r="BY339" s="596">
        <f>BY32</f>
        <v>0.02</v>
      </c>
      <c r="BZ339" s="596">
        <f>BZ32</f>
        <v>0.02</v>
      </c>
      <c r="CA339" s="596">
        <f>CA32</f>
        <v>0.02</v>
      </c>
      <c r="CB339" s="598"/>
      <c r="CC339" s="596">
        <f>CC32</f>
        <v>3.4243999999999997E-2</v>
      </c>
      <c r="CD339" s="596">
        <f>CD32</f>
        <v>3.5829E-2</v>
      </c>
      <c r="CE339" s="596">
        <f>CE32</f>
        <v>3.5659999999999997E-2</v>
      </c>
      <c r="CF339" s="596">
        <f>CF32</f>
        <v>3.7031000000000001E-2</v>
      </c>
      <c r="CG339" s="598"/>
      <c r="CH339" s="596">
        <f>CH32</f>
        <v>3.4243999999999997E-2</v>
      </c>
      <c r="CI339" s="596">
        <f>CI32</f>
        <v>3.5829E-2</v>
      </c>
      <c r="CJ339" s="596">
        <f>CJ32</f>
        <v>3.5659999999999997E-2</v>
      </c>
      <c r="CK339" s="596">
        <f>CK32</f>
        <v>3.7031000000000001E-2</v>
      </c>
      <c r="CL339" s="598"/>
      <c r="CM339" s="596">
        <f>CM32</f>
        <v>3.4243999999999997E-2</v>
      </c>
      <c r="CN339" s="596">
        <f>CN32</f>
        <v>3.5829E-2</v>
      </c>
      <c r="CO339" s="596">
        <f>CO32</f>
        <v>3.5659999999999997E-2</v>
      </c>
      <c r="CP339" s="596">
        <f>CP32</f>
        <v>3.7031000000000001E-2</v>
      </c>
      <c r="CQ339" s="598"/>
      <c r="CR339" s="596">
        <f>CR32</f>
        <v>3.4243999999999997E-2</v>
      </c>
      <c r="CS339" s="596">
        <f>CS32</f>
        <v>3.5829E-2</v>
      </c>
      <c r="CT339" s="596">
        <f>CT32</f>
        <v>3.5659999999999997E-2</v>
      </c>
      <c r="CU339" s="596">
        <f>CU32</f>
        <v>3.7031000000000001E-2</v>
      </c>
      <c r="CV339" s="598"/>
      <c r="CW339" s="596">
        <f>CW32</f>
        <v>3.4243999999999997E-2</v>
      </c>
      <c r="CX339" s="596">
        <f>CX32</f>
        <v>3.5829E-2</v>
      </c>
      <c r="CY339" s="596">
        <f>CY32</f>
        <v>3.5659999999999997E-2</v>
      </c>
      <c r="CZ339" s="596">
        <f>CZ32</f>
        <v>3.7031000000000001E-2</v>
      </c>
      <c r="DA339" s="598"/>
      <c r="DB339" s="596">
        <f>DB32</f>
        <v>3.4243999999999997E-2</v>
      </c>
      <c r="DC339" s="596">
        <f>DC32</f>
        <v>3.5829E-2</v>
      </c>
      <c r="DD339" s="596">
        <f>DD32</f>
        <v>3.5659999999999997E-2</v>
      </c>
      <c r="DE339" s="596">
        <f>DE32</f>
        <v>3.7031000000000001E-2</v>
      </c>
      <c r="DF339" s="598"/>
    </row>
    <row r="340" spans="1:110" x14ac:dyDescent="0.2">
      <c r="B340" s="536" t="s">
        <v>197</v>
      </c>
      <c r="C340" s="583"/>
      <c r="D340" s="537"/>
      <c r="E340" s="537"/>
      <c r="F340" s="537"/>
      <c r="G340" s="537"/>
      <c r="H340" s="537"/>
      <c r="I340" s="537"/>
      <c r="J340" s="537"/>
      <c r="K340" s="537"/>
      <c r="L340" s="537"/>
      <c r="M340" s="537"/>
      <c r="N340" s="537"/>
      <c r="O340" s="537"/>
      <c r="P340" s="537"/>
      <c r="Q340" s="537"/>
      <c r="R340" s="537"/>
      <c r="S340" s="331"/>
      <c r="T340" s="332"/>
      <c r="U340" s="331"/>
      <c r="V340" s="331"/>
      <c r="W340" s="331"/>
      <c r="X340" s="584"/>
      <c r="Y340" s="332"/>
      <c r="Z340" s="333">
        <f>X340</f>
        <v>0</v>
      </c>
      <c r="AA340" s="333">
        <f>Z340</f>
        <v>0</v>
      </c>
      <c r="AB340" s="333">
        <f>AA340</f>
        <v>0</v>
      </c>
      <c r="AC340" s="333">
        <f>AB340</f>
        <v>0</v>
      </c>
      <c r="AD340" s="332"/>
      <c r="AE340" s="333">
        <f>AC340</f>
        <v>0</v>
      </c>
      <c r="AF340" s="333">
        <f>AE340</f>
        <v>0</v>
      </c>
      <c r="AG340" s="333">
        <f>AF340</f>
        <v>0</v>
      </c>
      <c r="AH340" s="333">
        <f>AG340</f>
        <v>0</v>
      </c>
      <c r="AI340" s="332"/>
      <c r="AJ340" s="333">
        <f>AH340</f>
        <v>0</v>
      </c>
      <c r="AK340" s="333">
        <f>AJ340</f>
        <v>0</v>
      </c>
      <c r="AL340" s="333">
        <f>AK340</f>
        <v>0</v>
      </c>
      <c r="AM340" s="333">
        <f>AL340</f>
        <v>0</v>
      </c>
      <c r="AN340" s="332"/>
      <c r="AO340" s="333">
        <f>AM340</f>
        <v>0</v>
      </c>
      <c r="AP340" s="333">
        <f>AO340</f>
        <v>0</v>
      </c>
      <c r="AQ340" s="333">
        <f>AP340</f>
        <v>0</v>
      </c>
      <c r="AR340" s="333">
        <f>AQ340</f>
        <v>0</v>
      </c>
      <c r="AS340" s="332"/>
      <c r="AT340" s="333">
        <f>AR340</f>
        <v>0</v>
      </c>
      <c r="AU340" s="333">
        <f>AT340</f>
        <v>0</v>
      </c>
      <c r="AV340" s="333">
        <f>AU340</f>
        <v>0</v>
      </c>
      <c r="AW340" s="333">
        <f>AV340</f>
        <v>0</v>
      </c>
      <c r="AX340" s="332"/>
      <c r="AY340" s="333">
        <f>AW340</f>
        <v>0</v>
      </c>
      <c r="AZ340" s="333">
        <f>AY340</f>
        <v>0</v>
      </c>
      <c r="BA340" s="333">
        <f>AZ340</f>
        <v>0</v>
      </c>
      <c r="BB340" s="333">
        <f>BA340</f>
        <v>0</v>
      </c>
      <c r="BC340" s="332"/>
      <c r="BD340" s="333">
        <f>BB340</f>
        <v>0</v>
      </c>
      <c r="BE340" s="333">
        <f>BD340</f>
        <v>0</v>
      </c>
      <c r="BF340" s="333">
        <f>BE340</f>
        <v>0</v>
      </c>
      <c r="BG340" s="333">
        <f>BF340</f>
        <v>0</v>
      </c>
      <c r="BH340" s="332"/>
      <c r="BI340" s="333">
        <f>BG340</f>
        <v>0</v>
      </c>
      <c r="BJ340" s="333">
        <f>BI340</f>
        <v>0</v>
      </c>
      <c r="BK340" s="333">
        <f>BJ340</f>
        <v>0</v>
      </c>
      <c r="BL340" s="333">
        <f>BK340</f>
        <v>0</v>
      </c>
      <c r="BM340" s="332"/>
      <c r="BN340" s="333">
        <f>BL340</f>
        <v>0</v>
      </c>
      <c r="BO340" s="333">
        <f>BN340</f>
        <v>0</v>
      </c>
      <c r="BP340" s="333">
        <f>BO340</f>
        <v>0</v>
      </c>
      <c r="BQ340" s="333">
        <f>BP340</f>
        <v>0</v>
      </c>
      <c r="BR340" s="332"/>
      <c r="BS340" s="333">
        <f>BQ340</f>
        <v>0</v>
      </c>
      <c r="BT340" s="333">
        <f>BS340</f>
        <v>0</v>
      </c>
      <c r="BU340" s="333">
        <f>BT340</f>
        <v>0</v>
      </c>
      <c r="BV340" s="333">
        <f>BU340</f>
        <v>0</v>
      </c>
      <c r="BW340" s="332"/>
      <c r="BX340" s="333">
        <f>BV340</f>
        <v>0</v>
      </c>
      <c r="BY340" s="333">
        <f>BX340</f>
        <v>0</v>
      </c>
      <c r="BZ340" s="333">
        <f>BY340</f>
        <v>0</v>
      </c>
      <c r="CA340" s="333">
        <f>BZ340</f>
        <v>0</v>
      </c>
      <c r="CB340" s="599"/>
      <c r="CC340" s="333">
        <f>CA340</f>
        <v>0</v>
      </c>
      <c r="CD340" s="333">
        <f>CC340</f>
        <v>0</v>
      </c>
      <c r="CE340" s="333">
        <f>CD340</f>
        <v>0</v>
      </c>
      <c r="CF340" s="333">
        <f>CE340</f>
        <v>0</v>
      </c>
      <c r="CG340" s="599"/>
      <c r="CH340" s="333">
        <f>CF340</f>
        <v>0</v>
      </c>
      <c r="CI340" s="333">
        <f>CH340</f>
        <v>0</v>
      </c>
      <c r="CJ340" s="333">
        <f>CI340</f>
        <v>0</v>
      </c>
      <c r="CK340" s="333">
        <f>CJ340</f>
        <v>0</v>
      </c>
      <c r="CL340" s="599"/>
      <c r="CM340" s="333">
        <f>CK340</f>
        <v>0</v>
      </c>
      <c r="CN340" s="333">
        <f>CM340</f>
        <v>0</v>
      </c>
      <c r="CO340" s="333">
        <f>CN340</f>
        <v>0</v>
      </c>
      <c r="CP340" s="333">
        <f>CO340</f>
        <v>0</v>
      </c>
      <c r="CQ340" s="599"/>
      <c r="CR340" s="333">
        <f>CP340</f>
        <v>0</v>
      </c>
      <c r="CS340" s="333">
        <f>CR340</f>
        <v>0</v>
      </c>
      <c r="CT340" s="333">
        <f>CS340</f>
        <v>0</v>
      </c>
      <c r="CU340" s="333">
        <f>CT340</f>
        <v>0</v>
      </c>
      <c r="CV340" s="599"/>
      <c r="CW340" s="333">
        <f>CU340</f>
        <v>0</v>
      </c>
      <c r="CX340" s="333">
        <f>CW340</f>
        <v>0</v>
      </c>
      <c r="CY340" s="333">
        <f>CX340</f>
        <v>0</v>
      </c>
      <c r="CZ340" s="333">
        <f>CY340</f>
        <v>0</v>
      </c>
      <c r="DA340" s="599"/>
      <c r="DB340" s="333">
        <f>CZ340</f>
        <v>0</v>
      </c>
      <c r="DC340" s="333">
        <f>DB340</f>
        <v>0</v>
      </c>
      <c r="DD340" s="333">
        <f>DC340</f>
        <v>0</v>
      </c>
      <c r="DE340" s="333">
        <f>DD340</f>
        <v>0</v>
      </c>
      <c r="DF340" s="599"/>
    </row>
    <row r="341" spans="1:110" x14ac:dyDescent="0.2">
      <c r="B341" s="536" t="s">
        <v>198</v>
      </c>
      <c r="C341" s="326"/>
      <c r="D341" s="579"/>
      <c r="E341" s="579"/>
      <c r="F341" s="579"/>
      <c r="G341" s="579"/>
      <c r="H341" s="579"/>
      <c r="I341" s="579"/>
      <c r="J341" s="579"/>
      <c r="K341" s="579"/>
      <c r="L341" s="579"/>
      <c r="M341" s="579"/>
      <c r="N341" s="579"/>
      <c r="O341" s="579"/>
      <c r="P341" s="579"/>
      <c r="Q341" s="579"/>
      <c r="R341" s="579"/>
      <c r="S341" s="586"/>
      <c r="T341" s="334"/>
      <c r="U341" s="586">
        <f>+T343</f>
        <v>0</v>
      </c>
      <c r="V341" s="586">
        <f>+U343</f>
        <v>0</v>
      </c>
      <c r="W341" s="586">
        <f>+V343</f>
        <v>0</v>
      </c>
      <c r="X341" s="586">
        <f>+W343</f>
        <v>0</v>
      </c>
      <c r="Y341" s="334">
        <f>T343</f>
        <v>0</v>
      </c>
      <c r="Z341" s="586">
        <f>+Y343</f>
        <v>0</v>
      </c>
      <c r="AA341" s="586">
        <f>+Z343</f>
        <v>0</v>
      </c>
      <c r="AB341" s="586">
        <f>+AA343</f>
        <v>0</v>
      </c>
      <c r="AC341" s="586"/>
      <c r="AD341" s="334">
        <f>Y343</f>
        <v>0</v>
      </c>
      <c r="AE341" s="586">
        <f>+AD343</f>
        <v>0</v>
      </c>
      <c r="AF341" s="586">
        <f>+AE343</f>
        <v>0</v>
      </c>
      <c r="AG341" s="586">
        <f>+AF343</f>
        <v>0</v>
      </c>
      <c r="AH341" s="586">
        <f>+AG343</f>
        <v>0</v>
      </c>
      <c r="AI341" s="334">
        <f>AD343</f>
        <v>0</v>
      </c>
      <c r="AJ341" s="586">
        <f>+AI343</f>
        <v>0.5</v>
      </c>
      <c r="AK341" s="586">
        <f>+AJ343</f>
        <v>0</v>
      </c>
      <c r="AL341" s="586">
        <f>+AK343</f>
        <v>9.9</v>
      </c>
      <c r="AM341" s="586">
        <f>+AL343</f>
        <v>9.9</v>
      </c>
      <c r="AN341" s="334">
        <f>AI343</f>
        <v>0.5</v>
      </c>
      <c r="AO341" s="586">
        <f>+AN343</f>
        <v>0.40000000000000036</v>
      </c>
      <c r="AP341" s="586">
        <f>+AO343</f>
        <v>0.40000000000000036</v>
      </c>
      <c r="AQ341" s="586">
        <f>+AP343</f>
        <v>0.40000000000000036</v>
      </c>
      <c r="AR341" s="586">
        <f>+AQ343</f>
        <v>0.40000000000000036</v>
      </c>
      <c r="AS341" s="334">
        <f>AN343</f>
        <v>0.40000000000000036</v>
      </c>
      <c r="AT341" s="586">
        <f>+AS343</f>
        <v>0.30000000000000038</v>
      </c>
      <c r="AU341" s="586">
        <f>+AT343</f>
        <v>0.40000000000000036</v>
      </c>
      <c r="AV341" s="586">
        <f>+AU343</f>
        <v>0.30000000000000038</v>
      </c>
      <c r="AW341" s="586">
        <f>+AV343</f>
        <v>0.30000000000000038</v>
      </c>
      <c r="AX341" s="334">
        <f>AS343</f>
        <v>0.30000000000000038</v>
      </c>
      <c r="AY341" s="586">
        <f>+AX343</f>
        <v>0.30000000000000038</v>
      </c>
      <c r="AZ341" s="586">
        <f>+AY343</f>
        <v>0.30000000000000038</v>
      </c>
      <c r="BA341" s="586">
        <f>+AZ343</f>
        <v>0.30000000000000038</v>
      </c>
      <c r="BB341" s="586">
        <f>+BA343</f>
        <v>0.20000000000000037</v>
      </c>
      <c r="BC341" s="334">
        <f>AX343</f>
        <v>0.30000000000000038</v>
      </c>
      <c r="BD341" s="586">
        <f>+BC343</f>
        <v>0.10000000000000037</v>
      </c>
      <c r="BE341" s="586">
        <f>+BD343</f>
        <v>0.20000000000000037</v>
      </c>
      <c r="BF341" s="586">
        <f>+BE343</f>
        <v>0.20000000000000037</v>
      </c>
      <c r="BG341" s="586">
        <f>+BF343</f>
        <v>0.20000000000000037</v>
      </c>
      <c r="BH341" s="334">
        <f>BC343</f>
        <v>0.10000000000000037</v>
      </c>
      <c r="BI341" s="586">
        <f>+BH343</f>
        <v>0.20000000000000037</v>
      </c>
      <c r="BJ341" s="586">
        <f>+BI343</f>
        <v>0.20000000000000037</v>
      </c>
      <c r="BK341" s="586">
        <f>+BJ343</f>
        <v>39.700000000000003</v>
      </c>
      <c r="BL341" s="586">
        <f>+BK343</f>
        <v>39.700000000000003</v>
      </c>
      <c r="BM341" s="334">
        <f>BH343</f>
        <v>0.20000000000000037</v>
      </c>
      <c r="BN341" s="586">
        <f>+BM343</f>
        <v>39.700000000000003</v>
      </c>
      <c r="BO341" s="586">
        <f>+BN343</f>
        <v>0</v>
      </c>
      <c r="BP341" s="586">
        <f>+BO343</f>
        <v>0.1</v>
      </c>
      <c r="BQ341" s="586">
        <f>+BP343</f>
        <v>0.1</v>
      </c>
      <c r="BR341" s="334">
        <f>BM343</f>
        <v>39.700000000000003</v>
      </c>
      <c r="BS341" s="586">
        <f>+BR343</f>
        <v>0.10000000000000142</v>
      </c>
      <c r="BT341" s="586">
        <f>+BS343</f>
        <v>0.10000000000000142</v>
      </c>
      <c r="BU341" s="586">
        <f>+BT343</f>
        <v>0.10000000000000142</v>
      </c>
      <c r="BV341" s="586">
        <f>+BU343</f>
        <v>0.10000000000000142</v>
      </c>
      <c r="BW341" s="334">
        <f>BR343</f>
        <v>0.10000000000000142</v>
      </c>
      <c r="BX341" s="586">
        <f>+BW343</f>
        <v>0.10000000000000142</v>
      </c>
      <c r="BY341" s="586">
        <f>+BX343</f>
        <v>0.10000000000000142</v>
      </c>
      <c r="BZ341" s="586">
        <f>+BY343</f>
        <v>0.10000000000000142</v>
      </c>
      <c r="CA341" s="586">
        <f>+BZ343</f>
        <v>0.10000000000000142</v>
      </c>
      <c r="CB341" s="587">
        <f>BW343</f>
        <v>0.10000000000000142</v>
      </c>
      <c r="CC341" s="586">
        <f>+CB343</f>
        <v>0.10000000000000142</v>
      </c>
      <c r="CD341" s="586">
        <f>+CC343</f>
        <v>0.10000000000000142</v>
      </c>
      <c r="CE341" s="586">
        <f>+CD343</f>
        <v>0.10000000000000142</v>
      </c>
      <c r="CF341" s="586">
        <f>+CE343</f>
        <v>0.10000000000000142</v>
      </c>
      <c r="CG341" s="587">
        <f>CB343</f>
        <v>0.10000000000000142</v>
      </c>
      <c r="CH341" s="586">
        <f>+CG343</f>
        <v>1.4155343563970746E-15</v>
      </c>
      <c r="CI341" s="586">
        <f>+CH343</f>
        <v>1.4155343563970746E-15</v>
      </c>
      <c r="CJ341" s="586">
        <f>+CI343</f>
        <v>1.4155343563970746E-15</v>
      </c>
      <c r="CK341" s="586">
        <f>+CJ343</f>
        <v>1.4155343563970746E-15</v>
      </c>
      <c r="CL341" s="587">
        <f>CG343</f>
        <v>1.4155343563970746E-15</v>
      </c>
      <c r="CM341" s="586">
        <f>+CL343</f>
        <v>1.4155343563970746E-15</v>
      </c>
      <c r="CN341" s="586">
        <f>+CM343</f>
        <v>1.4155343563970746E-15</v>
      </c>
      <c r="CO341" s="586">
        <f>+CN343</f>
        <v>1.4155343563970746E-15</v>
      </c>
      <c r="CP341" s="586">
        <f>+CO343</f>
        <v>1.4155343563970746E-15</v>
      </c>
      <c r="CQ341" s="587">
        <f>CL343</f>
        <v>1.4155343563970746E-15</v>
      </c>
      <c r="CR341" s="586">
        <f>+CQ343</f>
        <v>1.4155343563970746E-15</v>
      </c>
      <c r="CS341" s="586">
        <f>+CR343</f>
        <v>1.4155343563970746E-15</v>
      </c>
      <c r="CT341" s="586">
        <f>+CS343</f>
        <v>1.4155343563970746E-15</v>
      </c>
      <c r="CU341" s="586">
        <f>+CT343</f>
        <v>1.4155343563970746E-15</v>
      </c>
      <c r="CV341" s="587">
        <f>CQ343</f>
        <v>1.4155343563970746E-15</v>
      </c>
      <c r="CW341" s="586">
        <f>+CV343</f>
        <v>1.4155343563970746E-15</v>
      </c>
      <c r="CX341" s="586">
        <f>+CW343</f>
        <v>1.4155343563970746E-15</v>
      </c>
      <c r="CY341" s="586">
        <f>+CX343</f>
        <v>1.4155343563970746E-15</v>
      </c>
      <c r="CZ341" s="586">
        <f>+CY343</f>
        <v>1.4155343563970746E-15</v>
      </c>
      <c r="DA341" s="587">
        <f>CV343</f>
        <v>1.4155343563970746E-15</v>
      </c>
      <c r="DB341" s="586">
        <f>+DA343</f>
        <v>1.4155343563970746E-15</v>
      </c>
      <c r="DC341" s="586">
        <f>+DB343</f>
        <v>1.4155343563970746E-15</v>
      </c>
      <c r="DD341" s="586">
        <f>+DC343</f>
        <v>1.4155343563970746E-15</v>
      </c>
      <c r="DE341" s="586">
        <f>+DD343</f>
        <v>1.4155343563970746E-15</v>
      </c>
      <c r="DF341" s="587">
        <f>DA343</f>
        <v>1.4155343563970746E-15</v>
      </c>
    </row>
    <row r="342" spans="1:110" x14ac:dyDescent="0.2">
      <c r="B342" s="536" t="s">
        <v>199</v>
      </c>
      <c r="C342" s="478"/>
      <c r="D342" s="145"/>
      <c r="E342" s="145"/>
      <c r="F342" s="145"/>
      <c r="G342" s="145"/>
      <c r="H342" s="145"/>
      <c r="I342" s="145"/>
      <c r="J342" s="145"/>
      <c r="K342" s="145"/>
      <c r="L342" s="145"/>
      <c r="M342" s="145"/>
      <c r="N342" s="145"/>
      <c r="O342" s="145"/>
      <c r="P342" s="145"/>
      <c r="Q342" s="145"/>
      <c r="R342" s="145"/>
      <c r="S342" s="335"/>
      <c r="T342" s="336"/>
      <c r="U342" s="335"/>
      <c r="V342" s="335"/>
      <c r="W342" s="335"/>
      <c r="X342" s="335">
        <v>0</v>
      </c>
      <c r="Y342" s="337">
        <f>+SUM(U342:X342)</f>
        <v>0</v>
      </c>
      <c r="Z342" s="338"/>
      <c r="AA342" s="338"/>
      <c r="AB342" s="339"/>
      <c r="AC342" s="338"/>
      <c r="AD342" s="337">
        <f>+SUM(Z342:AC342)</f>
        <v>0</v>
      </c>
      <c r="AE342" s="335"/>
      <c r="AF342" s="335"/>
      <c r="AG342" s="335"/>
      <c r="AH342" s="374">
        <v>0.5</v>
      </c>
      <c r="AI342" s="337">
        <f>+SUM(AE342:AH342)</f>
        <v>0.5</v>
      </c>
      <c r="AJ342" s="374">
        <v>-0.5</v>
      </c>
      <c r="AK342" s="374">
        <v>9.9</v>
      </c>
      <c r="AL342" s="335">
        <v>0</v>
      </c>
      <c r="AM342" s="374">
        <f>0.4-9.9</f>
        <v>-9.5</v>
      </c>
      <c r="AN342" s="337">
        <f>+SUM(AJ342:AM342)</f>
        <v>-9.9999999999999645E-2</v>
      </c>
      <c r="AO342" s="335"/>
      <c r="AP342" s="335"/>
      <c r="AQ342" s="335"/>
      <c r="AR342" s="374">
        <v>-0.1</v>
      </c>
      <c r="AS342" s="337">
        <f>+SUM(AO342:AR342)</f>
        <v>-0.1</v>
      </c>
      <c r="AT342" s="374">
        <v>0.1</v>
      </c>
      <c r="AU342" s="374">
        <v>-0.1</v>
      </c>
      <c r="AV342" s="335"/>
      <c r="AW342" s="335"/>
      <c r="AX342" s="337">
        <f>+SUM(AT342:AW342)</f>
        <v>0</v>
      </c>
      <c r="AY342" s="335"/>
      <c r="AZ342" s="335"/>
      <c r="BA342" s="1127">
        <v>-0.1</v>
      </c>
      <c r="BB342" s="1127">
        <v>-0.1</v>
      </c>
      <c r="BC342" s="337">
        <f>+SUM(AY342:BB342)</f>
        <v>-0.2</v>
      </c>
      <c r="BD342" s="339">
        <v>0.1</v>
      </c>
      <c r="BE342" s="335"/>
      <c r="BF342" s="335"/>
      <c r="BG342" s="335"/>
      <c r="BH342" s="337">
        <f>+SUM(BD342:BG342)</f>
        <v>0.1</v>
      </c>
      <c r="BI342" s="335"/>
      <c r="BJ342" s="335">
        <v>39.5</v>
      </c>
      <c r="BK342" s="335"/>
      <c r="BL342" s="335"/>
      <c r="BM342" s="337">
        <f>+SUM(BI342:BL342)</f>
        <v>39.5</v>
      </c>
      <c r="BN342" s="335">
        <v>-39.700000000000003</v>
      </c>
      <c r="BO342" s="374">
        <f>0.1-BO341</f>
        <v>0.1</v>
      </c>
      <c r="BP342" s="335"/>
      <c r="BQ342" s="335"/>
      <c r="BR342" s="337">
        <f>+SUM(BN342:BQ342)</f>
        <v>-39.6</v>
      </c>
      <c r="BS342" s="335"/>
      <c r="BT342" s="335"/>
      <c r="BU342" s="335"/>
      <c r="BV342" s="335"/>
      <c r="BW342" s="337">
        <f>+SUM(BS342:BV342)</f>
        <v>0</v>
      </c>
      <c r="BX342" s="335"/>
      <c r="BY342" s="335"/>
      <c r="BZ342" s="335"/>
      <c r="CA342" s="335"/>
      <c r="CB342" s="600">
        <f>+SUM(BX342:CA342)</f>
        <v>0</v>
      </c>
      <c r="CC342" s="335"/>
      <c r="CD342" s="335"/>
      <c r="CE342" s="335"/>
      <c r="CF342" s="335">
        <v>-0.1</v>
      </c>
      <c r="CG342" s="600">
        <f>+SUM(CC342:CF342)</f>
        <v>-0.1</v>
      </c>
      <c r="CH342" s="335"/>
      <c r="CI342" s="335"/>
      <c r="CJ342" s="335"/>
      <c r="CK342" s="335"/>
      <c r="CL342" s="600">
        <f>+SUM(CH342:CK342)</f>
        <v>0</v>
      </c>
      <c r="CM342" s="335"/>
      <c r="CN342" s="335"/>
      <c r="CO342" s="335"/>
      <c r="CP342" s="335"/>
      <c r="CQ342" s="600">
        <f>+SUM(CM342:CP342)</f>
        <v>0</v>
      </c>
      <c r="CR342" s="335"/>
      <c r="CS342" s="335"/>
      <c r="CT342" s="335"/>
      <c r="CU342" s="335"/>
      <c r="CV342" s="600">
        <f>+SUM(CR342:CU342)</f>
        <v>0</v>
      </c>
      <c r="CW342" s="335"/>
      <c r="CX342" s="335"/>
      <c r="CY342" s="335"/>
      <c r="CZ342" s="335"/>
      <c r="DA342" s="600">
        <f>+SUM(CW342:CZ342)</f>
        <v>0</v>
      </c>
      <c r="DB342" s="335"/>
      <c r="DC342" s="335"/>
      <c r="DD342" s="335"/>
      <c r="DE342" s="335"/>
      <c r="DF342" s="600">
        <f>+SUM(DB342:DE342)</f>
        <v>0</v>
      </c>
    </row>
    <row r="343" spans="1:110" x14ac:dyDescent="0.2">
      <c r="B343" s="536" t="s">
        <v>200</v>
      </c>
      <c r="C343" s="478"/>
      <c r="D343" s="145"/>
      <c r="E343" s="145"/>
      <c r="F343" s="145"/>
      <c r="G343" s="145"/>
      <c r="H343" s="145"/>
      <c r="I343" s="145"/>
      <c r="J343" s="145"/>
      <c r="K343" s="145"/>
      <c r="L343" s="145"/>
      <c r="M343" s="145"/>
      <c r="N343" s="145"/>
      <c r="O343" s="145"/>
      <c r="P343" s="145"/>
      <c r="Q343" s="145"/>
      <c r="R343" s="145"/>
      <c r="S343" s="586"/>
      <c r="T343" s="586"/>
      <c r="U343" s="586">
        <f t="shared" ref="U343:AA343" si="539">U341+U342</f>
        <v>0</v>
      </c>
      <c r="V343" s="586">
        <f t="shared" si="539"/>
        <v>0</v>
      </c>
      <c r="W343" s="586">
        <f t="shared" si="539"/>
        <v>0</v>
      </c>
      <c r="X343" s="586">
        <f t="shared" si="539"/>
        <v>0</v>
      </c>
      <c r="Y343" s="334">
        <f t="shared" si="539"/>
        <v>0</v>
      </c>
      <c r="Z343" s="586">
        <f t="shared" si="539"/>
        <v>0</v>
      </c>
      <c r="AA343" s="586">
        <f t="shared" si="539"/>
        <v>0</v>
      </c>
      <c r="AB343" s="584"/>
      <c r="AC343" s="586">
        <f t="shared" ref="AC343:BM343" si="540">AC341+AC342</f>
        <v>0</v>
      </c>
      <c r="AD343" s="334">
        <f t="shared" si="540"/>
        <v>0</v>
      </c>
      <c r="AE343" s="586">
        <f t="shared" si="540"/>
        <v>0</v>
      </c>
      <c r="AF343" s="586">
        <f t="shared" si="540"/>
        <v>0</v>
      </c>
      <c r="AG343" s="586">
        <f t="shared" si="540"/>
        <v>0</v>
      </c>
      <c r="AH343" s="586">
        <f t="shared" si="540"/>
        <v>0.5</v>
      </c>
      <c r="AI343" s="334">
        <f t="shared" si="540"/>
        <v>0.5</v>
      </c>
      <c r="AJ343" s="586">
        <f t="shared" si="540"/>
        <v>0</v>
      </c>
      <c r="AK343" s="586">
        <f t="shared" si="540"/>
        <v>9.9</v>
      </c>
      <c r="AL343" s="586">
        <f t="shared" si="540"/>
        <v>9.9</v>
      </c>
      <c r="AM343" s="586">
        <f t="shared" si="540"/>
        <v>0.40000000000000036</v>
      </c>
      <c r="AN343" s="334">
        <f t="shared" si="540"/>
        <v>0.40000000000000036</v>
      </c>
      <c r="AO343" s="586">
        <f t="shared" si="540"/>
        <v>0.40000000000000036</v>
      </c>
      <c r="AP343" s="586">
        <f t="shared" si="540"/>
        <v>0.40000000000000036</v>
      </c>
      <c r="AQ343" s="586">
        <f t="shared" si="540"/>
        <v>0.40000000000000036</v>
      </c>
      <c r="AR343" s="586">
        <f t="shared" si="540"/>
        <v>0.30000000000000038</v>
      </c>
      <c r="AS343" s="334">
        <f t="shared" si="540"/>
        <v>0.30000000000000038</v>
      </c>
      <c r="AT343" s="586">
        <f t="shared" si="540"/>
        <v>0.40000000000000036</v>
      </c>
      <c r="AU343" s="586">
        <f t="shared" si="540"/>
        <v>0.30000000000000038</v>
      </c>
      <c r="AV343" s="586">
        <f t="shared" si="540"/>
        <v>0.30000000000000038</v>
      </c>
      <c r="AW343" s="586">
        <f t="shared" si="540"/>
        <v>0.30000000000000038</v>
      </c>
      <c r="AX343" s="334">
        <f t="shared" si="540"/>
        <v>0.30000000000000038</v>
      </c>
      <c r="AY343" s="586">
        <f t="shared" si="540"/>
        <v>0.30000000000000038</v>
      </c>
      <c r="AZ343" s="586">
        <f t="shared" si="540"/>
        <v>0.30000000000000038</v>
      </c>
      <c r="BA343" s="586">
        <f t="shared" si="540"/>
        <v>0.20000000000000037</v>
      </c>
      <c r="BB343" s="586">
        <f t="shared" si="540"/>
        <v>0.10000000000000037</v>
      </c>
      <c r="BC343" s="334">
        <f t="shared" si="540"/>
        <v>0.10000000000000037</v>
      </c>
      <c r="BD343" s="586">
        <f t="shared" si="540"/>
        <v>0.20000000000000037</v>
      </c>
      <c r="BE343" s="586">
        <f t="shared" si="540"/>
        <v>0.20000000000000037</v>
      </c>
      <c r="BF343" s="586">
        <f t="shared" si="540"/>
        <v>0.20000000000000037</v>
      </c>
      <c r="BG343" s="586">
        <f t="shared" si="540"/>
        <v>0.20000000000000037</v>
      </c>
      <c r="BH343" s="334">
        <f t="shared" si="540"/>
        <v>0.20000000000000037</v>
      </c>
      <c r="BI343" s="586">
        <f t="shared" si="540"/>
        <v>0.20000000000000037</v>
      </c>
      <c r="BJ343" s="586">
        <f t="shared" si="540"/>
        <v>39.700000000000003</v>
      </c>
      <c r="BK343" s="586">
        <f t="shared" si="540"/>
        <v>39.700000000000003</v>
      </c>
      <c r="BL343" s="586">
        <f t="shared" si="540"/>
        <v>39.700000000000003</v>
      </c>
      <c r="BM343" s="334">
        <f t="shared" si="540"/>
        <v>39.700000000000003</v>
      </c>
      <c r="BN343" s="586">
        <f t="shared" ref="BN343:BW343" si="541">BN341+BN342</f>
        <v>0</v>
      </c>
      <c r="BO343" s="586">
        <f t="shared" si="541"/>
        <v>0.1</v>
      </c>
      <c r="BP343" s="586">
        <f t="shared" si="541"/>
        <v>0.1</v>
      </c>
      <c r="BQ343" s="586">
        <f t="shared" si="541"/>
        <v>0.1</v>
      </c>
      <c r="BR343" s="334">
        <f t="shared" si="541"/>
        <v>0.10000000000000142</v>
      </c>
      <c r="BS343" s="586">
        <f t="shared" si="541"/>
        <v>0.10000000000000142</v>
      </c>
      <c r="BT343" s="586">
        <f t="shared" si="541"/>
        <v>0.10000000000000142</v>
      </c>
      <c r="BU343" s="586">
        <f t="shared" si="541"/>
        <v>0.10000000000000142</v>
      </c>
      <c r="BV343" s="586">
        <f t="shared" si="541"/>
        <v>0.10000000000000142</v>
      </c>
      <c r="BW343" s="334">
        <f t="shared" si="541"/>
        <v>0.10000000000000142</v>
      </c>
      <c r="BX343" s="586">
        <f t="shared" ref="BX343:CG343" si="542">BX341+BX342</f>
        <v>0.10000000000000142</v>
      </c>
      <c r="BY343" s="586">
        <f t="shared" si="542"/>
        <v>0.10000000000000142</v>
      </c>
      <c r="BZ343" s="586">
        <f t="shared" si="542"/>
        <v>0.10000000000000142</v>
      </c>
      <c r="CA343" s="586">
        <f t="shared" si="542"/>
        <v>0.10000000000000142</v>
      </c>
      <c r="CB343" s="587">
        <f t="shared" si="542"/>
        <v>0.10000000000000142</v>
      </c>
      <c r="CC343" s="586">
        <f t="shared" si="542"/>
        <v>0.10000000000000142</v>
      </c>
      <c r="CD343" s="586">
        <f t="shared" si="542"/>
        <v>0.10000000000000142</v>
      </c>
      <c r="CE343" s="586">
        <f t="shared" si="542"/>
        <v>0.10000000000000142</v>
      </c>
      <c r="CF343" s="586">
        <f t="shared" si="542"/>
        <v>1.4155343563970746E-15</v>
      </c>
      <c r="CG343" s="587">
        <f t="shared" si="542"/>
        <v>1.4155343563970746E-15</v>
      </c>
      <c r="CH343" s="586">
        <f t="shared" ref="CH343:CQ343" si="543">CH341+CH342</f>
        <v>1.4155343563970746E-15</v>
      </c>
      <c r="CI343" s="586">
        <f t="shared" si="543"/>
        <v>1.4155343563970746E-15</v>
      </c>
      <c r="CJ343" s="586">
        <f t="shared" si="543"/>
        <v>1.4155343563970746E-15</v>
      </c>
      <c r="CK343" s="586">
        <f t="shared" si="543"/>
        <v>1.4155343563970746E-15</v>
      </c>
      <c r="CL343" s="587">
        <f t="shared" si="543"/>
        <v>1.4155343563970746E-15</v>
      </c>
      <c r="CM343" s="586">
        <f t="shared" si="543"/>
        <v>1.4155343563970746E-15</v>
      </c>
      <c r="CN343" s="586">
        <f t="shared" si="543"/>
        <v>1.4155343563970746E-15</v>
      </c>
      <c r="CO343" s="586">
        <f t="shared" si="543"/>
        <v>1.4155343563970746E-15</v>
      </c>
      <c r="CP343" s="586">
        <f t="shared" si="543"/>
        <v>1.4155343563970746E-15</v>
      </c>
      <c r="CQ343" s="587">
        <f t="shared" si="543"/>
        <v>1.4155343563970746E-15</v>
      </c>
      <c r="CR343" s="586">
        <f t="shared" ref="CR343:CV343" si="544">CR341+CR342</f>
        <v>1.4155343563970746E-15</v>
      </c>
      <c r="CS343" s="586">
        <f t="shared" si="544"/>
        <v>1.4155343563970746E-15</v>
      </c>
      <c r="CT343" s="586">
        <f t="shared" si="544"/>
        <v>1.4155343563970746E-15</v>
      </c>
      <c r="CU343" s="586">
        <f t="shared" si="544"/>
        <v>1.4155343563970746E-15</v>
      </c>
      <c r="CV343" s="587">
        <f t="shared" si="544"/>
        <v>1.4155343563970746E-15</v>
      </c>
      <c r="CW343" s="586">
        <f t="shared" ref="CW343:DF343" si="545">CW341+CW342</f>
        <v>1.4155343563970746E-15</v>
      </c>
      <c r="CX343" s="586">
        <f t="shared" si="545"/>
        <v>1.4155343563970746E-15</v>
      </c>
      <c r="CY343" s="586">
        <f t="shared" si="545"/>
        <v>1.4155343563970746E-15</v>
      </c>
      <c r="CZ343" s="586">
        <f t="shared" si="545"/>
        <v>1.4155343563970746E-15</v>
      </c>
      <c r="DA343" s="587">
        <f t="shared" si="545"/>
        <v>1.4155343563970746E-15</v>
      </c>
      <c r="DB343" s="586">
        <f t="shared" si="545"/>
        <v>1.4155343563970746E-15</v>
      </c>
      <c r="DC343" s="586">
        <f t="shared" si="545"/>
        <v>1.4155343563970746E-15</v>
      </c>
      <c r="DD343" s="586">
        <f t="shared" si="545"/>
        <v>1.4155343563970746E-15</v>
      </c>
      <c r="DE343" s="586">
        <f t="shared" si="545"/>
        <v>1.4155343563970746E-15</v>
      </c>
      <c r="DF343" s="587">
        <f t="shared" si="545"/>
        <v>1.4155343563970746E-15</v>
      </c>
    </row>
    <row r="344" spans="1:110" x14ac:dyDescent="0.2">
      <c r="B344" s="536" t="s">
        <v>201</v>
      </c>
      <c r="C344" s="478"/>
      <c r="D344" s="145"/>
      <c r="E344" s="145"/>
      <c r="F344" s="145"/>
      <c r="G344" s="145"/>
      <c r="H344" s="145"/>
      <c r="I344" s="145"/>
      <c r="J344" s="145"/>
      <c r="K344" s="145"/>
      <c r="L344" s="145"/>
      <c r="M344" s="145"/>
      <c r="N344" s="145"/>
      <c r="O344" s="145"/>
      <c r="P344" s="145"/>
      <c r="Q344" s="145"/>
      <c r="R344" s="145"/>
      <c r="S344" s="586"/>
      <c r="T344" s="586"/>
      <c r="U344" s="586"/>
      <c r="V344" s="586"/>
      <c r="W344" s="586"/>
      <c r="X344" s="586">
        <f>X340-X343</f>
        <v>0</v>
      </c>
      <c r="Y344" s="334"/>
      <c r="Z344" s="586">
        <f>Z340-Z343</f>
        <v>0</v>
      </c>
      <c r="AA344" s="586">
        <f>AA340-AA343</f>
        <v>0</v>
      </c>
      <c r="AB344" s="586">
        <f>AB340-AB343</f>
        <v>0</v>
      </c>
      <c r="AC344" s="586">
        <f>AC340-AC343</f>
        <v>0</v>
      </c>
      <c r="AD344" s="334"/>
      <c r="AE344" s="586">
        <f>AE340-AE343</f>
        <v>0</v>
      </c>
      <c r="AF344" s="586">
        <f>AF340-AF343</f>
        <v>0</v>
      </c>
      <c r="AG344" s="586">
        <f>AG340-AG343</f>
        <v>0</v>
      </c>
      <c r="AH344" s="586">
        <f>AH340-AH343</f>
        <v>-0.5</v>
      </c>
      <c r="AI344" s="334"/>
      <c r="AJ344" s="586">
        <f>AJ340-AJ343</f>
        <v>0</v>
      </c>
      <c r="AK344" s="586">
        <f>AK340-AK343</f>
        <v>-9.9</v>
      </c>
      <c r="AL344" s="586">
        <f>AL340-AL343</f>
        <v>-9.9</v>
      </c>
      <c r="AM344" s="586">
        <f>AM340-AM343</f>
        <v>-0.40000000000000036</v>
      </c>
      <c r="AN344" s="334"/>
      <c r="AO344" s="586">
        <f>AO340-AO343</f>
        <v>-0.40000000000000036</v>
      </c>
      <c r="AP344" s="586">
        <f>AP340-AP343</f>
        <v>-0.40000000000000036</v>
      </c>
      <c r="AQ344" s="586">
        <f>AQ340-AQ343</f>
        <v>-0.40000000000000036</v>
      </c>
      <c r="AR344" s="586">
        <f>AR340-AR343</f>
        <v>-0.30000000000000038</v>
      </c>
      <c r="AS344" s="334"/>
      <c r="AT344" s="586">
        <f>AT340-AT343</f>
        <v>-0.40000000000000036</v>
      </c>
      <c r="AU344" s="586">
        <f>AU340-AU343</f>
        <v>-0.30000000000000038</v>
      </c>
      <c r="AV344" s="586">
        <f>AV340-AV343</f>
        <v>-0.30000000000000038</v>
      </c>
      <c r="AW344" s="586">
        <f>AW340-AW343</f>
        <v>-0.30000000000000038</v>
      </c>
      <c r="AX344" s="334"/>
      <c r="AY344" s="586">
        <f>AY340-AY343</f>
        <v>-0.30000000000000038</v>
      </c>
      <c r="AZ344" s="586">
        <f>AZ340-AZ343</f>
        <v>-0.30000000000000038</v>
      </c>
      <c r="BA344" s="586">
        <f>BA340-BA343</f>
        <v>-0.20000000000000037</v>
      </c>
      <c r="BB344" s="586">
        <f>BB340-BB343</f>
        <v>-0.10000000000000037</v>
      </c>
      <c r="BC344" s="334"/>
      <c r="BD344" s="586">
        <f>BD340-BD343</f>
        <v>-0.20000000000000037</v>
      </c>
      <c r="BE344" s="586">
        <f>BE340-BE343</f>
        <v>-0.20000000000000037</v>
      </c>
      <c r="BF344" s="586">
        <f>BF340-BF343</f>
        <v>-0.20000000000000037</v>
      </c>
      <c r="BG344" s="586">
        <f>BG340-BG343</f>
        <v>-0.20000000000000037</v>
      </c>
      <c r="BH344" s="334"/>
      <c r="BI344" s="586">
        <f>BI340-BI343</f>
        <v>-0.20000000000000037</v>
      </c>
      <c r="BJ344" s="586">
        <f>BJ340-BJ343</f>
        <v>-39.700000000000003</v>
      </c>
      <c r="BK344" s="586">
        <f>BK340-BK343</f>
        <v>-39.700000000000003</v>
      </c>
      <c r="BL344" s="586">
        <f>BL340-BL343</f>
        <v>-39.700000000000003</v>
      </c>
      <c r="BM344" s="334"/>
      <c r="BN344" s="586">
        <f>BN340-BN343</f>
        <v>0</v>
      </c>
      <c r="BO344" s="586">
        <f>BO340-BO343</f>
        <v>-0.1</v>
      </c>
      <c r="BP344" s="586">
        <f>BP340-BP343</f>
        <v>-0.1</v>
      </c>
      <c r="BQ344" s="586">
        <f>BQ340-BQ343</f>
        <v>-0.1</v>
      </c>
      <c r="BR344" s="334"/>
      <c r="BS344" s="586">
        <f>BS340-BS343</f>
        <v>-0.10000000000000142</v>
      </c>
      <c r="BT344" s="586">
        <f>BT340-BT343</f>
        <v>-0.10000000000000142</v>
      </c>
      <c r="BU344" s="586">
        <f>BU340-BU343</f>
        <v>-0.10000000000000142</v>
      </c>
      <c r="BV344" s="586">
        <f>BV340-BV343</f>
        <v>-0.10000000000000142</v>
      </c>
      <c r="BW344" s="334"/>
      <c r="BX344" s="586">
        <f>BX340-BX343</f>
        <v>-0.10000000000000142</v>
      </c>
      <c r="BY344" s="586">
        <f>BY340-BY343</f>
        <v>-0.10000000000000142</v>
      </c>
      <c r="BZ344" s="586">
        <f>BZ340-BZ343</f>
        <v>-0.10000000000000142</v>
      </c>
      <c r="CA344" s="586">
        <f>CA340-CA343</f>
        <v>-0.10000000000000142</v>
      </c>
      <c r="CB344" s="587"/>
      <c r="CC344" s="586">
        <f>CC340-CC343</f>
        <v>-0.10000000000000142</v>
      </c>
      <c r="CD344" s="586">
        <f>CD340-CD343</f>
        <v>-0.10000000000000142</v>
      </c>
      <c r="CE344" s="586">
        <f>CE340-CE343</f>
        <v>-0.10000000000000142</v>
      </c>
      <c r="CF344" s="586">
        <f>CF340-CF343</f>
        <v>-1.4155343563970746E-15</v>
      </c>
      <c r="CG344" s="587"/>
      <c r="CH344" s="586">
        <f>CH340-CH343</f>
        <v>-1.4155343563970746E-15</v>
      </c>
      <c r="CI344" s="586">
        <f>CI340-CI343</f>
        <v>-1.4155343563970746E-15</v>
      </c>
      <c r="CJ344" s="586">
        <f>CJ340-CJ343</f>
        <v>-1.4155343563970746E-15</v>
      </c>
      <c r="CK344" s="586">
        <f>CK340-CK343</f>
        <v>-1.4155343563970746E-15</v>
      </c>
      <c r="CL344" s="587"/>
      <c r="CM344" s="586">
        <f>CM340-CM343</f>
        <v>-1.4155343563970746E-15</v>
      </c>
      <c r="CN344" s="586">
        <f>CN340-CN343</f>
        <v>-1.4155343563970746E-15</v>
      </c>
      <c r="CO344" s="586">
        <f>CO340-CO343</f>
        <v>-1.4155343563970746E-15</v>
      </c>
      <c r="CP344" s="586">
        <f>CP340-CP343</f>
        <v>-1.4155343563970746E-15</v>
      </c>
      <c r="CQ344" s="587"/>
      <c r="CR344" s="586">
        <f>CR340-CR343</f>
        <v>-1.4155343563970746E-15</v>
      </c>
      <c r="CS344" s="586">
        <f>CS340-CS343</f>
        <v>-1.4155343563970746E-15</v>
      </c>
      <c r="CT344" s="586">
        <f>CT340-CT343</f>
        <v>-1.4155343563970746E-15</v>
      </c>
      <c r="CU344" s="586">
        <f>CU340-CU343</f>
        <v>-1.4155343563970746E-15</v>
      </c>
      <c r="CV344" s="587"/>
      <c r="CW344" s="586">
        <f>CW340-CW343</f>
        <v>-1.4155343563970746E-15</v>
      </c>
      <c r="CX344" s="586">
        <f>CX340-CX343</f>
        <v>-1.4155343563970746E-15</v>
      </c>
      <c r="CY344" s="586">
        <f>CY340-CY343</f>
        <v>-1.4155343563970746E-15</v>
      </c>
      <c r="CZ344" s="586">
        <f>CZ340-CZ343</f>
        <v>-1.4155343563970746E-15</v>
      </c>
      <c r="DA344" s="587"/>
      <c r="DB344" s="586">
        <f>DB340-DB343</f>
        <v>-1.4155343563970746E-15</v>
      </c>
      <c r="DC344" s="586">
        <f>DC340-DC343</f>
        <v>-1.4155343563970746E-15</v>
      </c>
      <c r="DD344" s="586">
        <f>DD340-DD343</f>
        <v>-1.4155343563970746E-15</v>
      </c>
      <c r="DE344" s="586">
        <f>DE340-DE343</f>
        <v>-1.4155343563970746E-15</v>
      </c>
      <c r="DF344" s="587"/>
    </row>
    <row r="345" spans="1:110" ht="12" thickBot="1" x14ac:dyDescent="0.25">
      <c r="B345" s="601" t="s">
        <v>147</v>
      </c>
      <c r="C345" s="590"/>
      <c r="D345" s="205"/>
      <c r="E345" s="205"/>
      <c r="F345" s="205"/>
      <c r="G345" s="205"/>
      <c r="H345" s="205"/>
      <c r="I345" s="205"/>
      <c r="J345" s="205"/>
      <c r="K345" s="205"/>
      <c r="L345" s="205"/>
      <c r="M345" s="205"/>
      <c r="N345" s="205"/>
      <c r="O345" s="205"/>
      <c r="P345" s="205"/>
      <c r="Q345" s="205"/>
      <c r="R345" s="205"/>
      <c r="S345" s="549"/>
      <c r="T345" s="550"/>
      <c r="U345" s="549">
        <f>-(AVERAGE(U343,U341))*($X339/4)</f>
        <v>0</v>
      </c>
      <c r="V345" s="549">
        <f>-(AVERAGE(V343,V341))*($X339/4)</f>
        <v>0</v>
      </c>
      <c r="W345" s="549">
        <f>-(AVERAGE(W343,W341))*($X339/4)</f>
        <v>0</v>
      </c>
      <c r="X345" s="549">
        <f>-(AVERAGE(X343,X341))*($X339/4)</f>
        <v>0</v>
      </c>
      <c r="Y345" s="550">
        <f>SUM(U345:X345)</f>
        <v>0</v>
      </c>
      <c r="Z345" s="549">
        <f>-(AVERAGE(Z343,Z341))*($X339/4)</f>
        <v>0</v>
      </c>
      <c r="AA345" s="549">
        <f>-(AVERAGE(AA343,AA341))*($X339/4)</f>
        <v>0</v>
      </c>
      <c r="AB345" s="549">
        <f>-(AVERAGE(AB343,AB341))*($X339/4)</f>
        <v>0</v>
      </c>
      <c r="AC345" s="549">
        <f>-(AVERAGE(AC343,AC341))*($X339/4)</f>
        <v>0</v>
      </c>
      <c r="AD345" s="550">
        <f>SUM(Z345:AC345)</f>
        <v>0</v>
      </c>
      <c r="AE345" s="549">
        <f>-(AVERAGE(AE343,AE341))*($X339/4)</f>
        <v>0</v>
      </c>
      <c r="AF345" s="549">
        <f>-(AVERAGE(AF343,AF341))*($X339/4)</f>
        <v>0</v>
      </c>
      <c r="AG345" s="549">
        <f>-(AVERAGE(AG343,AG341))*($X339/4)</f>
        <v>0</v>
      </c>
      <c r="AH345" s="549">
        <f>-(AVERAGE(AH343,AH341))*($X339/4)</f>
        <v>0</v>
      </c>
      <c r="AI345" s="550">
        <f>SUM(AE345:AH345)</f>
        <v>0</v>
      </c>
      <c r="AJ345" s="549">
        <f>-(AVERAGE(AJ343,AJ341))*($X339/4)</f>
        <v>0</v>
      </c>
      <c r="AK345" s="549">
        <f>-(AVERAGE(AK343,AK341))*($X339/4)</f>
        <v>0</v>
      </c>
      <c r="AL345" s="549">
        <f>-(AVERAGE(AL343,AL341))*($X339/4)</f>
        <v>0</v>
      </c>
      <c r="AM345" s="549">
        <f>-(AVERAGE(AM343,AM341))*(AM339/4)</f>
        <v>-6.4375000000000002E-2</v>
      </c>
      <c r="AN345" s="550">
        <f>SUM(AJ345:AM345)</f>
        <v>-6.4375000000000002E-2</v>
      </c>
      <c r="AO345" s="549">
        <f>-(AVERAGE(AO343,AO341))*(AO339/4)</f>
        <v>-3.5000000000000035E-3</v>
      </c>
      <c r="AP345" s="549">
        <f>-(AVERAGE(AP343,AP341))*(AP339/4)</f>
        <v>-3.5000000000000035E-3</v>
      </c>
      <c r="AQ345" s="549">
        <f>-(AVERAGE(AQ343,AQ341))*(AQ339/4)</f>
        <v>-3.1500000000000026E-3</v>
      </c>
      <c r="AR345" s="549">
        <f>-(AVERAGE(AR343,AR341))*(AR339/4)</f>
        <v>-3.5459375000000035E-3</v>
      </c>
      <c r="AS345" s="550">
        <f>SUM(AO345:AR345)</f>
        <v>-1.3695937500000014E-2</v>
      </c>
      <c r="AT345" s="549">
        <f>-(AVERAGE(AT343,AT341))*(AT339/4)</f>
        <v>-3.2375000000000034E-3</v>
      </c>
      <c r="AU345" s="549">
        <f>-(AVERAGE(AU343,AU341))*(AU339/4)</f>
        <v>-3.2375000000000034E-3</v>
      </c>
      <c r="AV345" s="549">
        <f>-(AVERAGE(AV343,AV341))*(AV339/4)</f>
        <v>-2.7750000000000032E-3</v>
      </c>
      <c r="AW345" s="549">
        <f>-(AVERAGE(AW343,AW341))*(AW339/4)</f>
        <v>-3.8898382867132982E-4</v>
      </c>
      <c r="AX345" s="550">
        <f>SUM(AT345:AW345)</f>
        <v>-9.6389838286713402E-3</v>
      </c>
      <c r="AY345" s="549">
        <f>-(AVERAGE(AY343,AY341))*(AY339/4)</f>
        <v>-7.618427399999992E-4</v>
      </c>
      <c r="AZ345" s="549">
        <f>-(AVERAGE(AZ343,AZ341))*(AZ339/4)</f>
        <v>-7.2747343457944011E-4</v>
      </c>
      <c r="BA345" s="549">
        <f>-(AVERAGE(BA343,BA341))*(BA339/4)</f>
        <v>-7.1634247448979654E-4</v>
      </c>
      <c r="BB345" s="549">
        <f>-(AVERAGE(BB343,BB341))*(BB339/4)</f>
        <v>-4.298054846938783E-4</v>
      </c>
      <c r="BC345" s="550">
        <f>SUM(AY345:BB345)</f>
        <v>-2.6354641337631144E-3</v>
      </c>
      <c r="BD345" s="549">
        <f>-(AVERAGE(BD343,BD341))*(BD339/4)</f>
        <v>-4.298054846938783E-4</v>
      </c>
      <c r="BE345" s="549">
        <f>-(AVERAGE(BE343,BE341))*(BE339/4)</f>
        <v>-2.5000000000000048E-3</v>
      </c>
      <c r="BF345" s="549">
        <f>-(AVERAGE(BF343,BF341))*(BF339/4)</f>
        <v>-5.7307397959183745E-4</v>
      </c>
      <c r="BG345" s="549">
        <f>-(AVERAGE(BG343,BG341))*(BG339/4)</f>
        <v>-5.7307397959183745E-4</v>
      </c>
      <c r="BH345" s="550">
        <f>SUM(BD345:BG345)</f>
        <v>-4.0759534438775582E-3</v>
      </c>
      <c r="BI345" s="549">
        <f>-(AVERAGE(BI343,BI341))*(BI339/4)</f>
        <v>-1.000000000000002E-3</v>
      </c>
      <c r="BJ345" s="549">
        <f>-(AVERAGE(BJ343,BJ341))*(BJ339/4)</f>
        <v>-9.9750000000000019E-2</v>
      </c>
      <c r="BK345" s="549">
        <f>-(AVERAGE(BK343,BK341))*(BK339/4)</f>
        <v>-0.19850000000000001</v>
      </c>
      <c r="BL345" s="549">
        <f>-(AVERAGE(BL343,BL341))*(BL339/4)</f>
        <v>-0.19850000000000001</v>
      </c>
      <c r="BM345" s="550">
        <f>SUM(BI345:BL345)</f>
        <v>-0.49775000000000003</v>
      </c>
      <c r="BN345" s="549">
        <f>-(AVERAGE(BN343,BN341))*(BN339/4)</f>
        <v>-0.10669375</v>
      </c>
      <c r="BO345" s="549">
        <f>-(AVERAGE(BO343,BO341))*(BO339/4)</f>
        <v>-2.6875E-4</v>
      </c>
      <c r="BP345" s="549">
        <f>-(AVERAGE(BP343,BP341))*(BP339/4)</f>
        <v>-5.939500000000001E-4</v>
      </c>
      <c r="BQ345" s="549">
        <f>-(AVERAGE(BQ343,BQ341))*(BQ339/4)</f>
        <v>-6.4000000000000005E-4</v>
      </c>
      <c r="BR345" s="550">
        <f>SUM(BN345:BQ345)</f>
        <v>-0.10819645</v>
      </c>
      <c r="BS345" s="549">
        <f>-(AVERAGE(BS343,BS341))*(BS339/4)</f>
        <v>-6.8395000000000977E-4</v>
      </c>
      <c r="BT345" s="549">
        <f>-(AVERAGE(BT343,BT341))*(BT339/4)</f>
        <v>-7.2725000000001033E-4</v>
      </c>
      <c r="BU345" s="549">
        <f>-(AVERAGE(BU343,BU341))*(BU339/4)</f>
        <v>-7.7392500000001091E-4</v>
      </c>
      <c r="BV345" s="549">
        <f>-(AVERAGE(BV343,BV341))*(BV339/4)</f>
        <v>-8.1567500000001168E-4</v>
      </c>
      <c r="BW345" s="550">
        <f>SUM(BS345:BV345)</f>
        <v>-3.0008000000000426E-3</v>
      </c>
      <c r="BX345" s="549">
        <f>-(AVERAGE(BX343,BX341))*(BX339/4)</f>
        <v>-5.0000000000000717E-4</v>
      </c>
      <c r="BY345" s="549">
        <f>-(AVERAGE(BY343,BY341))*(BY339/4)</f>
        <v>-5.0000000000000717E-4</v>
      </c>
      <c r="BZ345" s="549">
        <f>-(AVERAGE(BZ343,BZ341))*(BZ339/4)</f>
        <v>-5.0000000000000717E-4</v>
      </c>
      <c r="CA345" s="549">
        <f>-(AVERAGE(CA343,CA341))*(CA339/4)</f>
        <v>-5.0000000000000717E-4</v>
      </c>
      <c r="CB345" s="565">
        <f>SUM(BX345:CA345)</f>
        <v>-2.0000000000000287E-3</v>
      </c>
      <c r="CC345" s="549">
        <f>-(AVERAGE(CC343,CC341))*(CC339/4)</f>
        <v>-8.5610000000001208E-4</v>
      </c>
      <c r="CD345" s="549">
        <f>-(AVERAGE(CD343,CD341))*(CD339/4)</f>
        <v>-8.9572500000001268E-4</v>
      </c>
      <c r="CE345" s="549">
        <f>-(AVERAGE(CE343,CE341))*(CE339/4)</f>
        <v>-8.9150000000001262E-4</v>
      </c>
      <c r="CF345" s="549">
        <f>-(AVERAGE(CF343,CF341))*(CF339/4)</f>
        <v>-4.6288750000001317E-4</v>
      </c>
      <c r="CG345" s="565">
        <f>SUM(CC345:CF345)</f>
        <v>-3.1062125000000506E-3</v>
      </c>
      <c r="CH345" s="549">
        <f>-(AVERAGE(CH343,CH341))*(CH339/4)</f>
        <v>-1.2118389625115355E-17</v>
      </c>
      <c r="CI345" s="549">
        <f>-(AVERAGE(CI343,CI341))*(CI339/4)</f>
        <v>-1.2679295113837695E-17</v>
      </c>
      <c r="CJ345" s="549">
        <f>-(AVERAGE(CJ343,CJ341))*(CJ339/4)</f>
        <v>-1.261948878727992E-17</v>
      </c>
      <c r="CK345" s="549">
        <f>-(AVERAGE(CK343,CK341))*(CK339/4)</f>
        <v>-1.3104663187935018E-17</v>
      </c>
      <c r="CL345" s="565">
        <f>SUM(CH345:CK345)</f>
        <v>-5.0521836714167989E-17</v>
      </c>
      <c r="CM345" s="549">
        <f>-(AVERAGE(CM343,CM341))*(CM339/4)</f>
        <v>-1.2118389625115355E-17</v>
      </c>
      <c r="CN345" s="549">
        <f>-(AVERAGE(CN343,CN341))*(CN339/4)</f>
        <v>-1.2679295113837695E-17</v>
      </c>
      <c r="CO345" s="549">
        <f>-(AVERAGE(CO343,CO341))*(CO339/4)</f>
        <v>-1.261948878727992E-17</v>
      </c>
      <c r="CP345" s="549">
        <f>-(AVERAGE(CP343,CP341))*(CP339/4)</f>
        <v>-1.3104663187935018E-17</v>
      </c>
      <c r="CQ345" s="565">
        <f>SUM(CM345:CP345)</f>
        <v>-5.0521836714167989E-17</v>
      </c>
      <c r="CR345" s="549">
        <f>-(AVERAGE(CR343,CR341))*(CR339/4)</f>
        <v>-1.2118389625115355E-17</v>
      </c>
      <c r="CS345" s="549">
        <f>-(AVERAGE(CS343,CS341))*(CS339/4)</f>
        <v>-1.2679295113837695E-17</v>
      </c>
      <c r="CT345" s="549">
        <f>-(AVERAGE(CT343,CT341))*(CT339/4)</f>
        <v>-1.261948878727992E-17</v>
      </c>
      <c r="CU345" s="549">
        <f>-(AVERAGE(CU343,CU341))*(CU339/4)</f>
        <v>-1.3104663187935018E-17</v>
      </c>
      <c r="CV345" s="565">
        <f>SUM(CR345:CU345)</f>
        <v>-5.0521836714167989E-17</v>
      </c>
      <c r="CW345" s="549">
        <f>-(AVERAGE(CW343,CW341))*(CW339/4)</f>
        <v>-1.2118389625115355E-17</v>
      </c>
      <c r="CX345" s="549">
        <f>-(AVERAGE(CX343,CX341))*(CX339/4)</f>
        <v>-1.2679295113837695E-17</v>
      </c>
      <c r="CY345" s="549">
        <f>-(AVERAGE(CY343,CY341))*(CY339/4)</f>
        <v>-1.261948878727992E-17</v>
      </c>
      <c r="CZ345" s="549">
        <f>-(AVERAGE(CZ343,CZ341))*(CZ339/4)</f>
        <v>-1.3104663187935018E-17</v>
      </c>
      <c r="DA345" s="565">
        <f>SUM(CW345:CZ345)</f>
        <v>-5.0521836714167989E-17</v>
      </c>
      <c r="DB345" s="549">
        <f>-(AVERAGE(DB343,DB341))*(DB339/4)</f>
        <v>-1.2118389625115355E-17</v>
      </c>
      <c r="DC345" s="549">
        <f>-(AVERAGE(DC343,DC341))*(DC339/4)</f>
        <v>-1.2679295113837695E-17</v>
      </c>
      <c r="DD345" s="549">
        <f>-(AVERAGE(DD343,DD341))*(DD339/4)</f>
        <v>-1.261948878727992E-17</v>
      </c>
      <c r="DE345" s="549">
        <f>-(AVERAGE(DE343,DE341))*(DE339/4)</f>
        <v>-1.3104663187935018E-17</v>
      </c>
      <c r="DF345" s="565">
        <f>SUM(DB345:DE345)</f>
        <v>-5.0521836714167989E-17</v>
      </c>
    </row>
    <row r="346" spans="1:110" s="326" customFormat="1" ht="12" thickBot="1" x14ac:dyDescent="0.25">
      <c r="C346" s="478"/>
      <c r="D346" s="145"/>
      <c r="E346" s="145"/>
      <c r="F346" s="145"/>
      <c r="G346" s="145"/>
      <c r="H346" s="145"/>
      <c r="I346" s="145"/>
      <c r="J346" s="145"/>
      <c r="K346" s="145"/>
      <c r="L346" s="145"/>
      <c r="M346" s="145"/>
      <c r="N346" s="145"/>
      <c r="O346" s="145"/>
      <c r="P346" s="145"/>
      <c r="Q346" s="145"/>
      <c r="R346" s="145"/>
      <c r="S346" s="346"/>
      <c r="T346" s="346"/>
      <c r="U346" s="346"/>
      <c r="V346" s="346"/>
      <c r="W346" s="346"/>
      <c r="X346" s="346"/>
      <c r="Y346" s="342"/>
      <c r="Z346" s="346"/>
      <c r="AA346" s="346"/>
      <c r="AB346" s="346"/>
      <c r="AC346" s="346"/>
      <c r="AD346" s="342"/>
      <c r="AE346" s="346"/>
      <c r="AF346" s="346"/>
      <c r="AG346" s="346"/>
      <c r="AH346" s="346"/>
      <c r="AI346" s="342"/>
      <c r="AJ346" s="346"/>
      <c r="AK346" s="346"/>
      <c r="AL346" s="346"/>
      <c r="AM346" s="346"/>
      <c r="AN346" s="342"/>
      <c r="AO346" s="346"/>
      <c r="AP346" s="346"/>
      <c r="AQ346" s="346"/>
      <c r="AR346" s="346"/>
      <c r="AS346" s="342"/>
      <c r="AT346" s="346"/>
      <c r="AU346" s="346"/>
      <c r="AV346" s="346"/>
      <c r="AW346" s="346"/>
      <c r="AX346" s="342"/>
      <c r="AY346" s="346"/>
      <c r="AZ346" s="346"/>
      <c r="BA346" s="346"/>
      <c r="BB346" s="346"/>
      <c r="BC346" s="342"/>
      <c r="BD346" s="346"/>
      <c r="BE346" s="346"/>
      <c r="BF346" s="346"/>
      <c r="BG346" s="346"/>
      <c r="BH346" s="342"/>
      <c r="BI346" s="346"/>
      <c r="BJ346" s="346"/>
      <c r="BK346" s="346"/>
      <c r="BL346" s="346"/>
      <c r="BM346" s="342"/>
      <c r="BN346" s="346"/>
      <c r="BO346" s="346"/>
      <c r="BP346" s="346"/>
      <c r="BQ346" s="346"/>
      <c r="BR346" s="342"/>
      <c r="BS346" s="346"/>
      <c r="BT346" s="346"/>
      <c r="BU346" s="346"/>
      <c r="BV346" s="346"/>
      <c r="BW346" s="342"/>
      <c r="BX346" s="346"/>
      <c r="BY346" s="346"/>
      <c r="BZ346" s="346"/>
      <c r="CA346" s="346"/>
      <c r="CB346" s="342"/>
      <c r="CC346" s="346"/>
      <c r="CD346" s="346"/>
      <c r="CE346" s="346"/>
      <c r="CF346" s="346"/>
      <c r="CG346" s="342"/>
      <c r="CH346" s="346"/>
      <c r="CI346" s="346"/>
      <c r="CJ346" s="346"/>
      <c r="CK346" s="346"/>
      <c r="CL346" s="342"/>
      <c r="CM346" s="346"/>
      <c r="CN346" s="346"/>
      <c r="CO346" s="346"/>
      <c r="CP346" s="346"/>
      <c r="CQ346" s="342"/>
      <c r="CR346" s="346"/>
      <c r="CS346" s="346"/>
      <c r="CT346" s="346"/>
      <c r="CU346" s="346"/>
      <c r="CV346" s="342"/>
      <c r="CW346" s="346"/>
      <c r="CX346" s="346"/>
      <c r="CY346" s="346"/>
      <c r="CZ346" s="346"/>
      <c r="DA346" s="342"/>
      <c r="DB346" s="346"/>
      <c r="DC346" s="346"/>
      <c r="DD346" s="346"/>
      <c r="DE346" s="346"/>
      <c r="DF346" s="342"/>
    </row>
    <row r="347" spans="1:110" s="1273" customFormat="1" ht="13.5" thickBot="1" x14ac:dyDescent="0.25">
      <c r="B347" s="1274" t="s">
        <v>410</v>
      </c>
      <c r="C347" s="1316"/>
      <c r="D347" s="1316"/>
      <c r="E347" s="1316"/>
      <c r="F347" s="1316"/>
      <c r="G347" s="1316"/>
      <c r="H347" s="1316"/>
      <c r="I347" s="1316"/>
      <c r="J347" s="1316"/>
      <c r="K347" s="1316"/>
      <c r="L347" s="1316"/>
      <c r="M347" s="1316"/>
      <c r="N347" s="1316"/>
      <c r="O347" s="1316"/>
      <c r="P347" s="1316"/>
      <c r="Q347" s="1316"/>
      <c r="R347" s="1316"/>
      <c r="S347" s="1317"/>
      <c r="T347" s="1317"/>
      <c r="U347" s="1317"/>
      <c r="V347" s="1317"/>
      <c r="W347" s="1317"/>
      <c r="X347" s="1317"/>
      <c r="Y347" s="1317"/>
      <c r="Z347" s="1345"/>
      <c r="AA347" s="1317"/>
      <c r="AB347" s="1317"/>
      <c r="AC347" s="1317"/>
      <c r="AD347" s="1317"/>
      <c r="AE347" s="1317"/>
      <c r="AF347" s="1317"/>
      <c r="AG347" s="1317"/>
      <c r="AH347" s="1317"/>
      <c r="AI347" s="1317"/>
      <c r="AJ347" s="1317"/>
      <c r="AK347" s="1317"/>
      <c r="AL347" s="1317"/>
      <c r="AM347" s="1317"/>
      <c r="AN347" s="1317"/>
      <c r="AO347" s="1317"/>
      <c r="AP347" s="1317"/>
      <c r="AQ347" s="1317"/>
      <c r="AR347" s="1317"/>
      <c r="AS347" s="1317"/>
      <c r="AT347" s="1317"/>
      <c r="AU347" s="1317"/>
      <c r="AV347" s="1346"/>
      <c r="AW347" s="1317"/>
      <c r="AX347" s="1317"/>
      <c r="AY347" s="1317"/>
      <c r="AZ347" s="1317"/>
      <c r="BA347" s="1317"/>
      <c r="BB347" s="1317"/>
      <c r="BC347" s="1317"/>
      <c r="BD347" s="1317"/>
      <c r="BE347" s="1317"/>
      <c r="BF347" s="1317"/>
      <c r="BG347" s="1317"/>
      <c r="BH347" s="1317"/>
      <c r="BI347" s="1317"/>
      <c r="BJ347" s="1317"/>
      <c r="BK347" s="1317"/>
      <c r="BL347" s="1317"/>
      <c r="BM347" s="1317"/>
      <c r="BN347" s="1317"/>
      <c r="BO347" s="1317"/>
      <c r="BP347" s="1317"/>
      <c r="BQ347" s="1317"/>
      <c r="BR347" s="1317"/>
      <c r="BS347" s="1317"/>
      <c r="BT347" s="1317"/>
      <c r="BU347" s="1317"/>
      <c r="BV347" s="1317"/>
      <c r="BW347" s="1317"/>
      <c r="BX347" s="1317"/>
      <c r="BY347" s="1317"/>
      <c r="BZ347" s="1317"/>
      <c r="CA347" s="1317"/>
      <c r="CB347" s="1318"/>
      <c r="CC347" s="1317"/>
      <c r="CD347" s="1317"/>
      <c r="CE347" s="1317"/>
      <c r="CF347" s="1317"/>
      <c r="CG347" s="1318"/>
      <c r="CH347" s="1317"/>
      <c r="CI347" s="1317"/>
      <c r="CJ347" s="1317"/>
      <c r="CK347" s="1317"/>
      <c r="CL347" s="1318"/>
      <c r="CM347" s="1317"/>
      <c r="CN347" s="1317"/>
      <c r="CO347" s="1317"/>
      <c r="CP347" s="1317"/>
      <c r="CQ347" s="1318"/>
      <c r="CR347" s="1317"/>
      <c r="CS347" s="1317"/>
      <c r="CT347" s="1317"/>
      <c r="CU347" s="1317"/>
      <c r="CV347" s="1318"/>
      <c r="CW347" s="1317"/>
      <c r="CX347" s="1317"/>
      <c r="CY347" s="1317"/>
      <c r="CZ347" s="1317"/>
      <c r="DA347" s="1318"/>
      <c r="DB347" s="1317"/>
      <c r="DC347" s="1317"/>
      <c r="DD347" s="1317"/>
      <c r="DE347" s="1317"/>
      <c r="DF347" s="1318"/>
    </row>
    <row r="348" spans="1:110" s="1289" customFormat="1" ht="12.75" x14ac:dyDescent="0.2">
      <c r="A348" s="1273"/>
      <c r="B348" s="1280" t="s">
        <v>327</v>
      </c>
      <c r="C348" s="1281">
        <v>0.05</v>
      </c>
      <c r="D348" s="1282"/>
      <c r="E348" s="1282"/>
      <c r="F348" s="1347">
        <v>0.12</v>
      </c>
      <c r="G348" s="1347">
        <v>0.14000000000000001</v>
      </c>
      <c r="H348" s="1347">
        <v>0.16</v>
      </c>
      <c r="I348" s="1282"/>
      <c r="J348" s="1282"/>
      <c r="K348" s="1282"/>
      <c r="L348" s="1282"/>
      <c r="M348" s="1282"/>
      <c r="N348" s="1282"/>
      <c r="O348" s="1282"/>
      <c r="P348" s="1282"/>
      <c r="Q348" s="1282"/>
      <c r="R348" s="1282"/>
      <c r="S348" s="1283"/>
      <c r="T348" s="1284"/>
      <c r="U348" s="1283"/>
      <c r="V348" s="1283"/>
      <c r="W348" s="1283"/>
      <c r="X348" s="1283"/>
      <c r="Y348" s="1284"/>
      <c r="Z348" s="1283"/>
      <c r="AA348" s="1283"/>
      <c r="AB348" s="1283"/>
      <c r="AC348" s="1283"/>
      <c r="AD348" s="1284"/>
      <c r="AE348" s="1283"/>
      <c r="AF348" s="1283"/>
      <c r="AG348" s="1283"/>
      <c r="AH348" s="1283"/>
      <c r="AI348" s="1284"/>
      <c r="AJ348" s="1283"/>
      <c r="AK348" s="1283"/>
      <c r="AL348" s="1348">
        <v>5.7500000000000002E-2</v>
      </c>
      <c r="AM348" s="1348">
        <v>5.4899999999999997E-2</v>
      </c>
      <c r="AN348" s="1284"/>
      <c r="AO348" s="1285">
        <f>AM348</f>
        <v>5.4899999999999997E-2</v>
      </c>
      <c r="AP348" s="1285">
        <f>AO348</f>
        <v>5.4899999999999997E-2</v>
      </c>
      <c r="AQ348" s="1285">
        <f>AP348</f>
        <v>5.4899999999999997E-2</v>
      </c>
      <c r="AR348" s="1285">
        <f>AQ348</f>
        <v>5.4899999999999997E-2</v>
      </c>
      <c r="AS348" s="1287"/>
      <c r="AT348" s="1285">
        <f>AR348</f>
        <v>5.4899999999999997E-2</v>
      </c>
      <c r="AU348" s="1285">
        <f>AT348</f>
        <v>5.4899999999999997E-2</v>
      </c>
      <c r="AV348" s="1285">
        <f>AU348</f>
        <v>5.4899999999999997E-2</v>
      </c>
      <c r="AW348" s="1285">
        <f>AV348</f>
        <v>5.4899999999999997E-2</v>
      </c>
      <c r="AX348" s="1284"/>
      <c r="AY348" s="1285">
        <f>AW348</f>
        <v>5.4899999999999997E-2</v>
      </c>
      <c r="AZ348" s="1285">
        <f>AY348</f>
        <v>5.4899999999999997E-2</v>
      </c>
      <c r="BA348" s="1285">
        <f>AZ348</f>
        <v>5.4899999999999997E-2</v>
      </c>
      <c r="BB348" s="1285">
        <f>BA348</f>
        <v>5.4899999999999997E-2</v>
      </c>
      <c r="BC348" s="1287"/>
      <c r="BD348" s="1285">
        <f>BB348</f>
        <v>5.4899999999999997E-2</v>
      </c>
      <c r="BE348" s="1285">
        <f>BD348</f>
        <v>5.4899999999999997E-2</v>
      </c>
      <c r="BF348" s="1285">
        <f>BE348</f>
        <v>5.4899999999999997E-2</v>
      </c>
      <c r="BG348" s="1285">
        <f>BF348</f>
        <v>5.4899999999999997E-2</v>
      </c>
      <c r="BH348" s="1284"/>
      <c r="BI348" s="1285">
        <f>BG348</f>
        <v>5.4899999999999997E-2</v>
      </c>
      <c r="BJ348" s="1285">
        <v>0.02</v>
      </c>
      <c r="BK348" s="1285">
        <v>0.01</v>
      </c>
      <c r="BL348" s="1285">
        <v>0.01</v>
      </c>
      <c r="BM348" s="1287"/>
      <c r="BN348" s="1285">
        <f>BL348</f>
        <v>0.01</v>
      </c>
      <c r="BO348" s="1285">
        <f>BN348</f>
        <v>0.01</v>
      </c>
      <c r="BP348" s="1285">
        <f>BO348</f>
        <v>0.01</v>
      </c>
      <c r="BQ348" s="1285">
        <f>BP348</f>
        <v>0.01</v>
      </c>
      <c r="BR348" s="1288"/>
      <c r="BS348" s="1285">
        <f>BQ348</f>
        <v>0.01</v>
      </c>
      <c r="BT348" s="1285">
        <f>BS348</f>
        <v>0.01</v>
      </c>
      <c r="BU348" s="1285">
        <f>BT348</f>
        <v>0.01</v>
      </c>
      <c r="BV348" s="1285">
        <f>BU348</f>
        <v>0.01</v>
      </c>
      <c r="BW348" s="1288"/>
      <c r="BX348" s="1285">
        <f>BV348</f>
        <v>0.01</v>
      </c>
      <c r="BY348" s="1285">
        <f>BX348</f>
        <v>0.01</v>
      </c>
      <c r="BZ348" s="1285">
        <f>BY348</f>
        <v>0.01</v>
      </c>
      <c r="CA348" s="1285">
        <f>BZ348</f>
        <v>0.01</v>
      </c>
      <c r="CB348" s="1288"/>
      <c r="CC348" s="1285">
        <f>CA348</f>
        <v>0.01</v>
      </c>
      <c r="CD348" s="1285">
        <f>CC348</f>
        <v>0.01</v>
      </c>
      <c r="CE348" s="1285">
        <f>CD348</f>
        <v>0.01</v>
      </c>
      <c r="CF348" s="1285">
        <f>CE348</f>
        <v>0.01</v>
      </c>
      <c r="CG348" s="1288"/>
      <c r="CH348" s="1285">
        <f>CF348</f>
        <v>0.01</v>
      </c>
      <c r="CI348" s="1285">
        <f>CH348</f>
        <v>0.01</v>
      </c>
      <c r="CJ348" s="1285">
        <f>CI348</f>
        <v>0.01</v>
      </c>
      <c r="CK348" s="1285">
        <f>CJ348</f>
        <v>0.01</v>
      </c>
      <c r="CL348" s="1288"/>
      <c r="CM348" s="1285">
        <f>CK348</f>
        <v>0.01</v>
      </c>
      <c r="CN348" s="1285">
        <f>CM348</f>
        <v>0.01</v>
      </c>
      <c r="CO348" s="1285">
        <f>CN348</f>
        <v>0.01</v>
      </c>
      <c r="CP348" s="1285">
        <f>CO348</f>
        <v>0.01</v>
      </c>
      <c r="CQ348" s="1288"/>
      <c r="CR348" s="1285">
        <f>CP348</f>
        <v>0.01</v>
      </c>
      <c r="CS348" s="1285">
        <f>CR348</f>
        <v>0.01</v>
      </c>
      <c r="CT348" s="1285">
        <f>CS348</f>
        <v>0.01</v>
      </c>
      <c r="CU348" s="1285">
        <f>CT348</f>
        <v>0.01</v>
      </c>
      <c r="CV348" s="1288"/>
      <c r="CW348" s="1285">
        <f>CU348</f>
        <v>0.01</v>
      </c>
      <c r="CX348" s="1285">
        <f>CW348</f>
        <v>0.01</v>
      </c>
      <c r="CY348" s="1285">
        <f>CX348</f>
        <v>0.01</v>
      </c>
      <c r="CZ348" s="1285">
        <f>CY348</f>
        <v>0.01</v>
      </c>
      <c r="DA348" s="1288"/>
      <c r="DB348" s="1285">
        <f>CZ348</f>
        <v>0.01</v>
      </c>
      <c r="DC348" s="1285">
        <f>DB348</f>
        <v>0.01</v>
      </c>
      <c r="DD348" s="1285">
        <f>DC348</f>
        <v>0.01</v>
      </c>
      <c r="DE348" s="1285">
        <f>DD348</f>
        <v>0.01</v>
      </c>
      <c r="DF348" s="1288"/>
    </row>
    <row r="349" spans="1:110" s="1289" customFormat="1" ht="12.75" x14ac:dyDescent="0.2">
      <c r="A349" s="1273"/>
      <c r="B349" s="1290" t="s">
        <v>198</v>
      </c>
      <c r="D349" s="1281"/>
      <c r="E349" s="1281">
        <v>0.06</v>
      </c>
      <c r="F349" s="1281"/>
      <c r="G349" s="1281"/>
      <c r="H349" s="1281"/>
      <c r="I349" s="1281"/>
      <c r="J349" s="1281"/>
      <c r="K349" s="1281"/>
      <c r="L349" s="1281"/>
      <c r="M349" s="1281"/>
      <c r="N349" s="1281"/>
      <c r="O349" s="1281"/>
      <c r="P349" s="1281"/>
      <c r="Q349" s="1281"/>
      <c r="R349" s="1281"/>
      <c r="S349" s="1293"/>
      <c r="T349" s="1294"/>
      <c r="U349" s="1293">
        <f>+T351</f>
        <v>50</v>
      </c>
      <c r="V349" s="1293">
        <f>+U351</f>
        <v>60</v>
      </c>
      <c r="W349" s="1293">
        <f>+V351</f>
        <v>80</v>
      </c>
      <c r="X349" s="1349">
        <v>100</v>
      </c>
      <c r="Y349" s="1294">
        <f>X349</f>
        <v>100</v>
      </c>
      <c r="Z349" s="1293">
        <f>+Y351</f>
        <v>100</v>
      </c>
      <c r="AA349" s="1293">
        <f>+Z351</f>
        <v>100</v>
      </c>
      <c r="AB349" s="1293">
        <f>+AA351</f>
        <v>100</v>
      </c>
      <c r="AC349" s="1293">
        <f>+AB351</f>
        <v>100</v>
      </c>
      <c r="AD349" s="1294">
        <f>Y351</f>
        <v>100</v>
      </c>
      <c r="AE349" s="1293">
        <f>AD351</f>
        <v>450</v>
      </c>
      <c r="AF349" s="1293">
        <f>AE351</f>
        <v>450</v>
      </c>
      <c r="AG349" s="1293">
        <f>AF351</f>
        <v>446.2</v>
      </c>
      <c r="AH349" s="1293">
        <f>AG351</f>
        <v>521.6</v>
      </c>
      <c r="AI349" s="1294">
        <f>AD351</f>
        <v>450</v>
      </c>
      <c r="AJ349" s="1293">
        <f>AH351</f>
        <v>400.3</v>
      </c>
      <c r="AK349" s="1293">
        <f>AJ351</f>
        <v>675.3</v>
      </c>
      <c r="AL349" s="1293">
        <f>AK351</f>
        <v>600</v>
      </c>
      <c r="AM349" s="1293">
        <f>AL351</f>
        <v>600</v>
      </c>
      <c r="AN349" s="1294">
        <f>AI351</f>
        <v>400.3</v>
      </c>
      <c r="AO349" s="1293">
        <f>AM351</f>
        <v>600</v>
      </c>
      <c r="AP349" s="1293">
        <f>AO351</f>
        <v>600</v>
      </c>
      <c r="AQ349" s="1293">
        <f>AP351</f>
        <v>600</v>
      </c>
      <c r="AR349" s="1293">
        <f>AQ351</f>
        <v>600</v>
      </c>
      <c r="AS349" s="1303">
        <f>AN351</f>
        <v>600</v>
      </c>
      <c r="AT349" s="1293">
        <f>AR351</f>
        <v>600</v>
      </c>
      <c r="AU349" s="1293">
        <f>AT351</f>
        <v>600</v>
      </c>
      <c r="AV349" s="1293">
        <f>AU351</f>
        <v>609.1</v>
      </c>
      <c r="AW349" s="1293">
        <f>AV351</f>
        <v>211.70000000000005</v>
      </c>
      <c r="AX349" s="1294">
        <f>AS351</f>
        <v>600</v>
      </c>
      <c r="AY349" s="1293">
        <f>AW351</f>
        <v>15.800000000000068</v>
      </c>
      <c r="AZ349" s="1293">
        <f>AY351</f>
        <v>21.100000000000069</v>
      </c>
      <c r="BA349" s="1293">
        <f>AZ351</f>
        <v>19.100000000000069</v>
      </c>
      <c r="BB349" s="1293">
        <f>BA351</f>
        <v>18.800000000000068</v>
      </c>
      <c r="BC349" s="1303">
        <f>AX351</f>
        <v>15.800000000000068</v>
      </c>
      <c r="BD349" s="1293">
        <f>BB351</f>
        <v>6.7501559897209518E-14</v>
      </c>
      <c r="BE349" s="1293">
        <f>BD351</f>
        <v>26.900000000000066</v>
      </c>
      <c r="BF349" s="1293">
        <f>BE351</f>
        <v>31.900000000000066</v>
      </c>
      <c r="BG349" s="1293">
        <f>BF351</f>
        <v>36.4</v>
      </c>
      <c r="BH349" s="1294">
        <f>BC351</f>
        <v>6.7501559897209518E-14</v>
      </c>
      <c r="BI349" s="1293">
        <f>BG351</f>
        <v>36.4</v>
      </c>
      <c r="BJ349" s="1293">
        <f>BI351</f>
        <v>36.4</v>
      </c>
      <c r="BK349" s="1293">
        <f>BJ351</f>
        <v>600</v>
      </c>
      <c r="BL349" s="1293">
        <f>BK351</f>
        <v>600</v>
      </c>
      <c r="BM349" s="1303">
        <f>BH351</f>
        <v>36.4</v>
      </c>
      <c r="BN349" s="1293">
        <v>0</v>
      </c>
      <c r="BO349" s="1293">
        <f>BN351</f>
        <v>0</v>
      </c>
      <c r="BP349" s="1293">
        <f>BO351</f>
        <v>0</v>
      </c>
      <c r="BQ349" s="1293">
        <f>BP351</f>
        <v>0</v>
      </c>
      <c r="BR349" s="1304">
        <f>BM351</f>
        <v>600</v>
      </c>
      <c r="BS349" s="1293">
        <f>BQ351</f>
        <v>0</v>
      </c>
      <c r="BT349" s="1293">
        <f>BS351</f>
        <v>0</v>
      </c>
      <c r="BU349" s="1293">
        <f>BT351</f>
        <v>0</v>
      </c>
      <c r="BV349" s="1293">
        <f>BU351</f>
        <v>0</v>
      </c>
      <c r="BW349" s="1304">
        <f>BR351</f>
        <v>0</v>
      </c>
      <c r="BX349" s="1293">
        <f>BV351</f>
        <v>0</v>
      </c>
      <c r="BY349" s="1293">
        <f>BX351</f>
        <v>0</v>
      </c>
      <c r="BZ349" s="1293">
        <f>BY351</f>
        <v>0</v>
      </c>
      <c r="CA349" s="1293">
        <f>BZ351</f>
        <v>0</v>
      </c>
      <c r="CB349" s="1304">
        <f>BW351</f>
        <v>0</v>
      </c>
      <c r="CC349" s="1293">
        <f>CA351</f>
        <v>0</v>
      </c>
      <c r="CD349" s="1293">
        <f>CC351</f>
        <v>0</v>
      </c>
      <c r="CE349" s="1293">
        <f>CD351</f>
        <v>0</v>
      </c>
      <c r="CF349" s="1293">
        <f>CE351</f>
        <v>0</v>
      </c>
      <c r="CG349" s="1304">
        <f>CB351</f>
        <v>0</v>
      </c>
      <c r="CH349" s="1293">
        <f>CF351</f>
        <v>0</v>
      </c>
      <c r="CI349" s="1293">
        <f>CH351</f>
        <v>0</v>
      </c>
      <c r="CJ349" s="1293">
        <f>CI351</f>
        <v>0</v>
      </c>
      <c r="CK349" s="1293">
        <f>CJ351</f>
        <v>0</v>
      </c>
      <c r="CL349" s="1304">
        <f>CG351</f>
        <v>0</v>
      </c>
      <c r="CM349" s="1293">
        <f>CK351</f>
        <v>0</v>
      </c>
      <c r="CN349" s="1293">
        <f>CM351</f>
        <v>0</v>
      </c>
      <c r="CO349" s="1293">
        <f>CN351</f>
        <v>0</v>
      </c>
      <c r="CP349" s="1293">
        <f>CO351</f>
        <v>0</v>
      </c>
      <c r="CQ349" s="1304">
        <f>CL351</f>
        <v>0</v>
      </c>
      <c r="CR349" s="1293">
        <f>CP351</f>
        <v>0</v>
      </c>
      <c r="CS349" s="1293">
        <f>CR351</f>
        <v>0</v>
      </c>
      <c r="CT349" s="1293">
        <f>CS351</f>
        <v>0</v>
      </c>
      <c r="CU349" s="1293">
        <f>CT351</f>
        <v>0</v>
      </c>
      <c r="CV349" s="1304">
        <f>CQ351</f>
        <v>0</v>
      </c>
      <c r="CW349" s="1293">
        <f>CU351</f>
        <v>0</v>
      </c>
      <c r="CX349" s="1293">
        <f>CW351</f>
        <v>0</v>
      </c>
      <c r="CY349" s="1293">
        <f>CX351</f>
        <v>0</v>
      </c>
      <c r="CZ349" s="1293">
        <f>CY351</f>
        <v>0</v>
      </c>
      <c r="DA349" s="1304">
        <f>CV351</f>
        <v>0</v>
      </c>
      <c r="DB349" s="1293">
        <f>CZ351</f>
        <v>0</v>
      </c>
      <c r="DC349" s="1293">
        <f>DB351</f>
        <v>0</v>
      </c>
      <c r="DD349" s="1293">
        <f>DC351</f>
        <v>0</v>
      </c>
      <c r="DE349" s="1293">
        <f>DD351</f>
        <v>0</v>
      </c>
      <c r="DF349" s="1304">
        <f>DA351</f>
        <v>0</v>
      </c>
    </row>
    <row r="350" spans="1:110" s="1289" customFormat="1" ht="12.75" x14ac:dyDescent="0.2">
      <c r="A350" s="1273"/>
      <c r="B350" s="1290" t="s">
        <v>199</v>
      </c>
      <c r="C350" s="1298"/>
      <c r="D350" s="1298"/>
      <c r="E350" s="1298">
        <v>0.08</v>
      </c>
      <c r="F350" s="1298"/>
      <c r="G350" s="1298"/>
      <c r="H350" s="1298"/>
      <c r="I350" s="1298"/>
      <c r="J350" s="1298"/>
      <c r="K350" s="1298"/>
      <c r="L350" s="1298"/>
      <c r="M350" s="1298"/>
      <c r="N350" s="1298"/>
      <c r="O350" s="1298"/>
      <c r="P350" s="1298"/>
      <c r="Q350" s="1298"/>
      <c r="R350" s="1298"/>
      <c r="S350" s="1305"/>
      <c r="T350" s="1306"/>
      <c r="U350" s="1305">
        <v>10</v>
      </c>
      <c r="V350" s="1305">
        <v>20</v>
      </c>
      <c r="W350" s="1305"/>
      <c r="X350" s="1305"/>
      <c r="Y350" s="1306">
        <f>X350</f>
        <v>0</v>
      </c>
      <c r="Z350" s="1350"/>
      <c r="AA350" s="1350"/>
      <c r="AB350" s="1350"/>
      <c r="AC350" s="1307">
        <v>350</v>
      </c>
      <c r="AD350" s="1351">
        <f>SUM(Z350:AC350)</f>
        <v>350</v>
      </c>
      <c r="AE350" s="1307"/>
      <c r="AF350" s="1307">
        <f>AF351-AF349</f>
        <v>-3.8000000000000114</v>
      </c>
      <c r="AG350" s="1307">
        <v>75.400000000000006</v>
      </c>
      <c r="AH350" s="1307">
        <f>75.3+325-AH349</f>
        <v>-121.30000000000001</v>
      </c>
      <c r="AI350" s="1306">
        <f>SUM(AE350:AH350)</f>
        <v>-49.700000000000017</v>
      </c>
      <c r="AJ350" s="1307">
        <v>275</v>
      </c>
      <c r="AK350" s="1307">
        <v>-75.3</v>
      </c>
      <c r="AL350" s="1305"/>
      <c r="AM350" s="1305"/>
      <c r="AN350" s="1306">
        <f>SUM(AJ350:AM350)</f>
        <v>199.7</v>
      </c>
      <c r="AO350" s="1350"/>
      <c r="AP350" s="1305"/>
      <c r="AQ350" s="1305"/>
      <c r="AR350" s="1350"/>
      <c r="AS350" s="1308">
        <v>0</v>
      </c>
      <c r="AT350" s="1350">
        <v>0</v>
      </c>
      <c r="AU350" s="1307">
        <v>9.1</v>
      </c>
      <c r="AV350" s="1307">
        <f>-400+2.6</f>
        <v>-397.4</v>
      </c>
      <c r="AW350" s="1305">
        <f>-211.7+15.8</f>
        <v>-195.89999999999998</v>
      </c>
      <c r="AX350" s="1306">
        <f>SUM(AT350:AW350)</f>
        <v>-584.19999999999993</v>
      </c>
      <c r="AY350" s="1307">
        <v>5.3</v>
      </c>
      <c r="AZ350" s="1307">
        <v>-2</v>
      </c>
      <c r="BA350" s="1307">
        <v>-0.3</v>
      </c>
      <c r="BB350" s="1307">
        <v>-18.8</v>
      </c>
      <c r="BC350" s="1308">
        <f>SUM(AY350:BB350)</f>
        <v>-15.8</v>
      </c>
      <c r="BD350" s="1307">
        <v>26.9</v>
      </c>
      <c r="BE350" s="1307">
        <v>5</v>
      </c>
      <c r="BF350" s="1307">
        <f>36.4-BF349</f>
        <v>4.4999999999999325</v>
      </c>
      <c r="BG350" s="1307"/>
      <c r="BH350" s="1306">
        <f>SUM(BD350:BG350)</f>
        <v>36.399999999999935</v>
      </c>
      <c r="BI350" s="1307">
        <v>0</v>
      </c>
      <c r="BJ350" s="1307">
        <f>600-BJ349</f>
        <v>563.6</v>
      </c>
      <c r="BK350" s="1307">
        <v>0</v>
      </c>
      <c r="BL350" s="1307">
        <v>0</v>
      </c>
      <c r="BM350" s="1308">
        <f>SUM(BI350:BL350)</f>
        <v>563.6</v>
      </c>
      <c r="BN350" s="1350"/>
      <c r="BO350" s="1305"/>
      <c r="BP350" s="1305"/>
      <c r="BQ350" s="1305"/>
      <c r="BR350" s="1309">
        <f>SUM(BN350:BQ350)</f>
        <v>0</v>
      </c>
      <c r="BS350" s="1350"/>
      <c r="BT350" s="1305"/>
      <c r="BU350" s="1305"/>
      <c r="BV350" s="1305"/>
      <c r="BW350" s="1309">
        <f>SUM(BS350:BV350)</f>
        <v>0</v>
      </c>
      <c r="BX350" s="1350"/>
      <c r="BY350" s="1305"/>
      <c r="BZ350" s="1305"/>
      <c r="CA350" s="1305"/>
      <c r="CB350" s="1309">
        <f>SUM(BX350:CA350)</f>
        <v>0</v>
      </c>
      <c r="CC350" s="1350"/>
      <c r="CD350" s="1305"/>
      <c r="CE350" s="1305"/>
      <c r="CF350" s="1305"/>
      <c r="CG350" s="1309">
        <f>SUM(CC350:CF350)</f>
        <v>0</v>
      </c>
      <c r="CH350" s="1350"/>
      <c r="CI350" s="1305"/>
      <c r="CJ350" s="1305"/>
      <c r="CK350" s="1305"/>
      <c r="CL350" s="1309">
        <f>SUM(CH350:CK350)</f>
        <v>0</v>
      </c>
      <c r="CM350" s="1350"/>
      <c r="CN350" s="1305"/>
      <c r="CO350" s="1305"/>
      <c r="CP350" s="1305"/>
      <c r="CQ350" s="1309">
        <f>SUM(CM350:CP350)</f>
        <v>0</v>
      </c>
      <c r="CR350" s="1350"/>
      <c r="CS350" s="1305"/>
      <c r="CT350" s="1305"/>
      <c r="CU350" s="1305"/>
      <c r="CV350" s="1309">
        <f>SUM(CR350:CU350)</f>
        <v>0</v>
      </c>
      <c r="CW350" s="1350"/>
      <c r="CX350" s="1305"/>
      <c r="CY350" s="1305"/>
      <c r="CZ350" s="1305"/>
      <c r="DA350" s="1309">
        <f>SUM(CW350:CZ350)</f>
        <v>0</v>
      </c>
      <c r="DB350" s="1350"/>
      <c r="DC350" s="1305"/>
      <c r="DD350" s="1305"/>
      <c r="DE350" s="1305"/>
      <c r="DF350" s="1309">
        <f>SUM(DB350:DE350)</f>
        <v>0</v>
      </c>
    </row>
    <row r="351" spans="1:110" s="1289" customFormat="1" ht="12.75" x14ac:dyDescent="0.2">
      <c r="A351" s="1273"/>
      <c r="B351" s="1290" t="s">
        <v>200</v>
      </c>
      <c r="C351" s="1298"/>
      <c r="D351" s="1298"/>
      <c r="E351" s="1298">
        <v>0.1</v>
      </c>
      <c r="F351" s="1298"/>
      <c r="G351" s="1298"/>
      <c r="H351" s="1298"/>
      <c r="I351" s="1298"/>
      <c r="J351" s="1298"/>
      <c r="K351" s="1298"/>
      <c r="L351" s="1298"/>
      <c r="M351" s="1298"/>
      <c r="N351" s="1298"/>
      <c r="O351" s="1298"/>
      <c r="P351" s="1298"/>
      <c r="Q351" s="1298"/>
      <c r="R351" s="1298"/>
      <c r="S351" s="1293">
        <v>50</v>
      </c>
      <c r="T351" s="1293">
        <f>+S351</f>
        <v>50</v>
      </c>
      <c r="U351" s="1293">
        <f t="shared" ref="U351:AB351" si="546">U349+U350</f>
        <v>60</v>
      </c>
      <c r="V351" s="1293">
        <f t="shared" si="546"/>
        <v>80</v>
      </c>
      <c r="W351" s="1293">
        <f t="shared" si="546"/>
        <v>80</v>
      </c>
      <c r="X351" s="1293">
        <f t="shared" si="546"/>
        <v>100</v>
      </c>
      <c r="Y351" s="1294">
        <f t="shared" si="546"/>
        <v>100</v>
      </c>
      <c r="Z351" s="1293">
        <f t="shared" si="546"/>
        <v>100</v>
      </c>
      <c r="AA351" s="1293">
        <f t="shared" si="546"/>
        <v>100</v>
      </c>
      <c r="AB351" s="1293">
        <f t="shared" si="546"/>
        <v>100</v>
      </c>
      <c r="AC351" s="1293">
        <f>SUM(AC349:AC350)</f>
        <v>450</v>
      </c>
      <c r="AD351" s="1294">
        <f>AD349+AD350</f>
        <v>450</v>
      </c>
      <c r="AE351" s="1293">
        <v>450</v>
      </c>
      <c r="AF351" s="1293">
        <v>446.2</v>
      </c>
      <c r="AG351" s="1293">
        <f>AG350+AG349</f>
        <v>521.6</v>
      </c>
      <c r="AH351" s="1293">
        <f>AH350+AH349</f>
        <v>400.3</v>
      </c>
      <c r="AI351" s="1294">
        <f>AH351</f>
        <v>400.3</v>
      </c>
      <c r="AJ351" s="1293">
        <f>AJ350+AJ349</f>
        <v>675.3</v>
      </c>
      <c r="AK351" s="1293">
        <f>AK350+AK349</f>
        <v>600</v>
      </c>
      <c r="AL351" s="1293">
        <f>AL350+AL349</f>
        <v>600</v>
      </c>
      <c r="AM351" s="1293">
        <f>AM350+AM349</f>
        <v>600</v>
      </c>
      <c r="AN351" s="1294">
        <f>AM351</f>
        <v>600</v>
      </c>
      <c r="AO351" s="1293">
        <f>AO350+AO349</f>
        <v>600</v>
      </c>
      <c r="AP351" s="1293">
        <f>AP350+AP349</f>
        <v>600</v>
      </c>
      <c r="AQ351" s="1293">
        <f>AQ350+AQ349</f>
        <v>600</v>
      </c>
      <c r="AR351" s="1293">
        <f>AR350+AR349</f>
        <v>600</v>
      </c>
      <c r="AS351" s="1303">
        <f>AR351</f>
        <v>600</v>
      </c>
      <c r="AT351" s="1293">
        <f>AT350+AT349</f>
        <v>600</v>
      </c>
      <c r="AU351" s="1293">
        <f>AU350+AU349</f>
        <v>609.1</v>
      </c>
      <c r="AV351" s="1293">
        <f>AV350+AV349</f>
        <v>211.70000000000005</v>
      </c>
      <c r="AW351" s="1293">
        <f>AW350+AW349</f>
        <v>15.800000000000068</v>
      </c>
      <c r="AX351" s="1294">
        <f>AW351</f>
        <v>15.800000000000068</v>
      </c>
      <c r="AY351" s="1293">
        <f>AY350+AY349</f>
        <v>21.100000000000069</v>
      </c>
      <c r="AZ351" s="1293">
        <f>AZ350+AZ349</f>
        <v>19.100000000000069</v>
      </c>
      <c r="BA351" s="1293">
        <f>BA350+BA349</f>
        <v>18.800000000000068</v>
      </c>
      <c r="BB351" s="1293">
        <f>BB350+BB349</f>
        <v>6.7501559897209518E-14</v>
      </c>
      <c r="BC351" s="1303">
        <f>BB351</f>
        <v>6.7501559897209518E-14</v>
      </c>
      <c r="BD351" s="1293">
        <f>BD350+BD349</f>
        <v>26.900000000000066</v>
      </c>
      <c r="BE351" s="1293">
        <f>BE350+BE349</f>
        <v>31.900000000000066</v>
      </c>
      <c r="BF351" s="1293">
        <f>BF350+BF349</f>
        <v>36.4</v>
      </c>
      <c r="BG351" s="1293">
        <f>BG350+BG349</f>
        <v>36.4</v>
      </c>
      <c r="BH351" s="1294">
        <f>BG351</f>
        <v>36.4</v>
      </c>
      <c r="BI351" s="1293">
        <f>BI350+BI349</f>
        <v>36.4</v>
      </c>
      <c r="BJ351" s="1293">
        <f>BJ350+BJ349</f>
        <v>600</v>
      </c>
      <c r="BK351" s="1293">
        <f>BK350+BK349</f>
        <v>600</v>
      </c>
      <c r="BL351" s="1293">
        <f>BL350+BL349</f>
        <v>600</v>
      </c>
      <c r="BM351" s="1303">
        <f>BL351</f>
        <v>600</v>
      </c>
      <c r="BN351" s="1293">
        <f>BN350+BN349</f>
        <v>0</v>
      </c>
      <c r="BO351" s="1293">
        <f>BO350+BO349</f>
        <v>0</v>
      </c>
      <c r="BP351" s="1293">
        <f>BP350+BP349</f>
        <v>0</v>
      </c>
      <c r="BQ351" s="1293">
        <f>BQ350+BQ349</f>
        <v>0</v>
      </c>
      <c r="BR351" s="1304">
        <f>BQ351</f>
        <v>0</v>
      </c>
      <c r="BS351" s="1293">
        <f>BS350+BS349</f>
        <v>0</v>
      </c>
      <c r="BT351" s="1293">
        <f>BT350+BT349</f>
        <v>0</v>
      </c>
      <c r="BU351" s="1293">
        <f>BU350+BU349</f>
        <v>0</v>
      </c>
      <c r="BV351" s="1293">
        <f>BV350+BV349</f>
        <v>0</v>
      </c>
      <c r="BW351" s="1304">
        <f>BV351</f>
        <v>0</v>
      </c>
      <c r="BX351" s="1293">
        <f>BX350+BX349</f>
        <v>0</v>
      </c>
      <c r="BY351" s="1293">
        <f>BY350+BY349</f>
        <v>0</v>
      </c>
      <c r="BZ351" s="1293">
        <f>BZ350+BZ349</f>
        <v>0</v>
      </c>
      <c r="CA351" s="1293">
        <f>CA350+CA349</f>
        <v>0</v>
      </c>
      <c r="CB351" s="1304">
        <f>CA351</f>
        <v>0</v>
      </c>
      <c r="CC351" s="1293">
        <f>CC350+CC349</f>
        <v>0</v>
      </c>
      <c r="CD351" s="1293">
        <f>CD350+CD349</f>
        <v>0</v>
      </c>
      <c r="CE351" s="1293">
        <f>CE350+CE349</f>
        <v>0</v>
      </c>
      <c r="CF351" s="1293">
        <f>CF350+CF349</f>
        <v>0</v>
      </c>
      <c r="CG351" s="1304">
        <f>CF351</f>
        <v>0</v>
      </c>
      <c r="CH351" s="1293">
        <f>CH350+CH349</f>
        <v>0</v>
      </c>
      <c r="CI351" s="1293">
        <f>CI350+CI349</f>
        <v>0</v>
      </c>
      <c r="CJ351" s="1293">
        <f>CJ350+CJ349</f>
        <v>0</v>
      </c>
      <c r="CK351" s="1293">
        <f>CK350+CK349</f>
        <v>0</v>
      </c>
      <c r="CL351" s="1304">
        <f>CK351</f>
        <v>0</v>
      </c>
      <c r="CM351" s="1293">
        <f>CM350+CM349</f>
        <v>0</v>
      </c>
      <c r="CN351" s="1293">
        <f>CN350+CN349</f>
        <v>0</v>
      </c>
      <c r="CO351" s="1293">
        <f>CO350+CO349</f>
        <v>0</v>
      </c>
      <c r="CP351" s="1293">
        <f>CP350+CP349</f>
        <v>0</v>
      </c>
      <c r="CQ351" s="1304">
        <f>CP351</f>
        <v>0</v>
      </c>
      <c r="CR351" s="1293">
        <f>CR350+CR349</f>
        <v>0</v>
      </c>
      <c r="CS351" s="1293">
        <f>CS350+CS349</f>
        <v>0</v>
      </c>
      <c r="CT351" s="1293">
        <f>CT350+CT349</f>
        <v>0</v>
      </c>
      <c r="CU351" s="1293">
        <f>CU350+CU349</f>
        <v>0</v>
      </c>
      <c r="CV351" s="1304">
        <f>CU351</f>
        <v>0</v>
      </c>
      <c r="CW351" s="1293">
        <f>CW350+CW349</f>
        <v>0</v>
      </c>
      <c r="CX351" s="1293">
        <f>CX350+CX349</f>
        <v>0</v>
      </c>
      <c r="CY351" s="1293">
        <f>CY350+CY349</f>
        <v>0</v>
      </c>
      <c r="CZ351" s="1293">
        <f>CZ350+CZ349</f>
        <v>0</v>
      </c>
      <c r="DA351" s="1304">
        <f>CZ351</f>
        <v>0</v>
      </c>
      <c r="DB351" s="1293">
        <f>DB350+DB349</f>
        <v>0</v>
      </c>
      <c r="DC351" s="1293">
        <f>DC350+DC349</f>
        <v>0</v>
      </c>
      <c r="DD351" s="1293">
        <f>DD350+DD349</f>
        <v>0</v>
      </c>
      <c r="DE351" s="1293">
        <f>DE350+DE349</f>
        <v>0</v>
      </c>
      <c r="DF351" s="1304">
        <f>DE351</f>
        <v>0</v>
      </c>
    </row>
    <row r="352" spans="1:110" s="1289" customFormat="1" ht="13.5" thickBot="1" x14ac:dyDescent="0.25">
      <c r="A352" s="1273"/>
      <c r="B352" s="1310" t="s">
        <v>147</v>
      </c>
      <c r="C352" s="1311"/>
      <c r="D352" s="1311"/>
      <c r="E352" s="1311"/>
      <c r="F352" s="1311"/>
      <c r="G352" s="1311"/>
      <c r="H352" s="1311"/>
      <c r="I352" s="1311"/>
      <c r="J352" s="1311"/>
      <c r="K352" s="1311"/>
      <c r="L352" s="1311"/>
      <c r="M352" s="1311"/>
      <c r="N352" s="1311"/>
      <c r="O352" s="1311"/>
      <c r="P352" s="1311"/>
      <c r="Q352" s="1311"/>
      <c r="R352" s="1311"/>
      <c r="S352" s="1312"/>
      <c r="T352" s="1313"/>
      <c r="U352" s="1312">
        <f>-(AVERAGE(U351,U349))*($C348/4)</f>
        <v>-0.6875</v>
      </c>
      <c r="V352" s="1312">
        <f>-(AVERAGE(V351,V349))*($C348/4)</f>
        <v>-0.875</v>
      </c>
      <c r="W352" s="1312">
        <f>-(AVERAGE(W351,W349))*($C348/4)</f>
        <v>-1</v>
      </c>
      <c r="X352" s="1312">
        <f>-(AVERAGE(X351,X349))*($C348/4)</f>
        <v>-1.25</v>
      </c>
      <c r="Y352" s="1313">
        <f>SUM(U352:X352)</f>
        <v>-3.8125</v>
      </c>
      <c r="Z352" s="1312">
        <f>-(AVERAGE(Z351,Z349))*($C348/4)</f>
        <v>-1.25</v>
      </c>
      <c r="AA352" s="1312">
        <f>-(AVERAGE(AA351,AA349))*($C348/4)</f>
        <v>-1.25</v>
      </c>
      <c r="AB352" s="1312">
        <f>-(AVERAGE(AB351,AB349))*($C348/4)</f>
        <v>-1.25</v>
      </c>
      <c r="AC352" s="1312">
        <f>-(AVERAGE(AC351,AC349))*($C348/4)</f>
        <v>-3.4375</v>
      </c>
      <c r="AD352" s="1313">
        <f>SUM(Z352:AC352)</f>
        <v>-7.1875</v>
      </c>
      <c r="AE352" s="1312">
        <f>-(AVERAGE(AE351,AE349))*($C348/4)</f>
        <v>-5.625</v>
      </c>
      <c r="AF352" s="1312">
        <f>-(AVERAGE(AF351,AF349))*($C348/4)</f>
        <v>-5.6012500000000003</v>
      </c>
      <c r="AG352" s="1312">
        <f>-(AVERAGE(AG351,AG349))*($C348/4)</f>
        <v>-6.0487500000000001</v>
      </c>
      <c r="AH352" s="1312">
        <f>-(AVERAGE(AH351,AH349))*($C348/4)</f>
        <v>-5.7618750000000007</v>
      </c>
      <c r="AI352" s="1313">
        <f>SUM(AE352:AH352)</f>
        <v>-23.036874999999998</v>
      </c>
      <c r="AJ352" s="1312">
        <f>-(AVERAGE(AJ351,AJ349))*($C348/4)</f>
        <v>-6.7225000000000001</v>
      </c>
      <c r="AK352" s="1312">
        <f>-(AVERAGE(AK351,AK349))*($C348/4)</f>
        <v>-7.9706250000000001</v>
      </c>
      <c r="AL352" s="1312">
        <f>-(AVERAGE(AL351,AL349))*($AL348/4)</f>
        <v>-8.625</v>
      </c>
      <c r="AM352" s="1312">
        <f>-(AVERAGE(AM351,AM349))*($AM348/4)</f>
        <v>-8.2349999999999994</v>
      </c>
      <c r="AN352" s="1313">
        <f>SUM(AJ352:AM352)</f>
        <v>-31.553125000000001</v>
      </c>
      <c r="AO352" s="1312">
        <f>-(AVERAGE(AO351,AO349))*(AO348/4)</f>
        <v>-8.2349999999999994</v>
      </c>
      <c r="AP352" s="1312">
        <f>-(AVERAGE(AP351,AP349))*(AP348/4)</f>
        <v>-8.2349999999999994</v>
      </c>
      <c r="AQ352" s="1312">
        <f>-(AVERAGE(AQ351,AQ349))*(AQ348/4)</f>
        <v>-8.2349999999999994</v>
      </c>
      <c r="AR352" s="1312">
        <f>-(AVERAGE(AR351,AR349))*(AR348/4)</f>
        <v>-8.2349999999999994</v>
      </c>
      <c r="AS352" s="1315">
        <f>SUM(AO352:AR352)</f>
        <v>-32.94</v>
      </c>
      <c r="AT352" s="1312">
        <f>-(AVERAGE(AT351,AT349))*(AT348/4)</f>
        <v>-8.2349999999999994</v>
      </c>
      <c r="AU352" s="1312">
        <f>-(AVERAGE(AU351,AU349))*(AU348/4)</f>
        <v>-8.2974487499999992</v>
      </c>
      <c r="AV352" s="1312">
        <f>-(AVERAGE(AV351,AV349))*(AV348/4)</f>
        <v>-5.6327400000000001</v>
      </c>
      <c r="AW352" s="1312">
        <f>-(AVERAGE(AW351,AW349))*(AW348/4)</f>
        <v>-1.5612187500000008</v>
      </c>
      <c r="AX352" s="1313">
        <f>SUM(AT352:AW352)</f>
        <v>-23.726407500000001</v>
      </c>
      <c r="AY352" s="1312">
        <f>-(AVERAGE(AY351,AY349))*(AY348/4)</f>
        <v>-0.25322625000000093</v>
      </c>
      <c r="AZ352" s="1312">
        <f>-(AVERAGE(AZ351,AZ349))*(AZ348/4)</f>
        <v>-0.27587250000000091</v>
      </c>
      <c r="BA352" s="1312">
        <f>-(AVERAGE(BA351,BA349))*(BA348/4)</f>
        <v>-0.26008875000000092</v>
      </c>
      <c r="BB352" s="1312">
        <f>-(AVERAGE(BB351,BB349))*(BB348/4)</f>
        <v>-0.12901500000000093</v>
      </c>
      <c r="BC352" s="1315">
        <f>SUM(AY352:BB352)</f>
        <v>-0.91820250000000381</v>
      </c>
      <c r="BD352" s="1312">
        <f>-(AVERAGE(BD351,BD349))*(BD348/4)</f>
        <v>-0.18460125000000091</v>
      </c>
      <c r="BE352" s="1312">
        <f>-(AVERAGE(BE351,BE349))*(BE348/4)</f>
        <v>-0.4035150000000009</v>
      </c>
      <c r="BF352" s="1312">
        <f>-(AVERAGE(BF351,BF349))*(BF348/4)</f>
        <v>-0.46870875000000045</v>
      </c>
      <c r="BG352" s="1312">
        <f>-(AVERAGE(BG351,BG349))*(BG348/4)</f>
        <v>-0.49958999999999998</v>
      </c>
      <c r="BH352" s="1313">
        <f>SUM(BD352:BG352)</f>
        <v>-1.5564150000000021</v>
      </c>
      <c r="BI352" s="1312"/>
      <c r="BJ352" s="1312">
        <f>-(AVERAGE(BJ351,BJ351))*(BJ348/4)</f>
        <v>-3</v>
      </c>
      <c r="BK352" s="1312">
        <f>-(AVERAGE(BK351,BK349))*(BK348/4)</f>
        <v>-1.5</v>
      </c>
      <c r="BL352" s="1312">
        <f>-(AVERAGE(BL351,BL349))*(BL348/4)</f>
        <v>-1.5</v>
      </c>
      <c r="BM352" s="1315">
        <f>SUM(BI352:BL352)</f>
        <v>-6</v>
      </c>
      <c r="BN352" s="1312">
        <f>-(AVERAGE(BN351,BN349))*(BN348/4)</f>
        <v>0</v>
      </c>
      <c r="BO352" s="1312">
        <f>-(AVERAGE(BO351,BO349))*(BO348/4)</f>
        <v>0</v>
      </c>
      <c r="BP352" s="1312">
        <f>-(AVERAGE(BP351,BP349))*(BP348/4)</f>
        <v>0</v>
      </c>
      <c r="BQ352" s="1312">
        <f>-(AVERAGE(BQ351,BQ349))*(BQ348/4)</f>
        <v>0</v>
      </c>
      <c r="BR352" s="1314">
        <f>SUM(BN352:BQ352)</f>
        <v>0</v>
      </c>
      <c r="BS352" s="1312">
        <f>-(AVERAGE(BS351,BS349))*(BS348/4)</f>
        <v>0</v>
      </c>
      <c r="BT352" s="1312">
        <f>-(AVERAGE(BT351,BT349))*(BT348/4)</f>
        <v>0</v>
      </c>
      <c r="BU352" s="1312">
        <f>-(AVERAGE(BU351,BU349))*(BU348/4)</f>
        <v>0</v>
      </c>
      <c r="BV352" s="1312">
        <f>-(AVERAGE(BV351,BV349))*(BV348/4)</f>
        <v>0</v>
      </c>
      <c r="BW352" s="1314">
        <f>SUM(BS352:BV352)</f>
        <v>0</v>
      </c>
      <c r="BX352" s="1312">
        <f>-(AVERAGE(BX351,BX349))*(BX348/4)</f>
        <v>0</v>
      </c>
      <c r="BY352" s="1312">
        <f>-(AVERAGE(BY351,BY349))*(BY348/4)</f>
        <v>0</v>
      </c>
      <c r="BZ352" s="1312">
        <f>-(AVERAGE(BZ351,BZ349))*(BZ348/4)</f>
        <v>0</v>
      </c>
      <c r="CA352" s="1312">
        <f>-(AVERAGE(CA351,CA349))*(CA348/4)</f>
        <v>0</v>
      </c>
      <c r="CB352" s="1314">
        <f>SUM(BX352:CA352)</f>
        <v>0</v>
      </c>
      <c r="CC352" s="1312">
        <f>-(AVERAGE(CC351,CC349))*(CC348/4)</f>
        <v>0</v>
      </c>
      <c r="CD352" s="1312">
        <f>-(AVERAGE(CD351,CD349))*(CD348/4)</f>
        <v>0</v>
      </c>
      <c r="CE352" s="1312">
        <f>-(AVERAGE(CE351,CE349))*(CE348/4)</f>
        <v>0</v>
      </c>
      <c r="CF352" s="1312">
        <f>-(AVERAGE(CF351,CF349))*(CF348/4)</f>
        <v>0</v>
      </c>
      <c r="CG352" s="1314">
        <f>SUM(CC352:CF352)</f>
        <v>0</v>
      </c>
      <c r="CH352" s="1312">
        <f>-(AVERAGE(CH351,CH349))*(CH348/4)</f>
        <v>0</v>
      </c>
      <c r="CI352" s="1312">
        <f>-(AVERAGE(CI351,CI349))*(CI348/4)</f>
        <v>0</v>
      </c>
      <c r="CJ352" s="1312">
        <f>-(AVERAGE(CJ351,CJ349))*(CJ348/4)</f>
        <v>0</v>
      </c>
      <c r="CK352" s="1312">
        <f>-(AVERAGE(CK351,CK349))*(CK348/4)</f>
        <v>0</v>
      </c>
      <c r="CL352" s="1314">
        <f>SUM(CH352:CK352)</f>
        <v>0</v>
      </c>
      <c r="CM352" s="1312">
        <f>-(AVERAGE(CM351,CM349))*(CM348/4)</f>
        <v>0</v>
      </c>
      <c r="CN352" s="1312">
        <f>-(AVERAGE(CN351,CN349))*(CN348/4)</f>
        <v>0</v>
      </c>
      <c r="CO352" s="1312">
        <f>-(AVERAGE(CO351,CO349))*(CO348/4)</f>
        <v>0</v>
      </c>
      <c r="CP352" s="1312">
        <f>-(AVERAGE(CP351,CP349))*(CP348/4)</f>
        <v>0</v>
      </c>
      <c r="CQ352" s="1314">
        <f>SUM(CM352:CP352)</f>
        <v>0</v>
      </c>
      <c r="CR352" s="1312">
        <f>-(AVERAGE(CR351,CR349))*(CR348/4)</f>
        <v>0</v>
      </c>
      <c r="CS352" s="1312">
        <f>-(AVERAGE(CS351,CS349))*(CS348/4)</f>
        <v>0</v>
      </c>
      <c r="CT352" s="1312">
        <f>-(AVERAGE(CT351,CT349))*(CT348/4)</f>
        <v>0</v>
      </c>
      <c r="CU352" s="1312">
        <f>-(AVERAGE(CU351,CU349))*(CU348/4)</f>
        <v>0</v>
      </c>
      <c r="CV352" s="1314">
        <f>SUM(CR352:CU352)</f>
        <v>0</v>
      </c>
      <c r="CW352" s="1312">
        <f>-(AVERAGE(CW351,CW349))*(CW348/4)</f>
        <v>0</v>
      </c>
      <c r="CX352" s="1312">
        <f>-(AVERAGE(CX351,CX349))*(CX348/4)</f>
        <v>0</v>
      </c>
      <c r="CY352" s="1312">
        <f>-(AVERAGE(CY351,CY349))*(CY348/4)</f>
        <v>0</v>
      </c>
      <c r="CZ352" s="1312">
        <f>-(AVERAGE(CZ351,CZ349))*(CZ348/4)</f>
        <v>0</v>
      </c>
      <c r="DA352" s="1314">
        <f>SUM(CW352:CZ352)</f>
        <v>0</v>
      </c>
      <c r="DB352" s="1312">
        <f>-(AVERAGE(DB351,DB349))*(DB348/4)</f>
        <v>0</v>
      </c>
      <c r="DC352" s="1312">
        <f>-(AVERAGE(DC351,DC349))*(DC348/4)</f>
        <v>0</v>
      </c>
      <c r="DD352" s="1312">
        <f>-(AVERAGE(DD351,DD349))*(DD348/4)</f>
        <v>0</v>
      </c>
      <c r="DE352" s="1312">
        <f>-(AVERAGE(DE351,DE349))*(DE348/4)</f>
        <v>0</v>
      </c>
      <c r="DF352" s="1314">
        <f>SUM(DB352:DE352)</f>
        <v>0</v>
      </c>
    </row>
    <row r="353" spans="1:110" s="1273" customFormat="1" ht="13.5" thickBot="1" x14ac:dyDescent="0.25">
      <c r="C353" s="1298"/>
      <c r="D353" s="1298"/>
      <c r="E353" s="1298"/>
      <c r="F353" s="1298"/>
      <c r="G353" s="1298"/>
      <c r="H353" s="1298"/>
      <c r="I353" s="1298"/>
      <c r="J353" s="1298"/>
      <c r="K353" s="1298"/>
      <c r="L353" s="1298"/>
      <c r="M353" s="1298"/>
      <c r="N353" s="1298"/>
      <c r="O353" s="1298"/>
      <c r="P353" s="1298"/>
      <c r="Q353" s="1298"/>
      <c r="R353" s="1298"/>
      <c r="S353" s="1293"/>
      <c r="T353" s="1293"/>
      <c r="U353" s="1293"/>
      <c r="V353" s="1293"/>
      <c r="W353" s="1293"/>
      <c r="X353" s="1293"/>
      <c r="Y353" s="1293"/>
      <c r="Z353" s="1293"/>
      <c r="AA353" s="1293"/>
      <c r="AB353" s="1293"/>
      <c r="AC353" s="1293"/>
      <c r="AD353" s="1293"/>
      <c r="AE353" s="1293"/>
      <c r="AF353" s="1293"/>
      <c r="AG353" s="1293"/>
      <c r="AH353" s="1293"/>
      <c r="AI353" s="1293"/>
      <c r="AJ353" s="1293"/>
      <c r="AK353" s="1293"/>
      <c r="AL353" s="1293"/>
      <c r="AM353" s="1293"/>
      <c r="AN353" s="1293"/>
      <c r="AO353" s="1293"/>
      <c r="AP353" s="1293"/>
      <c r="AQ353" s="1293"/>
      <c r="AR353" s="1293"/>
      <c r="AS353" s="1293"/>
      <c r="AT353" s="1293"/>
      <c r="AU353" s="1293"/>
      <c r="AV353" s="1293"/>
      <c r="AW353" s="1293"/>
      <c r="AX353" s="1293"/>
      <c r="AY353" s="1293"/>
      <c r="AZ353" s="1293"/>
      <c r="BA353" s="1293"/>
      <c r="BB353" s="1293"/>
      <c r="BC353" s="1293"/>
      <c r="BD353" s="1293"/>
      <c r="BE353" s="1293"/>
      <c r="BF353" s="1293"/>
      <c r="BG353" s="1293"/>
      <c r="BH353" s="1293"/>
      <c r="BI353" s="1293"/>
      <c r="BJ353" s="1293"/>
      <c r="BK353" s="1293"/>
      <c r="BL353" s="1293"/>
      <c r="BM353" s="1293"/>
      <c r="BN353" s="1293"/>
      <c r="BO353" s="1293"/>
      <c r="BP353" s="1293"/>
      <c r="BQ353" s="1293"/>
      <c r="BR353" s="1293"/>
      <c r="BS353" s="1293"/>
      <c r="BT353" s="1293"/>
      <c r="BU353" s="1293"/>
      <c r="BV353" s="1293"/>
      <c r="BW353" s="1293"/>
      <c r="BX353" s="1293"/>
      <c r="BY353" s="1293"/>
      <c r="BZ353" s="1293"/>
      <c r="CA353" s="1293"/>
      <c r="CB353" s="1293"/>
      <c r="CC353" s="1293"/>
      <c r="CD353" s="1293"/>
      <c r="CE353" s="1293"/>
      <c r="CF353" s="1293"/>
      <c r="CG353" s="1293"/>
      <c r="CH353" s="1293"/>
      <c r="CI353" s="1293"/>
      <c r="CJ353" s="1293"/>
      <c r="CK353" s="1293"/>
      <c r="CL353" s="1293"/>
      <c r="CM353" s="1293"/>
      <c r="CN353" s="1293"/>
      <c r="CO353" s="1293"/>
      <c r="CP353" s="1293"/>
      <c r="CQ353" s="1293"/>
      <c r="CR353" s="1293"/>
      <c r="CS353" s="1293"/>
      <c r="CT353" s="1293"/>
      <c r="CU353" s="1293"/>
      <c r="CV353" s="1293"/>
      <c r="CW353" s="1293"/>
      <c r="CX353" s="1293"/>
      <c r="CY353" s="1293"/>
      <c r="CZ353" s="1293"/>
      <c r="DA353" s="1293"/>
      <c r="DB353" s="1293"/>
      <c r="DC353" s="1293"/>
      <c r="DD353" s="1293"/>
      <c r="DE353" s="1293"/>
      <c r="DF353" s="1293"/>
    </row>
    <row r="354" spans="1:110" s="1273" customFormat="1" ht="13.5" thickBot="1" x14ac:dyDescent="0.25">
      <c r="B354" s="1274" t="s">
        <v>632</v>
      </c>
      <c r="C354" s="1316"/>
      <c r="D354" s="1316"/>
      <c r="E354" s="1316"/>
      <c r="F354" s="1316"/>
      <c r="G354" s="1316"/>
      <c r="H354" s="1316"/>
      <c r="I354" s="1316"/>
      <c r="J354" s="1316"/>
      <c r="K354" s="1316"/>
      <c r="L354" s="1316"/>
      <c r="M354" s="1316"/>
      <c r="N354" s="1316"/>
      <c r="O354" s="1316"/>
      <c r="P354" s="1316"/>
      <c r="Q354" s="1316"/>
      <c r="R354" s="1316"/>
      <c r="S354" s="1317"/>
      <c r="T354" s="1317"/>
      <c r="U354" s="1317"/>
      <c r="V354" s="1317"/>
      <c r="W354" s="1317"/>
      <c r="X354" s="1317"/>
      <c r="Y354" s="1317"/>
      <c r="Z354" s="1345"/>
      <c r="AA354" s="1317"/>
      <c r="AB354" s="1317"/>
      <c r="AC354" s="1317"/>
      <c r="AD354" s="1317"/>
      <c r="AE354" s="1317"/>
      <c r="AF354" s="1317"/>
      <c r="AG354" s="1317"/>
      <c r="AH354" s="1317"/>
      <c r="AI354" s="1317"/>
      <c r="AJ354" s="1317"/>
      <c r="AK354" s="1317"/>
      <c r="AL354" s="1317"/>
      <c r="AM354" s="1317"/>
      <c r="AN354" s="1317"/>
      <c r="AO354" s="1317"/>
      <c r="AP354" s="1317"/>
      <c r="AQ354" s="1317"/>
      <c r="AR354" s="1317"/>
      <c r="AS354" s="1317"/>
      <c r="AT354" s="1317"/>
      <c r="AU354" s="1317"/>
      <c r="AV354" s="1346"/>
      <c r="AW354" s="1317"/>
      <c r="AX354" s="1317"/>
      <c r="AY354" s="1317"/>
      <c r="AZ354" s="1317"/>
      <c r="BA354" s="1317"/>
      <c r="BB354" s="1317"/>
      <c r="BC354" s="1317"/>
      <c r="BD354" s="1317"/>
      <c r="BE354" s="1317"/>
      <c r="BF354" s="1317"/>
      <c r="BG354" s="1317"/>
      <c r="BH354" s="1317"/>
      <c r="BI354" s="1317"/>
      <c r="BJ354" s="1317"/>
      <c r="BK354" s="1317"/>
      <c r="BL354" s="1317"/>
      <c r="BM354" s="1317"/>
      <c r="BN354" s="1317"/>
      <c r="BO354" s="1317"/>
      <c r="BP354" s="1317"/>
      <c r="BQ354" s="1317"/>
      <c r="BR354" s="1317"/>
      <c r="BS354" s="1317"/>
      <c r="BT354" s="1317"/>
      <c r="BU354" s="1317"/>
      <c r="BV354" s="1317"/>
      <c r="BW354" s="1317"/>
      <c r="BX354" s="1317"/>
      <c r="BY354" s="1317"/>
      <c r="BZ354" s="1317"/>
      <c r="CA354" s="1317"/>
      <c r="CB354" s="1318"/>
      <c r="CC354" s="1317"/>
      <c r="CD354" s="1317"/>
      <c r="CE354" s="1317"/>
      <c r="CF354" s="1317"/>
      <c r="CG354" s="1318"/>
      <c r="CH354" s="1317"/>
      <c r="CI354" s="1317"/>
      <c r="CJ354" s="1317"/>
      <c r="CK354" s="1317"/>
      <c r="CL354" s="1318"/>
      <c r="CM354" s="1317"/>
      <c r="CN354" s="1317"/>
      <c r="CO354" s="1317"/>
      <c r="CP354" s="1317"/>
      <c r="CQ354" s="1318"/>
      <c r="CR354" s="1317"/>
      <c r="CS354" s="1317"/>
      <c r="CT354" s="1317"/>
      <c r="CU354" s="1317"/>
      <c r="CV354" s="1318"/>
      <c r="CW354" s="1317"/>
      <c r="CX354" s="1317"/>
      <c r="CY354" s="1317"/>
      <c r="CZ354" s="1317"/>
      <c r="DA354" s="1318"/>
      <c r="DB354" s="1317"/>
      <c r="DC354" s="1317"/>
      <c r="DD354" s="1317"/>
      <c r="DE354" s="1317"/>
      <c r="DF354" s="1318"/>
    </row>
    <row r="355" spans="1:110" s="1289" customFormat="1" ht="12.75" x14ac:dyDescent="0.2">
      <c r="A355" s="1273"/>
      <c r="B355" s="1280" t="s">
        <v>327</v>
      </c>
      <c r="C355" s="1281">
        <v>0.04</v>
      </c>
      <c r="D355" s="1282"/>
      <c r="E355" s="1282"/>
      <c r="F355" s="1347">
        <v>0.12</v>
      </c>
      <c r="G355" s="1347">
        <v>0.14000000000000001</v>
      </c>
      <c r="H355" s="1347">
        <v>0.16</v>
      </c>
      <c r="I355" s="1282"/>
      <c r="J355" s="1282"/>
      <c r="K355" s="1282"/>
      <c r="L355" s="1282"/>
      <c r="M355" s="1282"/>
      <c r="N355" s="1282"/>
      <c r="O355" s="1282"/>
      <c r="P355" s="1282"/>
      <c r="Q355" s="1282"/>
      <c r="R355" s="1282"/>
      <c r="S355" s="1283"/>
      <c r="T355" s="1284"/>
      <c r="U355" s="1283"/>
      <c r="V355" s="1283"/>
      <c r="W355" s="1283"/>
      <c r="X355" s="1283"/>
      <c r="Y355" s="1284"/>
      <c r="Z355" s="1283"/>
      <c r="AA355" s="1283"/>
      <c r="AB355" s="1283"/>
      <c r="AC355" s="1283"/>
      <c r="AD355" s="1284"/>
      <c r="AE355" s="1283"/>
      <c r="AF355" s="1283"/>
      <c r="AG355" s="1283"/>
      <c r="AH355" s="1283"/>
      <c r="AI355" s="1284"/>
      <c r="AJ355" s="1283"/>
      <c r="AK355" s="1283"/>
      <c r="AL355" s="1348">
        <v>5.7500000000000002E-2</v>
      </c>
      <c r="AM355" s="1348">
        <v>5.4899999999999997E-2</v>
      </c>
      <c r="AN355" s="1284"/>
      <c r="AO355" s="1285"/>
      <c r="AP355" s="1285"/>
      <c r="AQ355" s="1285"/>
      <c r="AR355" s="1285"/>
      <c r="AS355" s="1287"/>
      <c r="AT355" s="1285"/>
      <c r="AU355" s="1285"/>
      <c r="AV355" s="1285"/>
      <c r="AW355" s="1285"/>
      <c r="AX355" s="1284"/>
      <c r="AY355" s="1285"/>
      <c r="AZ355" s="1285"/>
      <c r="BA355" s="1285"/>
      <c r="BB355" s="1285"/>
      <c r="BC355" s="1287"/>
      <c r="BD355" s="1285"/>
      <c r="BE355" s="1285"/>
      <c r="BF355" s="1285"/>
      <c r="BG355" s="1285"/>
      <c r="BH355" s="1284"/>
      <c r="BI355" s="1285"/>
      <c r="BJ355" s="1407">
        <v>2.1000000000000001E-2</v>
      </c>
      <c r="BK355" s="1407">
        <v>2.1999999999999999E-2</v>
      </c>
      <c r="BL355" s="1407">
        <v>0.01</v>
      </c>
      <c r="BM355" s="1287"/>
      <c r="BN355" s="1407">
        <v>1.9599999999999999E-2</v>
      </c>
      <c r="BO355" s="1286">
        <v>1.95E-2</v>
      </c>
      <c r="BP355" s="1407">
        <v>0.02</v>
      </c>
      <c r="BQ355" s="1407">
        <v>0.01</v>
      </c>
      <c r="BR355" s="1288"/>
      <c r="BS355" s="1407"/>
      <c r="BT355" s="1407"/>
      <c r="BU355" s="1407"/>
      <c r="BV355" s="1407"/>
      <c r="BW355" s="1288"/>
      <c r="BX355" s="1407"/>
      <c r="BY355" s="1407">
        <v>1.4500000000000001E-2</v>
      </c>
      <c r="BZ355" s="1407">
        <f>BY355</f>
        <v>1.4500000000000001E-2</v>
      </c>
      <c r="CA355" s="1407">
        <f>BZ355</f>
        <v>1.4500000000000001E-2</v>
      </c>
      <c r="CB355" s="1288"/>
      <c r="CC355" s="1407">
        <f>CA355</f>
        <v>1.4500000000000001E-2</v>
      </c>
      <c r="CD355" s="1407">
        <f>CC355</f>
        <v>1.4500000000000001E-2</v>
      </c>
      <c r="CE355" s="1407">
        <f>CD355</f>
        <v>1.4500000000000001E-2</v>
      </c>
      <c r="CF355" s="1407">
        <f>CE355</f>
        <v>1.4500000000000001E-2</v>
      </c>
      <c r="CG355" s="1288"/>
      <c r="CH355" s="1407">
        <v>0.02</v>
      </c>
      <c r="CI355" s="1407">
        <f>CH355</f>
        <v>0.02</v>
      </c>
      <c r="CJ355" s="1407">
        <f>CI355</f>
        <v>0.02</v>
      </c>
      <c r="CK355" s="1407">
        <f>CJ355</f>
        <v>0.02</v>
      </c>
      <c r="CL355" s="1288"/>
      <c r="CM355" s="1407">
        <f>CK355</f>
        <v>0.02</v>
      </c>
      <c r="CN355" s="1407">
        <f>CM355</f>
        <v>0.02</v>
      </c>
      <c r="CO355" s="1407">
        <f>CN355</f>
        <v>0.02</v>
      </c>
      <c r="CP355" s="1407">
        <f>CO355</f>
        <v>0.02</v>
      </c>
      <c r="CQ355" s="1288"/>
      <c r="CR355" s="1407">
        <f>CP355</f>
        <v>0.02</v>
      </c>
      <c r="CS355" s="1407">
        <f>CR355</f>
        <v>0.02</v>
      </c>
      <c r="CT355" s="1407">
        <f>CS355</f>
        <v>0.02</v>
      </c>
      <c r="CU355" s="1407">
        <f>CT355</f>
        <v>0.02</v>
      </c>
      <c r="CV355" s="1288"/>
      <c r="CW355" s="1407">
        <f>CU355</f>
        <v>0.02</v>
      </c>
      <c r="CX355" s="1407">
        <f>CW355</f>
        <v>0.02</v>
      </c>
      <c r="CY355" s="1407">
        <f>CX355</f>
        <v>0.02</v>
      </c>
      <c r="CZ355" s="1407">
        <f>CY355</f>
        <v>0.02</v>
      </c>
      <c r="DA355" s="1288"/>
      <c r="DB355" s="1407">
        <f>CZ355</f>
        <v>0.02</v>
      </c>
      <c r="DC355" s="1407">
        <f>DB355</f>
        <v>0.02</v>
      </c>
      <c r="DD355" s="1407">
        <f>DC355</f>
        <v>0.02</v>
      </c>
      <c r="DE355" s="1407">
        <f>DD355</f>
        <v>0.02</v>
      </c>
      <c r="DF355" s="1288"/>
    </row>
    <row r="356" spans="1:110" s="1289" customFormat="1" ht="12.75" x14ac:dyDescent="0.2">
      <c r="A356" s="1273"/>
      <c r="B356" s="1290" t="s">
        <v>198</v>
      </c>
      <c r="D356" s="1281"/>
      <c r="E356" s="1281">
        <v>0.06</v>
      </c>
      <c r="F356" s="1281"/>
      <c r="G356" s="1281"/>
      <c r="H356" s="1281"/>
      <c r="I356" s="1281"/>
      <c r="J356" s="1281"/>
      <c r="K356" s="1281"/>
      <c r="L356" s="1281"/>
      <c r="M356" s="1281"/>
      <c r="N356" s="1281"/>
      <c r="O356" s="1281"/>
      <c r="P356" s="1281"/>
      <c r="Q356" s="1281"/>
      <c r="R356" s="1281"/>
      <c r="S356" s="1293"/>
      <c r="T356" s="1294"/>
      <c r="U356" s="1293">
        <f>+T358</f>
        <v>50</v>
      </c>
      <c r="V356" s="1293">
        <f>+U358</f>
        <v>60</v>
      </c>
      <c r="W356" s="1293">
        <f>+V358</f>
        <v>80</v>
      </c>
      <c r="X356" s="1349">
        <v>100</v>
      </c>
      <c r="Y356" s="1294">
        <f>X356</f>
        <v>100</v>
      </c>
      <c r="Z356" s="1293">
        <f>+Y358</f>
        <v>100</v>
      </c>
      <c r="AA356" s="1293">
        <f>+Z358</f>
        <v>100</v>
      </c>
      <c r="AB356" s="1293">
        <f>+AA358</f>
        <v>100</v>
      </c>
      <c r="AC356" s="1293">
        <f>+AB358</f>
        <v>100</v>
      </c>
      <c r="AD356" s="1294">
        <f>Y358</f>
        <v>100</v>
      </c>
      <c r="AE356" s="1293">
        <f>AD358</f>
        <v>450</v>
      </c>
      <c r="AF356" s="1293">
        <f>AE358</f>
        <v>450</v>
      </c>
      <c r="AG356" s="1293">
        <f>AF358</f>
        <v>446.2</v>
      </c>
      <c r="AH356" s="1293">
        <f>AG358</f>
        <v>521.6</v>
      </c>
      <c r="AI356" s="1294">
        <f>AD358</f>
        <v>450</v>
      </c>
      <c r="AJ356" s="1293">
        <f>AH358</f>
        <v>400.3</v>
      </c>
      <c r="AK356" s="1293">
        <f>AJ358</f>
        <v>675.3</v>
      </c>
      <c r="AL356" s="1293">
        <f>AK358</f>
        <v>600</v>
      </c>
      <c r="AM356" s="1293">
        <f>AL358</f>
        <v>600</v>
      </c>
      <c r="AN356" s="1294"/>
      <c r="AO356" s="1293"/>
      <c r="AP356" s="1293"/>
      <c r="AQ356" s="1293"/>
      <c r="AR356" s="1293"/>
      <c r="AS356" s="1303"/>
      <c r="AT356" s="1293"/>
      <c r="AU356" s="1293"/>
      <c r="AV356" s="1293"/>
      <c r="AW356" s="1293"/>
      <c r="AX356" s="1294"/>
      <c r="AY356" s="1293"/>
      <c r="AZ356" s="1293"/>
      <c r="BA356" s="1293"/>
      <c r="BB356" s="1293"/>
      <c r="BC356" s="1303"/>
      <c r="BD356" s="1293"/>
      <c r="BE356" s="1293"/>
      <c r="BF356" s="1293"/>
      <c r="BG356" s="1293"/>
      <c r="BH356" s="1294"/>
      <c r="BI356" s="1293"/>
      <c r="BJ356" s="1293">
        <v>3894.8</v>
      </c>
      <c r="BK356" s="1293">
        <f>BJ358</f>
        <v>3894.8</v>
      </c>
      <c r="BL356" s="1293">
        <f>BK358</f>
        <v>3789.5</v>
      </c>
      <c r="BM356" s="1303">
        <f>BH358</f>
        <v>0</v>
      </c>
      <c r="BN356" s="1293">
        <f>BL358</f>
        <v>1592</v>
      </c>
      <c r="BO356" s="1293">
        <f>BN358</f>
        <v>2473.6999999999998</v>
      </c>
      <c r="BP356" s="1293">
        <f>BO358</f>
        <v>2315.8000000000002</v>
      </c>
      <c r="BQ356" s="1293">
        <f>BP358</f>
        <v>2157.9</v>
      </c>
      <c r="BR356" s="1304">
        <f>BM358</f>
        <v>1592</v>
      </c>
      <c r="BS356" s="1293">
        <f>BQ358</f>
        <v>2000</v>
      </c>
      <c r="BT356" s="1293">
        <f>BS358</f>
        <v>1842.1</v>
      </c>
      <c r="BU356" s="1293">
        <f>BT358</f>
        <v>1684.1999999999998</v>
      </c>
      <c r="BV356" s="1293">
        <f>BU358</f>
        <v>1526.2999999999997</v>
      </c>
      <c r="BW356" s="1304">
        <f>BR358</f>
        <v>2000</v>
      </c>
      <c r="BX356" s="1293">
        <f>BV358</f>
        <v>1368.3999999999996</v>
      </c>
      <c r="BY356" s="1293">
        <f>2915.1+1995.5</f>
        <v>4910.6000000000004</v>
      </c>
      <c r="BZ356" s="1293">
        <f>BY356</f>
        <v>4910.6000000000004</v>
      </c>
      <c r="CA356" s="1293">
        <f>BZ358</f>
        <v>4910.6000000000004</v>
      </c>
      <c r="CB356" s="1304">
        <f>BW358</f>
        <v>1368.3999999999996</v>
      </c>
      <c r="CC356" s="1293">
        <f>CA358</f>
        <v>4910.6000000000004</v>
      </c>
      <c r="CD356" s="1293">
        <f>CC358</f>
        <v>4910.6000000000004</v>
      </c>
      <c r="CE356" s="1293">
        <f>CD358</f>
        <v>4910.6000000000004</v>
      </c>
      <c r="CF356" s="1293">
        <f>CE358</f>
        <v>3303.8</v>
      </c>
      <c r="CG356" s="1304">
        <f>CB358</f>
        <v>4910.6000000000004</v>
      </c>
      <c r="CH356" s="1293">
        <f>CF358</f>
        <v>2767.4</v>
      </c>
      <c r="CI356" s="1293">
        <f>CH358</f>
        <v>2767.4</v>
      </c>
      <c r="CJ356" s="1293">
        <f>CI358</f>
        <v>2767.4</v>
      </c>
      <c r="CK356" s="1293">
        <f>CJ358</f>
        <v>2767.4</v>
      </c>
      <c r="CL356" s="1304">
        <f>CG358</f>
        <v>2767.4</v>
      </c>
      <c r="CM356" s="1293">
        <f>CK358</f>
        <v>2767.4</v>
      </c>
      <c r="CN356" s="1293">
        <f>CM358</f>
        <v>2767.4</v>
      </c>
      <c r="CO356" s="1293">
        <f>CN358</f>
        <v>2767.4</v>
      </c>
      <c r="CP356" s="1293">
        <f>CO358</f>
        <v>2767.4</v>
      </c>
      <c r="CQ356" s="1304">
        <f>CL358</f>
        <v>2767.4</v>
      </c>
      <c r="CR356" s="1293">
        <f>CP358</f>
        <v>2767.4</v>
      </c>
      <c r="CS356" s="1293">
        <f>CR358</f>
        <v>2767.4</v>
      </c>
      <c r="CT356" s="1293">
        <f>CS358</f>
        <v>2767.4</v>
      </c>
      <c r="CU356" s="1293">
        <f>CT358</f>
        <v>2767.4</v>
      </c>
      <c r="CV356" s="1304">
        <f>CQ358</f>
        <v>2767.4</v>
      </c>
      <c r="CW356" s="1293">
        <f>CU358</f>
        <v>2767.4</v>
      </c>
      <c r="CX356" s="1293">
        <f>CW358</f>
        <v>2767.4</v>
      </c>
      <c r="CY356" s="1293">
        <f>CX358</f>
        <v>2767.4</v>
      </c>
      <c r="CZ356" s="1293">
        <f>CY358</f>
        <v>2767.4</v>
      </c>
      <c r="DA356" s="1304">
        <f>CV358</f>
        <v>2767.4</v>
      </c>
      <c r="DB356" s="1293">
        <f>CZ358</f>
        <v>2767.4</v>
      </c>
      <c r="DC356" s="1293">
        <f>DB358</f>
        <v>2767.4</v>
      </c>
      <c r="DD356" s="1293">
        <f>DC358</f>
        <v>2767.4</v>
      </c>
      <c r="DE356" s="1293">
        <f>DD358</f>
        <v>2767.4</v>
      </c>
      <c r="DF356" s="1304">
        <f>DA358</f>
        <v>2767.4</v>
      </c>
    </row>
    <row r="357" spans="1:110" s="1289" customFormat="1" ht="12.75" x14ac:dyDescent="0.2">
      <c r="A357" s="1273"/>
      <c r="B357" s="1290" t="s">
        <v>199</v>
      </c>
      <c r="C357" s="1298"/>
      <c r="D357" s="1298"/>
      <c r="E357" s="1298">
        <v>0.08</v>
      </c>
      <c r="F357" s="1298"/>
      <c r="G357" s="1298"/>
      <c r="H357" s="1298"/>
      <c r="I357" s="1298"/>
      <c r="J357" s="1298"/>
      <c r="K357" s="1298"/>
      <c r="L357" s="1298"/>
      <c r="M357" s="1298"/>
      <c r="N357" s="1298"/>
      <c r="O357" s="1298"/>
      <c r="P357" s="1298"/>
      <c r="Q357" s="1298"/>
      <c r="R357" s="1298"/>
      <c r="S357" s="1305"/>
      <c r="T357" s="1306"/>
      <c r="U357" s="1305">
        <v>10</v>
      </c>
      <c r="V357" s="1305">
        <v>20</v>
      </c>
      <c r="W357" s="1305"/>
      <c r="X357" s="1305"/>
      <c r="Y357" s="1306">
        <f>X357</f>
        <v>0</v>
      </c>
      <c r="Z357" s="1350"/>
      <c r="AA357" s="1350"/>
      <c r="AB357" s="1350"/>
      <c r="AC357" s="1307">
        <v>350</v>
      </c>
      <c r="AD357" s="1351">
        <f>SUM(Z357:AC357)</f>
        <v>350</v>
      </c>
      <c r="AE357" s="1307"/>
      <c r="AF357" s="1307">
        <f>AF358-AF356</f>
        <v>-3.8000000000000114</v>
      </c>
      <c r="AG357" s="1307">
        <v>75.400000000000006</v>
      </c>
      <c r="AH357" s="1307">
        <f>75.3+325-AH356</f>
        <v>-121.30000000000001</v>
      </c>
      <c r="AI357" s="1306">
        <f>SUM(AE357:AH357)</f>
        <v>-49.700000000000017</v>
      </c>
      <c r="AJ357" s="1307">
        <v>275</v>
      </c>
      <c r="AK357" s="1307">
        <v>-75.3</v>
      </c>
      <c r="AL357" s="1305"/>
      <c r="AM357" s="1305"/>
      <c r="AN357" s="1306"/>
      <c r="AO357" s="1350"/>
      <c r="AP357" s="1305"/>
      <c r="AQ357" s="1305"/>
      <c r="AR357" s="1350"/>
      <c r="AS357" s="1308"/>
      <c r="AT357" s="1350"/>
      <c r="AU357" s="1307"/>
      <c r="AV357" s="1307"/>
      <c r="AW357" s="1305"/>
      <c r="AX357" s="1306"/>
      <c r="AY357" s="1307"/>
      <c r="AZ357" s="1307"/>
      <c r="BA357" s="1307"/>
      <c r="BB357" s="1307"/>
      <c r="BC357" s="1308"/>
      <c r="BD357" s="1307"/>
      <c r="BE357" s="1307"/>
      <c r="BF357" s="1307"/>
      <c r="BG357" s="1307"/>
      <c r="BH357" s="1306"/>
      <c r="BI357" s="1307"/>
      <c r="BJ357" s="1307">
        <v>0</v>
      </c>
      <c r="BK357" s="1307">
        <f>3789.5-BK356</f>
        <v>-105.30000000000018</v>
      </c>
      <c r="BL357" s="1307">
        <v>-2197.5</v>
      </c>
      <c r="BM357" s="1308">
        <f>SUM(BI357:BL357)</f>
        <v>-2302.8000000000002</v>
      </c>
      <c r="BN357" s="1307">
        <f>2473.7-BN356</f>
        <v>881.69999999999982</v>
      </c>
      <c r="BO357" s="1307">
        <f>2315.8-BO356</f>
        <v>-157.89999999999964</v>
      </c>
      <c r="BP357" s="1307">
        <f>2157.9-BP356</f>
        <v>-157.90000000000009</v>
      </c>
      <c r="BQ357" s="1307">
        <f>BP357</f>
        <v>-157.90000000000009</v>
      </c>
      <c r="BR357" s="1309">
        <f>SUM(BN357:BQ357)</f>
        <v>408</v>
      </c>
      <c r="BS357" s="1307">
        <f>BQ357</f>
        <v>-157.90000000000009</v>
      </c>
      <c r="BT357" s="1307">
        <f>BS357</f>
        <v>-157.90000000000009</v>
      </c>
      <c r="BU357" s="1307">
        <f>BT357</f>
        <v>-157.90000000000009</v>
      </c>
      <c r="BV357" s="1307">
        <f>BU357</f>
        <v>-157.90000000000009</v>
      </c>
      <c r="BW357" s="1309">
        <f>SUM(BS357:BV357)</f>
        <v>-631.60000000000036</v>
      </c>
      <c r="BX357" s="1307">
        <f>BV357</f>
        <v>-157.90000000000009</v>
      </c>
      <c r="BY357" s="1307">
        <v>0</v>
      </c>
      <c r="BZ357" s="1307">
        <v>0</v>
      </c>
      <c r="CA357" s="1307">
        <v>0</v>
      </c>
      <c r="CB357" s="1309">
        <f>SUM(BX357:CA357)</f>
        <v>-157.90000000000009</v>
      </c>
      <c r="CC357" s="1307">
        <v>0</v>
      </c>
      <c r="CD357" s="1307"/>
      <c r="CE357" s="1307">
        <v>-1606.8</v>
      </c>
      <c r="CF357" s="1307">
        <v>-536.4</v>
      </c>
      <c r="CG357" s="1309">
        <f>SUM(CC357:CF357)</f>
        <v>-2143.1999999999998</v>
      </c>
      <c r="CH357" s="1307">
        <v>0</v>
      </c>
      <c r="CI357" s="1307">
        <v>0</v>
      </c>
      <c r="CJ357" s="1307">
        <v>0</v>
      </c>
      <c r="CK357" s="1307">
        <v>0</v>
      </c>
      <c r="CL357" s="1309">
        <f>SUM(CH357:CK357)</f>
        <v>0</v>
      </c>
      <c r="CM357" s="1307">
        <f>CK357</f>
        <v>0</v>
      </c>
      <c r="CN357" s="1307">
        <f>+CM357</f>
        <v>0</v>
      </c>
      <c r="CO357" s="1307">
        <f>+CN357</f>
        <v>0</v>
      </c>
      <c r="CP357" s="1307">
        <f>+CO357</f>
        <v>0</v>
      </c>
      <c r="CQ357" s="1309">
        <f>SUM(CM357:CP357)</f>
        <v>0</v>
      </c>
      <c r="CR357" s="1307">
        <f>CP357</f>
        <v>0</v>
      </c>
      <c r="CS357" s="1307">
        <f>+CR357</f>
        <v>0</v>
      </c>
      <c r="CT357" s="1307">
        <f>+CS357</f>
        <v>0</v>
      </c>
      <c r="CU357" s="1307">
        <f>+CT357</f>
        <v>0</v>
      </c>
      <c r="CV357" s="1309">
        <f>SUM(CR357:CU357)</f>
        <v>0</v>
      </c>
      <c r="CW357" s="1307">
        <f>CU357</f>
        <v>0</v>
      </c>
      <c r="CX357" s="1307">
        <f>+CW357</f>
        <v>0</v>
      </c>
      <c r="CY357" s="1307">
        <f>+CX357</f>
        <v>0</v>
      </c>
      <c r="CZ357" s="1307">
        <f>+CY357</f>
        <v>0</v>
      </c>
      <c r="DA357" s="1309">
        <f>SUM(CW357:CZ357)</f>
        <v>0</v>
      </c>
      <c r="DB357" s="1307">
        <f>CZ357</f>
        <v>0</v>
      </c>
      <c r="DC357" s="1307">
        <f>+DB357</f>
        <v>0</v>
      </c>
      <c r="DD357" s="1307">
        <f>+DC357</f>
        <v>0</v>
      </c>
      <c r="DE357" s="1307">
        <f>+DD357</f>
        <v>0</v>
      </c>
      <c r="DF357" s="1309">
        <f>SUM(DB357:DE357)</f>
        <v>0</v>
      </c>
    </row>
    <row r="358" spans="1:110" s="1289" customFormat="1" ht="12.75" x14ac:dyDescent="0.2">
      <c r="A358" s="1273"/>
      <c r="B358" s="1290" t="s">
        <v>200</v>
      </c>
      <c r="C358" s="1298"/>
      <c r="D358" s="1298"/>
      <c r="E358" s="1298">
        <v>0.1</v>
      </c>
      <c r="F358" s="1298"/>
      <c r="G358" s="1298"/>
      <c r="H358" s="1298"/>
      <c r="I358" s="1298"/>
      <c r="J358" s="1298"/>
      <c r="K358" s="1298"/>
      <c r="L358" s="1298"/>
      <c r="M358" s="1298"/>
      <c r="N358" s="1298"/>
      <c r="O358" s="1298"/>
      <c r="P358" s="1298"/>
      <c r="Q358" s="1298"/>
      <c r="R358" s="1298"/>
      <c r="S358" s="1293">
        <v>50</v>
      </c>
      <c r="T358" s="1293">
        <f>+S358</f>
        <v>50</v>
      </c>
      <c r="U358" s="1293">
        <f t="shared" ref="U358:AB358" si="547">U356+U357</f>
        <v>60</v>
      </c>
      <c r="V358" s="1293">
        <f t="shared" si="547"/>
        <v>80</v>
      </c>
      <c r="W358" s="1293">
        <f t="shared" si="547"/>
        <v>80</v>
      </c>
      <c r="X358" s="1293">
        <f t="shared" si="547"/>
        <v>100</v>
      </c>
      <c r="Y358" s="1294">
        <f t="shared" si="547"/>
        <v>100</v>
      </c>
      <c r="Z358" s="1293">
        <f t="shared" si="547"/>
        <v>100</v>
      </c>
      <c r="AA358" s="1293">
        <f t="shared" si="547"/>
        <v>100</v>
      </c>
      <c r="AB358" s="1293">
        <f t="shared" si="547"/>
        <v>100</v>
      </c>
      <c r="AC358" s="1293">
        <f>SUM(AC356:AC357)</f>
        <v>450</v>
      </c>
      <c r="AD358" s="1294">
        <f>AD356+AD357</f>
        <v>450</v>
      </c>
      <c r="AE358" s="1293">
        <v>450</v>
      </c>
      <c r="AF358" s="1293">
        <v>446.2</v>
      </c>
      <c r="AG358" s="1293">
        <f>AG357+AG356</f>
        <v>521.6</v>
      </c>
      <c r="AH358" s="1293">
        <f>AH357+AH356</f>
        <v>400.3</v>
      </c>
      <c r="AI358" s="1294">
        <f>AH358</f>
        <v>400.3</v>
      </c>
      <c r="AJ358" s="1293">
        <f>AJ357+AJ356</f>
        <v>675.3</v>
      </c>
      <c r="AK358" s="1293">
        <f>AK357+AK356</f>
        <v>600</v>
      </c>
      <c r="AL358" s="1293">
        <f>AL357+AL356</f>
        <v>600</v>
      </c>
      <c r="AM358" s="1293">
        <f>AM357+AM356</f>
        <v>600</v>
      </c>
      <c r="AN358" s="1294"/>
      <c r="AO358" s="1293"/>
      <c r="AP358" s="1293"/>
      <c r="AQ358" s="1293"/>
      <c r="AR358" s="1293"/>
      <c r="AS358" s="1303"/>
      <c r="AT358" s="1293"/>
      <c r="AU358" s="1293"/>
      <c r="AV358" s="1293"/>
      <c r="AW358" s="1293"/>
      <c r="AX358" s="1294"/>
      <c r="AY358" s="1293"/>
      <c r="AZ358" s="1293"/>
      <c r="BA358" s="1293"/>
      <c r="BB358" s="1293"/>
      <c r="BC358" s="1303"/>
      <c r="BD358" s="1293"/>
      <c r="BE358" s="1293"/>
      <c r="BF358" s="1293"/>
      <c r="BG358" s="1293"/>
      <c r="BH358" s="1294"/>
      <c r="BI358" s="1293"/>
      <c r="BJ358" s="1293">
        <f>BJ357+BJ356</f>
        <v>3894.8</v>
      </c>
      <c r="BK358" s="1293">
        <f>BK357+BK356</f>
        <v>3789.5</v>
      </c>
      <c r="BL358" s="1293">
        <f>BL357+BL356</f>
        <v>1592</v>
      </c>
      <c r="BM358" s="1303">
        <f>BL358</f>
        <v>1592</v>
      </c>
      <c r="BN358" s="1293">
        <f>BN357+BN356</f>
        <v>2473.6999999999998</v>
      </c>
      <c r="BO358" s="1293">
        <f>BO357+BO356</f>
        <v>2315.8000000000002</v>
      </c>
      <c r="BP358" s="1293">
        <f>BP357+BP356</f>
        <v>2157.9</v>
      </c>
      <c r="BQ358" s="1293">
        <f>BQ357+BQ356</f>
        <v>2000</v>
      </c>
      <c r="BR358" s="1304">
        <f>BQ358</f>
        <v>2000</v>
      </c>
      <c r="BS358" s="1302">
        <v>1842.1</v>
      </c>
      <c r="BT358" s="1293">
        <f>BT357+BT356</f>
        <v>1684.1999999999998</v>
      </c>
      <c r="BU358" s="1293">
        <f>BU357+BU356</f>
        <v>1526.2999999999997</v>
      </c>
      <c r="BV358" s="1293">
        <f>BV357+BV356</f>
        <v>1368.3999999999996</v>
      </c>
      <c r="BW358" s="1304">
        <f>BV358</f>
        <v>1368.3999999999996</v>
      </c>
      <c r="BX358" s="1293">
        <f>BX357+BX356</f>
        <v>1210.4999999999995</v>
      </c>
      <c r="BY358" s="1293">
        <f>BY357+BY356</f>
        <v>4910.6000000000004</v>
      </c>
      <c r="BZ358" s="1293">
        <f>BZ357+BZ356</f>
        <v>4910.6000000000004</v>
      </c>
      <c r="CA358" s="1293">
        <f>CA357+CA356</f>
        <v>4910.6000000000004</v>
      </c>
      <c r="CB358" s="1304">
        <f>CA358</f>
        <v>4910.6000000000004</v>
      </c>
      <c r="CC358" s="1293">
        <f>CC357+CC356</f>
        <v>4910.6000000000004</v>
      </c>
      <c r="CD358" s="1293">
        <f>CD357+CD356</f>
        <v>4910.6000000000004</v>
      </c>
      <c r="CE358" s="1293">
        <f>CE357+CE356</f>
        <v>3303.8</v>
      </c>
      <c r="CF358" s="1293">
        <f>CF357+CF356</f>
        <v>2767.4</v>
      </c>
      <c r="CG358" s="1304">
        <f>CF358</f>
        <v>2767.4</v>
      </c>
      <c r="CH358" s="1293">
        <f>CH357+CH356</f>
        <v>2767.4</v>
      </c>
      <c r="CI358" s="1293">
        <f>CI357+CI356</f>
        <v>2767.4</v>
      </c>
      <c r="CJ358" s="1293">
        <f>CJ357+CJ356</f>
        <v>2767.4</v>
      </c>
      <c r="CK358" s="1293">
        <f>CK357+CK356</f>
        <v>2767.4</v>
      </c>
      <c r="CL358" s="1304">
        <f>CK358</f>
        <v>2767.4</v>
      </c>
      <c r="CM358" s="1293">
        <f>CM357+CM356</f>
        <v>2767.4</v>
      </c>
      <c r="CN358" s="1293">
        <f>CN357+CN356</f>
        <v>2767.4</v>
      </c>
      <c r="CO358" s="1293">
        <f>CO357+CO356</f>
        <v>2767.4</v>
      </c>
      <c r="CP358" s="1293">
        <f>CP357+CP356</f>
        <v>2767.4</v>
      </c>
      <c r="CQ358" s="1304">
        <f>CP358</f>
        <v>2767.4</v>
      </c>
      <c r="CR358" s="1293">
        <f>CR357+CR356</f>
        <v>2767.4</v>
      </c>
      <c r="CS358" s="1293">
        <f>CS357+CS356</f>
        <v>2767.4</v>
      </c>
      <c r="CT358" s="1293">
        <f>CT357+CT356</f>
        <v>2767.4</v>
      </c>
      <c r="CU358" s="1293">
        <f>CU357+CU356</f>
        <v>2767.4</v>
      </c>
      <c r="CV358" s="1304">
        <f>CU358</f>
        <v>2767.4</v>
      </c>
      <c r="CW358" s="1293">
        <f>CW357+CW356</f>
        <v>2767.4</v>
      </c>
      <c r="CX358" s="1293">
        <f>CX357+CX356</f>
        <v>2767.4</v>
      </c>
      <c r="CY358" s="1293">
        <f>CY357+CY356</f>
        <v>2767.4</v>
      </c>
      <c r="CZ358" s="1293">
        <f>CZ357+CZ356</f>
        <v>2767.4</v>
      </c>
      <c r="DA358" s="1304">
        <f>CZ358</f>
        <v>2767.4</v>
      </c>
      <c r="DB358" s="1293">
        <f>DB357+DB356</f>
        <v>2767.4</v>
      </c>
      <c r="DC358" s="1293">
        <f>DC357+DC356</f>
        <v>2767.4</v>
      </c>
      <c r="DD358" s="1293">
        <f>DD357+DD356</f>
        <v>2767.4</v>
      </c>
      <c r="DE358" s="1293">
        <f>DE357+DE356</f>
        <v>2767.4</v>
      </c>
      <c r="DF358" s="1304">
        <f>DE358</f>
        <v>2767.4</v>
      </c>
    </row>
    <row r="359" spans="1:110" s="1289" customFormat="1" ht="13.5" thickBot="1" x14ac:dyDescent="0.25">
      <c r="A359" s="1273"/>
      <c r="B359" s="1310" t="s">
        <v>147</v>
      </c>
      <c r="C359" s="1311"/>
      <c r="D359" s="1311"/>
      <c r="E359" s="1311"/>
      <c r="F359" s="1311"/>
      <c r="G359" s="1311"/>
      <c r="H359" s="1311"/>
      <c r="I359" s="1311"/>
      <c r="J359" s="1311"/>
      <c r="K359" s="1311"/>
      <c r="L359" s="1311"/>
      <c r="M359" s="1311"/>
      <c r="N359" s="1311"/>
      <c r="O359" s="1311"/>
      <c r="P359" s="1311"/>
      <c r="Q359" s="1311"/>
      <c r="R359" s="1311"/>
      <c r="S359" s="1312"/>
      <c r="T359" s="1313"/>
      <c r="U359" s="1312">
        <f>-(AVERAGE(U358,U356))*($C355/4)</f>
        <v>-0.55000000000000004</v>
      </c>
      <c r="V359" s="1312">
        <f>-(AVERAGE(V358,V356))*($C355/4)</f>
        <v>-0.70000000000000007</v>
      </c>
      <c r="W359" s="1312">
        <f>-(AVERAGE(W358,W356))*($C355/4)</f>
        <v>-0.8</v>
      </c>
      <c r="X359" s="1312">
        <f>-(AVERAGE(X358,X356))*($C355/4)</f>
        <v>-1</v>
      </c>
      <c r="Y359" s="1313">
        <f>SUM(U359:X359)</f>
        <v>-3.05</v>
      </c>
      <c r="Z359" s="1312">
        <f>-(AVERAGE(Z358,Z356))*($C355/4)</f>
        <v>-1</v>
      </c>
      <c r="AA359" s="1312">
        <f>-(AVERAGE(AA358,AA356))*($C355/4)</f>
        <v>-1</v>
      </c>
      <c r="AB359" s="1312">
        <f>-(AVERAGE(AB358,AB356))*($C355/4)</f>
        <v>-1</v>
      </c>
      <c r="AC359" s="1312">
        <f>-(AVERAGE(AC358,AC356))*($C355/4)</f>
        <v>-2.75</v>
      </c>
      <c r="AD359" s="1313">
        <f>SUM(Z359:AC359)</f>
        <v>-5.75</v>
      </c>
      <c r="AE359" s="1312">
        <f>-(AVERAGE(AE358,AE356))*($C355/4)</f>
        <v>-4.5</v>
      </c>
      <c r="AF359" s="1312">
        <f>-(AVERAGE(AF358,AF356))*($C355/4)</f>
        <v>-4.4810000000000008</v>
      </c>
      <c r="AG359" s="1312">
        <f>-(AVERAGE(AG358,AG356))*($C355/4)</f>
        <v>-4.8389999999999995</v>
      </c>
      <c r="AH359" s="1312">
        <f>-(AVERAGE(AH358,AH356))*($C355/4)</f>
        <v>-4.6095000000000006</v>
      </c>
      <c r="AI359" s="1313">
        <f>SUM(AE359:AH359)</f>
        <v>-18.429500000000001</v>
      </c>
      <c r="AJ359" s="1312">
        <f>-(AVERAGE(AJ358,AJ356))*($C355/4)</f>
        <v>-5.3779999999999992</v>
      </c>
      <c r="AK359" s="1312">
        <f>-(AVERAGE(AK358,AK356))*($C355/4)</f>
        <v>-6.3765000000000001</v>
      </c>
      <c r="AL359" s="1312">
        <f>-(AVERAGE(AL358,AL356))*($AL355/4)</f>
        <v>-8.625</v>
      </c>
      <c r="AM359" s="1312">
        <f>-(AVERAGE(AM358,AM356))*($AM355/4)</f>
        <v>-8.2349999999999994</v>
      </c>
      <c r="AN359" s="1313"/>
      <c r="AO359" s="1312"/>
      <c r="AP359" s="1312"/>
      <c r="AQ359" s="1312"/>
      <c r="AR359" s="1312"/>
      <c r="AS359" s="1315"/>
      <c r="AT359" s="1312"/>
      <c r="AU359" s="1312"/>
      <c r="AV359" s="1312"/>
      <c r="AW359" s="1312"/>
      <c r="AX359" s="1313"/>
      <c r="AY359" s="1312"/>
      <c r="AZ359" s="1312"/>
      <c r="BA359" s="1312"/>
      <c r="BB359" s="1312"/>
      <c r="BC359" s="1315"/>
      <c r="BD359" s="1312"/>
      <c r="BE359" s="1312"/>
      <c r="BF359" s="1312"/>
      <c r="BG359" s="1312"/>
      <c r="BH359" s="1313"/>
      <c r="BI359" s="1312"/>
      <c r="BJ359" s="1312">
        <f>-(AVERAGE(BJ358,BJ356))*(BJ$355/4)</f>
        <v>-20.447700000000001</v>
      </c>
      <c r="BK359" s="1312">
        <f>-(AVERAGE(BK358,BK356))*(BK$355/4)</f>
        <v>-21.131824999999999</v>
      </c>
      <c r="BL359" s="1312">
        <f>-(AVERAGE(BL358,BL356))*(BL$355/4)</f>
        <v>-6.7268749999999997</v>
      </c>
      <c r="BM359" s="1315">
        <f>SUM(BI359:BL359)</f>
        <v>-48.306400000000004</v>
      </c>
      <c r="BN359" s="1578">
        <f>-(AVERAGE(BN358,BN356))*(BN$355/4)</f>
        <v>-9.9609649999999998</v>
      </c>
      <c r="BO359" s="1312">
        <f>-(AVERAGE(BO358,BO356))*(BO$355/4)</f>
        <v>-11.674406250000001</v>
      </c>
      <c r="BP359" s="1312">
        <f>-(AVERAGE(BP358,BP356))*(BP$355/4)</f>
        <v>-11.184250000000002</v>
      </c>
      <c r="BQ359" s="1312">
        <f>-(AVERAGE(BQ358,BQ356))*(BQ$355/4)</f>
        <v>-5.1973750000000001</v>
      </c>
      <c r="BR359" s="1314">
        <f>SUM(BN359:BQ359)</f>
        <v>-38.016996249999998</v>
      </c>
      <c r="BS359" s="1312">
        <f>-(AVERAGE(BS358,BS356))*(BS$355/4)</f>
        <v>0</v>
      </c>
      <c r="BT359" s="1312">
        <f>-(AVERAGE(BT358,BT356))*(BT$355/4)</f>
        <v>0</v>
      </c>
      <c r="BU359" s="1312">
        <f>-(AVERAGE(BU358,BU356))*(BU$355/4)</f>
        <v>0</v>
      </c>
      <c r="BV359" s="1312">
        <f>-(AVERAGE(BV358,BV356))*(BV$355/4)</f>
        <v>0</v>
      </c>
      <c r="BW359" s="1314">
        <f>SUM(BS359:BV359)</f>
        <v>0</v>
      </c>
      <c r="BX359" s="1312">
        <f>-(AVERAGE(BX358,BX356))*(BX$355/4)</f>
        <v>0</v>
      </c>
      <c r="BY359" s="1312">
        <f>-(AVERAGE(BY358,BY356))*(BY$355/4)</f>
        <v>-17.800925000000003</v>
      </c>
      <c r="BZ359" s="1312">
        <f>-(AVERAGE(BZ358,BZ356))*(BZ$355/4)</f>
        <v>-17.800925000000003</v>
      </c>
      <c r="CA359" s="1312">
        <f>-(AVERAGE(CA358,CA356))*(CA$355/4)</f>
        <v>-17.800925000000003</v>
      </c>
      <c r="CB359" s="1314">
        <f>SUM(BX359:CA359)</f>
        <v>-53.402775000000005</v>
      </c>
      <c r="CC359" s="1312">
        <f>-(AVERAGE(CC358,CC356))*(CC$355/4)</f>
        <v>-17.800925000000003</v>
      </c>
      <c r="CD359" s="1312">
        <f>-(AVERAGE(CD358,CD356))*(CD$355/4)</f>
        <v>-17.800925000000003</v>
      </c>
      <c r="CE359" s="1312">
        <f>-(AVERAGE(CE358,CE356))*(CE$355/4)</f>
        <v>-14.888600000000004</v>
      </c>
      <c r="CF359" s="1312">
        <f>-(AVERAGE(CF358,CF356))*(CF$355/4)</f>
        <v>-11.004050000000001</v>
      </c>
      <c r="CG359" s="1314">
        <f>SUM(CC359:CF359)</f>
        <v>-61.494500000000009</v>
      </c>
      <c r="CH359" s="1312">
        <f>-(AVERAGE(CH358,CH356))*(CH$355/4)</f>
        <v>-13.837000000000002</v>
      </c>
      <c r="CI359" s="1312">
        <f>-(AVERAGE(CI358,CI356))*(CI$355/4)</f>
        <v>-13.837000000000002</v>
      </c>
      <c r="CJ359" s="1312">
        <f>-(AVERAGE(CJ358,CJ356))*(CJ$355/4)</f>
        <v>-13.837000000000002</v>
      </c>
      <c r="CK359" s="1312">
        <f>-(AVERAGE(CK358,CK356))*(CK$355/4)</f>
        <v>-13.837000000000002</v>
      </c>
      <c r="CL359" s="1314">
        <f>SUM(CH359:CK359)</f>
        <v>-55.348000000000006</v>
      </c>
      <c r="CM359" s="1312">
        <f>-(AVERAGE(CM358,CM356))*(CM$355/4)</f>
        <v>-13.837000000000002</v>
      </c>
      <c r="CN359" s="1312">
        <f>-(AVERAGE(CN358,CN356))*(CN$355/4)</f>
        <v>-13.837000000000002</v>
      </c>
      <c r="CO359" s="1312">
        <f>-(AVERAGE(CO358,CO356))*(CO$355/4)</f>
        <v>-13.837000000000002</v>
      </c>
      <c r="CP359" s="1312">
        <f>-(AVERAGE(CP358,CP356))*(CP$355/4)</f>
        <v>-13.837000000000002</v>
      </c>
      <c r="CQ359" s="1314">
        <f>SUM(CM359:CP359)</f>
        <v>-55.348000000000006</v>
      </c>
      <c r="CR359" s="1312">
        <f>-(AVERAGE(CR358,CR356))*(CR$355/4)</f>
        <v>-13.837000000000002</v>
      </c>
      <c r="CS359" s="1312">
        <f>-(AVERAGE(CS358,CS356))*(CS$355/4)</f>
        <v>-13.837000000000002</v>
      </c>
      <c r="CT359" s="1312">
        <f>-(AVERAGE(CT358,CT356))*(CT$355/4)</f>
        <v>-13.837000000000002</v>
      </c>
      <c r="CU359" s="1312">
        <f>-(AVERAGE(CU358,CU356))*(CU$355/4)</f>
        <v>-13.837000000000002</v>
      </c>
      <c r="CV359" s="1314">
        <f>SUM(CR359:CU359)</f>
        <v>-55.348000000000006</v>
      </c>
      <c r="CW359" s="1312">
        <f>-(AVERAGE(CW358,CW356))*(CW$355/4)</f>
        <v>-13.837000000000002</v>
      </c>
      <c r="CX359" s="1312">
        <f>-(AVERAGE(CX358,CX356))*(CX$355/4)</f>
        <v>-13.837000000000002</v>
      </c>
      <c r="CY359" s="1312">
        <f>-(AVERAGE(CY358,CY356))*(CY$355/4)</f>
        <v>-13.837000000000002</v>
      </c>
      <c r="CZ359" s="1312">
        <f>-(AVERAGE(CZ358,CZ356))*(CZ$355/4)</f>
        <v>-13.837000000000002</v>
      </c>
      <c r="DA359" s="1314">
        <f>SUM(CW359:CZ359)</f>
        <v>-55.348000000000006</v>
      </c>
      <c r="DB359" s="1312">
        <f>-(AVERAGE(DB358,DB356))*(DB$355/4)</f>
        <v>-13.837000000000002</v>
      </c>
      <c r="DC359" s="1312">
        <f>-(AVERAGE(DC358,DC356))*(DC$355/4)</f>
        <v>-13.837000000000002</v>
      </c>
      <c r="DD359" s="1312">
        <f>-(AVERAGE(DD358,DD356))*(DD$355/4)</f>
        <v>-13.837000000000002</v>
      </c>
      <c r="DE359" s="1312">
        <f>-(AVERAGE(DE358,DE356))*(DE$355/4)</f>
        <v>-13.837000000000002</v>
      </c>
      <c r="DF359" s="1314">
        <f>SUM(DB359:DE359)</f>
        <v>-55.348000000000006</v>
      </c>
    </row>
    <row r="360" spans="1:110" s="1273" customFormat="1" ht="13.5" thickBot="1" x14ac:dyDescent="0.25">
      <c r="C360" s="1298"/>
      <c r="D360" s="1298"/>
      <c r="E360" s="1298"/>
      <c r="F360" s="1298"/>
      <c r="G360" s="1298"/>
      <c r="H360" s="1298"/>
      <c r="I360" s="1298"/>
      <c r="J360" s="1298"/>
      <c r="K360" s="1298"/>
      <c r="L360" s="1298"/>
      <c r="M360" s="1298"/>
      <c r="N360" s="1298"/>
      <c r="O360" s="1298"/>
      <c r="P360" s="1298"/>
      <c r="Q360" s="1298"/>
      <c r="R360" s="1298"/>
      <c r="S360" s="1293"/>
      <c r="T360" s="1293"/>
      <c r="U360" s="1293"/>
      <c r="V360" s="1293"/>
      <c r="W360" s="1293"/>
      <c r="X360" s="1293"/>
      <c r="Y360" s="1293"/>
      <c r="Z360" s="1293"/>
      <c r="AA360" s="1293"/>
      <c r="AB360" s="1293"/>
      <c r="AC360" s="1293"/>
      <c r="AD360" s="1293"/>
      <c r="AE360" s="1293"/>
      <c r="AF360" s="1293"/>
      <c r="AG360" s="1293"/>
      <c r="AH360" s="1293"/>
      <c r="AI360" s="1293"/>
      <c r="AJ360" s="1293"/>
      <c r="AK360" s="1293"/>
      <c r="AL360" s="1293"/>
      <c r="AM360" s="1293"/>
      <c r="AN360" s="1293"/>
      <c r="AO360" s="1293"/>
      <c r="AP360" s="1293"/>
      <c r="AQ360" s="1293"/>
      <c r="AR360" s="1293"/>
      <c r="AS360" s="1293"/>
      <c r="AT360" s="1293"/>
      <c r="AU360" s="1293"/>
      <c r="AV360" s="1293"/>
      <c r="AW360" s="1293"/>
      <c r="AX360" s="1293"/>
      <c r="AY360" s="1293"/>
      <c r="AZ360" s="1293"/>
      <c r="BA360" s="1293"/>
      <c r="BB360" s="1293"/>
      <c r="BC360" s="1293"/>
      <c r="BD360" s="1293"/>
      <c r="BE360" s="1293"/>
      <c r="BF360" s="1293"/>
      <c r="BG360" s="1293"/>
      <c r="BH360" s="1293"/>
      <c r="BI360" s="1293"/>
      <c r="BJ360" s="1293"/>
      <c r="BK360" s="1293"/>
      <c r="BL360" s="1293"/>
      <c r="BM360" s="1293"/>
      <c r="BN360" s="1293"/>
      <c r="BO360" s="1293"/>
      <c r="BP360" s="1293"/>
      <c r="BQ360" s="1293"/>
      <c r="BR360" s="1293"/>
      <c r="BS360" s="1293"/>
      <c r="BT360" s="1293"/>
      <c r="BU360" s="1293"/>
      <c r="BV360" s="1293"/>
      <c r="BW360" s="1293"/>
      <c r="BX360" s="1293"/>
      <c r="BY360" s="1293"/>
      <c r="BZ360" s="1293"/>
      <c r="CA360" s="1293"/>
      <c r="CB360" s="1293"/>
      <c r="CC360" s="1293"/>
      <c r="CD360" s="1293"/>
      <c r="CE360" s="1293"/>
      <c r="CF360" s="1293"/>
      <c r="CG360" s="1293"/>
      <c r="CH360" s="1293"/>
      <c r="CI360" s="1293"/>
      <c r="CJ360" s="1293"/>
      <c r="CK360" s="1293"/>
      <c r="CL360" s="1293"/>
      <c r="CM360" s="1293"/>
      <c r="CN360" s="1293"/>
      <c r="CO360" s="1293"/>
      <c r="CP360" s="1293"/>
      <c r="CQ360" s="1293"/>
      <c r="CR360" s="1293"/>
      <c r="CS360" s="1293"/>
      <c r="CT360" s="1293"/>
      <c r="CU360" s="1293"/>
      <c r="CV360" s="1293"/>
      <c r="CW360" s="1293"/>
      <c r="CX360" s="1293"/>
      <c r="CY360" s="1293"/>
      <c r="CZ360" s="1293"/>
      <c r="DA360" s="1293"/>
      <c r="DB360" s="1293"/>
      <c r="DC360" s="1293"/>
      <c r="DD360" s="1293"/>
      <c r="DE360" s="1293"/>
      <c r="DF360" s="1293"/>
    </row>
    <row r="361" spans="1:110" s="326" customFormat="1" x14ac:dyDescent="0.2">
      <c r="B361" s="530" t="s">
        <v>211</v>
      </c>
      <c r="C361" s="561"/>
      <c r="D361" s="561"/>
      <c r="E361" s="561"/>
      <c r="F361" s="561"/>
      <c r="G361" s="561"/>
      <c r="H361" s="561"/>
      <c r="I361" s="561"/>
      <c r="J361" s="561"/>
      <c r="K361" s="561"/>
      <c r="L361" s="561"/>
      <c r="M361" s="561"/>
      <c r="N361" s="561"/>
      <c r="O361" s="561"/>
      <c r="P361" s="561"/>
      <c r="Q361" s="561"/>
      <c r="R361" s="561"/>
      <c r="S361" s="531"/>
      <c r="T361" s="531"/>
      <c r="U361" s="644">
        <f>U41+U52+U63+U74+U85+U212+U344</f>
        <v>0</v>
      </c>
      <c r="V361" s="644">
        <f>V41+V52+V63+V74+V85+V212+V344</f>
        <v>0</v>
      </c>
      <c r="W361" s="644">
        <f>W41+W52+W63+W74+W85+W212+W344</f>
        <v>0</v>
      </c>
      <c r="X361" s="644">
        <f>X41+X52+X63+X74+X85+X212+X344</f>
        <v>1100</v>
      </c>
      <c r="Y361" s="645">
        <f>X361</f>
        <v>1100</v>
      </c>
      <c r="Z361" s="644">
        <f>Z41+Z52+Z63+Z74+Z85+Z212+Z344</f>
        <v>600</v>
      </c>
      <c r="AA361" s="644">
        <f>AA41+AA52+AA63+AA74+AA85+AA212+AA344</f>
        <v>600</v>
      </c>
      <c r="AB361" s="644">
        <f>AB41+AB52+AB63+AB74+AB85+AB212+AB344</f>
        <v>600</v>
      </c>
      <c r="AC361" s="644">
        <f>AC41+AC52+AC63+AC74+AC85+AC212+AC344</f>
        <v>690</v>
      </c>
      <c r="AD361" s="645">
        <f>AC361</f>
        <v>690</v>
      </c>
      <c r="AE361" s="644">
        <f>AE41+AE52+AE63+AE74+AE85+AE212+AE344</f>
        <v>729.5</v>
      </c>
      <c r="AF361" s="644">
        <f>AF41+AF52+AF63+AF74+AF85+AF212+AF344</f>
        <v>484.59999999999991</v>
      </c>
      <c r="AG361" s="644">
        <f>AG41+AG52+AG63+AG74+AG85+AG212+AG344</f>
        <v>569.59999999999991</v>
      </c>
      <c r="AH361" s="644">
        <f>AH41+AH52+AH63+AH74+AH85+AH212+AH344</f>
        <v>749.5</v>
      </c>
      <c r="AI361" s="645">
        <f>AH361</f>
        <v>749.5</v>
      </c>
      <c r="AJ361" s="644">
        <f>AJ41+AJ52+AJ63+AJ74+AJ85+AJ212+AJ344</f>
        <v>839.5</v>
      </c>
      <c r="AK361" s="644">
        <f>AK41+AK52+AK63+AK74+AK85+AK212+AK344</f>
        <v>1079.5999999999999</v>
      </c>
      <c r="AL361" s="644">
        <f>AL41+AL52+AL63+AL74+AL85+AL212+AL344</f>
        <v>1019.6</v>
      </c>
      <c r="AM361" s="644">
        <f>AM41+AM52+AM63+AM74+AM85+AM212+AM344</f>
        <v>979.6</v>
      </c>
      <c r="AN361" s="645">
        <f>AM361</f>
        <v>979.6</v>
      </c>
      <c r="AO361" s="644">
        <f>AO41+AO52+AO63+AO74+AO85+AO212+AO344</f>
        <v>1039.5999999999999</v>
      </c>
      <c r="AP361" s="644">
        <f>AP41+AP52+AP63+AP74+AP85+AP212+AP344</f>
        <v>1099.5999999999999</v>
      </c>
      <c r="AQ361" s="644">
        <f>AQ41+AQ52+AQ63+AQ74+AQ85+AQ212+AQ344</f>
        <v>1159.5999999999999</v>
      </c>
      <c r="AR361" s="644">
        <f>AR41+AR52+AR63+AR74+AR85+AR212+AR344</f>
        <v>1239.7</v>
      </c>
      <c r="AS361" s="645">
        <f>AR361</f>
        <v>1239.7</v>
      </c>
      <c r="AT361" s="644">
        <f>AT41+AT52+AT63+AT74+AT85+AT212+AT344</f>
        <v>1319.6</v>
      </c>
      <c r="AU361" s="644">
        <f>AU41+AU52+AU63+AU74+AU85+AU212+AU344</f>
        <v>1399.7</v>
      </c>
      <c r="AV361" s="644">
        <f>AV41+AV52+AV63+AV74+AV85+AV212+AV344</f>
        <v>1479.3000000000002</v>
      </c>
      <c r="AW361" s="644">
        <f>AW41+AW52+AW63+AW74+AW85+AW212+AW344</f>
        <v>1659.0000000000002</v>
      </c>
      <c r="AX361" s="645">
        <f>AW361</f>
        <v>1659.0000000000002</v>
      </c>
      <c r="AY361" s="644">
        <f>AY41+AY52+AY63+AY74+AY85+AY212+AY344</f>
        <v>1838.6999999999998</v>
      </c>
      <c r="AZ361" s="644">
        <f>AZ41+AZ52+AZ63+AZ74+AZ85+AZ212+AZ344</f>
        <v>2018.3999999999996</v>
      </c>
      <c r="BA361" s="644">
        <f>BA41+BA52+BA63+BA74+BA85+BA212+BA344</f>
        <v>3148.1</v>
      </c>
      <c r="BB361" s="644">
        <f>BB41+BB52+BB63+BB74+BB85+BB212+BB344</f>
        <v>3147.7999999999997</v>
      </c>
      <c r="BC361" s="645">
        <f>BB361</f>
        <v>3147.7999999999997</v>
      </c>
      <c r="BD361" s="644">
        <f>BD41+BD52+BD63+BD74+BD85+BD212+BD344</f>
        <v>747.49999999999955</v>
      </c>
      <c r="BE361" s="644">
        <f>BE41+BE52+BE63+BE74+BE85+BE212+BE344+BE149</f>
        <v>653.09999999999957</v>
      </c>
      <c r="BF361" s="644">
        <f>BF41+BF52+BF63+BF74+BF85+BF212+BF344</f>
        <v>746.7999999999995</v>
      </c>
      <c r="BG361" s="644">
        <f>BG41+BG52+BG63+BG74+BG85+BG212+BG344</f>
        <v>746.39999999999952</v>
      </c>
      <c r="BH361" s="645">
        <f>BG361</f>
        <v>746.39999999999952</v>
      </c>
      <c r="BI361" s="644">
        <f>BI41+BI52+BI63+BI74+BI85+BI212+BI344</f>
        <v>745.99999999999955</v>
      </c>
      <c r="BJ361" s="644">
        <f>BJ41+BJ52+BJ63+BJ74+BJ85+BJ212+BJ344</f>
        <v>1306.2999999999997</v>
      </c>
      <c r="BK361" s="644">
        <f>BK41+BK52+BK63+BK74+BK85+BK212+BK344</f>
        <v>1306</v>
      </c>
      <c r="BL361" s="644">
        <f>BL41+BL52+BL63+BL74+BL85+BL212+BL344</f>
        <v>1305.5999999999999</v>
      </c>
      <c r="BM361" s="645">
        <f>BL361</f>
        <v>1305.5999999999999</v>
      </c>
      <c r="BN361" s="644">
        <f>BN41+BN52+BN63+BN74+BN85+BN212+BN344</f>
        <v>1744.8</v>
      </c>
      <c r="BO361" s="644">
        <f>BO41+BO52+BO63+BO74+BO85+BO212+BO344</f>
        <v>1744.6000000000001</v>
      </c>
      <c r="BP361" s="644">
        <f>BP41+BP52+BP63+BP74+BP85+BP212+BP344</f>
        <v>1744.5</v>
      </c>
      <c r="BQ361" s="644">
        <f>BQ41+BQ52+BQ63+BQ74+BQ85+BQ212+BQ344</f>
        <v>1744.4</v>
      </c>
      <c r="BR361" s="645">
        <f>BQ361</f>
        <v>1744.4</v>
      </c>
      <c r="BS361" s="644">
        <f>BS41+BS52+BS63+BS74+BS85+BS212+BS344</f>
        <v>1744.3000000000002</v>
      </c>
      <c r="BT361" s="644">
        <f>BT41+BT52+BT63+BT74+BT85+BT212+BT344</f>
        <v>1744.2</v>
      </c>
      <c r="BU361" s="644">
        <f>BU41+BU52+BU63+BU74+BU85+BU212+BU344</f>
        <v>1744.2</v>
      </c>
      <c r="BV361" s="644">
        <f>BV41+BV52+BV63+BV74+BV85+BV212+BV344</f>
        <v>1744.1000000000001</v>
      </c>
      <c r="BW361" s="645">
        <f>BV361</f>
        <v>1744.1000000000001</v>
      </c>
      <c r="BX361" s="644">
        <f>BX41+BX52+BX63+BX74+BX85+BX212+BX344</f>
        <v>1744</v>
      </c>
      <c r="BY361" s="644">
        <f>BY41+BY52+BY63+BY74+BY85+BY212+BY344</f>
        <v>1743.9</v>
      </c>
      <c r="BZ361" s="644">
        <f>BZ41+BZ52+BZ63+BZ74+BZ85+BZ212+BZ344</f>
        <v>1743.8000000000002</v>
      </c>
      <c r="CA361" s="644">
        <f>CA41+CA52+CA63+CA74+CA85+CA212+CA344</f>
        <v>1743.7</v>
      </c>
      <c r="CB361" s="645">
        <f>CA361</f>
        <v>1743.7</v>
      </c>
      <c r="CC361" s="644">
        <f>CC41+CC52+CC63+CC74+CC85+CC212+CC344</f>
        <v>1743.6</v>
      </c>
      <c r="CD361" s="644">
        <f>CD41+CD52+CD63+CD74+CD85+CD212+CD344</f>
        <v>1743.5</v>
      </c>
      <c r="CE361" s="644">
        <f>CE41+CE52+CE63+CE74+CE85+CE212+CE344</f>
        <v>1906.1569999999999</v>
      </c>
      <c r="CF361" s="644">
        <f>CF41+CF52+CF63+CF74+CF85+CF212+CF344</f>
        <v>1906.1969999999999</v>
      </c>
      <c r="CG361" s="645">
        <f>CF361</f>
        <v>1906.1969999999999</v>
      </c>
      <c r="CH361" s="644">
        <f>CH41+CH52+CH63+CH74+CH85+CH212+CH344</f>
        <v>1906.1969999999999</v>
      </c>
      <c r="CI361" s="644">
        <f>CI41+CI52+CI63+CI74+CI85+CI212+CI344</f>
        <v>1906.1969999999999</v>
      </c>
      <c r="CJ361" s="644">
        <f>CJ41+CJ52+CJ63+CJ74+CJ85+CJ212+CJ344</f>
        <v>1906.1969999999999</v>
      </c>
      <c r="CK361" s="644">
        <f>CK41+CK52+CK63+CK74+CK85+CK212+CK344</f>
        <v>1906.1969999999999</v>
      </c>
      <c r="CL361" s="645">
        <f>CK361</f>
        <v>1906.1969999999999</v>
      </c>
      <c r="CM361" s="644">
        <f>CM41+CM52+CM63+CM74+CM85+CM212+CM344</f>
        <v>1906.1969999999999</v>
      </c>
      <c r="CN361" s="644">
        <f>CN41+CN52+CN63+CN74+CN85+CN212+CN344</f>
        <v>1906.1969999999999</v>
      </c>
      <c r="CO361" s="644">
        <f>CO41+CO52+CO63+CO74+CO85+CO212+CO344</f>
        <v>1906.1969999999999</v>
      </c>
      <c r="CP361" s="644">
        <f>CP41+CP52+CP63+CP74+CP85+CP212+CP344</f>
        <v>1906.1969999999999</v>
      </c>
      <c r="CQ361" s="645">
        <f>CP361</f>
        <v>1906.1969999999999</v>
      </c>
      <c r="CR361" s="644">
        <f>CR41+CR52+CR63+CR74+CR85+CR212+CR344</f>
        <v>1906.1969999999999</v>
      </c>
      <c r="CS361" s="644">
        <f>CS41+CS52+CS63+CS74+CS85+CS212+CS344</f>
        <v>2242.4</v>
      </c>
      <c r="CT361" s="644">
        <f>CT41+CT52+CT63+CT74+CT85+CT212+CT344</f>
        <v>2242.4</v>
      </c>
      <c r="CU361" s="644">
        <f>CU41+CU52+CU63+CU74+CU85+CU212+CU344</f>
        <v>2242.4</v>
      </c>
      <c r="CV361" s="645">
        <f>CU361</f>
        <v>2242.4</v>
      </c>
      <c r="CW361" s="644">
        <f>CW41+CW52+CW63+CW74+CW85+CW212+CW344</f>
        <v>2242.4</v>
      </c>
      <c r="CX361" s="644">
        <f>CX41+CX52+CX63+CX74+CX85+CX212+CX344</f>
        <v>2578.6030000000001</v>
      </c>
      <c r="CY361" s="644">
        <f>CY41+CY52+CY63+CY74+CY85+CY212+CY344</f>
        <v>2578.6030000000001</v>
      </c>
      <c r="CZ361" s="644">
        <f>CZ41+CZ52+CZ63+CZ74+CZ85+CZ212+CZ344</f>
        <v>2578.6030000000001</v>
      </c>
      <c r="DA361" s="645">
        <f>CZ361</f>
        <v>2578.6030000000001</v>
      </c>
      <c r="DB361" s="644">
        <f>DB41+DB52+DB63+DB74+DB85+DB212+DB344</f>
        <v>2578.6030000000001</v>
      </c>
      <c r="DC361" s="644">
        <f>DC41+DC52+DC63+DC74+DC85+DC212+DC344</f>
        <v>2914.806</v>
      </c>
      <c r="DD361" s="644">
        <f>DD41+DD52+DD63+DD74+DD85+DD212+DD344</f>
        <v>2914.806</v>
      </c>
      <c r="DE361" s="644">
        <f>DE41+DE52+DE63+DE74+DE85+DE212+DE344</f>
        <v>2914.806</v>
      </c>
      <c r="DF361" s="645">
        <f>DE361</f>
        <v>2914.806</v>
      </c>
    </row>
    <row r="362" spans="1:110" ht="12" thickBot="1" x14ac:dyDescent="0.25">
      <c r="B362" s="548" t="s">
        <v>254</v>
      </c>
      <c r="C362" s="205"/>
      <c r="D362" s="205"/>
      <c r="E362" s="205"/>
      <c r="F362" s="205"/>
      <c r="G362" s="205"/>
      <c r="H362" s="205"/>
      <c r="I362" s="205"/>
      <c r="J362" s="205"/>
      <c r="K362" s="205"/>
      <c r="L362" s="205"/>
      <c r="M362" s="205"/>
      <c r="N362" s="205"/>
      <c r="O362" s="205"/>
      <c r="P362" s="205"/>
      <c r="Q362" s="205"/>
      <c r="R362" s="205"/>
      <c r="S362" s="549">
        <f>S49</f>
        <v>0</v>
      </c>
      <c r="T362" s="550"/>
      <c r="U362" s="639">
        <f t="shared" ref="U362:BI362" si="548">U39+U50+U61+U72+U83+U210+U342</f>
        <v>150</v>
      </c>
      <c r="V362" s="639">
        <f t="shared" si="548"/>
        <v>0</v>
      </c>
      <c r="W362" s="639">
        <f t="shared" si="548"/>
        <v>0</v>
      </c>
      <c r="X362" s="646">
        <f t="shared" si="548"/>
        <v>0</v>
      </c>
      <c r="Y362" s="640">
        <f t="shared" si="548"/>
        <v>100</v>
      </c>
      <c r="Z362" s="639">
        <f t="shared" si="548"/>
        <v>-100</v>
      </c>
      <c r="AA362" s="639">
        <f t="shared" si="548"/>
        <v>0</v>
      </c>
      <c r="AB362" s="639">
        <f t="shared" si="548"/>
        <v>0</v>
      </c>
      <c r="AC362" s="646">
        <f t="shared" si="548"/>
        <v>1510</v>
      </c>
      <c r="AD362" s="640">
        <f t="shared" si="548"/>
        <v>1410</v>
      </c>
      <c r="AE362" s="639">
        <f t="shared" si="548"/>
        <v>-39.5</v>
      </c>
      <c r="AF362" s="639">
        <f t="shared" si="548"/>
        <v>244.90000000000009</v>
      </c>
      <c r="AG362" s="639">
        <f t="shared" si="548"/>
        <v>-85</v>
      </c>
      <c r="AH362" s="646">
        <f t="shared" si="548"/>
        <v>-179.90000000000009</v>
      </c>
      <c r="AI362" s="640">
        <f t="shared" si="548"/>
        <v>-59.5</v>
      </c>
      <c r="AJ362" s="639">
        <f t="shared" si="548"/>
        <v>-90</v>
      </c>
      <c r="AK362" s="639">
        <f t="shared" si="548"/>
        <v>559.9</v>
      </c>
      <c r="AL362" s="639">
        <f t="shared" si="548"/>
        <v>60</v>
      </c>
      <c r="AM362" s="646">
        <f t="shared" si="548"/>
        <v>40</v>
      </c>
      <c r="AN362" s="640">
        <f t="shared" si="548"/>
        <v>569.9</v>
      </c>
      <c r="AO362" s="639">
        <f t="shared" si="548"/>
        <v>-60</v>
      </c>
      <c r="AP362" s="639">
        <f t="shared" si="548"/>
        <v>-60</v>
      </c>
      <c r="AQ362" s="639">
        <f t="shared" si="548"/>
        <v>-60</v>
      </c>
      <c r="AR362" s="646">
        <f t="shared" si="548"/>
        <v>-80.099999999999994</v>
      </c>
      <c r="AS362" s="640">
        <f t="shared" si="548"/>
        <v>-260.10000000000002</v>
      </c>
      <c r="AT362" s="639">
        <f t="shared" si="548"/>
        <v>-79.900000000000006</v>
      </c>
      <c r="AU362" s="639">
        <f t="shared" si="548"/>
        <v>2411.5</v>
      </c>
      <c r="AV362" s="639">
        <f t="shared" si="548"/>
        <v>-79.600000000000009</v>
      </c>
      <c r="AW362" s="646">
        <f t="shared" si="548"/>
        <v>-179.70000000000002</v>
      </c>
      <c r="AX362" s="640">
        <f t="shared" si="548"/>
        <v>-420</v>
      </c>
      <c r="AY362" s="639">
        <f t="shared" si="548"/>
        <v>-179.70000000000002</v>
      </c>
      <c r="AZ362" s="639">
        <f t="shared" si="548"/>
        <v>-179.70000000000002</v>
      </c>
      <c r="BA362" s="639">
        <f t="shared" si="548"/>
        <v>-979.69999999999993</v>
      </c>
      <c r="BB362" s="639">
        <f t="shared" si="548"/>
        <v>0.30000000000000004</v>
      </c>
      <c r="BC362" s="640">
        <f t="shared" si="548"/>
        <v>-1340.2</v>
      </c>
      <c r="BD362" s="639">
        <f t="shared" si="548"/>
        <v>0.30000000000000004</v>
      </c>
      <c r="BE362" s="639">
        <f t="shared" si="548"/>
        <v>0.30000000000000004</v>
      </c>
      <c r="BF362" s="639">
        <f t="shared" si="548"/>
        <v>-99.600000000000009</v>
      </c>
      <c r="BG362" s="646">
        <f t="shared" si="548"/>
        <v>0.4</v>
      </c>
      <c r="BH362" s="640">
        <f t="shared" si="548"/>
        <v>-99.9</v>
      </c>
      <c r="BI362" s="639">
        <f t="shared" si="548"/>
        <v>0.4</v>
      </c>
      <c r="BJ362" s="639">
        <f>BJ39+BJ50+BJ61+BJ72+BJ83+BJ210+BJ342+BJ96+BJ104+BJ127+BJ220+BJ283+BJ190+BJ334+BJ350+BJ117+BJ158+BJ229+BJ292+BJ136+BJ180+BJ251+BJ357</f>
        <v>-2617.15</v>
      </c>
      <c r="BK362" s="639">
        <f>BK39+BK50+BK61+BK72+BK83+BK210+BK342+BK96+BK104+BK127+BK220+BK283+BK190+BK334+BK350+BK117+BK158+BK229+BK292+BK136+BK180+BK251+BK357</f>
        <v>-117.40000000000066</v>
      </c>
      <c r="BL362" s="639">
        <f>BL39+BL50+BL61+BL72+BL83+BL210+BL342+BL96+BL104+BL127+BL220+BL283+BL190+BL334+BL350+BL117+BL158+BL229+BL292+BL136+BL180+BL251+BL357</f>
        <v>-2209.7999999999997</v>
      </c>
      <c r="BM362" s="640">
        <f>BM39+BM50+BM61+BM72+BM83+BM210+BM342</f>
        <v>39.5</v>
      </c>
      <c r="BN362" s="639">
        <f>BN39+BN50+BN61+BN72+BN83+BN210+BN342+BN96+BN104+BN127+BN220+BN283+BN190+BN334+BN350+BN117+BN158+BN229+BN292+BN136+BN180+BN251+BN357</f>
        <v>-468.7000000000005</v>
      </c>
      <c r="BO362" s="639">
        <f>BO39+BO50+BO61+BO72+BO83+BO210+BO342+BO96+BO104+BO127+BO220+BO283+BO190+BO334+BO350+BO117+BO158+BO229+BO292+BO136+BO180+BO251+BO357</f>
        <v>-166.79999999999981</v>
      </c>
      <c r="BP362" s="639">
        <f>BP39+BP50+BP61+BP72+BP83+BP210+BP342+BP96+BP104+BP127+BP220+BP283+BP190+BP334+BP350+BP117+BP158+BP229+BP292+BP136+BP180+BP251+BP357</f>
        <v>-166.99999999999983</v>
      </c>
      <c r="BQ362" s="639">
        <f>BQ39+BQ50+BQ61+BQ72+BQ83+BQ210+BQ342+BQ96+BQ104+BQ127+BQ220+BQ283+BQ190+BQ334+BQ350+BQ117+BQ158+BQ229+BQ292+BQ136+BQ180+BQ251+BQ357</f>
        <v>-166.69999999999993</v>
      </c>
      <c r="BR362" s="640">
        <f>BR39+BR50+BR61+BR72+BR83+BR210+BR342</f>
        <v>-39.6</v>
      </c>
      <c r="BS362" s="639">
        <f ca="1">BS39+BS50+BS61+BS72+BS83+BS210+BS342+BS96+BS104+BS127+BS220+BS283+BS190+BS334+BS350+BS117+BS158+BS229+BS292+BS136+BS180+BS251+BS357</f>
        <v>-167.9000000000002</v>
      </c>
      <c r="BT362" s="639">
        <f ca="1">BT39+BT50+BT61+BT72+BT83+BT210+BT342+BT96+BT104+BT127+BT220+BT283+BT190+BT334+BT350+BT117+BT158+BT229+BT292+BT136+BT180+BT251+BT357</f>
        <v>-167.90000000000026</v>
      </c>
      <c r="BU362" s="639">
        <f>BU39+BU50+BU61+BU72+BU83+BU210+BU342+BU96+BU104+BU127+BU220+BU283+BU190+BU334+BU350+BU117+BU158+BU229+BU292+BU136+BU180+BU251+BU357</f>
        <v>-1417.7999999999997</v>
      </c>
      <c r="BV362" s="639">
        <f>BV39+BV50+BV61+BV72+BV83+BV210+BV342+BV96+BV104+BV127+BV220+BV283+BV190+BV334+BV350+BV117+BV158+BV229+BV292+BV136+BV180+BV251+BV357</f>
        <v>-1068.0999999999999</v>
      </c>
      <c r="BW362" s="640">
        <f>BW39+BW50+BW61+BW72+BW83+BW210+BW342</f>
        <v>0</v>
      </c>
      <c r="BX362" s="639">
        <f>BX39+BX50+BX61+BX72+BX83+BX210+BX342+BX96+BX104+BX127+BX220+BX283+BX190+BX334+BX350+BX117+BX158+BX229+BX292+BX136+BX180+BX251+BX357</f>
        <v>-1167.8000000000002</v>
      </c>
      <c r="BY362" s="639">
        <f>BY39+BY50+BY61+BY72+BY83+BY210+BY342+BY96+BY104+BY127+BY220+BY283+BY190+BY334+BY350+BY117+BY158+BY229+BY292+BY136+BY180+BY251+BY357</f>
        <v>-9.0000000000003872</v>
      </c>
      <c r="BZ362" s="639">
        <f>BZ39+BZ50+BZ61+BZ72+BZ83+BZ210+BZ342+BZ96+BZ104+BZ127+BZ220+BZ283+BZ190+BZ334+BZ350+BZ117+BZ158+BZ229+BZ292+BZ136+BZ180+BZ251+BZ357</f>
        <v>1.4999999999998863</v>
      </c>
      <c r="CA362" s="639">
        <f>CA39+CA50+CA61+CA72+CA83+CA210+CA342+CA96+CA104+CA127+CA220+CA283+CA190+CA334+CA350+CA117+CA158+CA229+CA292+CA136+CA180+CA251+CA357</f>
        <v>-521.20000000000005</v>
      </c>
      <c r="CB362" s="640">
        <f>CB39+CB50+CB61+CB72+CB83+CB210+CB342</f>
        <v>0</v>
      </c>
      <c r="CC362" s="639">
        <f>CC39+CC50+CC61+CC72+CC83+CC210+CC342+CC96+CC104+CC127+CC220+CC283+CC190+CC334+CC350+CC117+CC158+CC229+CC292+CC136+CC180+CC251+CC357</f>
        <v>1.4999999999998863</v>
      </c>
      <c r="CD362" s="639">
        <f>CD39+CD50+CD61+CD72+CD83+CD210+CD342+CD96+CD104+CD127+CD220+CD283+CD190+CD334+CD350+CD117+CD158+CD229+CD292+CD136+CD180+CD251+CD357</f>
        <v>-19.500000000000114</v>
      </c>
      <c r="CE362" s="639">
        <f>CE39+CE50+CE61+CE72+CE83+CE210+CE342+CE96+CE104+CE127+CE220+CE283+CE190+CE334+CE350+CE117+CE158+CE229+CE292+CE136+CE180+CE251+CE357+CE325+CE314+CE303</f>
        <v>33.143000000000143</v>
      </c>
      <c r="CF362" s="639">
        <f>CF39+CF50+CF61+CF72+CF83+CF210+CF342+CF96+CF104+CF127+CF220+CF283+CF190+CF334+CF350+CF117+CF158+CF229+CF292+CF136+CF180+CF251+CF357+CF325+CF314+CF303</f>
        <v>-542.33999999999992</v>
      </c>
      <c r="CG362" s="640">
        <f>CG39+CG50+CG61+CG72+CG83+CG210+CG342</f>
        <v>-0.1</v>
      </c>
      <c r="CH362" s="639">
        <f t="shared" ref="CH362:CK362" si="549">CH39+CH50+CH61+CH72+CH83+CH210+CH342+CH96+CH104+CH127+CH220+CH283+CH190+CH334+CH350+CH117+CH158+CH229+CH292+CH136+CH180+CH251+CH357+CH325+CH314+CH303</f>
        <v>0</v>
      </c>
      <c r="CI362" s="639">
        <f t="shared" si="549"/>
        <v>0</v>
      </c>
      <c r="CJ362" s="639">
        <f t="shared" si="549"/>
        <v>0</v>
      </c>
      <c r="CK362" s="639">
        <f t="shared" si="549"/>
        <v>0</v>
      </c>
      <c r="CL362" s="640">
        <f>CL39+CL50+CL61+CL72+CL83+CL210+CL342</f>
        <v>0</v>
      </c>
      <c r="CM362" s="639">
        <f t="shared" ref="CM362:CP362" si="550">CM39+CM50+CM61+CM72+CM83+CM210+CM342+CM96+CM104+CM127+CM220+CM283+CM190+CM334+CM350+CM117+CM158+CM229+CM292+CM136+CM180+CM251+CM357+CM325+CM314+CM303</f>
        <v>-868.80000000000007</v>
      </c>
      <c r="CN362" s="639">
        <f t="shared" si="550"/>
        <v>0</v>
      </c>
      <c r="CO362" s="639">
        <f t="shared" si="550"/>
        <v>0</v>
      </c>
      <c r="CP362" s="639">
        <f t="shared" si="550"/>
        <v>0</v>
      </c>
      <c r="CQ362" s="640">
        <f>CQ39+CQ50+CQ61+CQ72+CQ83+CQ210+CQ342</f>
        <v>0</v>
      </c>
      <c r="CR362" s="639">
        <f t="shared" ref="CR362:CU362" si="551">CR39+CR50+CR61+CR72+CR83+CR210+CR342+CR96+CR104+CR127+CR220+CR283+CR190+CR334+CR350+CR117+CR158+CR229+CR292+CR136+CR180+CR251+CR357+CR325+CR314+CR303</f>
        <v>0</v>
      </c>
      <c r="CS362" s="639">
        <f t="shared" si="551"/>
        <v>-336.20299999999997</v>
      </c>
      <c r="CT362" s="639">
        <f t="shared" si="551"/>
        <v>0</v>
      </c>
      <c r="CU362" s="639">
        <f t="shared" si="551"/>
        <v>0</v>
      </c>
      <c r="CV362" s="640">
        <f>CV39+CV50+CV61+CV72+CV83+CV210+CV342</f>
        <v>0</v>
      </c>
      <c r="CW362" s="639">
        <f t="shared" ref="CW362:CZ362" si="552">CW39+CW50+CW61+CW72+CW83+CW210+CW342+CW96+CW104+CW127+CW220+CW283+CW190+CW334+CW350+CW117+CW158+CW229+CW292+CW136+CW180+CW251+CW357+CW325+CW314+CW303</f>
        <v>0</v>
      </c>
      <c r="CX362" s="639">
        <f t="shared" si="552"/>
        <v>-336.20299999999997</v>
      </c>
      <c r="CY362" s="639">
        <f t="shared" si="552"/>
        <v>0</v>
      </c>
      <c r="CZ362" s="639">
        <f t="shared" si="552"/>
        <v>0</v>
      </c>
      <c r="DA362" s="640">
        <f>DA39+DA50+DA61+DA72+DA83+DA210+DA342</f>
        <v>0</v>
      </c>
      <c r="DB362" s="639">
        <f t="shared" ref="DB362:DE362" si="553">DB39+DB50+DB61+DB72+DB83+DB210+DB342+DB96+DB104+DB127+DB220+DB283+DB190+DB334+DB350+DB117+DB158+DB229+DB292+DB136+DB180+DB251+DB357+DB325+DB314+DB303</f>
        <v>0</v>
      </c>
      <c r="DC362" s="639">
        <f t="shared" si="553"/>
        <v>-336.20299999999997</v>
      </c>
      <c r="DD362" s="639">
        <f t="shared" si="553"/>
        <v>0</v>
      </c>
      <c r="DE362" s="639">
        <f t="shared" si="553"/>
        <v>0</v>
      </c>
      <c r="DF362" s="640">
        <f>DF39+DF50+DF61+DF72+DF83+DF210+DF342</f>
        <v>0</v>
      </c>
    </row>
    <row r="363" spans="1:110" s="326" customFormat="1" x14ac:dyDescent="0.2">
      <c r="B363" s="355"/>
      <c r="C363" s="145"/>
      <c r="D363" s="145"/>
      <c r="E363" s="145"/>
      <c r="F363" s="145"/>
      <c r="G363" s="145"/>
      <c r="H363" s="145"/>
      <c r="I363" s="145"/>
      <c r="J363" s="145"/>
      <c r="K363" s="145"/>
      <c r="L363" s="145"/>
      <c r="M363" s="145"/>
      <c r="N363" s="145"/>
      <c r="O363" s="145"/>
      <c r="P363" s="145"/>
      <c r="Q363" s="145"/>
      <c r="R363" s="145"/>
      <c r="S363" s="346"/>
      <c r="T363" s="346"/>
      <c r="U363" s="346"/>
      <c r="V363" s="346"/>
      <c r="W363" s="346"/>
      <c r="X363" s="346"/>
      <c r="Y363" s="346"/>
      <c r="Z363" s="346"/>
      <c r="AA363" s="346"/>
      <c r="AB363" s="346"/>
      <c r="AC363" s="346"/>
      <c r="AD363" s="346"/>
      <c r="AE363" s="346"/>
      <c r="AF363" s="346"/>
      <c r="AG363" s="346"/>
      <c r="AH363" s="346"/>
      <c r="AI363" s="346"/>
      <c r="AJ363" s="346"/>
      <c r="AK363" s="346"/>
      <c r="AL363" s="346"/>
      <c r="AM363" s="346"/>
      <c r="AN363" s="346"/>
      <c r="AO363" s="346"/>
      <c r="AP363" s="346"/>
      <c r="AQ363" s="346"/>
      <c r="AR363" s="346"/>
      <c r="AS363" s="346"/>
      <c r="AT363" s="346"/>
      <c r="AU363" s="346"/>
      <c r="AV363" s="346"/>
      <c r="AW363" s="346"/>
      <c r="AX363" s="346"/>
      <c r="AY363" s="346"/>
      <c r="AZ363" s="346"/>
      <c r="BA363" s="346"/>
      <c r="BB363" s="346"/>
      <c r="BC363" s="346"/>
      <c r="BD363" s="346"/>
      <c r="BE363" s="346"/>
      <c r="BF363" s="346"/>
      <c r="BG363" s="346"/>
      <c r="BH363" s="346"/>
      <c r="BI363" s="346"/>
      <c r="BJ363" s="346"/>
      <c r="BK363" s="346"/>
      <c r="BL363" s="346"/>
      <c r="BM363" s="346"/>
      <c r="BN363" s="346"/>
      <c r="BO363" s="346"/>
      <c r="BP363" s="346"/>
      <c r="BQ363" s="346"/>
      <c r="BR363" s="346"/>
      <c r="BS363" s="346"/>
      <c r="BT363" s="346"/>
      <c r="BU363" s="346"/>
      <c r="BV363" s="346"/>
      <c r="BW363" s="346"/>
      <c r="BX363" s="346"/>
      <c r="BY363" s="346"/>
      <c r="BZ363" s="346"/>
      <c r="CA363" s="346"/>
      <c r="CB363" s="346"/>
      <c r="CC363" s="346"/>
      <c r="CD363" s="346"/>
      <c r="CE363" s="346"/>
      <c r="CF363" s="346"/>
      <c r="CG363" s="346"/>
      <c r="CH363" s="346"/>
      <c r="CI363" s="346"/>
      <c r="CJ363" s="346"/>
      <c r="CK363" s="346"/>
      <c r="CL363" s="346"/>
      <c r="CM363" s="346"/>
      <c r="CN363" s="346"/>
      <c r="CO363" s="346"/>
      <c r="CP363" s="346"/>
      <c r="CQ363" s="346"/>
      <c r="CR363" s="346"/>
      <c r="CS363" s="346"/>
      <c r="CT363" s="346"/>
      <c r="CU363" s="346"/>
      <c r="CV363" s="346"/>
      <c r="CW363" s="346"/>
      <c r="CX363" s="346"/>
      <c r="CY363" s="346"/>
      <c r="CZ363" s="346"/>
      <c r="DA363" s="346"/>
      <c r="DB363" s="346"/>
      <c r="DC363" s="346"/>
      <c r="DD363" s="346"/>
      <c r="DE363" s="346"/>
      <c r="DF363" s="346"/>
    </row>
    <row r="364" spans="1:110" s="1" customFormat="1" x14ac:dyDescent="0.2">
      <c r="D364" s="43"/>
      <c r="E364" s="43"/>
      <c r="F364" s="43"/>
      <c r="G364" s="43"/>
      <c r="H364" s="43"/>
      <c r="I364" s="43"/>
      <c r="J364" s="43"/>
      <c r="K364" s="43"/>
      <c r="L364" s="43"/>
      <c r="M364" s="43"/>
      <c r="N364" s="43"/>
      <c r="O364" s="43"/>
      <c r="P364" s="43"/>
      <c r="Q364" s="43"/>
      <c r="R364" s="43"/>
      <c r="BM364" s="10"/>
      <c r="BN364" s="10"/>
      <c r="BO364" s="10"/>
      <c r="CF364" s="1888"/>
    </row>
    <row r="365" spans="1:110" s="1" customFormat="1" x14ac:dyDescent="0.2">
      <c r="D365" s="43"/>
      <c r="E365" s="43"/>
      <c r="F365" s="43"/>
      <c r="G365" s="43"/>
      <c r="H365" s="43"/>
      <c r="I365" s="43"/>
      <c r="J365" s="43"/>
      <c r="K365" s="43"/>
      <c r="L365" s="43"/>
      <c r="M365" s="43"/>
      <c r="N365" s="43"/>
      <c r="O365" s="43"/>
      <c r="P365" s="43"/>
      <c r="Q365" s="43"/>
      <c r="R365" s="43"/>
      <c r="BM365" s="10"/>
      <c r="BN365" s="116"/>
      <c r="BO365" s="10"/>
    </row>
    <row r="366" spans="1:110" s="1" customFormat="1" x14ac:dyDescent="0.2">
      <c r="D366" s="43"/>
      <c r="E366" s="43"/>
      <c r="F366" s="43"/>
      <c r="G366" s="43"/>
      <c r="H366" s="43"/>
      <c r="I366" s="43"/>
      <c r="J366" s="43"/>
      <c r="K366" s="43"/>
      <c r="L366" s="43"/>
      <c r="M366" s="43"/>
      <c r="N366" s="43"/>
      <c r="O366" s="43"/>
      <c r="P366" s="43"/>
      <c r="Q366" s="43"/>
      <c r="R366" s="43"/>
      <c r="BM366" s="10"/>
      <c r="BN366" s="10"/>
      <c r="BO366" s="10"/>
    </row>
    <row r="367" spans="1:110" s="1" customFormat="1" x14ac:dyDescent="0.2">
      <c r="D367" s="43"/>
      <c r="E367" s="43"/>
      <c r="F367" s="43"/>
      <c r="G367" s="43"/>
      <c r="H367" s="43"/>
      <c r="I367" s="43"/>
      <c r="J367" s="43"/>
      <c r="K367" s="43"/>
      <c r="L367" s="43"/>
      <c r="M367" s="43"/>
      <c r="N367" s="43"/>
      <c r="O367" s="43"/>
      <c r="P367" s="43"/>
      <c r="Q367" s="43"/>
      <c r="R367" s="43"/>
      <c r="BM367" s="10"/>
      <c r="BN367" s="10"/>
      <c r="BO367" s="10"/>
    </row>
    <row r="368" spans="1:110" s="1" customFormat="1" x14ac:dyDescent="0.2">
      <c r="D368" s="43"/>
      <c r="E368" s="43"/>
      <c r="F368" s="43"/>
      <c r="G368" s="43"/>
      <c r="H368" s="43"/>
      <c r="I368" s="43"/>
      <c r="J368" s="43"/>
      <c r="K368" s="43"/>
      <c r="L368" s="43"/>
      <c r="M368" s="43"/>
      <c r="N368" s="43"/>
      <c r="O368" s="43"/>
      <c r="P368" s="43"/>
      <c r="Q368" s="43"/>
      <c r="R368" s="43"/>
      <c r="BM368" s="10"/>
      <c r="BN368" s="10"/>
      <c r="BO368" s="10"/>
    </row>
    <row r="369" spans="4:67" s="1" customFormat="1" x14ac:dyDescent="0.2">
      <c r="D369" s="43"/>
      <c r="E369" s="43"/>
      <c r="F369" s="43"/>
      <c r="G369" s="43"/>
      <c r="H369" s="43"/>
      <c r="I369" s="43"/>
      <c r="J369" s="43"/>
      <c r="K369" s="43"/>
      <c r="L369" s="43"/>
      <c r="M369" s="43"/>
      <c r="N369" s="43"/>
      <c r="O369" s="43"/>
      <c r="P369" s="43"/>
      <c r="Q369" s="43"/>
      <c r="R369" s="43"/>
      <c r="BM369" s="10"/>
      <c r="BN369" s="10"/>
      <c r="BO369" s="10"/>
    </row>
    <row r="370" spans="4:67" s="1" customFormat="1" x14ac:dyDescent="0.2">
      <c r="D370" s="43"/>
      <c r="E370" s="43"/>
      <c r="F370" s="43"/>
      <c r="G370" s="43"/>
      <c r="H370" s="43"/>
      <c r="I370" s="43"/>
      <c r="J370" s="43"/>
      <c r="K370" s="43"/>
      <c r="L370" s="43"/>
      <c r="M370" s="43"/>
      <c r="N370" s="43"/>
      <c r="O370" s="43"/>
      <c r="P370" s="43"/>
      <c r="Q370" s="43"/>
      <c r="R370" s="43"/>
      <c r="BM370" s="10"/>
      <c r="BN370" s="10"/>
      <c r="BO370" s="10"/>
    </row>
    <row r="371" spans="4:67" s="1" customFormat="1" x14ac:dyDescent="0.2">
      <c r="D371" s="43"/>
      <c r="E371" s="43"/>
      <c r="F371" s="43"/>
      <c r="G371" s="43"/>
      <c r="H371" s="43"/>
      <c r="I371" s="43"/>
      <c r="J371" s="43"/>
      <c r="K371" s="43"/>
      <c r="L371" s="43"/>
      <c r="M371" s="43"/>
      <c r="N371" s="43"/>
      <c r="O371" s="43"/>
      <c r="P371" s="43"/>
      <c r="Q371" s="43"/>
      <c r="R371" s="43"/>
    </row>
  </sheetData>
  <phoneticPr fontId="0" type="noConversion"/>
  <hyperlinks>
    <hyperlink ref="B5" location="Cover!A1" tooltip="Return to Cover Page" display="Cover Page"/>
  </hyperlinks>
  <pageMargins left="0.75" right="0.75" top="1" bottom="1" header="0.5" footer="0.5"/>
  <pageSetup orientation="portrait" r:id="rId1"/>
  <headerFooter alignWithMargins="0"/>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enableFormatConditionsCalculation="0">
    <tabColor indexed="57"/>
    <pageSetUpPr fitToPage="1"/>
  </sheetPr>
  <dimension ref="B1:DF43"/>
  <sheetViews>
    <sheetView showGridLines="0" zoomScaleNormal="100" zoomScaleSheetLayoutView="115" workbookViewId="0">
      <pane xSplit="3" ySplit="6" topLeftCell="AX13" activePane="bottomRight" state="frozen"/>
      <selection activeCell="J87" sqref="J87"/>
      <selection pane="topRight" activeCell="J87" sqref="J87"/>
      <selection pane="bottomLeft" activeCell="J87" sqref="J87"/>
      <selection pane="bottomRight" activeCell="CL46" sqref="CL46"/>
    </sheetView>
  </sheetViews>
  <sheetFormatPr defaultRowHeight="12.75" outlineLevelRow="1" outlineLevelCol="2" x14ac:dyDescent="0.2"/>
  <cols>
    <col min="1" max="1" width="1.42578125" customWidth="1"/>
    <col min="2" max="2" width="25.7109375" customWidth="1"/>
    <col min="3" max="3" width="5.7109375" hidden="1" customWidth="1"/>
    <col min="4" max="35" width="0" hidden="1" customWidth="1" outlineLevel="1"/>
    <col min="36" max="39" width="0" hidden="1" customWidth="1" outlineLevel="2"/>
    <col min="40" max="40" width="6.5703125" hidden="1" customWidth="1" outlineLevel="1"/>
    <col min="41" max="44" width="6.5703125" hidden="1" customWidth="1" outlineLevel="2"/>
    <col min="45" max="45" width="6.5703125" customWidth="1" collapsed="1"/>
    <col min="46" max="49" width="6.5703125" hidden="1" customWidth="1" outlineLevel="1"/>
    <col min="50" max="50" width="6.5703125" hidden="1" customWidth="1" collapsed="1"/>
    <col min="51" max="54" width="6.5703125" hidden="1" customWidth="1" outlineLevel="1"/>
    <col min="55" max="55" width="6.5703125" hidden="1" customWidth="1" collapsed="1"/>
    <col min="56" max="59" width="6.5703125" hidden="1" customWidth="1" outlineLevel="1"/>
    <col min="60" max="60" width="7.28515625" hidden="1" customWidth="1" collapsed="1"/>
    <col min="61" max="63" width="6.5703125" hidden="1" customWidth="1" outlineLevel="1"/>
    <col min="64" max="64" width="6.7109375" hidden="1" customWidth="1" outlineLevel="1"/>
    <col min="65" max="65" width="7.28515625" hidden="1" customWidth="1" collapsed="1"/>
    <col min="66" max="69" width="6.5703125" hidden="1" customWidth="1" outlineLevel="1"/>
    <col min="70" max="70" width="7.5703125" hidden="1" customWidth="1" collapsed="1"/>
    <col min="71" max="74" width="6.5703125" hidden="1" customWidth="1" outlineLevel="1"/>
    <col min="75" max="75" width="7.140625" hidden="1" customWidth="1" collapsed="1"/>
    <col min="76" max="79" width="6.5703125" hidden="1" customWidth="1" outlineLevel="1"/>
    <col min="80" max="80" width="7.28515625" hidden="1" customWidth="1" collapsed="1"/>
    <col min="81" max="84" width="6.5703125" customWidth="1" outlineLevel="1"/>
    <col min="85" max="85" width="7.28515625" customWidth="1"/>
    <col min="86" max="89" width="6.5703125" customWidth="1" outlineLevel="1"/>
    <col min="90" max="90" width="7.28515625" customWidth="1"/>
    <col min="91" max="94" width="6.5703125" hidden="1" customWidth="1" outlineLevel="1"/>
    <col min="95" max="95" width="7.28515625" customWidth="1" collapsed="1"/>
    <col min="96" max="99" width="0" hidden="1" customWidth="1" outlineLevel="1"/>
    <col min="100" max="100" width="9.140625" collapsed="1"/>
    <col min="101" max="104" width="0" hidden="1" customWidth="1" outlineLevel="1"/>
    <col min="105" max="105" width="9.140625" collapsed="1"/>
    <col min="106" max="109" width="0" hidden="1" customWidth="1" outlineLevel="1"/>
    <col min="110" max="110" width="9.140625" collapsed="1"/>
  </cols>
  <sheetData>
    <row r="1" spans="2:110" s="10" customFormat="1" ht="18.75" x14ac:dyDescent="0.3">
      <c r="B1" s="882" t="str">
        <f>Ticker</f>
        <v>ESRX</v>
      </c>
      <c r="C1" s="883"/>
      <c r="D1" s="883"/>
      <c r="E1" s="884"/>
      <c r="F1" s="885"/>
      <c r="G1" s="884"/>
      <c r="H1" s="884"/>
      <c r="I1" s="886"/>
      <c r="J1" s="884"/>
      <c r="K1" s="884"/>
      <c r="L1" s="884"/>
      <c r="M1" s="887"/>
      <c r="N1" s="887"/>
      <c r="O1" s="886"/>
      <c r="P1" s="888"/>
      <c r="Q1" s="889"/>
      <c r="R1" s="890"/>
      <c r="S1" s="890"/>
      <c r="T1" s="884"/>
      <c r="U1" s="888"/>
      <c r="V1" s="889"/>
      <c r="W1" s="884"/>
      <c r="X1" s="884"/>
      <c r="Y1" s="890"/>
      <c r="Z1" s="884"/>
      <c r="AA1" s="884"/>
      <c r="AB1" s="884"/>
      <c r="AC1" s="884"/>
      <c r="AD1" s="884"/>
      <c r="AE1" s="884"/>
      <c r="AF1" s="884"/>
      <c r="AG1" s="884"/>
      <c r="AH1" s="884"/>
      <c r="AI1" s="891"/>
      <c r="AJ1" s="884"/>
      <c r="AK1" s="884"/>
      <c r="AL1" s="884"/>
      <c r="AM1" s="884"/>
      <c r="AN1" s="884"/>
      <c r="AO1" s="884"/>
      <c r="AP1" s="884"/>
      <c r="AQ1" s="884"/>
      <c r="AR1" s="884"/>
      <c r="AS1" s="884"/>
      <c r="AT1" s="884"/>
      <c r="AU1" s="884"/>
      <c r="AV1" s="884"/>
      <c r="AW1" s="884"/>
      <c r="AX1" s="884"/>
      <c r="AY1" s="884"/>
      <c r="AZ1" s="884"/>
      <c r="BA1" s="884"/>
      <c r="BB1" s="884"/>
      <c r="BC1" s="884"/>
      <c r="BD1" s="884"/>
      <c r="BE1" s="884"/>
      <c r="BF1" s="884"/>
      <c r="BG1" s="884"/>
      <c r="BH1" s="884"/>
      <c r="BI1" s="884"/>
      <c r="BJ1" s="884"/>
      <c r="BK1" s="884"/>
      <c r="BL1" s="884"/>
      <c r="BM1" s="884"/>
      <c r="BN1" s="884"/>
      <c r="BO1" s="884"/>
      <c r="BP1" s="884"/>
      <c r="BQ1" s="892"/>
      <c r="BR1" s="892"/>
      <c r="BS1" s="892"/>
      <c r="BT1" s="892"/>
      <c r="BU1" s="892"/>
      <c r="BV1" s="892"/>
      <c r="BW1" s="892"/>
      <c r="BX1" s="892"/>
      <c r="BY1" s="892"/>
      <c r="BZ1" s="892"/>
      <c r="CA1" s="892"/>
      <c r="CB1" s="892"/>
      <c r="CC1" s="892"/>
      <c r="CD1" s="892"/>
      <c r="CE1" s="892"/>
      <c r="CF1" s="892"/>
      <c r="CG1" s="892"/>
      <c r="CH1" s="892"/>
      <c r="CI1" s="892"/>
      <c r="CJ1" s="892"/>
      <c r="CK1" s="892"/>
      <c r="CL1" s="892"/>
      <c r="CM1" s="892"/>
      <c r="CN1" s="892"/>
      <c r="CO1" s="892"/>
      <c r="CP1" s="892"/>
      <c r="CQ1" s="892"/>
      <c r="CR1" s="892"/>
      <c r="CS1" s="892"/>
      <c r="CT1" s="892"/>
      <c r="CU1" s="892"/>
      <c r="CV1" s="892"/>
      <c r="CW1" s="892"/>
      <c r="CX1" s="892"/>
      <c r="CY1" s="892"/>
      <c r="CZ1" s="892"/>
      <c r="DA1" s="892"/>
      <c r="DB1" s="892"/>
      <c r="DC1" s="892"/>
      <c r="DD1" s="892"/>
      <c r="DE1" s="892"/>
      <c r="DF1" s="892"/>
    </row>
    <row r="2" spans="2:110" s="10" customFormat="1" ht="12" thickBot="1" x14ac:dyDescent="0.25">
      <c r="B2" s="893" t="s">
        <v>362</v>
      </c>
      <c r="C2" s="884"/>
      <c r="D2" s="884"/>
      <c r="E2" s="884"/>
      <c r="F2" s="884"/>
      <c r="G2" s="894"/>
      <c r="H2" s="884"/>
      <c r="I2" s="884"/>
      <c r="J2" s="884"/>
      <c r="K2" s="886"/>
      <c r="L2" s="885"/>
      <c r="M2" s="886"/>
      <c r="N2" s="886"/>
      <c r="O2" s="884"/>
      <c r="P2" s="886"/>
      <c r="Q2" s="886"/>
      <c r="R2" s="886"/>
      <c r="S2" s="886"/>
      <c r="T2" s="889"/>
      <c r="U2" s="886"/>
      <c r="V2" s="886"/>
      <c r="W2" s="886"/>
      <c r="X2" s="889"/>
      <c r="Y2" s="889"/>
      <c r="Z2" s="884"/>
      <c r="AA2" s="884"/>
      <c r="AB2" s="884"/>
      <c r="AC2" s="891"/>
      <c r="AD2" s="884"/>
      <c r="AE2" s="895"/>
      <c r="AF2" s="896"/>
      <c r="AG2" s="889"/>
      <c r="AH2" s="884"/>
      <c r="AI2" s="897"/>
      <c r="AJ2" s="885"/>
      <c r="AK2" s="884"/>
      <c r="AL2" s="884"/>
      <c r="AM2" s="884"/>
      <c r="AN2" s="885"/>
      <c r="AO2" s="891"/>
      <c r="AP2" s="884"/>
      <c r="AQ2" s="884"/>
      <c r="AR2" s="884"/>
      <c r="AS2" s="884"/>
      <c r="AT2" s="891"/>
      <c r="AU2" s="884"/>
      <c r="AV2" s="884"/>
      <c r="AW2" s="884"/>
      <c r="AX2" s="884"/>
      <c r="AY2" s="898"/>
      <c r="AZ2" s="884"/>
      <c r="BA2" s="884"/>
      <c r="BB2" s="884"/>
      <c r="BC2" s="884"/>
      <c r="BD2" s="884"/>
      <c r="BE2" s="884"/>
      <c r="BF2" s="884"/>
      <c r="BG2" s="884"/>
      <c r="BH2" s="884"/>
      <c r="BI2" s="884"/>
      <c r="BJ2" s="884"/>
      <c r="BK2" s="884"/>
      <c r="BL2" s="884"/>
      <c r="BM2" s="884"/>
      <c r="BN2" s="884"/>
      <c r="BO2" s="884"/>
      <c r="BP2" s="884"/>
      <c r="BQ2" s="892"/>
      <c r="BR2" s="892"/>
      <c r="BS2" s="892"/>
      <c r="BT2" s="892"/>
      <c r="BU2" s="892"/>
      <c r="BV2" s="892"/>
      <c r="BW2" s="892"/>
      <c r="BX2" s="892"/>
      <c r="BY2" s="892"/>
      <c r="BZ2" s="892"/>
      <c r="CA2" s="892"/>
      <c r="CB2" s="892"/>
      <c r="CC2" s="892"/>
      <c r="CD2" s="892"/>
      <c r="CE2" s="892"/>
      <c r="CF2" s="892"/>
      <c r="CG2" s="892"/>
      <c r="CH2" s="892"/>
      <c r="CI2" s="892"/>
      <c r="CJ2" s="892"/>
      <c r="CK2" s="892"/>
      <c r="CL2" s="892"/>
      <c r="CM2" s="892"/>
      <c r="CN2" s="892"/>
      <c r="CO2" s="892"/>
      <c r="CP2" s="892"/>
      <c r="CQ2" s="892"/>
      <c r="CR2" s="892"/>
      <c r="CS2" s="892"/>
      <c r="CT2" s="892"/>
      <c r="CU2" s="892"/>
      <c r="CV2" s="892"/>
      <c r="CW2" s="892"/>
      <c r="CX2" s="892"/>
      <c r="CY2" s="892"/>
      <c r="CZ2" s="892"/>
      <c r="DA2" s="892"/>
      <c r="DB2" s="892"/>
      <c r="DC2" s="892"/>
      <c r="DD2" s="892"/>
      <c r="DE2" s="892"/>
      <c r="DF2" s="892"/>
    </row>
    <row r="3" spans="2:110" s="10" customFormat="1" ht="12" hidden="1" outlineLevel="1" thickBot="1" x14ac:dyDescent="0.25">
      <c r="B3" s="765"/>
      <c r="E3" s="162"/>
      <c r="F3" s="162">
        <v>36981</v>
      </c>
      <c r="G3" s="162">
        <v>37072</v>
      </c>
      <c r="H3" s="162">
        <v>37164</v>
      </c>
      <c r="I3" s="162">
        <v>37256</v>
      </c>
      <c r="J3" s="162"/>
      <c r="K3" s="162">
        <v>37346</v>
      </c>
      <c r="L3" s="162">
        <v>37437</v>
      </c>
      <c r="M3" s="162">
        <v>37529</v>
      </c>
      <c r="N3" s="162">
        <v>37621</v>
      </c>
      <c r="O3" s="162"/>
      <c r="P3" s="163">
        <v>37711</v>
      </c>
      <c r="Q3" s="163">
        <v>37802</v>
      </c>
      <c r="R3" s="163">
        <v>37894</v>
      </c>
      <c r="S3" s="163">
        <v>37986</v>
      </c>
      <c r="T3" s="162"/>
      <c r="U3" s="163">
        <v>38077</v>
      </c>
      <c r="V3" s="163">
        <v>38168</v>
      </c>
      <c r="W3" s="163">
        <v>38260</v>
      </c>
      <c r="X3" s="162">
        <v>38352</v>
      </c>
      <c r="Y3" s="162"/>
      <c r="Z3" s="162">
        <v>38442</v>
      </c>
      <c r="AA3" s="162">
        <v>38533</v>
      </c>
      <c r="AB3" s="162">
        <v>38625</v>
      </c>
      <c r="AC3" s="162">
        <v>38717</v>
      </c>
      <c r="AD3" s="162"/>
      <c r="AE3" s="162">
        <v>38807</v>
      </c>
      <c r="AF3" s="162">
        <v>38898</v>
      </c>
      <c r="AG3" s="162">
        <v>38990</v>
      </c>
      <c r="AH3" s="162">
        <v>39082</v>
      </c>
      <c r="AI3" s="162"/>
      <c r="AJ3" s="162">
        <v>39172</v>
      </c>
      <c r="AK3" s="162">
        <v>39263</v>
      </c>
      <c r="AL3" s="162">
        <v>39355</v>
      </c>
      <c r="AM3" s="162">
        <v>39447</v>
      </c>
      <c r="AN3" s="162"/>
      <c r="AO3" s="162">
        <v>39538</v>
      </c>
      <c r="AP3" s="162">
        <v>39629</v>
      </c>
      <c r="AQ3" s="162">
        <v>39721</v>
      </c>
      <c r="AR3" s="162">
        <v>39813</v>
      </c>
      <c r="AS3" s="162"/>
      <c r="AT3" s="162">
        <v>39903</v>
      </c>
      <c r="AU3" s="162">
        <v>39994</v>
      </c>
      <c r="AV3" s="162">
        <v>40086</v>
      </c>
      <c r="AW3" s="162">
        <v>40178</v>
      </c>
      <c r="AX3" s="162"/>
      <c r="AY3" s="162">
        <v>40268</v>
      </c>
      <c r="AZ3" s="162">
        <v>40359</v>
      </c>
      <c r="BA3" s="162">
        <v>40451</v>
      </c>
      <c r="BB3" s="162">
        <v>40543</v>
      </c>
      <c r="BC3" s="162"/>
      <c r="BD3" s="162">
        <v>40633</v>
      </c>
      <c r="BE3" s="162">
        <v>40724</v>
      </c>
      <c r="BF3" s="162">
        <v>40816</v>
      </c>
      <c r="BG3" s="162">
        <v>40908</v>
      </c>
      <c r="BH3" s="162"/>
      <c r="BI3" s="162">
        <v>40999</v>
      </c>
      <c r="BJ3" s="162">
        <v>41090</v>
      </c>
      <c r="BK3" s="162">
        <v>41182</v>
      </c>
      <c r="BL3" s="162">
        <v>41274</v>
      </c>
      <c r="BM3" s="162"/>
      <c r="BN3" s="162">
        <v>41364</v>
      </c>
      <c r="BO3" s="162">
        <v>41455</v>
      </c>
      <c r="BP3" s="162">
        <v>41547</v>
      </c>
      <c r="BQ3" s="162">
        <v>41639</v>
      </c>
      <c r="BR3" s="162"/>
      <c r="BS3" s="162">
        <v>41729</v>
      </c>
      <c r="BT3" s="162">
        <v>41820</v>
      </c>
      <c r="BU3" s="162">
        <v>41912</v>
      </c>
      <c r="BV3" s="162">
        <v>42004</v>
      </c>
      <c r="BW3" s="162"/>
      <c r="BX3" s="162">
        <v>42094</v>
      </c>
      <c r="BY3" s="162">
        <v>42185</v>
      </c>
      <c r="BZ3" s="162">
        <v>42277</v>
      </c>
      <c r="CA3" s="162">
        <v>42369</v>
      </c>
      <c r="CB3" s="162"/>
      <c r="CC3" s="162">
        <v>42094</v>
      </c>
      <c r="CD3" s="162">
        <v>42185</v>
      </c>
      <c r="CE3" s="162">
        <v>42277</v>
      </c>
      <c r="CF3" s="162">
        <v>42369</v>
      </c>
      <c r="CG3" s="162"/>
      <c r="CH3" s="162">
        <v>42094</v>
      </c>
      <c r="CI3" s="162">
        <v>42185</v>
      </c>
      <c r="CJ3" s="162">
        <v>42277</v>
      </c>
      <c r="CK3" s="162">
        <v>42369</v>
      </c>
      <c r="CL3" s="162"/>
      <c r="CM3" s="162">
        <v>42094</v>
      </c>
      <c r="CN3" s="162">
        <v>42185</v>
      </c>
      <c r="CO3" s="162">
        <v>42277</v>
      </c>
      <c r="CP3" s="162">
        <v>42369</v>
      </c>
      <c r="CQ3" s="162"/>
      <c r="CR3" s="162">
        <v>42094</v>
      </c>
      <c r="CS3" s="162">
        <v>42185</v>
      </c>
      <c r="CT3" s="162">
        <v>42277</v>
      </c>
      <c r="CU3" s="162">
        <v>42369</v>
      </c>
      <c r="CV3" s="162"/>
      <c r="CW3" s="162">
        <v>42094</v>
      </c>
      <c r="CX3" s="162">
        <v>42185</v>
      </c>
      <c r="CY3" s="162">
        <v>42277</v>
      </c>
      <c r="CZ3" s="162">
        <v>42369</v>
      </c>
      <c r="DA3" s="162"/>
      <c r="DB3" s="162">
        <v>42094</v>
      </c>
      <c r="DC3" s="162">
        <v>42185</v>
      </c>
      <c r="DD3" s="162">
        <v>42277</v>
      </c>
      <c r="DE3" s="162">
        <v>42369</v>
      </c>
      <c r="DF3" s="162"/>
    </row>
    <row r="4" spans="2:110" ht="13.5" collapsed="1" thickBot="1" x14ac:dyDescent="0.25">
      <c r="B4" s="954"/>
      <c r="C4" s="800"/>
      <c r="D4" s="826"/>
      <c r="E4" s="801"/>
      <c r="F4" s="802" t="s">
        <v>26</v>
      </c>
      <c r="G4" s="803"/>
      <c r="H4" s="803"/>
      <c r="I4" s="804"/>
      <c r="J4" s="801"/>
      <c r="K4" s="802" t="s">
        <v>27</v>
      </c>
      <c r="L4" s="803"/>
      <c r="M4" s="803"/>
      <c r="N4" s="804"/>
      <c r="O4" s="801"/>
      <c r="P4" s="802" t="s">
        <v>28</v>
      </c>
      <c r="Q4" s="803"/>
      <c r="R4" s="803"/>
      <c r="S4" s="804"/>
      <c r="T4" s="801"/>
      <c r="U4" s="802" t="s">
        <v>29</v>
      </c>
      <c r="V4" s="803"/>
      <c r="W4" s="803"/>
      <c r="X4" s="804"/>
      <c r="Y4" s="801"/>
      <c r="Z4" s="802" t="s">
        <v>30</v>
      </c>
      <c r="AA4" s="803"/>
      <c r="AB4" s="803"/>
      <c r="AC4" s="803"/>
      <c r="AD4" s="801"/>
      <c r="AE4" s="803" t="s">
        <v>31</v>
      </c>
      <c r="AF4" s="803"/>
      <c r="AG4" s="803"/>
      <c r="AH4" s="803"/>
      <c r="AI4" s="801"/>
      <c r="AJ4" s="803" t="s">
        <v>32</v>
      </c>
      <c r="AK4" s="803"/>
      <c r="AL4" s="803"/>
      <c r="AM4" s="803"/>
      <c r="AN4" s="801"/>
      <c r="AO4" s="803" t="s">
        <v>33</v>
      </c>
      <c r="AP4" s="803"/>
      <c r="AQ4" s="803"/>
      <c r="AR4" s="803"/>
      <c r="AS4" s="801"/>
      <c r="AT4" s="803" t="s">
        <v>34</v>
      </c>
      <c r="AU4" s="803"/>
      <c r="AV4" s="803"/>
      <c r="AW4" s="803"/>
      <c r="AX4" s="801"/>
      <c r="AY4" s="803" t="s">
        <v>35</v>
      </c>
      <c r="AZ4" s="803"/>
      <c r="BA4" s="803"/>
      <c r="BB4" s="803"/>
      <c r="BC4" s="801"/>
      <c r="BD4" s="803" t="s">
        <v>36</v>
      </c>
      <c r="BE4" s="803"/>
      <c r="BF4" s="803"/>
      <c r="BG4" s="803"/>
      <c r="BH4" s="801"/>
      <c r="BI4" s="803" t="s">
        <v>37</v>
      </c>
      <c r="BJ4" s="803"/>
      <c r="BK4" s="803"/>
      <c r="BL4" s="803"/>
      <c r="BM4" s="955"/>
      <c r="BN4" s="803" t="s">
        <v>331</v>
      </c>
      <c r="BO4" s="803"/>
      <c r="BP4" s="803"/>
      <c r="BQ4" s="803"/>
      <c r="BR4" s="801"/>
      <c r="BS4" s="803" t="s">
        <v>334</v>
      </c>
      <c r="BT4" s="803"/>
      <c r="BU4" s="803"/>
      <c r="BV4" s="803"/>
      <c r="BW4" s="801"/>
      <c r="BX4" s="803" t="s">
        <v>356</v>
      </c>
      <c r="BY4" s="803"/>
      <c r="BZ4" s="803"/>
      <c r="CA4" s="803"/>
      <c r="CB4" s="801"/>
      <c r="CC4" s="803" t="str">
        <f>Model!CC8</f>
        <v>Fiscal Year End, Dec 31 2016</v>
      </c>
      <c r="CD4" s="803"/>
      <c r="CE4" s="803"/>
      <c r="CF4" s="803"/>
      <c r="CG4" s="801"/>
      <c r="CH4" s="803" t="str">
        <f>Model!CH8</f>
        <v>Fiscal Year End, Dec 31 2017</v>
      </c>
      <c r="CI4" s="803"/>
      <c r="CJ4" s="803"/>
      <c r="CK4" s="803"/>
      <c r="CL4" s="801"/>
      <c r="CM4" s="803" t="str">
        <f>Model!CM8</f>
        <v>Fiscal Year End, Dec 31 2018</v>
      </c>
      <c r="CN4" s="803"/>
      <c r="CO4" s="803"/>
      <c r="CP4" s="803"/>
      <c r="CQ4" s="801"/>
      <c r="CR4" s="803" t="str">
        <f>Model!CR8</f>
        <v>Fiscal Year End, Dec 31 2019</v>
      </c>
      <c r="CS4" s="803"/>
      <c r="CT4" s="803"/>
      <c r="CU4" s="803"/>
      <c r="CV4" s="801"/>
      <c r="CW4" s="803" t="str">
        <f>Model!CW8</f>
        <v>Fiscal Year End, Dec 31 2020</v>
      </c>
      <c r="CX4" s="803"/>
      <c r="CY4" s="803"/>
      <c r="CZ4" s="803"/>
      <c r="DA4" s="801"/>
      <c r="DB4" s="803" t="str">
        <f>Model!DB8</f>
        <v>Fiscal Year End, Dec 31 2021</v>
      </c>
      <c r="DC4" s="803"/>
      <c r="DD4" s="803"/>
      <c r="DE4" s="803"/>
      <c r="DF4" s="801"/>
    </row>
    <row r="5" spans="2:110" s="10" customFormat="1" thickBot="1" x14ac:dyDescent="0.25">
      <c r="B5" s="956"/>
      <c r="C5" s="808"/>
      <c r="D5" s="827" t="str">
        <f>Model!D9</f>
        <v>1999A</v>
      </c>
      <c r="E5" s="828" t="str">
        <f>Model!E9</f>
        <v>2000A</v>
      </c>
      <c r="F5" s="810" t="str">
        <f>Model!F9</f>
        <v>1Q01A</v>
      </c>
      <c r="G5" s="810" t="str">
        <f>Model!G9</f>
        <v>2Q01A</v>
      </c>
      <c r="H5" s="810" t="str">
        <f>Model!H9</f>
        <v>3Q01A</v>
      </c>
      <c r="I5" s="810" t="str">
        <f>Model!I9</f>
        <v>4Q01A</v>
      </c>
      <c r="J5" s="828" t="str">
        <f>Model!J9</f>
        <v>2001A</v>
      </c>
      <c r="K5" s="810" t="str">
        <f>Model!K9</f>
        <v>1Q02A</v>
      </c>
      <c r="L5" s="810" t="str">
        <f>Model!L9</f>
        <v>2Q02A</v>
      </c>
      <c r="M5" s="810" t="str">
        <f>Model!M9</f>
        <v>3Q02A</v>
      </c>
      <c r="N5" s="810" t="str">
        <f>Model!N9</f>
        <v>4Q02A</v>
      </c>
      <c r="O5" s="828" t="str">
        <f>Model!O9</f>
        <v>2002A</v>
      </c>
      <c r="P5" s="811" t="str">
        <f>Model!P9</f>
        <v>1Q03A</v>
      </c>
      <c r="Q5" s="810" t="str">
        <f>Model!Q9</f>
        <v>2Q03A</v>
      </c>
      <c r="R5" s="810" t="str">
        <f>Model!R9</f>
        <v>3Q03A</v>
      </c>
      <c r="S5" s="812" t="str">
        <f>Model!S9</f>
        <v>4Q03A</v>
      </c>
      <c r="T5" s="828" t="str">
        <f>Model!T9</f>
        <v>2003A</v>
      </c>
      <c r="U5" s="810" t="str">
        <f>Model!U9</f>
        <v>1QA</v>
      </c>
      <c r="V5" s="810" t="str">
        <f>Model!V9</f>
        <v>2QA</v>
      </c>
      <c r="W5" s="810" t="str">
        <f>Model!W9</f>
        <v>3QA</v>
      </c>
      <c r="X5" s="810" t="str">
        <f>Model!X9</f>
        <v>4QA</v>
      </c>
      <c r="Y5" s="828" t="str">
        <f>Model!Y9</f>
        <v>2004A</v>
      </c>
      <c r="Z5" s="810" t="str">
        <f>Model!Z9</f>
        <v>1QA</v>
      </c>
      <c r="AA5" s="810" t="str">
        <f>Model!AA9</f>
        <v>2QA</v>
      </c>
      <c r="AB5" s="810" t="str">
        <f>Model!AB9</f>
        <v>3QA</v>
      </c>
      <c r="AC5" s="810" t="str">
        <f>Model!AC9</f>
        <v>4QA</v>
      </c>
      <c r="AD5" s="829" t="str">
        <f>Model!AD9</f>
        <v>2005A</v>
      </c>
      <c r="AE5" s="810" t="str">
        <f>Model!AE9</f>
        <v>1QA</v>
      </c>
      <c r="AF5" s="810" t="str">
        <f>Model!AF9</f>
        <v>2QA</v>
      </c>
      <c r="AG5" s="810" t="str">
        <f>Model!AG9</f>
        <v>3QA</v>
      </c>
      <c r="AH5" s="810" t="str">
        <f>Model!AH9</f>
        <v>4QA</v>
      </c>
      <c r="AI5" s="829" t="str">
        <f>Model!AI9</f>
        <v>2006A</v>
      </c>
      <c r="AJ5" s="810" t="str">
        <f>Model!AJ9</f>
        <v>1QA</v>
      </c>
      <c r="AK5" s="810" t="str">
        <f>Model!AK9</f>
        <v>2QA</v>
      </c>
      <c r="AL5" s="810" t="str">
        <f>Model!AL9</f>
        <v>3QA</v>
      </c>
      <c r="AM5" s="810" t="str">
        <f>Model!AM9</f>
        <v>4QA</v>
      </c>
      <c r="AN5" s="813" t="str">
        <f>Model!AN9</f>
        <v>2007A</v>
      </c>
      <c r="AO5" s="810" t="str">
        <f>Model!AO9</f>
        <v>1QA</v>
      </c>
      <c r="AP5" s="810" t="str">
        <f>Model!AP9</f>
        <v>2QA</v>
      </c>
      <c r="AQ5" s="810" t="str">
        <f>Model!AQ9</f>
        <v>3QA</v>
      </c>
      <c r="AR5" s="810" t="str">
        <f>Model!AR9</f>
        <v>4QA</v>
      </c>
      <c r="AS5" s="809" t="str">
        <f>Model!AS9</f>
        <v>2008A</v>
      </c>
      <c r="AT5" s="810" t="str">
        <f>Model!AT9</f>
        <v>1QA</v>
      </c>
      <c r="AU5" s="810" t="str">
        <f>Model!AU9</f>
        <v>2QA</v>
      </c>
      <c r="AV5" s="810" t="str">
        <f>Model!AV9</f>
        <v>3QA</v>
      </c>
      <c r="AW5" s="810" t="str">
        <f>Model!AW9</f>
        <v>4QA</v>
      </c>
      <c r="AX5" s="809" t="str">
        <f>Model!AX9</f>
        <v>2009A</v>
      </c>
      <c r="AY5" s="810" t="str">
        <f>Model!AY9</f>
        <v>1QA</v>
      </c>
      <c r="AZ5" s="810" t="str">
        <f>Model!AZ9</f>
        <v>2QA</v>
      </c>
      <c r="BA5" s="810" t="str">
        <f>Model!BA9</f>
        <v>3QA</v>
      </c>
      <c r="BB5" s="810" t="str">
        <f>Model!BB9</f>
        <v>4QA</v>
      </c>
      <c r="BC5" s="809" t="str">
        <f>Model!BC9</f>
        <v>2010A</v>
      </c>
      <c r="BD5" s="810" t="str">
        <f>Model!BD9</f>
        <v>1QA</v>
      </c>
      <c r="BE5" s="810" t="str">
        <f>Model!BE9</f>
        <v>2QA</v>
      </c>
      <c r="BF5" s="810" t="str">
        <f>Model!BF9</f>
        <v>3QA</v>
      </c>
      <c r="BG5" s="810" t="str">
        <f>Model!BG9</f>
        <v>4QA</v>
      </c>
      <c r="BH5" s="809" t="str">
        <f>Model!BH9</f>
        <v>2011A</v>
      </c>
      <c r="BI5" s="810" t="str">
        <f>Model!BI9</f>
        <v>1QA</v>
      </c>
      <c r="BJ5" s="810" t="str">
        <f>Model!BJ9</f>
        <v>2QA</v>
      </c>
      <c r="BK5" s="810" t="str">
        <f>Model!BK9</f>
        <v>3QA</v>
      </c>
      <c r="BL5" s="810" t="str">
        <f>Model!BL9</f>
        <v>4QA</v>
      </c>
      <c r="BM5" s="957" t="str">
        <f>Model!BM9</f>
        <v>2012A</v>
      </c>
      <c r="BN5" s="810" t="str">
        <f>Model!BN9</f>
        <v>1QA</v>
      </c>
      <c r="BO5" s="810" t="str">
        <f>Model!BO9</f>
        <v>2QA</v>
      </c>
      <c r="BP5" s="810" t="str">
        <f>Model!BP9</f>
        <v>3QA</v>
      </c>
      <c r="BQ5" s="810" t="str">
        <f>Model!BQ9</f>
        <v>4QA</v>
      </c>
      <c r="BR5" s="809" t="str">
        <f>Model!BR9</f>
        <v>2013A</v>
      </c>
      <c r="BS5" s="810" t="str">
        <f>Model!BS9</f>
        <v>1QA</v>
      </c>
      <c r="BT5" s="810" t="str">
        <f>Model!BT9</f>
        <v>2QA</v>
      </c>
      <c r="BU5" s="810" t="str">
        <f>Model!BU9</f>
        <v>3QA</v>
      </c>
      <c r="BV5" s="810" t="str">
        <f>Model!BV9</f>
        <v>4QA</v>
      </c>
      <c r="BW5" s="809" t="str">
        <f>Model!BW9</f>
        <v>2014A</v>
      </c>
      <c r="BX5" s="810" t="str">
        <f>Model!BX9</f>
        <v>1QA</v>
      </c>
      <c r="BY5" s="810" t="str">
        <f>Model!BY9</f>
        <v>2QA</v>
      </c>
      <c r="BZ5" s="810" t="str">
        <f>Model!BZ9</f>
        <v>3QA</v>
      </c>
      <c r="CA5" s="810" t="str">
        <f>Model!CA9</f>
        <v>4QA</v>
      </c>
      <c r="CB5" s="809" t="str">
        <f>Model!CB9</f>
        <v>2015A</v>
      </c>
      <c r="CC5" s="810" t="str">
        <f>Model!CC9</f>
        <v>1QA</v>
      </c>
      <c r="CD5" s="810" t="str">
        <f>Model!CD9</f>
        <v>2QA</v>
      </c>
      <c r="CE5" s="810" t="str">
        <f>Model!CE9</f>
        <v>3QA</v>
      </c>
      <c r="CF5" s="810" t="str">
        <f>Model!CF9</f>
        <v>4QA</v>
      </c>
      <c r="CG5" s="809" t="str">
        <f>Model!CG9</f>
        <v>2016A</v>
      </c>
      <c r="CH5" s="810" t="str">
        <f>Model!CH9</f>
        <v>1QA</v>
      </c>
      <c r="CI5" s="810" t="str">
        <f>Model!CI9</f>
        <v>2QA</v>
      </c>
      <c r="CJ5" s="810" t="str">
        <f>Model!CJ9</f>
        <v>3QA</v>
      </c>
      <c r="CK5" s="810" t="str">
        <f>Model!CK9</f>
        <v>4QA</v>
      </c>
      <c r="CL5" s="809" t="str">
        <f>Model!CL9</f>
        <v>2017A</v>
      </c>
      <c r="CM5" s="810" t="str">
        <f>Model!CM9</f>
        <v>1QE</v>
      </c>
      <c r="CN5" s="810" t="str">
        <f>Model!CN9</f>
        <v>2QE</v>
      </c>
      <c r="CO5" s="810" t="str">
        <f>Model!CO9</f>
        <v>3QE</v>
      </c>
      <c r="CP5" s="810" t="str">
        <f>Model!CP9</f>
        <v>4QE</v>
      </c>
      <c r="CQ5" s="809" t="str">
        <f>Model!CQ9</f>
        <v>2018E</v>
      </c>
      <c r="CR5" s="810" t="str">
        <f>Model!CR9</f>
        <v>1QE</v>
      </c>
      <c r="CS5" s="810" t="str">
        <f>Model!CS9</f>
        <v>2QE</v>
      </c>
      <c r="CT5" s="810" t="str">
        <f>Model!CT9</f>
        <v>3QE</v>
      </c>
      <c r="CU5" s="810" t="str">
        <f>Model!CU9</f>
        <v>4QE</v>
      </c>
      <c r="CV5" s="809" t="str">
        <f>Model!CV9</f>
        <v>2019E</v>
      </c>
      <c r="CW5" s="810" t="str">
        <f>Model!CW9</f>
        <v>1QE</v>
      </c>
      <c r="CX5" s="810" t="str">
        <f>Model!CX9</f>
        <v>2QE</v>
      </c>
      <c r="CY5" s="810" t="str">
        <f>Model!CY9</f>
        <v>3QE</v>
      </c>
      <c r="CZ5" s="810" t="str">
        <f>Model!CZ9</f>
        <v>4QE</v>
      </c>
      <c r="DA5" s="809" t="str">
        <f>Model!DA9</f>
        <v>2020E</v>
      </c>
      <c r="DB5" s="810" t="str">
        <f>Model!DB9</f>
        <v>1QE</v>
      </c>
      <c r="DC5" s="810" t="str">
        <f>Model!DC9</f>
        <v>2QE</v>
      </c>
      <c r="DD5" s="810" t="str">
        <f>Model!DD9</f>
        <v>3QE</v>
      </c>
      <c r="DE5" s="810" t="str">
        <f>Model!DE9</f>
        <v>4QE</v>
      </c>
      <c r="DF5" s="809" t="str">
        <f>Model!DF9</f>
        <v>2021E</v>
      </c>
    </row>
    <row r="6" spans="2:110" s="77" customFormat="1" ht="12" thickBot="1" x14ac:dyDescent="0.25">
      <c r="B6" s="958" t="s">
        <v>150</v>
      </c>
      <c r="C6" s="959"/>
      <c r="D6" s="959"/>
      <c r="E6" s="960"/>
      <c r="F6" s="819"/>
      <c r="G6" s="819"/>
      <c r="H6" s="819"/>
      <c r="I6" s="819"/>
      <c r="J6" s="819"/>
      <c r="K6" s="819"/>
      <c r="L6" s="819"/>
      <c r="M6" s="819"/>
      <c r="N6" s="819"/>
      <c r="O6" s="819"/>
      <c r="P6" s="819"/>
      <c r="Q6" s="819"/>
      <c r="R6" s="819"/>
      <c r="S6" s="819"/>
      <c r="T6" s="819"/>
      <c r="U6" s="819"/>
      <c r="V6" s="819"/>
      <c r="W6" s="819"/>
      <c r="X6" s="819"/>
      <c r="Y6" s="819"/>
      <c r="Z6" s="819"/>
      <c r="AA6" s="819"/>
      <c r="AB6" s="819"/>
      <c r="AC6" s="819"/>
      <c r="AD6" s="819"/>
      <c r="AE6" s="819"/>
      <c r="AF6" s="819"/>
      <c r="AG6" s="819"/>
      <c r="AH6" s="819"/>
      <c r="AI6" s="819"/>
      <c r="AJ6" s="819"/>
      <c r="AK6" s="819"/>
      <c r="AL6" s="819"/>
      <c r="AM6" s="819"/>
      <c r="AN6" s="819"/>
      <c r="AO6" s="819"/>
      <c r="AP6" s="819"/>
      <c r="AQ6" s="819"/>
      <c r="AR6" s="819"/>
      <c r="AS6" s="819"/>
      <c r="AT6" s="819"/>
      <c r="AU6" s="819"/>
      <c r="AV6" s="819"/>
      <c r="AW6" s="819"/>
      <c r="AX6" s="819"/>
      <c r="AY6" s="819"/>
      <c r="AZ6" s="819"/>
      <c r="BA6" s="819"/>
      <c r="BB6" s="819"/>
      <c r="BC6" s="819"/>
      <c r="BD6" s="819"/>
      <c r="BE6" s="819"/>
      <c r="BF6" s="819"/>
      <c r="BG6" s="819"/>
      <c r="BH6" s="819"/>
      <c r="BI6" s="819"/>
      <c r="BJ6" s="819"/>
      <c r="BK6" s="819"/>
      <c r="BL6" s="819"/>
      <c r="BM6" s="961"/>
      <c r="BN6" s="819"/>
      <c r="BO6" s="819"/>
      <c r="BP6" s="819"/>
      <c r="BQ6" s="819"/>
      <c r="BR6" s="819"/>
      <c r="BS6" s="819"/>
      <c r="BT6" s="819"/>
      <c r="BU6" s="819"/>
      <c r="BV6" s="819"/>
      <c r="BW6" s="819"/>
      <c r="BX6" s="819"/>
      <c r="BY6" s="819"/>
      <c r="BZ6" s="819"/>
      <c r="CA6" s="819"/>
      <c r="CB6" s="872"/>
      <c r="CC6" s="819"/>
      <c r="CD6" s="819"/>
      <c r="CE6" s="819"/>
      <c r="CF6" s="819"/>
      <c r="CG6" s="872"/>
      <c r="CH6" s="819"/>
      <c r="CI6" s="819"/>
      <c r="CJ6" s="819"/>
      <c r="CK6" s="819"/>
      <c r="CL6" s="872"/>
      <c r="CM6" s="819"/>
      <c r="CN6" s="819"/>
      <c r="CO6" s="819"/>
      <c r="CP6" s="819"/>
      <c r="CQ6" s="872"/>
      <c r="CR6" s="819"/>
      <c r="CS6" s="819"/>
      <c r="CT6" s="819"/>
      <c r="CU6" s="819"/>
      <c r="CV6" s="872"/>
      <c r="CW6" s="819"/>
      <c r="CX6" s="819"/>
      <c r="CY6" s="819"/>
      <c r="CZ6" s="819"/>
      <c r="DA6" s="872"/>
      <c r="DB6" s="819"/>
      <c r="DC6" s="819"/>
      <c r="DD6" s="819"/>
      <c r="DE6" s="819"/>
      <c r="DF6" s="872"/>
    </row>
    <row r="7" spans="2:110" s="77" customFormat="1" ht="11.25" x14ac:dyDescent="0.2">
      <c r="B7" s="780" t="s">
        <v>179</v>
      </c>
      <c r="C7" s="256"/>
      <c r="D7" s="256"/>
      <c r="E7" s="249"/>
      <c r="F7" s="165"/>
      <c r="G7" s="165"/>
      <c r="H7" s="165"/>
      <c r="I7" s="165"/>
      <c r="J7" s="250"/>
      <c r="K7" s="249">
        <f>(Revenue!K12+Revenue!K14+Revenue!K16)/Revenue!K77</f>
        <v>18.253703422822188</v>
      </c>
      <c r="L7" s="249">
        <f>(Revenue!L12+Revenue!L14+Revenue!L16)/Revenue!L77</f>
        <v>20.630281627968575</v>
      </c>
      <c r="M7" s="249">
        <f>(Revenue!M12+Revenue!M14+Revenue!M16)/Revenue!M77</f>
        <v>21.151998266694349</v>
      </c>
      <c r="N7" s="249">
        <f>(Revenue!N12+Revenue!N14+Revenue!N16)/Revenue!N77</f>
        <v>16.563688473947963</v>
      </c>
      <c r="O7" s="250">
        <f>(Revenue!O12+Revenue!O14+Revenue!O16)/Revenue!O77</f>
        <v>19.148628354024829</v>
      </c>
      <c r="P7" s="249">
        <f>(Revenue!P12+Revenue!P14+Revenue!P16)/Revenue!P77</f>
        <v>18.25804136872231</v>
      </c>
      <c r="Q7" s="249">
        <f>(Revenue!Q12+Revenue!Q14+Revenue!Q16)/Revenue!Q77</f>
        <v>18.977753792154505</v>
      </c>
      <c r="R7" s="249">
        <f>(Revenue!R12+Revenue!R14+Revenue!R16)/Revenue!R77</f>
        <v>19.010985309739098</v>
      </c>
      <c r="S7" s="249">
        <f>(Revenue!S12+Revenue!S14+Revenue!S16)/Revenue!S77</f>
        <v>19.130072874758238</v>
      </c>
      <c r="T7" s="250">
        <f>(Revenue!T12+Revenue!T14+Revenue!T16)/Revenue!T77</f>
        <v>18.844828880529164</v>
      </c>
      <c r="U7" s="249">
        <f>(Revenue!U12+Revenue!U14+Revenue!U16)/Revenue!U77</f>
        <v>19.206939057261192</v>
      </c>
      <c r="V7" s="249">
        <f>(Revenue!V12+Revenue!V14+Revenue!V16)/Revenue!V77</f>
        <v>18.914123968528116</v>
      </c>
      <c r="W7" s="249">
        <f>(Revenue!W12+Revenue!W14+Revenue!W16)/Revenue!W77</f>
        <v>17.31139908552537</v>
      </c>
      <c r="X7" s="249">
        <f>(Revenue!X12+Revenue!X14+Revenue!X16)/Revenue!X77</f>
        <v>17.275251798561154</v>
      </c>
      <c r="Y7" s="250">
        <f>(Revenue!Y12+Revenue!Y14+Revenue!Y16)/Revenue!Y77</f>
        <v>18.134539855611429</v>
      </c>
      <c r="Z7" s="249">
        <f>(Revenue!Z12+Revenue!Z14+Revenue!Z16)/Revenue!Z77</f>
        <v>16.23342736248237</v>
      </c>
      <c r="AA7" s="249">
        <f>(Revenue!AA12+Revenue!AA14+Revenue!AA16)/Revenue!AA77</f>
        <v>16.49467707594038</v>
      </c>
      <c r="AB7" s="249">
        <f>(Revenue!AB12+Revenue!AB14+Revenue!AB16)/Revenue!AB77</f>
        <v>16.10948905109489</v>
      </c>
      <c r="AC7" s="249">
        <f>(Revenue!AC12+Revenue!AC14+Revenue!AC16)/Revenue!AC77</f>
        <v>16.258692628650902</v>
      </c>
      <c r="AD7" s="250">
        <f>(Revenue!AD12+Revenue!AD14+Revenue!AD16)/Revenue!AD77</f>
        <v>16.275066548358474</v>
      </c>
      <c r="AE7" s="249">
        <f>(Revenue!AE12+Revenue!AE14+Revenue!AE16)/Revenue!AE77</f>
        <v>16.286879169755373</v>
      </c>
      <c r="AF7" s="249">
        <f>(Revenue!AF12+Revenue!AF14+Revenue!AF16)/Revenue!AF77</f>
        <v>16.971450617283953</v>
      </c>
      <c r="AG7" s="249">
        <f>(Revenue!AG12+Revenue!AG14+Revenue!AG16)/Revenue!AG77</f>
        <v>17.2744</v>
      </c>
      <c r="AH7" s="249">
        <f>(Revenue!AH12+Revenue!AH14+Revenue!AH16)/Revenue!AH77</f>
        <v>17.793076923076921</v>
      </c>
      <c r="AI7" s="250">
        <f>(Revenue!AI12+Revenue!AI14+Revenue!AI16)/Revenue!AI77</f>
        <v>17.07218479307026</v>
      </c>
      <c r="AJ7" s="249">
        <f>(Revenue!AJ12+Revenue!AJ14+Revenue!AJ16)/Revenue!AJ77</f>
        <v>25.528906249999999</v>
      </c>
      <c r="AK7" s="249">
        <f>(Revenue!AK12+Revenue!AK14+Revenue!AK16)/Revenue!AK77</f>
        <v>25.958730158730159</v>
      </c>
      <c r="AL7" s="249">
        <f>(Revenue!AL12+Revenue!AL14+Revenue!AL16)/Revenue!AL77</f>
        <v>25.701372074253431</v>
      </c>
      <c r="AM7" s="249">
        <f>(Revenue!AM12+Revenue!AM14+Revenue!AM16)/Revenue!AM77</f>
        <v>25.584496124031009</v>
      </c>
      <c r="AN7" s="250">
        <f>(Revenue!AN12+Revenue!AN14+Revenue!AN16)/Revenue!AN77</f>
        <v>25.692049713947522</v>
      </c>
      <c r="AO7" s="249">
        <f ca="1">(Revenue!AO12+Revenue!AO14+Revenue!AO16)/Revenue!AO77</f>
        <v>39.010645061805747</v>
      </c>
      <c r="AP7" s="249">
        <f ca="1">(Revenue!AP12+Revenue!AP14+Revenue!AP16)/Revenue!AP77</f>
        <v>39.734942013894752</v>
      </c>
      <c r="AQ7" s="249">
        <f ca="1">(Revenue!AQ12+Revenue!AQ14+Revenue!AQ16)/Revenue!AQ77</f>
        <v>40.604991276897017</v>
      </c>
      <c r="AR7" s="249">
        <f ca="1">(Revenue!AR12+Revenue!AR14+Revenue!AR16)/Revenue!AR77</f>
        <v>40.92087145869003</v>
      </c>
      <c r="AS7" s="250">
        <f ca="1">(Revenue!AS12+Revenue!AS14+Revenue!AS16)/Revenue!AS77</f>
        <v>40.05435202716054</v>
      </c>
      <c r="AT7" s="249">
        <f ca="1">(Revenue!AT12+Revenue!AT14+Revenue!AT16)/Revenue!AT77</f>
        <v>40.547945205479451</v>
      </c>
      <c r="AU7" s="249">
        <f ca="1">(Revenue!AU12+Revenue!AU14+Revenue!AU16)/Revenue!AU77</f>
        <v>40.60589171974523</v>
      </c>
      <c r="AV7" s="249">
        <f ca="1">(Revenue!AV12+Revenue!AV14+Revenue!AV16)/Revenue!AV77</f>
        <v>41.025336500395881</v>
      </c>
      <c r="AW7" s="249">
        <f ca="1">(Revenue!AW12+Revenue!AW14+Revenue!AW16)/Revenue!AW77</f>
        <v>50.544631306597672</v>
      </c>
      <c r="AX7" s="250">
        <f ca="1">(Revenue!AX12+Revenue!AX14+Revenue!AX16)/Revenue!AX77</f>
        <v>43.588013569543911</v>
      </c>
      <c r="AY7" s="249">
        <f ca="1">(Revenue!AY12+Revenue!AY14+Revenue!AY16)/Revenue!AY77</f>
        <v>57.773847802786712</v>
      </c>
      <c r="AZ7" s="249">
        <f ca="1">(Revenue!AZ12+Revenue!AZ14+Revenue!AZ16)/Revenue!AZ77</f>
        <v>57.558434690639878</v>
      </c>
      <c r="BA7" s="249">
        <f ca="1">(Revenue!BA12+Revenue!BA14+Revenue!BA16)/Revenue!BA77</f>
        <v>57.974852862493307</v>
      </c>
      <c r="BB7" s="249">
        <f ca="1">(Revenue!BB12+Revenue!BB14+Revenue!BB16)/Revenue!BB77</f>
        <v>57.138525875588073</v>
      </c>
      <c r="BC7" s="250">
        <f ca="1">(Revenue!BC12+Revenue!BC14+Revenue!BC16)/Revenue!BC77</f>
        <v>57.608436132113006</v>
      </c>
      <c r="BD7" s="249">
        <f ca="1">(Revenue!BD12+Revenue!BD14+Revenue!BD16)/Revenue!BD77</f>
        <v>51.675778643844239</v>
      </c>
      <c r="BE7" s="249">
        <f>(Revenue!BE12+Revenue!BE14+Revenue!BE16)/Revenue!BE77</f>
        <v>52.820684887910623</v>
      </c>
      <c r="BF7" s="249">
        <f>(Revenue!BF12+Revenue!BF14+Revenue!BF16)/Revenue!BF77</f>
        <v>53.976497913187934</v>
      </c>
      <c r="BG7" s="249">
        <f>(Revenue!BG12+Revenue!BG14+Revenue!BG16)/Revenue!BG77</f>
        <v>53.827222146632543</v>
      </c>
      <c r="BH7" s="250">
        <f ca="1">(Revenue!BH12+Revenue!BH14+Revenue!BH16)/Revenue!BH77</f>
        <v>53.083773475792484</v>
      </c>
      <c r="BI7" s="249">
        <f ca="1">(Revenue!BI12+Revenue!BI14+Revenue!BI16)/Revenue!BI77</f>
        <v>54.330202322439277</v>
      </c>
      <c r="BJ7" s="249">
        <f ca="1">(Revenue!BJ12+Revenue!BJ14+Revenue!BJ16)/Revenue!BJ77</f>
        <v>60.37920847683931</v>
      </c>
      <c r="BK7" s="249">
        <f ca="1">(Revenue!BK12+Revenue!BK14+Revenue!BK16)/Revenue!BK77</f>
        <v>59.331492275331065</v>
      </c>
      <c r="BL7" s="249">
        <f ca="1">(Revenue!BL12+Revenue!BL14+Revenue!BL16)/Revenue!BL77</f>
        <v>58.31854466324608</v>
      </c>
      <c r="BM7" s="791">
        <f ca="1">(Revenue!BM12+Revenue!BM14+Revenue!BM16)/Revenue!BM77</f>
        <v>58.637508014314449</v>
      </c>
      <c r="BN7" s="249">
        <f ca="1">(Revenue!BN12+Revenue!BN14+Revenue!BN16)/Revenue!BN77</f>
        <v>58.709960408964626</v>
      </c>
      <c r="BO7" s="249">
        <f ca="1">(Revenue!BO12+Revenue!BO14+Revenue!BO16)/Revenue!BO77</f>
        <v>62.522646496937938</v>
      </c>
      <c r="BP7" s="249">
        <f ca="1">(Revenue!BP12+Revenue!BP14+Revenue!BP16)/Revenue!BP77</f>
        <v>63.181327681153356</v>
      </c>
      <c r="BQ7" s="249">
        <f ca="1">(Revenue!BQ12+Revenue!BQ14+Revenue!BQ16)/Revenue!BQ77</f>
        <v>62.458508979173359</v>
      </c>
      <c r="BR7" s="250">
        <f ca="1">(Revenue!BR12+Revenue!BR14+Revenue!BR16)/Revenue!BR77</f>
        <v>61.658983399660507</v>
      </c>
      <c r="BS7" s="249">
        <f ca="1">(Revenue!BS12+Revenue!BS14+Revenue!BS16)/Revenue!BS77</f>
        <v>64.635514241112688</v>
      </c>
      <c r="BT7" s="249">
        <f ca="1">(Revenue!BT12+Revenue!BT14+Revenue!BT16)/Revenue!BT77</f>
        <v>67.39208159908317</v>
      </c>
      <c r="BU7" s="249">
        <f ca="1">(Revenue!BU12+Revenue!BU14+Revenue!BU16)/Revenue!BU77</f>
        <v>68.186682676871641</v>
      </c>
      <c r="BV7" s="249">
        <f ca="1">(Revenue!BV12+Revenue!BV14+Revenue!BV16)/Revenue!BV77</f>
        <v>67.916060032078917</v>
      </c>
      <c r="BW7" s="250">
        <f ca="1">(Revenue!BW12+Revenue!BW14+Revenue!BW16)/Revenue!BW77</f>
        <v>67.068959338053489</v>
      </c>
      <c r="BX7" s="249">
        <f ca="1">(Revenue!BX12+Revenue!BX14+Revenue!BX16)/Revenue!BX77</f>
        <v>70.146799765120377</v>
      </c>
      <c r="BY7" s="249">
        <f ca="1">(Revenue!BY12+Revenue!BY14+Revenue!BY16)/Revenue!BY77</f>
        <v>68.342769058295957</v>
      </c>
      <c r="BZ7" s="249">
        <f ca="1">(Revenue!BZ12+Revenue!BZ14+Revenue!BZ16)/Revenue!BZ77</f>
        <v>65.998904709748089</v>
      </c>
      <c r="CA7" s="249">
        <f ca="1">(Revenue!CA12+Revenue!CA14+Revenue!CA16)/Revenue!CA77</f>
        <v>66.011345646438002</v>
      </c>
      <c r="CB7" s="250">
        <f ca="1">(Revenue!CB12+Revenue!CB14+Revenue!CB16)/Revenue!CB77</f>
        <v>67.562291897891242</v>
      </c>
      <c r="CC7" s="249">
        <f ca="1">(Revenue!CC12+Revenue!CC14+Revenue!CC16)/Revenue!CC77</f>
        <v>66.365703059219754</v>
      </c>
      <c r="CD7" s="249">
        <f ca="1">(Revenue!CD12+Revenue!CD14+Revenue!CD16)/Revenue!CD77</f>
        <v>68.598053249355857</v>
      </c>
      <c r="CE7" s="249">
        <f ca="1">(Revenue!CE12+Revenue!CE14+Revenue!CE16)/Revenue!CE77</f>
        <v>69.397291846730056</v>
      </c>
      <c r="CF7" s="249">
        <f ca="1">(Revenue!CF12+Revenue!CF14+Revenue!CF16)/Revenue!CF77</f>
        <v>66.479008171315854</v>
      </c>
      <c r="CG7" s="250">
        <f ca="1">(Revenue!CG12+Revenue!CG14+Revenue!CG16)/Revenue!CG77</f>
        <v>67.695794259732892</v>
      </c>
      <c r="CH7" s="249">
        <f ca="1">(Revenue!CH12+Revenue!CH14+Revenue!CH16)/Revenue!CH77</f>
        <v>66.221779926073353</v>
      </c>
      <c r="CI7" s="249">
        <f ca="1">(Revenue!CI12+Revenue!CI14+Revenue!CI16)/Revenue!CI77</f>
        <v>68.079188107489983</v>
      </c>
      <c r="CJ7" s="249">
        <f ca="1">(Revenue!CJ12+Revenue!CJ14+Revenue!CJ16)/Revenue!CJ77</f>
        <v>67.481373690337591</v>
      </c>
      <c r="CK7" s="249">
        <f ca="1">(Revenue!CK12+Revenue!CK14+Revenue!CK16)/Revenue!CK77</f>
        <v>66.57834823827362</v>
      </c>
      <c r="CL7" s="250">
        <f ca="1">(Revenue!CL12+Revenue!CL14+Revenue!CL16)/Revenue!CL77</f>
        <v>67.085071242185563</v>
      </c>
      <c r="CM7" s="249">
        <f ca="1">(Revenue!CM12+Revenue!CM14+Revenue!CM16)/Revenue!CM77</f>
        <v>68.040664484330662</v>
      </c>
      <c r="CN7" s="249">
        <f ca="1">(Revenue!CN12+Revenue!CN14+Revenue!CN16)/Revenue!CN77</f>
        <v>69.946654395483108</v>
      </c>
      <c r="CO7" s="249">
        <f ca="1">(Revenue!CO12+Revenue!CO14+Revenue!CO16)/Revenue!CO77</f>
        <v>69.000698626047381</v>
      </c>
      <c r="CP7" s="249">
        <f ca="1">(Revenue!CP12+Revenue!CP14+Revenue!CP16)/Revenue!CP77</f>
        <v>67.949511226239153</v>
      </c>
      <c r="CQ7" s="250">
        <f ca="1">(Revenue!CQ12+Revenue!CQ14+Revenue!CQ16)/Revenue!CQ77</f>
        <v>68.724505599105186</v>
      </c>
      <c r="CR7" s="249">
        <f ca="1">(Revenue!CR12+Revenue!CR14+Revenue!CR16)/Revenue!CR77</f>
        <v>71.938184937188524</v>
      </c>
      <c r="CS7" s="249">
        <f ca="1">(Revenue!CS12+Revenue!CS14+Revenue!CS16)/Revenue!CS77</f>
        <v>74.348205811875374</v>
      </c>
      <c r="CT7" s="249">
        <f ca="1">(Revenue!CT12+Revenue!CT14+Revenue!CT16)/Revenue!CT77</f>
        <v>73.516695988301848</v>
      </c>
      <c r="CU7" s="249">
        <f ca="1">(Revenue!CU12+Revenue!CU14+Revenue!CU16)/Revenue!CU77</f>
        <v>72.394767247560537</v>
      </c>
      <c r="CV7" s="250">
        <f ca="1">(Revenue!CV12+Revenue!CV14+Revenue!CV16)/Revenue!CV77</f>
        <v>73.04124436666082</v>
      </c>
      <c r="CW7" s="249">
        <f ca="1">(Revenue!CW12+Revenue!CW14+Revenue!CW16)/Revenue!CW77</f>
        <v>75.430101152508641</v>
      </c>
      <c r="CX7" s="249">
        <f ca="1">(Revenue!CX12+Revenue!CX14+Revenue!CX16)/Revenue!CX77</f>
        <v>77.972884186357859</v>
      </c>
      <c r="CY7" s="249">
        <f ca="1">(Revenue!CY12+Revenue!CY14+Revenue!CY16)/Revenue!CY77</f>
        <v>77.263297606806717</v>
      </c>
      <c r="CZ7" s="249">
        <f ca="1">(Revenue!CZ12+Revenue!CZ14+Revenue!CZ16)/Revenue!CZ77</f>
        <v>75.939166150470896</v>
      </c>
      <c r="DA7" s="250">
        <f ca="1">(Revenue!DA12+Revenue!DA14+Revenue!DA16)/Revenue!DA77</f>
        <v>76.642742632346057</v>
      </c>
      <c r="DB7" s="249">
        <f ca="1">(Revenue!DB12+Revenue!DB14+Revenue!DB16)/Revenue!DB77</f>
        <v>80.274626821844663</v>
      </c>
      <c r="DC7" s="249">
        <f ca="1">(Revenue!DC12+Revenue!DC14+Revenue!DC16)/Revenue!DC77</f>
        <v>82.993623611270806</v>
      </c>
      <c r="DD7" s="249">
        <f ca="1">(Revenue!DD12+Revenue!DD14+Revenue!DD16)/Revenue!DD77</f>
        <v>82.418736919460443</v>
      </c>
      <c r="DE7" s="249">
        <f ca="1">(Revenue!DE12+Revenue!DE14+Revenue!DE16)/Revenue!DE77</f>
        <v>80.8535401188104</v>
      </c>
      <c r="DF7" s="250">
        <f ca="1">(Revenue!DF12+Revenue!DF14+Revenue!DF16)/Revenue!DF77</f>
        <v>81.62600944255108</v>
      </c>
    </row>
    <row r="8" spans="2:110" s="77" customFormat="1" ht="11.25" x14ac:dyDescent="0.2">
      <c r="B8" s="781" t="s">
        <v>174</v>
      </c>
      <c r="C8" s="255"/>
      <c r="D8" s="255"/>
      <c r="E8" s="252"/>
      <c r="J8" s="136"/>
      <c r="K8" s="252"/>
      <c r="L8" s="252"/>
      <c r="M8" s="252"/>
      <c r="N8" s="252"/>
      <c r="O8" s="136"/>
      <c r="P8" s="66">
        <f t="shared" ref="P8:AT8" si="0">P7/K7-1</f>
        <v>2.3764744061183229E-4</v>
      </c>
      <c r="Q8" s="66">
        <f t="shared" si="0"/>
        <v>-8.0102049289221933E-2</v>
      </c>
      <c r="R8" s="66">
        <f t="shared" si="0"/>
        <v>-0.10122036367251697</v>
      </c>
      <c r="S8" s="66">
        <f t="shared" si="0"/>
        <v>0.15494039294730677</v>
      </c>
      <c r="T8" s="136">
        <f t="shared" si="0"/>
        <v>-1.5865338648750282E-2</v>
      </c>
      <c r="U8" s="66">
        <f t="shared" si="0"/>
        <v>5.1971494059841028E-2</v>
      </c>
      <c r="V8" s="66">
        <f t="shared" si="0"/>
        <v>-3.3528637963832209E-3</v>
      </c>
      <c r="W8" s="66">
        <f t="shared" si="0"/>
        <v>-8.9400217638538226E-2</v>
      </c>
      <c r="X8" s="66">
        <f t="shared" si="0"/>
        <v>-9.6958390505897385E-2</v>
      </c>
      <c r="Y8" s="136">
        <f t="shared" si="0"/>
        <v>-3.7691455275118968E-2</v>
      </c>
      <c r="Z8" s="66">
        <f t="shared" si="0"/>
        <v>-0.15481444939841593</v>
      </c>
      <c r="AA8" s="66">
        <f t="shared" si="0"/>
        <v>-0.12791747038422396</v>
      </c>
      <c r="AB8" s="66">
        <f t="shared" si="0"/>
        <v>-6.9428821350172476E-2</v>
      </c>
      <c r="AC8" s="66">
        <f t="shared" si="0"/>
        <v>-5.8844825057480232E-2</v>
      </c>
      <c r="AD8" s="136">
        <f t="shared" si="0"/>
        <v>-0.10253766139412535</v>
      </c>
      <c r="AE8" s="66">
        <f t="shared" si="0"/>
        <v>3.2927000613891533E-3</v>
      </c>
      <c r="AF8" s="66">
        <f t="shared" si="0"/>
        <v>2.8904690837446401E-2</v>
      </c>
      <c r="AG8" s="66">
        <f t="shared" si="0"/>
        <v>7.2312097870412373E-2</v>
      </c>
      <c r="AH8" s="66">
        <f t="shared" si="0"/>
        <v>9.4373165756399313E-2</v>
      </c>
      <c r="AI8" s="136">
        <f t="shared" si="0"/>
        <v>4.8977879281985714E-2</v>
      </c>
      <c r="AJ8" s="66">
        <f t="shared" si="0"/>
        <v>0.56745230218242226</v>
      </c>
      <c r="AK8" s="66">
        <f t="shared" si="0"/>
        <v>0.52955282044620522</v>
      </c>
      <c r="AL8" s="66">
        <f t="shared" si="0"/>
        <v>0.48783008812192796</v>
      </c>
      <c r="AM8" s="66">
        <f t="shared" si="0"/>
        <v>0.4378904916017603</v>
      </c>
      <c r="AN8" s="136">
        <f t="shared" si="0"/>
        <v>0.50490695979205524</v>
      </c>
      <c r="AO8" s="66">
        <f t="shared" ca="1" si="0"/>
        <v>0.52809700030943341</v>
      </c>
      <c r="AP8" s="66">
        <f t="shared" ca="1" si="0"/>
        <v>0.53069667780076402</v>
      </c>
      <c r="AQ8" s="66">
        <f t="shared" ca="1" si="0"/>
        <v>0.57987640346926894</v>
      </c>
      <c r="AR8" s="66">
        <f t="shared" ca="1" si="0"/>
        <v>0.59944019457369224</v>
      </c>
      <c r="AS8" s="136">
        <f t="shared" ca="1" si="0"/>
        <v>0.55901737981676525</v>
      </c>
      <c r="AT8" s="66">
        <f t="shared" ca="1" si="0"/>
        <v>3.9407196195759164E-2</v>
      </c>
      <c r="AU8" s="66">
        <f t="shared" ref="AU8:BL8" ca="1" si="1">AU7/AP7-1</f>
        <v>2.1918987714790727E-2</v>
      </c>
      <c r="AV8" s="66">
        <f t="shared" ca="1" si="1"/>
        <v>1.0352057968253447E-2</v>
      </c>
      <c r="AW8" s="66">
        <f t="shared" ca="1" si="1"/>
        <v>0.23517973847704865</v>
      </c>
      <c r="AX8" s="136">
        <f t="shared" ca="1" si="1"/>
        <v>8.8221662904126363E-2</v>
      </c>
      <c r="AY8" s="66">
        <f t="shared" ca="1" si="1"/>
        <v>0.42482800324440206</v>
      </c>
      <c r="AZ8" s="66">
        <f t="shared" ca="1" si="1"/>
        <v>0.41748973493546537</v>
      </c>
      <c r="BA8" s="66">
        <f ca="1">BA7/AV7-1</f>
        <v>0.41314752803877353</v>
      </c>
      <c r="BB8" s="66">
        <f t="shared" ca="1" si="1"/>
        <v>0.13045687343117862</v>
      </c>
      <c r="BC8" s="136">
        <f ca="1">BC7/AX7-1</f>
        <v>0.32165775437781208</v>
      </c>
      <c r="BD8" s="66">
        <f t="shared" ca="1" si="1"/>
        <v>-0.10555068410465696</v>
      </c>
      <c r="BE8" s="66">
        <f t="shared" ca="1" si="1"/>
        <v>-8.231199872257311E-2</v>
      </c>
      <c r="BF8" s="66">
        <f ca="1">BF7/BA7-1</f>
        <v>-6.8967056437190144E-2</v>
      </c>
      <c r="BG8" s="66">
        <f t="shared" ca="1" si="1"/>
        <v>-5.7952207870491379E-2</v>
      </c>
      <c r="BH8" s="136">
        <f ca="1">BH7/BC7-1</f>
        <v>-7.8541667854759134E-2</v>
      </c>
      <c r="BI8" s="66">
        <f t="shared" ca="1" si="1"/>
        <v>5.1366883059269286E-2</v>
      </c>
      <c r="BJ8" s="66">
        <f t="shared" ca="1" si="1"/>
        <v>0.14309779596702366</v>
      </c>
      <c r="BK8" s="66">
        <f ca="1">BK7/BF7-1</f>
        <v>9.9209740705218374E-2</v>
      </c>
      <c r="BL8" s="66">
        <f t="shared" ca="1" si="1"/>
        <v>8.3439611733605146E-2</v>
      </c>
      <c r="BM8" s="792">
        <f ca="1">BM7/BH7-1</f>
        <v>0.10462207516303645</v>
      </c>
      <c r="BN8" s="66">
        <f t="shared" ref="BN8:BV8" ca="1" si="2">BN7/BI7-1</f>
        <v>8.0613689979145198E-2</v>
      </c>
      <c r="BO8" s="66">
        <f t="shared" ca="1" si="2"/>
        <v>3.5499604485885738E-2</v>
      </c>
      <c r="BP8" s="66">
        <f ca="1">BP7/BK7-1</f>
        <v>6.4886879769632477E-2</v>
      </c>
      <c r="BQ8" s="66">
        <f t="shared" ca="1" si="2"/>
        <v>7.0988813932738593E-2</v>
      </c>
      <c r="BR8" s="136">
        <f ca="1">BR7/BM7-1</f>
        <v>5.1528031931515006E-2</v>
      </c>
      <c r="BS8" s="66">
        <f t="shared" ca="1" si="2"/>
        <v>0.10092927658052497</v>
      </c>
      <c r="BT8" s="66">
        <f t="shared" ca="1" si="2"/>
        <v>7.7882741294127866E-2</v>
      </c>
      <c r="BU8" s="66">
        <f ca="1">BU7/BP7-1</f>
        <v>7.9222061001598121E-2</v>
      </c>
      <c r="BV8" s="66">
        <f t="shared" ca="1" si="2"/>
        <v>8.7378823832079622E-2</v>
      </c>
      <c r="BW8" s="136">
        <f t="shared" ref="BW8:CB8" ca="1" si="3">BW7/BR7-1</f>
        <v>8.7740271410682524E-2</v>
      </c>
      <c r="BX8" s="66">
        <f t="shared" ca="1" si="3"/>
        <v>8.5267141272346025E-2</v>
      </c>
      <c r="BY8" s="66">
        <f t="shared" ca="1" si="3"/>
        <v>1.4106812501629484E-2</v>
      </c>
      <c r="BZ8" s="66">
        <f t="shared" ca="1" si="3"/>
        <v>-3.2085121041760645E-2</v>
      </c>
      <c r="CA8" s="66">
        <f t="shared" ca="1" si="3"/>
        <v>-2.8045124890066608E-2</v>
      </c>
      <c r="CB8" s="136">
        <f t="shared" ca="1" si="3"/>
        <v>7.3556018269369527E-3</v>
      </c>
      <c r="CC8" s="66">
        <f t="shared" ref="CC8:CL8" ca="1" si="4">CC7/BX7-1</f>
        <v>-5.3902625901128043E-2</v>
      </c>
      <c r="CD8" s="66">
        <f t="shared" ca="1" si="4"/>
        <v>3.7353504193273768E-3</v>
      </c>
      <c r="CE8" s="66">
        <f t="shared" ca="1" si="4"/>
        <v>5.1491568715079428E-2</v>
      </c>
      <c r="CF8" s="66">
        <f t="shared" ca="1" si="4"/>
        <v>7.084577966077088E-3</v>
      </c>
      <c r="CG8" s="136">
        <f t="shared" ca="1" si="4"/>
        <v>1.9759892403208301E-3</v>
      </c>
      <c r="CH8" s="66">
        <f t="shared" ca="1" si="4"/>
        <v>-2.1686372103671969E-3</v>
      </c>
      <c r="CI8" s="66">
        <f t="shared" ca="1" si="4"/>
        <v>-7.5638464546476936E-3</v>
      </c>
      <c r="CJ8" s="66">
        <f t="shared" ca="1" si="4"/>
        <v>-2.7607967190188543E-2</v>
      </c>
      <c r="CK8" s="66">
        <f t="shared" ca="1" si="4"/>
        <v>1.4943072962485537E-3</v>
      </c>
      <c r="CL8" s="136">
        <f t="shared" ca="1" si="4"/>
        <v>-9.0215799109192307E-3</v>
      </c>
      <c r="CM8" s="66">
        <f t="shared" ref="CM8:CV8" ca="1" si="5">CM7/CH7-1</f>
        <v>2.7466561005877743E-2</v>
      </c>
      <c r="CN8" s="66">
        <f t="shared" ca="1" si="5"/>
        <v>2.743079551778127E-2</v>
      </c>
      <c r="CO8" s="66">
        <f t="shared" ca="1" si="5"/>
        <v>2.251473040074381E-2</v>
      </c>
      <c r="CP8" s="66">
        <f t="shared" ca="1" si="5"/>
        <v>2.0594728229939685E-2</v>
      </c>
      <c r="CQ8" s="136">
        <f t="shared" ca="1" si="5"/>
        <v>2.4438139910458734E-2</v>
      </c>
      <c r="CR8" s="66">
        <f t="shared" ca="1" si="5"/>
        <v>5.7282222071117994E-2</v>
      </c>
      <c r="CS8" s="66">
        <f t="shared" ca="1" si="5"/>
        <v>6.2927261560011161E-2</v>
      </c>
      <c r="CT8" s="66">
        <f t="shared" ca="1" si="5"/>
        <v>6.5448574466312692E-2</v>
      </c>
      <c r="CU8" s="66">
        <f t="shared" ca="1" si="5"/>
        <v>6.5419985237580525E-2</v>
      </c>
      <c r="CV8" s="136">
        <f t="shared" ca="1" si="5"/>
        <v>6.2812220035990185E-2</v>
      </c>
      <c r="CW8" s="66">
        <f t="shared" ref="CW8" ca="1" si="6">CW7/CR7-1</f>
        <v>4.8540510416950511E-2</v>
      </c>
      <c r="CX8" s="66">
        <f t="shared" ref="CX8" ca="1" si="7">CX7/CS7-1</f>
        <v>4.8752734984003121E-2</v>
      </c>
      <c r="CY8" s="66">
        <f t="shared" ref="CY8" ca="1" si="8">CY7/CT7-1</f>
        <v>5.0962595205598316E-2</v>
      </c>
      <c r="CZ8" s="66">
        <f t="shared" ref="CZ8" ca="1" si="9">CZ7/CU7-1</f>
        <v>4.895932451567897E-2</v>
      </c>
      <c r="DA8" s="136">
        <f t="shared" ref="DA8" ca="1" si="10">DA7/CV7-1</f>
        <v>4.9307734238562828E-2</v>
      </c>
      <c r="DB8" s="66">
        <f t="shared" ref="DB8" ca="1" si="11">DB7/CW7-1</f>
        <v>6.4225363552689707E-2</v>
      </c>
      <c r="DC8" s="66">
        <f t="shared" ref="DC8" ca="1" si="12">DC7/CX7-1</f>
        <v>6.4390838908988002E-2</v>
      </c>
      <c r="DD8" s="66">
        <f t="shared" ref="DD8" ca="1" si="13">DD7/CY7-1</f>
        <v>6.6725592517287824E-2</v>
      </c>
      <c r="DE8" s="66">
        <f t="shared" ref="DE8" ca="1" si="14">DE7/CZ7-1</f>
        <v>6.4714615888747495E-2</v>
      </c>
      <c r="DF8" s="136">
        <f t="shared" ref="DF8" ca="1" si="15">DF7/DA7-1</f>
        <v>6.5019421788044207E-2</v>
      </c>
    </row>
    <row r="9" spans="2:110" s="77" customFormat="1" ht="11.25" x14ac:dyDescent="0.2">
      <c r="B9" s="781"/>
      <c r="C9" s="255"/>
      <c r="D9" s="255"/>
      <c r="E9" s="252"/>
      <c r="J9" s="136"/>
      <c r="K9" s="252"/>
      <c r="L9" s="252"/>
      <c r="M9" s="252"/>
      <c r="N9" s="252"/>
      <c r="O9" s="136"/>
      <c r="P9" s="66"/>
      <c r="Q9" s="66"/>
      <c r="R9" s="66"/>
      <c r="S9" s="66"/>
      <c r="T9" s="136"/>
      <c r="U9" s="66"/>
      <c r="V9" s="66"/>
      <c r="W9" s="66"/>
      <c r="X9" s="66"/>
      <c r="Y9" s="136"/>
      <c r="Z9" s="66"/>
      <c r="AA9" s="66"/>
      <c r="AB9" s="66"/>
      <c r="AC9" s="66"/>
      <c r="AD9" s="136"/>
      <c r="AE9" s="66"/>
      <c r="AF9" s="66"/>
      <c r="AG9" s="66"/>
      <c r="AH9" s="66"/>
      <c r="AI9" s="136"/>
      <c r="AJ9" s="66"/>
      <c r="AK9" s="66"/>
      <c r="AL9" s="66"/>
      <c r="AM9" s="66"/>
      <c r="AN9" s="136"/>
      <c r="AO9" s="66"/>
      <c r="AP9" s="66"/>
      <c r="AQ9" s="66"/>
      <c r="AR9" s="66"/>
      <c r="AS9" s="136"/>
      <c r="AT9" s="66"/>
      <c r="AU9" s="66"/>
      <c r="AV9" s="66"/>
      <c r="AW9" s="66"/>
      <c r="AX9" s="136"/>
      <c r="AY9" s="66"/>
      <c r="AZ9" s="66"/>
      <c r="BA9" s="66"/>
      <c r="BB9" s="66"/>
      <c r="BC9" s="136"/>
      <c r="BD9" s="66"/>
      <c r="BE9" s="66"/>
      <c r="BF9" s="66"/>
      <c r="BG9" s="66"/>
      <c r="BH9" s="136"/>
      <c r="BI9" s="66"/>
      <c r="BJ9" s="66"/>
      <c r="BK9" s="66"/>
      <c r="BL9" s="66"/>
      <c r="BM9" s="792"/>
      <c r="BN9" s="66"/>
      <c r="BO9" s="66"/>
      <c r="BP9" s="66"/>
      <c r="BQ9" s="66"/>
      <c r="BR9" s="136"/>
      <c r="BS9" s="66"/>
      <c r="BT9" s="66"/>
      <c r="BU9" s="66"/>
      <c r="BV9" s="66"/>
      <c r="BW9" s="136"/>
      <c r="BX9" s="66"/>
      <c r="BY9" s="66"/>
      <c r="BZ9" s="66"/>
      <c r="CA9" s="66"/>
      <c r="CB9" s="136"/>
      <c r="CC9" s="66"/>
      <c r="CD9" s="66"/>
      <c r="CE9" s="66"/>
      <c r="CF9" s="66"/>
      <c r="CG9" s="136"/>
      <c r="CH9" s="66"/>
      <c r="CI9" s="66"/>
      <c r="CJ9" s="66"/>
      <c r="CK9" s="66"/>
      <c r="CL9" s="136"/>
      <c r="CM9" s="66"/>
      <c r="CN9" s="66"/>
      <c r="CO9" s="66"/>
      <c r="CP9" s="66"/>
      <c r="CQ9" s="136"/>
      <c r="CR9" s="66"/>
      <c r="CS9" s="66"/>
      <c r="CT9" s="66"/>
      <c r="CU9" s="66"/>
      <c r="CV9" s="136"/>
      <c r="CW9" s="66"/>
      <c r="CX9" s="66"/>
      <c r="CY9" s="66"/>
      <c r="CZ9" s="66"/>
      <c r="DA9" s="136"/>
      <c r="DB9" s="66"/>
      <c r="DC9" s="66"/>
      <c r="DD9" s="66"/>
      <c r="DE9" s="66"/>
      <c r="DF9" s="136"/>
    </row>
    <row r="10" spans="2:110" s="10" customFormat="1" ht="11.25" x14ac:dyDescent="0.2">
      <c r="B10" s="782" t="s">
        <v>180</v>
      </c>
      <c r="C10" s="182"/>
      <c r="D10" s="252"/>
      <c r="E10" s="116"/>
      <c r="F10" s="116"/>
      <c r="G10" s="116"/>
      <c r="H10" s="116"/>
      <c r="I10" s="116"/>
      <c r="J10" s="253"/>
      <c r="K10" s="258">
        <v>1.77</v>
      </c>
      <c r="L10" s="258">
        <v>1.87</v>
      </c>
      <c r="M10" s="258">
        <v>1.91</v>
      </c>
      <c r="N10" s="258">
        <v>1.93</v>
      </c>
      <c r="O10" s="253">
        <f>Model!O14/Revenue!O77</f>
        <v>1.873652928969312</v>
      </c>
      <c r="P10" s="258">
        <v>1.75</v>
      </c>
      <c r="Q10" s="258">
        <v>1.79</v>
      </c>
      <c r="R10" s="258">
        <v>1.79</v>
      </c>
      <c r="S10" s="258">
        <v>1.9</v>
      </c>
      <c r="T10" s="253">
        <f>Model!T14/Revenue!T77</f>
        <v>1.8065720219873707</v>
      </c>
      <c r="U10" s="258">
        <v>1.77</v>
      </c>
      <c r="V10" s="258">
        <v>1.78</v>
      </c>
      <c r="W10" s="258">
        <v>1.77</v>
      </c>
      <c r="X10" s="259">
        <v>1.9</v>
      </c>
      <c r="Y10" s="253">
        <f>Model!Y14/Revenue!Y77</f>
        <v>1.8121016708813809</v>
      </c>
      <c r="Z10" s="259">
        <v>1.87</v>
      </c>
      <c r="AA10" s="259">
        <v>1.96</v>
      </c>
      <c r="AB10" s="259">
        <v>2.14</v>
      </c>
      <c r="AC10" s="259">
        <v>2.5299999999999998</v>
      </c>
      <c r="AD10" s="253">
        <f>Model!AD14/Revenue!AD77</f>
        <v>2.1281277728482708</v>
      </c>
      <c r="AE10" s="259">
        <v>2.5499999999999998</v>
      </c>
      <c r="AF10" s="259">
        <v>2.81</v>
      </c>
      <c r="AG10" s="258">
        <v>2.99</v>
      </c>
      <c r="AH10" s="259">
        <v>3.15</v>
      </c>
      <c r="AI10" s="253">
        <f>Model!AI14/Revenue!AI77</f>
        <v>2.8415784408084712</v>
      </c>
      <c r="AJ10" s="258">
        <v>3.26</v>
      </c>
      <c r="AK10" s="258">
        <v>3.52</v>
      </c>
      <c r="AL10" s="258">
        <v>3.59</v>
      </c>
      <c r="AM10" s="258">
        <v>3.6</v>
      </c>
      <c r="AN10" s="253">
        <f>Model!AN14/Revenue!AN77</f>
        <v>3.4580785164726802</v>
      </c>
      <c r="AO10" s="258">
        <v>3.62</v>
      </c>
      <c r="AP10" s="258">
        <v>3.94</v>
      </c>
      <c r="AQ10" s="258">
        <v>4.21</v>
      </c>
      <c r="AR10" s="258">
        <v>4.3</v>
      </c>
      <c r="AS10" s="253">
        <f ca="1">Model!AS14/Revenue!AS77</f>
        <v>4.0337777836447977</v>
      </c>
      <c r="AT10" s="116">
        <f>Model!AT14/Revenue!AT77</f>
        <v>4.3037872683319938</v>
      </c>
      <c r="AU10" s="116">
        <f>Model!AU14/Revenue!AU77</f>
        <v>4.7292993630573248</v>
      </c>
      <c r="AV10" s="116">
        <f>Model!AV14/Revenue!AV77</f>
        <v>4.8503562945368133</v>
      </c>
      <c r="AW10" s="116">
        <f>Model!AW14/Revenue!AW77</f>
        <v>4.571151358344113</v>
      </c>
      <c r="AX10" s="253">
        <f>Model!AX14/Revenue!AX77</f>
        <v>4.6125141349415779</v>
      </c>
      <c r="AY10" s="116">
        <f>Model!AY14/Revenue!AY77</f>
        <v>3.8553054662379402</v>
      </c>
      <c r="AZ10" s="116">
        <f>Model!AZ14/Revenue!AZ77</f>
        <v>4.112638815441569</v>
      </c>
      <c r="BA10" s="116">
        <f>Model!BA14/Revenue!BA77</f>
        <v>4.3215623327982815</v>
      </c>
      <c r="BB10" s="116">
        <f>Model!BB14/Revenue!BB77</f>
        <v>4.358076319916365</v>
      </c>
      <c r="BC10" s="253">
        <f>Model!BC14/Revenue!BC77</f>
        <v>4.1630189680328948</v>
      </c>
      <c r="BD10" s="116">
        <f>Model!BD14/Revenue!BD77</f>
        <v>3.7210368196127455</v>
      </c>
      <c r="BE10" s="116">
        <f>Model!BE14/Revenue!BE77</f>
        <v>3.9047058458495134</v>
      </c>
      <c r="BF10" s="116">
        <f>Model!BF14/Revenue!BF77</f>
        <v>4.166128215680466</v>
      </c>
      <c r="BG10" s="116">
        <f>Model!BG14/Revenue!BG77</f>
        <v>4.1333374376809546</v>
      </c>
      <c r="BH10" s="253">
        <f>Model!BH14/Revenue!BH77</f>
        <v>3.9830614281950147</v>
      </c>
      <c r="BI10" s="116">
        <f>Model!BI14/Revenue!BI77</f>
        <v>3.9982159495817156</v>
      </c>
      <c r="BJ10" s="116">
        <f>Model!BJ14/Revenue!BJ77</f>
        <v>4.8192552226598346</v>
      </c>
      <c r="BK10" s="116">
        <f>Model!BK14/Revenue!BK77</f>
        <v>4.9349933750135682</v>
      </c>
      <c r="BL10" s="116">
        <f>Model!BL14/Revenue!BL77</f>
        <v>5.1493088993061598</v>
      </c>
      <c r="BM10" s="793">
        <f>Model!BM14/Revenue!BM77</f>
        <v>4.8349836529173462</v>
      </c>
      <c r="BN10" s="116">
        <f>Model!BN14/Revenue!BN77</f>
        <v>4.7231963415885678</v>
      </c>
      <c r="BO10" s="116">
        <f>Model!BO14/Revenue!BO77</f>
        <v>5.3265021314436911</v>
      </c>
      <c r="BP10" s="116">
        <f>Model!BP14/Revenue!BP77</f>
        <v>5.230005012159233</v>
      </c>
      <c r="BQ10" s="116">
        <f>Model!BQ14/Revenue!BQ77</f>
        <v>5.4774264074783581</v>
      </c>
      <c r="BR10" s="253">
        <f>Model!BR14/Revenue!BR77</f>
        <v>5.1809572262182826</v>
      </c>
      <c r="BS10" s="116">
        <f>Model!BS14/Revenue!BS77</f>
        <v>5.3358576343595701</v>
      </c>
      <c r="BT10" s="116">
        <f>Model!BT14/Revenue!BT77</f>
        <v>5.9745108796568278</v>
      </c>
      <c r="BU10" s="116">
        <f>Model!BU14/Revenue!BU77</f>
        <v>5.9512882622868837</v>
      </c>
      <c r="BV10" s="116">
        <f>Model!BV14/Revenue!BV77</f>
        <v>6.1683404612504535</v>
      </c>
      <c r="BW10" s="253">
        <f>Model!BW14/Revenue!BW77</f>
        <v>5.8628083107782958</v>
      </c>
      <c r="BX10" s="116">
        <f>Model!BX14/Revenue!BX77</f>
        <v>5.6150910158543743</v>
      </c>
      <c r="BY10" s="116">
        <f>Model!BY14/Revenue!BY77</f>
        <v>6.1538677130044839</v>
      </c>
      <c r="BZ10" s="116">
        <f>Model!BZ14/Revenue!BZ77</f>
        <v>6.1404709748083244</v>
      </c>
      <c r="CA10" s="116">
        <f>Model!CA14/Revenue!CA77</f>
        <v>6.2382585751978894</v>
      </c>
      <c r="CB10" s="253">
        <f>Model!CB14/Revenue!CB77</f>
        <v>6.0453662597114315</v>
      </c>
      <c r="CC10" s="116">
        <f>Model!CC14/Revenue!CC77</f>
        <v>5.2801010384507432</v>
      </c>
      <c r="CD10" s="116">
        <f>Model!CD14/Revenue!CD77</f>
        <v>6.3458345261952482</v>
      </c>
      <c r="CE10" s="116">
        <f>Model!CE14/Revenue!CE77</f>
        <v>6.7113223854796891</v>
      </c>
      <c r="CF10" s="116">
        <f>Model!CF14/Revenue!CF77</f>
        <v>6.7444350521273604</v>
      </c>
      <c r="CG10" s="253">
        <f>Model!CG14/Revenue!CG77</f>
        <v>6.2666950838306343</v>
      </c>
      <c r="CH10" s="116">
        <f>Model!CH14/Revenue!CH77</f>
        <v>5.4822291725902748</v>
      </c>
      <c r="CI10" s="116">
        <f>Model!CI14/Revenue!CI77</f>
        <v>6.336763865065751</v>
      </c>
      <c r="CJ10" s="116">
        <f>Model!CJ14/Revenue!CJ77</f>
        <v>6.6807334109429561</v>
      </c>
      <c r="CK10" s="116">
        <f>Model!CK14/Revenue!CK77</f>
        <v>7.1630129286115789</v>
      </c>
      <c r="CL10" s="253">
        <f>Model!CL14/Revenue!CL77</f>
        <v>6.4164465700620852</v>
      </c>
      <c r="CM10" s="116">
        <f ca="1">Model!CM14/Revenue!CM77</f>
        <v>6.038182181076265</v>
      </c>
      <c r="CN10" s="116">
        <f ca="1">Model!CN14/Revenue!CN77</f>
        <v>7.1099837220244106</v>
      </c>
      <c r="CO10" s="116">
        <f ca="1">Model!CO14/Revenue!CO77</f>
        <v>7.0913560896662817</v>
      </c>
      <c r="CP10" s="116">
        <f ca="1">Model!CP14/Revenue!CP77</f>
        <v>7.3214531315240015</v>
      </c>
      <c r="CQ10" s="253">
        <f ca="1">Model!CQ14/Revenue!CQ77</f>
        <v>6.8949659439202753</v>
      </c>
      <c r="CR10" s="116">
        <f ca="1">Model!CR14/Revenue!CR77</f>
        <v>6.0907671525723437</v>
      </c>
      <c r="CS10" s="116">
        <f ca="1">Model!CS14/Revenue!CS77</f>
        <v>6.9745757604560845</v>
      </c>
      <c r="CT10" s="116">
        <f ca="1">Model!CT14/Revenue!CT77</f>
        <v>6.891503068705342</v>
      </c>
      <c r="CU10" s="116">
        <f ca="1">Model!CU14/Revenue!CU77</f>
        <v>7.09158622111085</v>
      </c>
      <c r="CV10" s="253">
        <f ca="1">Model!CV14/Revenue!CV77</f>
        <v>6.7656087882874232</v>
      </c>
      <c r="CW10" s="116">
        <f ca="1">Model!CW14/Revenue!CW77</f>
        <v>6.1434858266435182</v>
      </c>
      <c r="CX10" s="116">
        <f ca="1">Model!CX14/Revenue!CX77</f>
        <v>6.9242889660730089</v>
      </c>
      <c r="CY10" s="116">
        <f ca="1">Model!CY14/Revenue!CY77</f>
        <v>6.8000581749018503</v>
      </c>
      <c r="CZ10" s="116">
        <f ca="1">Model!CZ14/Revenue!CZ77</f>
        <v>6.9689861766210619</v>
      </c>
      <c r="DA10" s="253">
        <f ca="1">Model!DA14/Revenue!DA77</f>
        <v>6.7118742540090421</v>
      </c>
      <c r="DB10" s="116">
        <f ca="1">Model!DB14/Revenue!DB77</f>
        <v>6.1909983981586736</v>
      </c>
      <c r="DC10" s="116">
        <f ca="1">Model!DC14/Revenue!DC77</f>
        <v>6.8459312018503811</v>
      </c>
      <c r="DD10" s="116">
        <f ca="1">Model!DD14/Revenue!DD77</f>
        <v>6.9084102397811407</v>
      </c>
      <c r="DE10" s="116">
        <f ca="1">Model!DE14/Revenue!DE77</f>
        <v>6.9885101931184872</v>
      </c>
      <c r="DF10" s="253">
        <f ca="1">Model!DF14/Revenue!DF77</f>
        <v>6.7363836300487332</v>
      </c>
    </row>
    <row r="11" spans="2:110" s="10" customFormat="1" ht="11.25" x14ac:dyDescent="0.2">
      <c r="B11" s="781" t="s">
        <v>181</v>
      </c>
      <c r="C11" s="182"/>
      <c r="D11" s="252"/>
      <c r="E11" s="116"/>
      <c r="F11" s="116"/>
      <c r="G11" s="116"/>
      <c r="H11" s="116"/>
      <c r="I11" s="116"/>
      <c r="J11" s="136"/>
      <c r="K11" s="116"/>
      <c r="L11" s="116"/>
      <c r="M11" s="116"/>
      <c r="N11" s="116"/>
      <c r="O11" s="136"/>
      <c r="P11" s="66">
        <f t="shared" ref="P11:AT11" si="16">P10/K10-1</f>
        <v>-1.1299435028248594E-2</v>
      </c>
      <c r="Q11" s="66">
        <f t="shared" si="16"/>
        <v>-4.2780748663101664E-2</v>
      </c>
      <c r="R11" s="66">
        <f t="shared" si="16"/>
        <v>-6.2827225130890008E-2</v>
      </c>
      <c r="S11" s="66">
        <f t="shared" si="16"/>
        <v>-1.5544041450777257E-2</v>
      </c>
      <c r="T11" s="136">
        <f t="shared" si="16"/>
        <v>-3.5802205384346308E-2</v>
      </c>
      <c r="U11" s="66">
        <f t="shared" si="16"/>
        <v>1.1428571428571344E-2</v>
      </c>
      <c r="V11" s="66">
        <f t="shared" si="16"/>
        <v>-5.5865921787709993E-3</v>
      </c>
      <c r="W11" s="66">
        <f t="shared" si="16"/>
        <v>-1.1173184357541888E-2</v>
      </c>
      <c r="X11" s="66">
        <f t="shared" si="16"/>
        <v>0</v>
      </c>
      <c r="Y11" s="136">
        <f t="shared" si="16"/>
        <v>3.0608516166032995E-3</v>
      </c>
      <c r="Z11" s="66">
        <f t="shared" si="16"/>
        <v>5.6497175141243083E-2</v>
      </c>
      <c r="AA11" s="66">
        <f t="shared" si="16"/>
        <v>0.101123595505618</v>
      </c>
      <c r="AB11" s="66">
        <f t="shared" si="16"/>
        <v>0.20903954802259883</v>
      </c>
      <c r="AC11" s="66">
        <f t="shared" si="16"/>
        <v>0.33157894736842097</v>
      </c>
      <c r="AD11" s="136">
        <f t="shared" si="16"/>
        <v>0.17439755563669856</v>
      </c>
      <c r="AE11" s="66">
        <f t="shared" si="16"/>
        <v>0.36363636363636354</v>
      </c>
      <c r="AF11" s="66">
        <f t="shared" si="16"/>
        <v>0.43367346938775508</v>
      </c>
      <c r="AG11" s="66">
        <f t="shared" si="16"/>
        <v>0.39719626168224309</v>
      </c>
      <c r="AH11" s="66">
        <f t="shared" si="16"/>
        <v>0.24505928853754955</v>
      </c>
      <c r="AI11" s="136">
        <f t="shared" si="16"/>
        <v>0.33524804152399335</v>
      </c>
      <c r="AJ11" s="66">
        <f t="shared" si="16"/>
        <v>0.27843137254901951</v>
      </c>
      <c r="AK11" s="66">
        <f t="shared" si="16"/>
        <v>0.25266903914590744</v>
      </c>
      <c r="AL11" s="66">
        <f t="shared" si="16"/>
        <v>0.2006688963210701</v>
      </c>
      <c r="AM11" s="66">
        <f t="shared" si="16"/>
        <v>0.14285714285714302</v>
      </c>
      <c r="AN11" s="136">
        <f t="shared" si="16"/>
        <v>0.21695690916376931</v>
      </c>
      <c r="AO11" s="66">
        <f t="shared" si="16"/>
        <v>0.11042944785276076</v>
      </c>
      <c r="AP11" s="66">
        <f t="shared" si="16"/>
        <v>0.11931818181818188</v>
      </c>
      <c r="AQ11" s="66">
        <f t="shared" si="16"/>
        <v>0.17270194986072429</v>
      </c>
      <c r="AR11" s="66">
        <f t="shared" si="16"/>
        <v>0.19444444444444442</v>
      </c>
      <c r="AS11" s="136">
        <f t="shared" ca="1" si="16"/>
        <v>0.16647952451910886</v>
      </c>
      <c r="AT11" s="66">
        <f t="shared" si="16"/>
        <v>0.1888915105889486</v>
      </c>
      <c r="AU11" s="66">
        <f t="shared" ref="AU11:BL11" si="17">AU10/AP10-1</f>
        <v>0.20032978757800124</v>
      </c>
      <c r="AV11" s="66">
        <f t="shared" si="17"/>
        <v>0.15210363290660656</v>
      </c>
      <c r="AW11" s="66">
        <f t="shared" si="17"/>
        <v>6.3058455428863569E-2</v>
      </c>
      <c r="AX11" s="136">
        <f t="shared" ca="1" si="17"/>
        <v>0.14347254170601631</v>
      </c>
      <c r="AY11" s="66">
        <f t="shared" si="17"/>
        <v>-0.10420631275018166</v>
      </c>
      <c r="AZ11" s="66">
        <f t="shared" si="17"/>
        <v>-0.13039152319956049</v>
      </c>
      <c r="BA11" s="66">
        <f>BA10/AV10-1</f>
        <v>-0.10902167379623995</v>
      </c>
      <c r="BB11" s="66">
        <f t="shared" si="17"/>
        <v>-4.6612991284745831E-2</v>
      </c>
      <c r="BC11" s="136">
        <f>BC10/AX10-1</f>
        <v>-9.7451228063147433E-2</v>
      </c>
      <c r="BD11" s="66">
        <f t="shared" si="17"/>
        <v>-3.4826980067085622E-2</v>
      </c>
      <c r="BE11" s="66">
        <f t="shared" si="17"/>
        <v>-5.055950179999702E-2</v>
      </c>
      <c r="BF11" s="66">
        <f>BF10/BA10-1</f>
        <v>-3.5967112157137215E-2</v>
      </c>
      <c r="BG11" s="66">
        <f t="shared" si="17"/>
        <v>-5.1568367724162179E-2</v>
      </c>
      <c r="BH11" s="136">
        <f>BH10/BC10-1</f>
        <v>-4.3227653109376374E-2</v>
      </c>
      <c r="BI11" s="66">
        <f t="shared" si="17"/>
        <v>7.4489757399878842E-2</v>
      </c>
      <c r="BJ11" s="66">
        <f t="shared" si="17"/>
        <v>0.23421722734439432</v>
      </c>
      <c r="BK11" s="66">
        <f>BK10/BF10-1</f>
        <v>0.18455148750325279</v>
      </c>
      <c r="BL11" s="66">
        <f t="shared" si="17"/>
        <v>0.2457993030917951</v>
      </c>
      <c r="BM11" s="792">
        <f>BM10/BH10-1</f>
        <v>0.21388628824346134</v>
      </c>
      <c r="BN11" s="66">
        <f t="shared" ref="BN11:BV11" si="18">BN10/BI10-1</f>
        <v>0.18132597167061437</v>
      </c>
      <c r="BO11" s="66">
        <f t="shared" si="18"/>
        <v>0.10525421156339965</v>
      </c>
      <c r="BP11" s="66">
        <f>BP10/BK10-1</f>
        <v>5.977954066551372E-2</v>
      </c>
      <c r="BQ11" s="66">
        <f t="shared" si="18"/>
        <v>6.3720688462952868E-2</v>
      </c>
      <c r="BR11" s="136">
        <f>BR10/BM10-1</f>
        <v>7.155630672963742E-2</v>
      </c>
      <c r="BS11" s="66">
        <f t="shared" si="18"/>
        <v>0.12971328068164611</v>
      </c>
      <c r="BT11" s="66">
        <f t="shared" si="18"/>
        <v>0.12165746529749355</v>
      </c>
      <c r="BU11" s="66">
        <f>BU10/BP10-1</f>
        <v>0.13791253516024171</v>
      </c>
      <c r="BV11" s="66">
        <f t="shared" si="18"/>
        <v>0.126138445754157</v>
      </c>
      <c r="BW11" s="136">
        <f t="shared" ref="BW11:CB11" si="19">BW10/BR10-1</f>
        <v>0.13160716346189849</v>
      </c>
      <c r="BX11" s="66">
        <f t="shared" si="19"/>
        <v>5.2331490198823216E-2</v>
      </c>
      <c r="BY11" s="66">
        <f t="shared" si="19"/>
        <v>3.0020337557399968E-2</v>
      </c>
      <c r="BZ11" s="66">
        <f t="shared" si="19"/>
        <v>3.1788531185808155E-2</v>
      </c>
      <c r="CA11" s="66">
        <f t="shared" si="19"/>
        <v>1.1334995917728907E-2</v>
      </c>
      <c r="CB11" s="136">
        <f t="shared" si="19"/>
        <v>3.1138311071422509E-2</v>
      </c>
      <c r="CC11" s="66">
        <f t="shared" ref="CC11:CL11" si="20">CC10/BX10-1</f>
        <v>-5.9658868655517283E-2</v>
      </c>
      <c r="CD11" s="66">
        <f t="shared" si="20"/>
        <v>3.1194497857842451E-2</v>
      </c>
      <c r="CE11" s="66">
        <f t="shared" si="20"/>
        <v>9.2965411450248503E-2</v>
      </c>
      <c r="CF11" s="66">
        <f t="shared" si="20"/>
        <v>8.1140669439694335E-2</v>
      </c>
      <c r="CG11" s="136">
        <f t="shared" si="20"/>
        <v>3.6611317596126458E-2</v>
      </c>
      <c r="CH11" s="66">
        <f t="shared" si="20"/>
        <v>3.8281111037003823E-2</v>
      </c>
      <c r="CI11" s="66">
        <f t="shared" si="20"/>
        <v>-1.4293882218412435E-3</v>
      </c>
      <c r="CJ11" s="66">
        <f t="shared" si="20"/>
        <v>-4.5578162960721036E-3</v>
      </c>
      <c r="CK11" s="66">
        <f t="shared" si="20"/>
        <v>6.2062704029181681E-2</v>
      </c>
      <c r="CL11" s="136">
        <f t="shared" si="20"/>
        <v>2.3896405398411869E-2</v>
      </c>
      <c r="CM11" s="66">
        <f t="shared" ref="CM11:CV11" ca="1" si="21">CM10/CH10-1</f>
        <v>0.10141002701339286</v>
      </c>
      <c r="CN11" s="66">
        <f t="shared" ca="1" si="21"/>
        <v>0.12202125145003118</v>
      </c>
      <c r="CO11" s="66">
        <f t="shared" ca="1" si="21"/>
        <v>6.1463712659261427E-2</v>
      </c>
      <c r="CP11" s="66">
        <f t="shared" ca="1" si="21"/>
        <v>2.2119212193455251E-2</v>
      </c>
      <c r="CQ11" s="136">
        <f t="shared" ca="1" si="21"/>
        <v>7.4577005922697115E-2</v>
      </c>
      <c r="CR11" s="66">
        <f t="shared" ca="1" si="21"/>
        <v>8.7087421212430627E-3</v>
      </c>
      <c r="CS11" s="66">
        <f t="shared" ca="1" si="21"/>
        <v>-1.9044763935095466E-2</v>
      </c>
      <c r="CT11" s="66">
        <f t="shared" ca="1" si="21"/>
        <v>-2.8182623807619933E-2</v>
      </c>
      <c r="CU11" s="66">
        <f t="shared" ca="1" si="21"/>
        <v>-3.1396350735814038E-2</v>
      </c>
      <c r="CV11" s="136">
        <f t="shared" ca="1" si="21"/>
        <v>-1.8761101459379148E-2</v>
      </c>
      <c r="CW11" s="66">
        <f t="shared" ref="CW11" ca="1" si="22">CW10/CR10-1</f>
        <v>8.6555064001929694E-3</v>
      </c>
      <c r="CX11" s="66">
        <f t="shared" ref="CX11" ca="1" si="23">CX10/CS10-1</f>
        <v>-7.2100147894568201E-3</v>
      </c>
      <c r="CY11" s="66">
        <f t="shared" ref="CY11" ca="1" si="24">CY10/CT10-1</f>
        <v>-1.3269223403345465E-2</v>
      </c>
      <c r="CZ11" s="66">
        <f t="shared" ref="CZ11" ca="1" si="25">CZ10/CU10-1</f>
        <v>-1.728809897633643E-2</v>
      </c>
      <c r="DA11" s="136">
        <f t="shared" ref="DA11" ca="1" si="26">DA10/CV10-1</f>
        <v>-7.94230585300848E-3</v>
      </c>
      <c r="DB11" s="66">
        <f t="shared" ref="DB11" ca="1" si="27">DB10/CW10-1</f>
        <v>7.7338131568724933E-3</v>
      </c>
      <c r="DC11" s="66">
        <f t="shared" ref="DC11" ca="1" si="28">DC10/CX10-1</f>
        <v>-1.1316362532898028E-2</v>
      </c>
      <c r="DD11" s="66">
        <f t="shared" ref="DD11" ca="1" si="29">DD10/CY10-1</f>
        <v>1.5933990870725889E-2</v>
      </c>
      <c r="DE11" s="66">
        <f t="shared" ref="DE11" ca="1" si="30">DE10/CZ10-1</f>
        <v>2.8015576444853085E-3</v>
      </c>
      <c r="DF11" s="136">
        <f t="shared" ref="DF11" ca="1" si="31">DF10/DA10-1</f>
        <v>3.6516441029943447E-3</v>
      </c>
    </row>
    <row r="12" spans="2:110" s="10" customFormat="1" ht="11.25" x14ac:dyDescent="0.2">
      <c r="B12" s="781"/>
      <c r="C12" s="182"/>
      <c r="D12" s="252"/>
      <c r="E12" s="116"/>
      <c r="F12" s="116"/>
      <c r="G12" s="116"/>
      <c r="H12" s="116"/>
      <c r="I12" s="116"/>
      <c r="J12" s="136"/>
      <c r="K12" s="116"/>
      <c r="L12" s="116"/>
      <c r="M12" s="116"/>
      <c r="N12" s="116"/>
      <c r="O12" s="136"/>
      <c r="P12" s="66"/>
      <c r="Q12" s="66"/>
      <c r="R12" s="66"/>
      <c r="S12" s="66"/>
      <c r="T12" s="136"/>
      <c r="U12" s="66"/>
      <c r="V12" s="66"/>
      <c r="W12" s="66"/>
      <c r="X12" s="66"/>
      <c r="Y12" s="136"/>
      <c r="Z12" s="66"/>
      <c r="AA12" s="66"/>
      <c r="AB12" s="66"/>
      <c r="AC12" s="66"/>
      <c r="AD12" s="136"/>
      <c r="AE12" s="66"/>
      <c r="AF12" s="66"/>
      <c r="AG12" s="66"/>
      <c r="AH12" s="66"/>
      <c r="AI12" s="136"/>
      <c r="AJ12" s="66"/>
      <c r="AK12" s="66"/>
      <c r="AL12" s="66"/>
      <c r="AM12" s="66"/>
      <c r="AN12" s="136"/>
      <c r="AO12" s="66"/>
      <c r="AP12" s="66"/>
      <c r="AQ12" s="66"/>
      <c r="AR12" s="66"/>
      <c r="AS12" s="136"/>
      <c r="AT12" s="66"/>
      <c r="AU12" s="66"/>
      <c r="AV12" s="66"/>
      <c r="AW12" s="66"/>
      <c r="AX12" s="136"/>
      <c r="AY12" s="66"/>
      <c r="AZ12" s="66"/>
      <c r="BA12" s="66"/>
      <c r="BB12" s="66"/>
      <c r="BC12" s="136"/>
      <c r="BD12" s="66"/>
      <c r="BE12" s="66"/>
      <c r="BF12" s="66"/>
      <c r="BG12" s="66"/>
      <c r="BH12" s="136"/>
      <c r="BI12" s="66"/>
      <c r="BJ12" s="66"/>
      <c r="BK12" s="66"/>
      <c r="BL12" s="66"/>
      <c r="BM12" s="792"/>
      <c r="BN12" s="66"/>
      <c r="BO12" s="66"/>
      <c r="BP12" s="66"/>
      <c r="BQ12" s="66"/>
      <c r="BR12" s="136"/>
      <c r="BS12" s="66"/>
      <c r="BT12" s="66"/>
      <c r="BU12" s="66"/>
      <c r="BV12" s="66"/>
      <c r="BW12" s="136"/>
      <c r="BX12" s="66"/>
      <c r="BY12" s="66"/>
      <c r="BZ12" s="66"/>
      <c r="CA12" s="66"/>
      <c r="CB12" s="136"/>
      <c r="CC12" s="66"/>
      <c r="CD12" s="66"/>
      <c r="CE12" s="66"/>
      <c r="CF12" s="66"/>
      <c r="CG12" s="136"/>
      <c r="CH12" s="66"/>
      <c r="CI12" s="66"/>
      <c r="CJ12" s="66"/>
      <c r="CK12" s="66"/>
      <c r="CL12" s="136"/>
      <c r="CM12" s="66"/>
      <c r="CN12" s="66"/>
      <c r="CO12" s="66"/>
      <c r="CP12" s="66"/>
      <c r="CQ12" s="136"/>
      <c r="CR12" s="66"/>
      <c r="CS12" s="66"/>
      <c r="CT12" s="66"/>
      <c r="CU12" s="66"/>
      <c r="CV12" s="136"/>
      <c r="CW12" s="66"/>
      <c r="CX12" s="66"/>
      <c r="CY12" s="66"/>
      <c r="CZ12" s="66"/>
      <c r="DA12" s="136"/>
      <c r="DB12" s="66"/>
      <c r="DC12" s="66"/>
      <c r="DD12" s="66"/>
      <c r="DE12" s="66"/>
      <c r="DF12" s="136"/>
    </row>
    <row r="13" spans="2:110" s="10" customFormat="1" ht="11.25" x14ac:dyDescent="0.2">
      <c r="B13" s="783" t="s">
        <v>182</v>
      </c>
      <c r="C13" s="179"/>
      <c r="D13" s="260"/>
      <c r="E13" s="260"/>
      <c r="F13" s="260"/>
      <c r="G13" s="260"/>
      <c r="H13" s="260"/>
      <c r="I13" s="260"/>
      <c r="J13" s="263"/>
      <c r="K13" s="260">
        <f>Model!K62/Revenue!K77</f>
        <v>1.0761211385813205</v>
      </c>
      <c r="L13" s="260">
        <f>Model!L62/Revenue!L77</f>
        <v>1.0029398781672054</v>
      </c>
      <c r="M13" s="260">
        <f>Model!M62/Revenue!M77</f>
        <v>1.0048839497702506</v>
      </c>
      <c r="N13" s="260">
        <f>Model!N62/Revenue!N77</f>
        <v>1.0505337406466801</v>
      </c>
      <c r="O13" s="263">
        <f>Model!O62/Revenue!O77</f>
        <v>1.0325185677358317</v>
      </c>
      <c r="P13" s="260">
        <f>Model!P62/Revenue!P77</f>
        <v>1.0095203130606112</v>
      </c>
      <c r="Q13" s="260">
        <f>Model!Q62/Revenue!Q77</f>
        <v>1.0176486582240982</v>
      </c>
      <c r="R13" s="260">
        <f>Model!R62/Revenue!R77</f>
        <v>1.0949382939952159</v>
      </c>
      <c r="S13" s="260">
        <f>Model!S62/Revenue!S77</f>
        <v>1.0761471857938933</v>
      </c>
      <c r="T13" s="263">
        <f>Model!T62/Revenue!T77</f>
        <v>1.0492276059956454</v>
      </c>
      <c r="U13" s="260">
        <f>Model!U62/Revenue!U77</f>
        <v>1.1237591216882541</v>
      </c>
      <c r="V13" s="260">
        <f>Model!V62/Revenue!V77</f>
        <v>1.1507628094415654</v>
      </c>
      <c r="W13" s="260">
        <f>Model!W62/Revenue!W77</f>
        <v>1.1165993069404518</v>
      </c>
      <c r="X13" s="261">
        <f>Model!X62/Revenue!X77</f>
        <v>1.1087553956834466</v>
      </c>
      <c r="Y13" s="263">
        <f>Model!Y62/Revenue!Y77</f>
        <v>1.1244303374411502</v>
      </c>
      <c r="Z13" s="262">
        <f>Model!Z62/Revenue!Z77</f>
        <v>1.1150211565585328</v>
      </c>
      <c r="AA13" s="260">
        <f>Model!AA62/Revenue!AA77</f>
        <v>1.1917672107877884</v>
      </c>
      <c r="AB13" s="260">
        <f>Model!AB62/Revenue!AB77</f>
        <v>1.3242481751824804</v>
      </c>
      <c r="AC13" s="260">
        <f>Model!AC62/Revenue!AC77</f>
        <v>1.534408901251743</v>
      </c>
      <c r="AD13" s="263">
        <f>Model!AD62/Revenue!AD77</f>
        <v>1.2921029281277741</v>
      </c>
      <c r="AE13" s="261">
        <f>Model!AE62/Revenue!AE77</f>
        <v>1.5515196441808774</v>
      </c>
      <c r="AF13" s="261">
        <f>Model!AF62/Revenue!AF77</f>
        <v>1.6867283950617313</v>
      </c>
      <c r="AG13" s="261">
        <f>Model!AG62/Revenue!AG77</f>
        <v>1.8360000000000016</v>
      </c>
      <c r="AH13" s="261">
        <f>Model!AH62/Revenue!AH77</f>
        <v>2.0630769230769141</v>
      </c>
      <c r="AI13" s="263">
        <f>Model!AI62/Revenue!AI77</f>
        <v>1.7817131857555355</v>
      </c>
      <c r="AJ13" s="260">
        <f>Model!AJ62/Revenue!AJ77</f>
        <v>2.1007812499999945</v>
      </c>
      <c r="AK13" s="260">
        <f>Model!AK62/Revenue!AK77</f>
        <v>2.2936507936507962</v>
      </c>
      <c r="AL13" s="260">
        <f>Model!AL62/Revenue!AL77</f>
        <v>2.4778046811945074</v>
      </c>
      <c r="AM13" s="260">
        <f>Model!AM62/Revenue!AM77</f>
        <v>2.4868217054263537</v>
      </c>
      <c r="AN13" s="264">
        <f>Model!AN62/Revenue!AN77</f>
        <v>2.3391201420398531</v>
      </c>
      <c r="AO13" s="260">
        <f ca="1">Model!AO62/Revenue!AO77</f>
        <v>2.4625223713125814</v>
      </c>
      <c r="AP13" s="261">
        <f ca="1">Model!AP62/Revenue!AP77</f>
        <v>2.6687239748382314</v>
      </c>
      <c r="AQ13" s="261">
        <f ca="1">Model!AQ62/Revenue!AQ77</f>
        <v>2.8674926013448627</v>
      </c>
      <c r="AR13" s="260">
        <f ca="1">Model!AR62/Revenue!AR77</f>
        <v>2.9101030812633715</v>
      </c>
      <c r="AS13" s="525">
        <f ca="1">Model!AS62/Revenue!AS77</f>
        <v>2.7239710624818771</v>
      </c>
      <c r="AT13" s="260">
        <f>Model!AT62/Revenue!AT77</f>
        <v>3.1329572925060472</v>
      </c>
      <c r="AU13" s="260">
        <f>Model!AU62/Revenue!AU77</f>
        <v>3.2683121019108281</v>
      </c>
      <c r="AV13" s="260">
        <f>Model!AV62/Revenue!AV77</f>
        <v>3.4489311163895446</v>
      </c>
      <c r="AW13" s="261">
        <f>Model!AW62/Revenue!AW77</f>
        <v>3.1571798188874518</v>
      </c>
      <c r="AX13" s="263">
        <f>Model!AX62/Revenue!AX77</f>
        <v>3.2472672446287256</v>
      </c>
      <c r="AY13" s="260">
        <f>Model!AY62/Revenue!AY77</f>
        <v>2.9243033226152177</v>
      </c>
      <c r="AZ13" s="261">
        <f>Model!AZ62/Revenue!AZ77</f>
        <v>3.0983606557377086</v>
      </c>
      <c r="BA13" s="261">
        <f>Model!BA62/Revenue!BA77</f>
        <v>3.3017656500802568</v>
      </c>
      <c r="BB13" s="261">
        <f>Model!BB62/Revenue!BB77</f>
        <v>3.4443282801881856</v>
      </c>
      <c r="BC13" s="263">
        <f>Model!BC62/Revenue!BC77</f>
        <v>3.1937591192465837</v>
      </c>
      <c r="BD13" s="260">
        <f>Model!BD62/Revenue!BD77</f>
        <v>2.9580800453588143</v>
      </c>
      <c r="BE13" s="261">
        <f>Model!BE62/Revenue!BE77</f>
        <v>3.0878217776801598</v>
      </c>
      <c r="BF13" s="261">
        <f>Model!BF62/Revenue!BF77</f>
        <v>3.3153569209129055</v>
      </c>
      <c r="BG13" s="261">
        <f>Model!BG62/Revenue!BG77</f>
        <v>3.3217751700166871</v>
      </c>
      <c r="BH13" s="263">
        <f>Model!BH62/Revenue!BH77</f>
        <v>3.172530576129331</v>
      </c>
      <c r="BI13" s="260">
        <f>Model!BI62/Revenue!BI78</f>
        <v>3.4159751037344397</v>
      </c>
      <c r="BJ13" s="260">
        <f>Model!BJ62/Revenue!BJ78</f>
        <v>3.6580466984684912</v>
      </c>
      <c r="BK13" s="261">
        <f>Model!BK62/Revenue!BK78</f>
        <v>4.1442356526155413</v>
      </c>
      <c r="BL13" s="261">
        <f>Model!BL62/Revenue!BL78</f>
        <v>4.0077896786757581</v>
      </c>
      <c r="BM13" s="794">
        <f>Model!BM62/Revenue!BM77</f>
        <v>3.4801507658010062</v>
      </c>
      <c r="BN13" s="260">
        <f>Model!BN62/Revenue!BN77</f>
        <v>3.6982469883883806</v>
      </c>
      <c r="BO13" s="261">
        <f>Model!BO62/Revenue!BO77</f>
        <v>4.2395804063577778</v>
      </c>
      <c r="BP13" s="261">
        <f>Model!BP62/Revenue!BP77</f>
        <v>4.1797284586234316</v>
      </c>
      <c r="BQ13" s="261">
        <f>Model!BQ62/Revenue!BQ77</f>
        <v>4.172788928990431</v>
      </c>
      <c r="BR13" s="264">
        <f>Model!BR62/Revenue!BR77</f>
        <v>4.0661456992276861</v>
      </c>
      <c r="BS13" s="260">
        <f>Model!BS62/Revenue!BS78</f>
        <v>4.5968749999999998</v>
      </c>
      <c r="BT13" s="260">
        <f>Model!BT62/Revenue!BT78</f>
        <v>5.3506012950971327</v>
      </c>
      <c r="BU13" s="260">
        <f>Model!BU62/Revenue!BU78</f>
        <v>5.2975936643314041</v>
      </c>
      <c r="BV13" s="260">
        <f>Model!BV62/Revenue!BV78</f>
        <v>5.5106824925816023</v>
      </c>
      <c r="BW13" s="263">
        <f>Model!BW62/Revenue!BW78</f>
        <v>5.1943341478314009</v>
      </c>
      <c r="BX13" s="260">
        <f>Model!BX62/Revenue!BX78</f>
        <v>4.4395184967704049</v>
      </c>
      <c r="BY13" s="260">
        <f>Model!BY62/Revenue!BY78</f>
        <v>5.0294282511210762</v>
      </c>
      <c r="BZ13" s="260">
        <f>Model!BZ62/Revenue!BZ78</f>
        <v>4.9515334063526835</v>
      </c>
      <c r="CA13" s="260">
        <f>Model!CA62/Revenue!CA78</f>
        <v>5.0976253298153038</v>
      </c>
      <c r="CB13" s="525">
        <f>Model!CB62/Revenue!CB78</f>
        <v>4.8882491675915647</v>
      </c>
      <c r="CC13" s="260">
        <f>Model!CC62/Revenue!CC78</f>
        <v>4.0976705023856299</v>
      </c>
      <c r="CD13" s="261">
        <f>Model!CD62/Revenue!CD77</f>
        <v>5.1477240194675069</v>
      </c>
      <c r="CE13" s="261">
        <f>Model!CE62/Revenue!CE77</f>
        <v>5.6125036012676466</v>
      </c>
      <c r="CF13" s="261">
        <f>Model!CF62/Revenue!CF77</f>
        <v>5.788109326570865</v>
      </c>
      <c r="CG13" s="263">
        <f>Model!CG62/Revenue!CG77</f>
        <v>5.1579994316567204</v>
      </c>
      <c r="CH13" s="260">
        <f>Model!CH62/Revenue!CH77</f>
        <v>4.2541939152686945</v>
      </c>
      <c r="CI13" s="261">
        <f>Model!CI62/Revenue!CI77</f>
        <v>5.2146941109205258</v>
      </c>
      <c r="CJ13" s="261">
        <f>Model!CJ62/Revenue!CJ77</f>
        <v>5.6676367869615829</v>
      </c>
      <c r="CK13" s="261">
        <f>Model!CK62/Revenue!CK77</f>
        <v>6.0368184373243396</v>
      </c>
      <c r="CL13" s="263">
        <f>Model!CL62/Revenue!CL77</f>
        <v>5.2934542080091198</v>
      </c>
      <c r="CM13" s="260">
        <f ca="1">Model!CM62/Revenue!CM77</f>
        <v>4.5777430847639158</v>
      </c>
      <c r="CN13" s="261">
        <f ca="1">Model!CN62/Revenue!CN77</f>
        <v>5.8872311142769238</v>
      </c>
      <c r="CO13" s="261">
        <f ca="1">Model!CO62/Revenue!CO77</f>
        <v>5.8686301717974905</v>
      </c>
      <c r="CP13" s="261">
        <f ca="1">Model!CP62/Revenue!CP77</f>
        <v>6.1178243962391043</v>
      </c>
      <c r="CQ13" s="263">
        <f ca="1">Model!CQ62/Revenue!CQ77</f>
        <v>5.618397728402428</v>
      </c>
      <c r="CR13" s="260">
        <f ca="1">Model!CR62/Revenue!CR77</f>
        <v>4.6187125627336156</v>
      </c>
      <c r="CS13" s="261">
        <f ca="1">Model!CS62/Revenue!CS77</f>
        <v>5.750460710721482</v>
      </c>
      <c r="CT13" s="261">
        <f ca="1">Model!CT62/Revenue!CT77</f>
        <v>5.6641561687095621</v>
      </c>
      <c r="CU13" s="261">
        <f ca="1">Model!CU62/Revenue!CU77</f>
        <v>5.8826863591528342</v>
      </c>
      <c r="CV13" s="263">
        <f ca="1">Model!CV62/Revenue!CV77</f>
        <v>5.4833241942587385</v>
      </c>
      <c r="CW13" s="260">
        <f ca="1">Model!CW62/Revenue!CW77</f>
        <v>4.5554760079870222</v>
      </c>
      <c r="CX13" s="261">
        <f ca="1">Model!CX62/Revenue!CX77</f>
        <v>5.6045225609108975</v>
      </c>
      <c r="CY13" s="261">
        <f ca="1">Model!CY62/Revenue!CY77</f>
        <v>5.4806730799520285</v>
      </c>
      <c r="CZ13" s="261">
        <f ca="1">Model!CZ62/Revenue!CZ77</f>
        <v>5.6664304369511225</v>
      </c>
      <c r="DA13" s="263">
        <f ca="1">Model!DA62/Revenue!DA77</f>
        <v>5.3303337647281426</v>
      </c>
      <c r="DB13" s="260">
        <f ca="1">Model!DB62/Revenue!DB77</f>
        <v>4.4471596635812629</v>
      </c>
      <c r="DC13" s="261">
        <f ca="1">Model!DC62/Revenue!DC77</f>
        <v>5.386686949222466</v>
      </c>
      <c r="DD13" s="261">
        <f ca="1">Model!DD62/Revenue!DD77</f>
        <v>5.4463086340797711</v>
      </c>
      <c r="DE13" s="261">
        <f ca="1">Model!DE62/Revenue!DE77</f>
        <v>5.5468181234606888</v>
      </c>
      <c r="DF13" s="263">
        <f ca="1">Model!DF62/Revenue!DF77</f>
        <v>5.2106049761665876</v>
      </c>
    </row>
    <row r="14" spans="2:110" s="116" customFormat="1" ht="11.25" outlineLevel="1" x14ac:dyDescent="0.2">
      <c r="B14" s="782" t="s">
        <v>183</v>
      </c>
      <c r="C14" s="257"/>
      <c r="D14" s="257"/>
      <c r="F14" s="258"/>
      <c r="G14" s="258"/>
      <c r="H14" s="258"/>
      <c r="I14" s="258"/>
      <c r="J14" s="253"/>
      <c r="K14" s="258">
        <v>1.08</v>
      </c>
      <c r="L14" s="258">
        <v>1</v>
      </c>
      <c r="M14" s="258">
        <v>1</v>
      </c>
      <c r="N14" s="258">
        <v>1.05</v>
      </c>
      <c r="O14" s="253"/>
      <c r="P14" s="258">
        <v>1.01</v>
      </c>
      <c r="Q14" s="258">
        <v>1.02</v>
      </c>
      <c r="R14" s="258">
        <v>1.0900000000000001</v>
      </c>
      <c r="S14" s="258">
        <v>1.08</v>
      </c>
      <c r="T14" s="253"/>
      <c r="U14" s="258">
        <v>1.1200000000000001</v>
      </c>
      <c r="V14" s="258">
        <v>1.1399999999999999</v>
      </c>
      <c r="W14" s="258">
        <v>1.1100000000000001</v>
      </c>
      <c r="X14" s="259">
        <v>1.1100000000000001</v>
      </c>
      <c r="Y14" s="253"/>
      <c r="Z14" s="259">
        <v>1.1200000000000001</v>
      </c>
      <c r="AA14" s="259">
        <v>1.19</v>
      </c>
      <c r="AB14" s="259">
        <v>1.32</v>
      </c>
      <c r="AC14" s="259">
        <v>1.53</v>
      </c>
      <c r="AD14" s="253"/>
      <c r="AE14" s="259">
        <v>1.55</v>
      </c>
      <c r="AF14" s="259">
        <v>1.69</v>
      </c>
      <c r="AG14" s="259">
        <v>1.84</v>
      </c>
      <c r="AH14" s="259">
        <v>2.06</v>
      </c>
      <c r="AI14" s="253"/>
      <c r="AJ14" s="258">
        <v>2.1</v>
      </c>
      <c r="AK14" s="258">
        <v>2.29</v>
      </c>
      <c r="AL14" s="258">
        <v>2.48</v>
      </c>
      <c r="AM14" s="258">
        <v>2.4900000000000002</v>
      </c>
      <c r="AN14" s="253"/>
      <c r="AO14" s="259">
        <v>2.46</v>
      </c>
      <c r="AP14" s="259">
        <v>2.67</v>
      </c>
      <c r="AQ14" s="259">
        <v>2.87</v>
      </c>
      <c r="AR14" s="258">
        <v>2.9</v>
      </c>
      <c r="AS14" s="526"/>
      <c r="AT14" s="258">
        <v>3.06</v>
      </c>
      <c r="AU14" s="258">
        <v>3.2</v>
      </c>
      <c r="AV14" s="258">
        <v>3.38</v>
      </c>
      <c r="AW14" s="259">
        <v>3.16</v>
      </c>
      <c r="AX14" s="253"/>
      <c r="AY14" s="259">
        <v>2.92</v>
      </c>
      <c r="AZ14" s="259">
        <v>3.1</v>
      </c>
      <c r="BA14" s="259">
        <v>3.3</v>
      </c>
      <c r="BB14" s="259">
        <v>3.44</v>
      </c>
      <c r="BC14" s="253"/>
      <c r="BD14" s="259">
        <v>3.31</v>
      </c>
      <c r="BE14" s="259">
        <v>3.46</v>
      </c>
      <c r="BF14" s="259">
        <v>3.72</v>
      </c>
      <c r="BG14" s="259">
        <v>3.66</v>
      </c>
      <c r="BH14" s="1469">
        <v>3.54</v>
      </c>
      <c r="BI14" s="259">
        <v>3.4</v>
      </c>
      <c r="BJ14" s="259">
        <v>3.69</v>
      </c>
      <c r="BM14" s="793"/>
      <c r="BO14" s="259">
        <v>4.6900000000000004</v>
      </c>
      <c r="BR14" s="253"/>
      <c r="BW14" s="253"/>
      <c r="CB14" s="253"/>
      <c r="CG14" s="253"/>
      <c r="CL14" s="253"/>
      <c r="CQ14" s="253"/>
      <c r="CV14" s="253"/>
      <c r="DA14" s="253"/>
      <c r="DF14" s="253"/>
    </row>
    <row r="15" spans="2:110" s="10" customFormat="1" ht="12" thickBot="1" x14ac:dyDescent="0.25">
      <c r="B15" s="784" t="s">
        <v>184</v>
      </c>
      <c r="C15" s="763"/>
      <c r="D15" s="785"/>
      <c r="E15" s="785"/>
      <c r="F15" s="785"/>
      <c r="G15" s="785"/>
      <c r="H15" s="785"/>
      <c r="I15" s="785"/>
      <c r="J15" s="766"/>
      <c r="K15" s="785"/>
      <c r="L15" s="785"/>
      <c r="M15" s="785"/>
      <c r="N15" s="785"/>
      <c r="O15" s="766"/>
      <c r="P15" s="767">
        <f t="shared" ref="P15:AU15" si="32">P14/K14-1</f>
        <v>-6.4814814814814881E-2</v>
      </c>
      <c r="Q15" s="767">
        <f t="shared" si="32"/>
        <v>2.0000000000000018E-2</v>
      </c>
      <c r="R15" s="767">
        <f t="shared" si="32"/>
        <v>9.000000000000008E-2</v>
      </c>
      <c r="S15" s="767">
        <f t="shared" si="32"/>
        <v>2.8571428571428692E-2</v>
      </c>
      <c r="T15" s="766"/>
      <c r="U15" s="692">
        <f t="shared" si="32"/>
        <v>0.10891089108910901</v>
      </c>
      <c r="V15" s="692">
        <f t="shared" si="32"/>
        <v>0.11764705882352922</v>
      </c>
      <c r="W15" s="692">
        <f t="shared" si="32"/>
        <v>1.8348623853211121E-2</v>
      </c>
      <c r="X15" s="692">
        <f t="shared" si="32"/>
        <v>2.7777777777777901E-2</v>
      </c>
      <c r="Y15" s="766"/>
      <c r="Z15" s="692">
        <f t="shared" si="32"/>
        <v>0</v>
      </c>
      <c r="AA15" s="692">
        <f t="shared" si="32"/>
        <v>4.3859649122807154E-2</v>
      </c>
      <c r="AB15" s="692">
        <f t="shared" si="32"/>
        <v>0.18918918918918903</v>
      </c>
      <c r="AC15" s="692">
        <f t="shared" si="32"/>
        <v>0.37837837837837829</v>
      </c>
      <c r="AD15" s="766"/>
      <c r="AE15" s="692">
        <f t="shared" si="32"/>
        <v>0.3839285714285714</v>
      </c>
      <c r="AF15" s="692">
        <f t="shared" si="32"/>
        <v>0.42016806722689082</v>
      </c>
      <c r="AG15" s="692">
        <f t="shared" si="32"/>
        <v>0.39393939393939403</v>
      </c>
      <c r="AH15" s="692">
        <f t="shared" si="32"/>
        <v>0.34640522875817004</v>
      </c>
      <c r="AI15" s="766"/>
      <c r="AJ15" s="692">
        <f t="shared" si="32"/>
        <v>0.35483870967741948</v>
      </c>
      <c r="AK15" s="692">
        <f t="shared" si="32"/>
        <v>0.3550295857988166</v>
      </c>
      <c r="AL15" s="692">
        <f t="shared" si="32"/>
        <v>0.34782608695652173</v>
      </c>
      <c r="AM15" s="692">
        <f t="shared" si="32"/>
        <v>0.20873786407767003</v>
      </c>
      <c r="AN15" s="766">
        <f>AN13/AI13-1</f>
        <v>0.31284886969501158</v>
      </c>
      <c r="AO15" s="692">
        <f t="shared" si="32"/>
        <v>0.17142857142857126</v>
      </c>
      <c r="AP15" s="692">
        <f t="shared" si="32"/>
        <v>0.1659388646288209</v>
      </c>
      <c r="AQ15" s="692">
        <f t="shared" si="32"/>
        <v>0.157258064516129</v>
      </c>
      <c r="AR15" s="692">
        <f t="shared" si="32"/>
        <v>0.16465863453815244</v>
      </c>
      <c r="AS15" s="766">
        <f ca="1">AS13/AN13-1</f>
        <v>0.16452806913389706</v>
      </c>
      <c r="AT15" s="692">
        <f t="shared" si="32"/>
        <v>0.24390243902439024</v>
      </c>
      <c r="AU15" s="692">
        <f t="shared" si="32"/>
        <v>0.19850187265917607</v>
      </c>
      <c r="AV15" s="692">
        <f>AV14/AQ14-1</f>
        <v>0.17770034843205562</v>
      </c>
      <c r="AW15" s="692">
        <f t="shared" ref="AW15:BL15" ca="1" si="33">AW13/AR13-1</f>
        <v>8.4903087871655902E-2</v>
      </c>
      <c r="AX15" s="766">
        <f t="shared" ca="1" si="33"/>
        <v>0.19210783453406455</v>
      </c>
      <c r="AY15" s="692">
        <f t="shared" si="33"/>
        <v>-6.6599685348384563E-2</v>
      </c>
      <c r="AZ15" s="692">
        <f t="shared" si="33"/>
        <v>-5.1999760388170113E-2</v>
      </c>
      <c r="BA15" s="692">
        <f>BA13/AV13-1</f>
        <v>-4.266987693953872E-2</v>
      </c>
      <c r="BB15" s="692">
        <f t="shared" si="33"/>
        <v>9.0950936523444881E-2</v>
      </c>
      <c r="BC15" s="766">
        <f>BC13/AX13-1</f>
        <v>-1.647789398013022E-2</v>
      </c>
      <c r="BD15" s="692">
        <f t="shared" si="33"/>
        <v>1.1550348584698167E-2</v>
      </c>
      <c r="BE15" s="692">
        <f t="shared" si="33"/>
        <v>-3.4014368333887823E-3</v>
      </c>
      <c r="BF15" s="692">
        <f>BF13/BA13-1</f>
        <v>4.1163644767818752E-3</v>
      </c>
      <c r="BG15" s="692">
        <f t="shared" si="33"/>
        <v>-3.5581135188659352E-2</v>
      </c>
      <c r="BH15" s="766">
        <f>BH13/BC13-1</f>
        <v>-6.6468829754012804E-3</v>
      </c>
      <c r="BI15" s="692">
        <f t="shared" si="33"/>
        <v>0.15479468146714148</v>
      </c>
      <c r="BJ15" s="692">
        <f t="shared" si="33"/>
        <v>0.18466898734574433</v>
      </c>
      <c r="BK15" s="692">
        <f>BK13/BF13-1</f>
        <v>0.25001191469737694</v>
      </c>
      <c r="BL15" s="692">
        <f t="shared" si="33"/>
        <v>0.20652045173051992</v>
      </c>
      <c r="BM15" s="795">
        <f>BM13/BH13-1</f>
        <v>9.6963664270492078E-2</v>
      </c>
      <c r="BN15" s="692">
        <f t="shared" ref="BN15:BV15" si="34">BN13/BI13-1</f>
        <v>8.2632886974308928E-2</v>
      </c>
      <c r="BO15" s="692">
        <f t="shared" si="34"/>
        <v>0.15897383380391417</v>
      </c>
      <c r="BP15" s="692">
        <f>BP13/BK13-1</f>
        <v>8.5643792928353779E-3</v>
      </c>
      <c r="BQ15" s="692">
        <f t="shared" si="34"/>
        <v>4.1169638015833065E-2</v>
      </c>
      <c r="BR15" s="766">
        <f>BR13/BM13-1</f>
        <v>0.1683820537849039</v>
      </c>
      <c r="BS15" s="692">
        <f t="shared" si="34"/>
        <v>0.24298755989881116</v>
      </c>
      <c r="BT15" s="270">
        <f t="shared" si="34"/>
        <v>0.26205916205132973</v>
      </c>
      <c r="BU15" s="270">
        <f>BU13/BP13-1</f>
        <v>0.26744924144573123</v>
      </c>
      <c r="BV15" s="270">
        <f t="shared" si="34"/>
        <v>0.32062334960106953</v>
      </c>
      <c r="BW15" s="276">
        <f t="shared" ref="BW15:CB15" si="35">BW13/BR13-1</f>
        <v>0.27745893336237315</v>
      </c>
      <c r="BX15" s="270">
        <f t="shared" si="35"/>
        <v>-3.4231190369456432E-2</v>
      </c>
      <c r="BY15" s="270">
        <f t="shared" si="35"/>
        <v>-6.0025598294971783E-2</v>
      </c>
      <c r="BZ15" s="270">
        <f t="shared" si="35"/>
        <v>-6.532404708740458E-2</v>
      </c>
      <c r="CA15" s="270">
        <f t="shared" si="35"/>
        <v>-7.4955717975468517E-2</v>
      </c>
      <c r="CB15" s="276">
        <f t="shared" si="35"/>
        <v>-5.8926701965760997E-2</v>
      </c>
      <c r="CC15" s="270">
        <f t="shared" ref="CC15:CL15" si="36">CC13/BX13-1</f>
        <v>-7.7001142045800108E-2</v>
      </c>
      <c r="CD15" s="270">
        <f t="shared" si="36"/>
        <v>2.3520718944556318E-2</v>
      </c>
      <c r="CE15" s="270">
        <f t="shared" si="36"/>
        <v>0.13348798052477173</v>
      </c>
      <c r="CF15" s="270">
        <f t="shared" si="36"/>
        <v>0.1354520883904542</v>
      </c>
      <c r="CG15" s="276">
        <f t="shared" si="36"/>
        <v>5.5183411241301661E-2</v>
      </c>
      <c r="CH15" s="270">
        <f t="shared" si="36"/>
        <v>3.8198145212490431E-2</v>
      </c>
      <c r="CI15" s="270">
        <f t="shared" si="36"/>
        <v>1.3009650711606424E-2</v>
      </c>
      <c r="CJ15" s="270">
        <f t="shared" si="36"/>
        <v>9.8232784530389861E-3</v>
      </c>
      <c r="CK15" s="270">
        <f t="shared" si="36"/>
        <v>4.2968972547175577E-2</v>
      </c>
      <c r="CL15" s="276">
        <f t="shared" si="36"/>
        <v>2.6261107265940886E-2</v>
      </c>
      <c r="CM15" s="270">
        <f t="shared" ref="CM15:CV15" ca="1" si="37">CM13/CH13-1</f>
        <v>7.6054165827743159E-2</v>
      </c>
      <c r="CN15" s="270">
        <f t="shared" ca="1" si="37"/>
        <v>0.12896959803413632</v>
      </c>
      <c r="CO15" s="270">
        <f t="shared" ca="1" si="37"/>
        <v>3.5463349609539785E-2</v>
      </c>
      <c r="CP15" s="270">
        <f t="shared" ca="1" si="37"/>
        <v>1.3418650859850612E-2</v>
      </c>
      <c r="CQ15" s="276">
        <f t="shared" ca="1" si="37"/>
        <v>6.1385913172094853E-2</v>
      </c>
      <c r="CR15" s="270">
        <f t="shared" ca="1" si="37"/>
        <v>8.9497110718288475E-3</v>
      </c>
      <c r="CS15" s="270">
        <f t="shared" ca="1" si="37"/>
        <v>-2.323170279892095E-2</v>
      </c>
      <c r="CT15" s="270">
        <f t="shared" ca="1" si="37"/>
        <v>-3.4841862087435005E-2</v>
      </c>
      <c r="CU15" s="270">
        <f t="shared" ca="1" si="37"/>
        <v>-3.8434911147632755E-2</v>
      </c>
      <c r="CV15" s="276">
        <f t="shared" ca="1" si="37"/>
        <v>-2.4041290893462075E-2</v>
      </c>
      <c r="CW15" s="270">
        <f t="shared" ref="CW15" ca="1" si="38">CW13/CR13-1</f>
        <v>-1.3691381285950044E-2</v>
      </c>
      <c r="CX15" s="270">
        <f t="shared" ref="CX15" ca="1" si="39">CX13/CS13-1</f>
        <v>-2.5378514375115957E-2</v>
      </c>
      <c r="CY15" s="270">
        <f t="shared" ref="CY15" ca="1" si="40">CY13/CT13-1</f>
        <v>-3.2393719963292544E-2</v>
      </c>
      <c r="CZ15" s="270">
        <f t="shared" ref="CZ15" ca="1" si="41">CZ13/CU13-1</f>
        <v>-3.6761423098010448E-2</v>
      </c>
      <c r="DA15" s="276">
        <f t="shared" ref="DA15" ca="1" si="42">DA13/CV13-1</f>
        <v>-2.7901036690623382E-2</v>
      </c>
      <c r="DB15" s="270">
        <f t="shared" ref="DB15" ca="1" si="43">DB13/CW13-1</f>
        <v>-2.3777173717049682E-2</v>
      </c>
      <c r="DC15" s="270">
        <f t="shared" ref="DC15" ca="1" si="44">DC13/CX13-1</f>
        <v>-3.8867826709761188E-2</v>
      </c>
      <c r="DD15" s="270">
        <f t="shared" ref="DD15" ca="1" si="45">DD13/CY13-1</f>
        <v>-6.2701141576863018E-3</v>
      </c>
      <c r="DE15" s="270">
        <f t="shared" ref="DE15" ca="1" si="46">DE13/CZ13-1</f>
        <v>-2.1108935302626253E-2</v>
      </c>
      <c r="DF15" s="276">
        <f t="shared" ref="DF15" ca="1" si="47">DF13/DA13-1</f>
        <v>-2.2461780790130614E-2</v>
      </c>
    </row>
    <row r="16" spans="2:110" ht="13.5" thickBot="1" x14ac:dyDescent="0.25">
      <c r="AT16" s="674"/>
      <c r="AU16" s="674"/>
      <c r="AV16" s="674"/>
      <c r="AW16" s="1013"/>
      <c r="AX16" s="674"/>
      <c r="AY16" s="674"/>
      <c r="AZ16" s="674"/>
      <c r="BA16" s="1013"/>
      <c r="BB16" s="1134"/>
      <c r="BC16" s="674"/>
      <c r="BD16" s="674"/>
      <c r="BE16" s="674"/>
      <c r="BF16" s="674"/>
      <c r="BG16" s="674"/>
      <c r="BH16" s="674"/>
      <c r="BI16" s="674"/>
      <c r="BJ16" s="1013"/>
      <c r="BK16" s="674"/>
      <c r="BL16" s="674"/>
      <c r="BM16" s="674"/>
      <c r="BN16" s="674"/>
      <c r="BO16" s="674"/>
      <c r="BP16" s="674"/>
      <c r="BQ16" s="674"/>
      <c r="BR16" s="674"/>
      <c r="BS16" s="674"/>
      <c r="BT16" s="674"/>
      <c r="BU16" s="674"/>
      <c r="BV16" s="674"/>
      <c r="BW16" s="674"/>
      <c r="BX16" s="674"/>
      <c r="BY16" s="674"/>
      <c r="BZ16" s="674"/>
      <c r="CA16" s="674"/>
      <c r="CB16" s="674"/>
      <c r="CC16" s="674"/>
      <c r="CD16" s="674"/>
      <c r="CE16" s="674"/>
      <c r="CF16" s="674"/>
      <c r="CG16" s="674"/>
      <c r="CH16" s="674"/>
      <c r="CI16" s="674"/>
      <c r="CJ16" s="674"/>
      <c r="CK16" s="674"/>
      <c r="CL16" s="674"/>
      <c r="CM16" s="674"/>
      <c r="CN16" s="674"/>
      <c r="CO16" s="674"/>
      <c r="CP16" s="674"/>
      <c r="CQ16" s="674"/>
      <c r="CR16" s="674"/>
      <c r="CS16" s="674"/>
      <c r="CT16" s="674"/>
      <c r="CU16" s="674"/>
      <c r="CV16" s="674"/>
      <c r="CW16" s="674"/>
      <c r="CX16" s="674"/>
      <c r="CY16" s="674"/>
      <c r="CZ16" s="674"/>
      <c r="DA16" s="674"/>
      <c r="DB16" s="674"/>
      <c r="DC16" s="674"/>
      <c r="DD16" s="674"/>
      <c r="DE16" s="674"/>
      <c r="DF16" s="674"/>
    </row>
    <row r="17" spans="2:110" s="10" customFormat="1" ht="12" thickBot="1" x14ac:dyDescent="0.25">
      <c r="B17" s="862" t="s">
        <v>175</v>
      </c>
      <c r="C17" s="866"/>
      <c r="D17" s="866"/>
      <c r="E17" s="819"/>
      <c r="F17" s="819"/>
      <c r="G17" s="819"/>
      <c r="H17" s="819"/>
      <c r="I17" s="819"/>
      <c r="J17" s="819"/>
      <c r="K17" s="819"/>
      <c r="L17" s="819"/>
      <c r="M17" s="819"/>
      <c r="N17" s="819"/>
      <c r="O17" s="819"/>
      <c r="P17" s="819"/>
      <c r="Q17" s="819"/>
      <c r="R17" s="819"/>
      <c r="S17" s="819"/>
      <c r="T17" s="819"/>
      <c r="U17" s="819"/>
      <c r="V17" s="819"/>
      <c r="W17" s="819"/>
      <c r="X17" s="819"/>
      <c r="Y17" s="819"/>
      <c r="Z17" s="819"/>
      <c r="AA17" s="819"/>
      <c r="AB17" s="819"/>
      <c r="AC17" s="819"/>
      <c r="AD17" s="819"/>
      <c r="AE17" s="819"/>
      <c r="AF17" s="819"/>
      <c r="AG17" s="819"/>
      <c r="AH17" s="819"/>
      <c r="AI17" s="819"/>
      <c r="AJ17" s="819"/>
      <c r="AK17" s="819"/>
      <c r="AL17" s="819"/>
      <c r="AM17" s="819"/>
      <c r="AN17" s="819"/>
      <c r="AO17" s="819"/>
      <c r="AP17" s="819"/>
      <c r="AQ17" s="819"/>
      <c r="AR17" s="819"/>
      <c r="AS17" s="819"/>
      <c r="AT17" s="819"/>
      <c r="AU17" s="819"/>
      <c r="AV17" s="819"/>
      <c r="AW17" s="819"/>
      <c r="AX17" s="819"/>
      <c r="AY17" s="819"/>
      <c r="AZ17" s="819"/>
      <c r="BA17" s="819"/>
      <c r="BB17" s="819"/>
      <c r="BC17" s="819"/>
      <c r="BD17" s="819"/>
      <c r="BE17" s="819"/>
      <c r="BF17" s="819"/>
      <c r="BG17" s="819"/>
      <c r="BH17" s="819"/>
      <c r="BI17" s="819"/>
      <c r="BJ17" s="819"/>
      <c r="BK17" s="819"/>
      <c r="BL17" s="819"/>
      <c r="BM17" s="819"/>
      <c r="BN17" s="819"/>
      <c r="BO17" s="819"/>
      <c r="BP17" s="819"/>
      <c r="BQ17" s="819"/>
      <c r="BR17" s="819"/>
      <c r="BS17" s="819"/>
      <c r="BT17" s="819"/>
      <c r="BU17" s="819"/>
      <c r="BV17" s="819"/>
      <c r="BW17" s="819"/>
      <c r="BX17" s="819"/>
      <c r="BY17" s="819"/>
      <c r="BZ17" s="819"/>
      <c r="CA17" s="819"/>
      <c r="CB17" s="872"/>
      <c r="CC17" s="819"/>
      <c r="CD17" s="819"/>
      <c r="CE17" s="819"/>
      <c r="CF17" s="819"/>
      <c r="CG17" s="872"/>
      <c r="CH17" s="819"/>
      <c r="CI17" s="819"/>
      <c r="CJ17" s="819"/>
      <c r="CK17" s="819"/>
      <c r="CL17" s="872"/>
      <c r="CM17" s="819"/>
      <c r="CN17" s="819"/>
      <c r="CO17" s="819"/>
      <c r="CP17" s="819"/>
      <c r="CQ17" s="872"/>
      <c r="CR17" s="819"/>
      <c r="CS17" s="819"/>
      <c r="CT17" s="819"/>
      <c r="CU17" s="819"/>
      <c r="CV17" s="872"/>
      <c r="CW17" s="819"/>
      <c r="CX17" s="819"/>
      <c r="CY17" s="819"/>
      <c r="CZ17" s="819"/>
      <c r="DA17" s="872"/>
      <c r="DB17" s="819"/>
      <c r="DC17" s="819"/>
      <c r="DD17" s="819"/>
      <c r="DE17" s="819"/>
      <c r="DF17" s="872"/>
    </row>
    <row r="18" spans="2:110" s="10" customFormat="1" ht="11.25" x14ac:dyDescent="0.2">
      <c r="B18" s="56" t="s">
        <v>288</v>
      </c>
      <c r="C18" s="206"/>
      <c r="D18" s="206"/>
      <c r="E18" s="248"/>
      <c r="F18" s="248"/>
      <c r="G18" s="248"/>
      <c r="H18" s="248"/>
      <c r="I18" s="248"/>
      <c r="J18" s="250"/>
      <c r="K18" s="248">
        <f>Revenue!K12/Revenue!K67</f>
        <v>22.533453165568208</v>
      </c>
      <c r="L18" s="248">
        <f>Revenue!L12/Revenue!L67</f>
        <v>25.508044973256197</v>
      </c>
      <c r="M18" s="248">
        <f>Revenue!M12/Revenue!M67</f>
        <v>26.36496416073096</v>
      </c>
      <c r="N18" s="248">
        <f>Revenue!N12/Revenue!N67</f>
        <v>20.471804770439814</v>
      </c>
      <c r="O18" s="250">
        <f>Revenue!O12/Revenue!O67</f>
        <v>23.713046663660958</v>
      </c>
      <c r="P18" s="249">
        <f>Revenue!P12/Revenue!P67</f>
        <v>22.636556425667496</v>
      </c>
      <c r="Q18" s="249">
        <f>Revenue!Q12/Revenue!Q67</f>
        <v>23.986576412392605</v>
      </c>
      <c r="R18" s="249">
        <f>Revenue!R12/Revenue!R67</f>
        <v>24.343404071792715</v>
      </c>
      <c r="S18" s="249">
        <f>Revenue!S12/Revenue!S67</f>
        <v>24.467476619906478</v>
      </c>
      <c r="T18" s="250">
        <f>Revenue!T12/Revenue!T67</f>
        <v>23.848920768380189</v>
      </c>
      <c r="U18" s="249">
        <f>Revenue!U12/Revenue!U67</f>
        <v>24.992824833987402</v>
      </c>
      <c r="V18" s="249">
        <f>Revenue!V12/Revenue!V67</f>
        <v>24.710129636787183</v>
      </c>
      <c r="W18" s="249">
        <f>Revenue!W12/Revenue!W67</f>
        <v>22.429949697398413</v>
      </c>
      <c r="X18" s="249">
        <f>Revenue!X12/Revenue!X67</f>
        <v>22.233888888888892</v>
      </c>
      <c r="Y18" s="250">
        <f>Revenue!Y12/Revenue!Y67</f>
        <v>23.524547026539359</v>
      </c>
      <c r="Z18" s="249">
        <f>Revenue!Z12/Revenue!Z67</f>
        <v>20.644843049327356</v>
      </c>
      <c r="AA18" s="249">
        <f>Revenue!AA12/Revenue!AA67</f>
        <v>21.224657534246575</v>
      </c>
      <c r="AB18" s="249">
        <f>Revenue!AB12/Revenue!AB67</f>
        <v>20.899621212121215</v>
      </c>
      <c r="AC18" s="249">
        <f>Revenue!AC12/Revenue!AC67</f>
        <v>21.044104410441044</v>
      </c>
      <c r="AD18" s="250">
        <f>Revenue!AD12/Revenue!AD67</f>
        <v>20.952707333790269</v>
      </c>
      <c r="AE18" s="249">
        <f>Revenue!AE12/Revenue!AE67</f>
        <v>21.456054687499996</v>
      </c>
      <c r="AF18" s="249">
        <f>Revenue!AF12/Revenue!AF67</f>
        <v>22.698658410732712</v>
      </c>
      <c r="AG18" s="249">
        <f>Revenue!AG12/Revenue!AG67</f>
        <v>23.193340494092379</v>
      </c>
      <c r="AH18" s="249">
        <f>Revenue!AH12/Revenue!AH67</f>
        <v>23.651329243353782</v>
      </c>
      <c r="AI18" s="250">
        <f>Revenue!AI12/Revenue!AI67</f>
        <v>22.729369554074832</v>
      </c>
      <c r="AJ18" s="249">
        <f>Revenue!AJ12/Revenue!AJ67</f>
        <v>33.757231404958674</v>
      </c>
      <c r="AK18" s="249">
        <f>Revenue!AK12/Revenue!AK67</f>
        <v>34.72186836518047</v>
      </c>
      <c r="AL18" s="249">
        <f>Revenue!AL12/Revenue!AL67</f>
        <v>34.575461454940289</v>
      </c>
      <c r="AM18" s="249">
        <f>Revenue!AM12/Revenue!AM67</f>
        <v>34.059855521155832</v>
      </c>
      <c r="AN18" s="250">
        <f>Revenue!AN12/Revenue!AN67</f>
        <v>34.271842105263154</v>
      </c>
      <c r="AO18" s="249">
        <f>Revenue!AO12/Revenue!AO67</f>
        <v>33.385947046843178</v>
      </c>
      <c r="AP18" s="249">
        <f>Revenue!AP12/Revenue!AP67</f>
        <v>34.330905306971907</v>
      </c>
      <c r="AQ18" s="249">
        <f>Revenue!AQ12/Revenue!AQ67</f>
        <v>34.768306010928967</v>
      </c>
      <c r="AR18" s="249">
        <f>Revenue!AR12/Revenue!AR67</f>
        <v>34.977611940298509</v>
      </c>
      <c r="AS18" s="250">
        <f>Revenue!AS12/Revenue!AS67</f>
        <v>34.351685985247627</v>
      </c>
      <c r="AT18" s="249">
        <f>Revenue!AT12/Revenue!AT67</f>
        <v>34.507430997876853</v>
      </c>
      <c r="AU18" s="249">
        <f>Revenue!AU12/Revenue!AU67</f>
        <v>34.13833157338965</v>
      </c>
      <c r="AV18" s="249">
        <f>Revenue!AV12/Revenue!AV67</f>
        <v>34.54621848739496</v>
      </c>
      <c r="AW18" s="249">
        <f>Revenue!AW12/Revenue!AW67</f>
        <v>43.716206111787685</v>
      </c>
      <c r="AX18" s="250">
        <f>Revenue!AX12/Revenue!AX67</f>
        <v>37.167914851933908</v>
      </c>
      <c r="AY18" s="249">
        <f>Revenue!AY12/Revenue!AY67</f>
        <v>50.634657207453955</v>
      </c>
      <c r="AZ18" s="249">
        <f>Revenue!AZ12/Revenue!AZ67</f>
        <v>50.260835160714315</v>
      </c>
      <c r="BA18" s="249">
        <f>Revenue!BA12/Revenue!BA67</f>
        <v>50.463155969849822</v>
      </c>
      <c r="BB18" s="249">
        <f>Revenue!BB12/Revenue!BB67</f>
        <v>49.430855152910773</v>
      </c>
      <c r="BC18" s="250">
        <f>Revenue!BC12/Revenue!BC67</f>
        <v>50.192322061461425</v>
      </c>
      <c r="BD18" s="249">
        <f>Revenue!BD12/Revenue!BD67</f>
        <v>42.653104303005151</v>
      </c>
      <c r="BE18" s="249">
        <f>Revenue!BE12/Revenue!BE67</f>
        <v>43.496019921717952</v>
      </c>
      <c r="BF18" s="249">
        <f>Revenue!BF12/Revenue!BF67</f>
        <v>44.237116369945127</v>
      </c>
      <c r="BG18" s="249">
        <f>Revenue!BG12/Revenue!BG67</f>
        <v>43.988723735315112</v>
      </c>
      <c r="BH18" s="250">
        <f>Revenue!BH12/Revenue!BH67</f>
        <v>43.59828807863255</v>
      </c>
      <c r="BI18" s="249">
        <f>Revenue!BI12/Revenue!BI67</f>
        <v>43.933533084614297</v>
      </c>
      <c r="BJ18" s="249">
        <f>Revenue!BJ12/Revenue!BJ67</f>
        <v>51.27738597620322</v>
      </c>
      <c r="BK18" s="249">
        <f>Revenue!BK12/Revenue!BK67</f>
        <v>50.124457337362053</v>
      </c>
      <c r="BL18" s="249">
        <f>Revenue!BL12/Revenue!BL67</f>
        <v>49.171323199466215</v>
      </c>
      <c r="BM18" s="250">
        <f>Revenue!BM12/Revenue!BM67</f>
        <v>49.243457294619596</v>
      </c>
      <c r="BN18" s="249">
        <f>Revenue!BN12/Revenue!BN67</f>
        <v>49.659772277603935</v>
      </c>
      <c r="BO18" s="249">
        <f>Revenue!BO12/Revenue!BO67</f>
        <v>53.156450125757587</v>
      </c>
      <c r="BP18" s="249">
        <f>Revenue!BP12/Revenue!BP67</f>
        <v>51.990103967051112</v>
      </c>
      <c r="BQ18" s="249">
        <f>Revenue!BQ12/Revenue!BQ67</f>
        <v>51.645471495386218</v>
      </c>
      <c r="BR18" s="250">
        <f>Revenue!BR12/Revenue!BR67</f>
        <v>51.580861138939923</v>
      </c>
      <c r="BS18" s="249">
        <f>Revenue!BS12/Revenue!BS67</f>
        <v>52.746695001849147</v>
      </c>
      <c r="BT18" s="249">
        <f>Revenue!BT12/Revenue!BT67</f>
        <v>55.039617415005424</v>
      </c>
      <c r="BU18" s="249">
        <f>Revenue!BU12/Revenue!BU67</f>
        <v>55.2248207386776</v>
      </c>
      <c r="BV18" s="249">
        <f>Revenue!BV12/Revenue!BV67</f>
        <v>55.095742850355244</v>
      </c>
      <c r="BW18" s="250">
        <f>Revenue!BW12/Revenue!BW67</f>
        <v>54.535983709369098</v>
      </c>
      <c r="BX18" s="249">
        <f>Revenue!BX12/Revenue!BX67</f>
        <v>56.569854817995257</v>
      </c>
      <c r="BY18" s="249">
        <f>Revenue!BY12/Revenue!BY67</f>
        <v>53.244917689447313</v>
      </c>
      <c r="BZ18" s="249">
        <f>Revenue!BZ12/Revenue!BZ67</f>
        <v>49.5731379172366</v>
      </c>
      <c r="CA18" s="249">
        <f>Revenue!CA12/Revenue!CA67</f>
        <v>49.480276429801037</v>
      </c>
      <c r="CB18" s="250">
        <f>Revenue!CB12/Revenue!CB67</f>
        <v>52.08101001327833</v>
      </c>
      <c r="CC18" s="249">
        <f>Revenue!CC12/Revenue!CC67</f>
        <v>48.704140690622715</v>
      </c>
      <c r="CD18" s="249">
        <f>Revenue!CD12/Revenue!CD67</f>
        <v>49.844088956113637</v>
      </c>
      <c r="CE18" s="249">
        <f>Revenue!CE12/Revenue!CE67</f>
        <v>50.290798115035976</v>
      </c>
      <c r="CF18" s="249">
        <f>Revenue!CF12/Revenue!CF67</f>
        <v>46.438891927273964</v>
      </c>
      <c r="CG18" s="250">
        <f>Revenue!CG12/Revenue!CG67</f>
        <v>48.807152605643701</v>
      </c>
      <c r="CH18" s="249">
        <f>Revenue!CH12/Revenue!CH67</f>
        <v>46.616372261476336</v>
      </c>
      <c r="CI18" s="249">
        <f>Revenue!CI12/Revenue!CI67</f>
        <v>47.094786183416623</v>
      </c>
      <c r="CJ18" s="249">
        <f>Revenue!CJ12/Revenue!CJ67</f>
        <v>47.120358501118808</v>
      </c>
      <c r="CK18" s="249">
        <f>Revenue!CK12/Revenue!CK67</f>
        <v>46.209152563519545</v>
      </c>
      <c r="CL18" s="250">
        <f>Revenue!CL12/Revenue!CL67</f>
        <v>46.75497929410021</v>
      </c>
      <c r="CM18" s="249">
        <f>Revenue!CM12/Revenue!CM67</f>
        <v>48.112241878156539</v>
      </c>
      <c r="CN18" s="249">
        <f>Revenue!CN12/Revenue!CN67</f>
        <v>48.602489113659288</v>
      </c>
      <c r="CO18" s="249">
        <f>Revenue!CO12/Revenue!CO67</f>
        <v>48.760836295288151</v>
      </c>
      <c r="CP18" s="249">
        <f>Revenue!CP12/Revenue!CP67</f>
        <v>47.828791170168216</v>
      </c>
      <c r="CQ18" s="250">
        <f>Revenue!CQ12/Revenue!CQ67</f>
        <v>48.320150506986892</v>
      </c>
      <c r="CR18" s="249">
        <f>Revenue!CR12/Revenue!CR67</f>
        <v>51.582272525810012</v>
      </c>
      <c r="CS18" s="249">
        <f>Revenue!CS12/Revenue!CS67</f>
        <v>52.119754571850898</v>
      </c>
      <c r="CT18" s="249">
        <f>Revenue!CT12/Revenue!CT67</f>
        <v>52.395847336965019</v>
      </c>
      <c r="CU18" s="249">
        <f>Revenue!CU12/Revenue!CU67</f>
        <v>51.333366203981164</v>
      </c>
      <c r="CV18" s="250">
        <f>Revenue!CV12/Revenue!CV67</f>
        <v>51.851666718188177</v>
      </c>
      <c r="CW18" s="249">
        <f>Revenue!CW12/Revenue!CW67</f>
        <v>54.390359830125774</v>
      </c>
      <c r="CX18" s="249">
        <f>Revenue!CX12/Revenue!CX67</f>
        <v>54.969545499656974</v>
      </c>
      <c r="CY18" s="249">
        <f>Revenue!CY12/Revenue!CY67</f>
        <v>55.326673588587724</v>
      </c>
      <c r="CZ18" s="249">
        <f>Revenue!CZ12/Revenue!CZ67</f>
        <v>54.142992689908027</v>
      </c>
      <c r="DA18" s="250">
        <f>Revenue!DA12/Revenue!DA67</f>
        <v>54.700855414663202</v>
      </c>
      <c r="DB18" s="249">
        <f>Revenue!DB12/Revenue!DB67</f>
        <v>58.284632538163244</v>
      </c>
      <c r="DC18" s="249">
        <f>Revenue!DC12/Revenue!DC67</f>
        <v>58.918583674722214</v>
      </c>
      <c r="DD18" s="249">
        <f>Revenue!DD12/Revenue!DD67</f>
        <v>59.383700566341908</v>
      </c>
      <c r="DE18" s="249">
        <f>Revenue!DE12/Revenue!DE67</f>
        <v>58.046822005341497</v>
      </c>
      <c r="DF18" s="250">
        <f>Revenue!DF12/Revenue!DF67</f>
        <v>58.651442586736067</v>
      </c>
    </row>
    <row r="19" spans="2:110" s="10" customFormat="1" ht="11.25" x14ac:dyDescent="0.2">
      <c r="B19" s="251" t="s">
        <v>176</v>
      </c>
      <c r="C19" s="182"/>
      <c r="D19" s="182"/>
      <c r="E19" s="116"/>
      <c r="F19" s="116"/>
      <c r="G19" s="116"/>
      <c r="H19" s="116"/>
      <c r="I19" s="116"/>
      <c r="J19" s="118"/>
      <c r="K19" s="116"/>
      <c r="L19" s="116"/>
      <c r="M19" s="116"/>
      <c r="N19" s="116"/>
      <c r="O19" s="118">
        <v>0.16623212239780982</v>
      </c>
      <c r="P19" s="66">
        <v>4.5755641331013397E-3</v>
      </c>
      <c r="Q19" s="66">
        <v>-5.9646615899367039E-2</v>
      </c>
      <c r="R19" s="66">
        <v>-7.6676003677230042E-2</v>
      </c>
      <c r="S19" s="66">
        <v>0.19517926701001986</v>
      </c>
      <c r="T19" s="118">
        <v>5.7299303057269935E-3</v>
      </c>
      <c r="U19" s="66">
        <v>0.10409129215644053</v>
      </c>
      <c r="V19" s="66">
        <v>6.3493167072296464E-2</v>
      </c>
      <c r="W19" s="66">
        <v>1.077249269581193E-2</v>
      </c>
      <c r="X19" s="66">
        <v>-8.6778505218728652E-3</v>
      </c>
      <c r="Y19" s="118">
        <v>4.1194393299045506E-2</v>
      </c>
      <c r="Z19" s="66">
        <v>-9.0795320728849882E-2</v>
      </c>
      <c r="AA19" s="66">
        <v>-8.2507352914167775E-2</v>
      </c>
      <c r="AB19" s="66">
        <v>-5.9802188212356389E-2</v>
      </c>
      <c r="AC19" s="66">
        <v>-4.4678946922538598E-2</v>
      </c>
      <c r="AD19" s="118">
        <v>-6.946000729044155E-2</v>
      </c>
      <c r="AE19" s="66">
        <v>1.7073090487928155E-2</v>
      </c>
      <c r="AF19" s="66">
        <v>4.9252647927686022E-2</v>
      </c>
      <c r="AG19" s="66">
        <v>8.830076474500359E-2</v>
      </c>
      <c r="AH19" s="66">
        <v>0.10346987291258203</v>
      </c>
      <c r="AI19" s="118">
        <v>6.3653847963351273E-2</v>
      </c>
      <c r="AJ19" s="66">
        <v>0.64443372121724063</v>
      </c>
      <c r="AK19" s="66">
        <v>0.59737651701813377</v>
      </c>
      <c r="AL19" s="66">
        <v>0.55611569276844919</v>
      </c>
      <c r="AM19" s="66">
        <v>0.49951669811467769</v>
      </c>
      <c r="AN19" s="118">
        <v>0.57368225439265275</v>
      </c>
      <c r="AO19" s="66">
        <f t="shared" ref="AO19:BM19" si="48">AO18/AJ18-1</f>
        <v>-1.0998661402693011E-2</v>
      </c>
      <c r="AP19" s="66">
        <f t="shared" si="48"/>
        <v>-1.1259850826478734E-2</v>
      </c>
      <c r="AQ19" s="66">
        <f t="shared" si="48"/>
        <v>5.5774976782305696E-3</v>
      </c>
      <c r="AR19" s="66">
        <f t="shared" si="48"/>
        <v>2.6945399653049762E-2</v>
      </c>
      <c r="AS19" s="118">
        <f t="shared" si="48"/>
        <v>2.3297224508458392E-3</v>
      </c>
      <c r="AT19" s="66">
        <f t="shared" si="48"/>
        <v>3.3591497328506081E-2</v>
      </c>
      <c r="AU19" s="66">
        <f t="shared" si="48"/>
        <v>-5.609340384715944E-3</v>
      </c>
      <c r="AV19" s="66">
        <f t="shared" si="48"/>
        <v>-6.3876429143311375E-3</v>
      </c>
      <c r="AW19" s="66">
        <f t="shared" si="48"/>
        <v>0.24983392766792178</v>
      </c>
      <c r="AX19" s="118">
        <f t="shared" si="48"/>
        <v>8.1982260430993437E-2</v>
      </c>
      <c r="AY19" s="66">
        <f t="shared" si="48"/>
        <v>0.4673551679511978</v>
      </c>
      <c r="AZ19" s="66">
        <f t="shared" si="48"/>
        <v>0.47226981648663613</v>
      </c>
      <c r="BA19" s="66">
        <f t="shared" si="48"/>
        <v>0.46074326451280179</v>
      </c>
      <c r="BB19" s="66">
        <f t="shared" si="48"/>
        <v>0.13072152296359008</v>
      </c>
      <c r="BC19" s="118">
        <f t="shared" si="48"/>
        <v>0.35042071263381169</v>
      </c>
      <c r="BD19" s="66">
        <f t="shared" si="48"/>
        <v>-0.15763023479645155</v>
      </c>
      <c r="BE19" s="66">
        <f t="shared" si="48"/>
        <v>-0.13459416695654092</v>
      </c>
      <c r="BF19" s="66">
        <f t="shared" si="48"/>
        <v>-0.12337792752448062</v>
      </c>
      <c r="BG19" s="66">
        <f t="shared" si="48"/>
        <v>-0.11009583792877586</v>
      </c>
      <c r="BH19" s="118">
        <f t="shared" si="48"/>
        <v>-0.13137535208581019</v>
      </c>
      <c r="BI19" s="66">
        <f t="shared" si="48"/>
        <v>3.0019591833528869E-2</v>
      </c>
      <c r="BJ19" s="66">
        <f t="shared" si="48"/>
        <v>0.17889834675654925</v>
      </c>
      <c r="BK19" s="66">
        <f t="shared" si="48"/>
        <v>0.13308600222000022</v>
      </c>
      <c r="BL19" s="66">
        <f t="shared" si="48"/>
        <v>0.11781654533410335</v>
      </c>
      <c r="BM19" s="118">
        <f t="shared" si="48"/>
        <v>0.12948144215675605</v>
      </c>
      <c r="BN19" s="66">
        <f t="shared" ref="BN19:BW19" si="49">BN18/BI18-1</f>
        <v>0.13033869099398676</v>
      </c>
      <c r="BO19" s="66">
        <f t="shared" si="49"/>
        <v>3.6645084646600434E-2</v>
      </c>
      <c r="BP19" s="66">
        <f t="shared" si="49"/>
        <v>3.7220285840350309E-2</v>
      </c>
      <c r="BQ19" s="66">
        <f t="shared" si="49"/>
        <v>5.0316894786082589E-2</v>
      </c>
      <c r="BR19" s="118">
        <f t="shared" si="49"/>
        <v>4.7466282278594507E-2</v>
      </c>
      <c r="BS19" s="66">
        <f t="shared" si="49"/>
        <v>6.216143535634755E-2</v>
      </c>
      <c r="BT19" s="66">
        <f t="shared" si="49"/>
        <v>3.5426882058388731E-2</v>
      </c>
      <c r="BU19" s="66">
        <f t="shared" si="49"/>
        <v>6.2217932352597316E-2</v>
      </c>
      <c r="BV19" s="66">
        <f t="shared" si="49"/>
        <v>6.6806851696130876E-2</v>
      </c>
      <c r="BW19" s="118">
        <f t="shared" si="49"/>
        <v>5.7291066980622141E-2</v>
      </c>
      <c r="BX19" s="66">
        <f t="shared" ref="BX19:CG19" si="50">BX18/BS18-1</f>
        <v>7.2481504594971824E-2</v>
      </c>
      <c r="BY19" s="66">
        <f t="shared" si="50"/>
        <v>-3.2607416436525316E-2</v>
      </c>
      <c r="BZ19" s="66">
        <f t="shared" si="50"/>
        <v>-0.10233954127591671</v>
      </c>
      <c r="CA19" s="66">
        <f t="shared" si="50"/>
        <v>-0.10192196583693036</v>
      </c>
      <c r="CB19" s="118">
        <f t="shared" si="50"/>
        <v>-4.5015667255104641E-2</v>
      </c>
      <c r="CC19" s="66">
        <f t="shared" si="50"/>
        <v>-0.13904426929641689</v>
      </c>
      <c r="CD19" s="66">
        <f t="shared" si="50"/>
        <v>-6.3871424370850138E-2</v>
      </c>
      <c r="CE19" s="66">
        <f t="shared" si="50"/>
        <v>1.4476795860643765E-2</v>
      </c>
      <c r="CF19" s="66">
        <f t="shared" si="50"/>
        <v>-6.1466602896650402E-2</v>
      </c>
      <c r="CG19" s="118">
        <f t="shared" si="50"/>
        <v>-6.2860866308083185E-2</v>
      </c>
      <c r="CH19" s="66">
        <f t="shared" ref="CH19:CQ19" si="51">CH18/CC18-1</f>
        <v>-4.2866343590953648E-2</v>
      </c>
      <c r="CI19" s="66">
        <f t="shared" si="51"/>
        <v>-5.5158050438392059E-2</v>
      </c>
      <c r="CJ19" s="66">
        <f t="shared" si="51"/>
        <v>-6.3042141559675691E-2</v>
      </c>
      <c r="CK19" s="66">
        <f t="shared" si="51"/>
        <v>-4.9471327635078888E-3</v>
      </c>
      <c r="CL19" s="118">
        <f t="shared" si="51"/>
        <v>-4.2046569037223258E-2</v>
      </c>
      <c r="CM19" s="66">
        <f t="shared" si="51"/>
        <v>3.2088932366716616E-2</v>
      </c>
      <c r="CN19" s="66">
        <f t="shared" si="51"/>
        <v>3.2014221794546938E-2</v>
      </c>
      <c r="CO19" s="66">
        <f t="shared" si="51"/>
        <v>3.481462888552489E-2</v>
      </c>
      <c r="CP19" s="66">
        <f t="shared" si="51"/>
        <v>3.5050168998929321E-2</v>
      </c>
      <c r="CQ19" s="118">
        <f t="shared" si="51"/>
        <v>3.3476032639034425E-2</v>
      </c>
      <c r="CR19" s="66">
        <f t="shared" ref="CR19" si="52">CR18/CM18-1</f>
        <v>7.2123653194986703E-2</v>
      </c>
      <c r="CS19" s="66">
        <f t="shared" ref="CS19" si="53">CS18/CN18-1</f>
        <v>7.2368010822785545E-2</v>
      </c>
      <c r="CT19" s="66">
        <f t="shared" ref="CT19" si="54">CT18/CO18-1</f>
        <v>7.4547758362137229E-2</v>
      </c>
      <c r="CU19" s="66">
        <f t="shared" ref="CU19" si="55">CU18/CP18-1</f>
        <v>7.3273334911270416E-2</v>
      </c>
      <c r="CV19" s="118">
        <f t="shared" ref="CV19" si="56">CV18/CQ18-1</f>
        <v>7.3085786657279606E-2</v>
      </c>
      <c r="CW19" s="66">
        <f t="shared" ref="CW19" si="57">CW18/CR18-1</f>
        <v>5.4438999423894963E-2</v>
      </c>
      <c r="CX19" s="66">
        <f t="shared" ref="CX19" si="58">CX18/CS18-1</f>
        <v>5.4677750331257435E-2</v>
      </c>
      <c r="CY19" s="66">
        <f t="shared" ref="CY19" si="59">CY18/CT18-1</f>
        <v>5.5936231601984687E-2</v>
      </c>
      <c r="CZ19" s="66">
        <f t="shared" ref="CZ19" si="60">CZ18/CU18-1</f>
        <v>5.473294844453358E-2</v>
      </c>
      <c r="DA19" s="118">
        <f t="shared" ref="DA19" si="61">DA18/CV18-1</f>
        <v>5.4948835337545798E-2</v>
      </c>
      <c r="DB19" s="66">
        <f t="shared" ref="DB19" si="62">DB18/CW18-1</f>
        <v>7.1598583282041606E-2</v>
      </c>
      <c r="DC19" s="66">
        <f t="shared" ref="DC19" si="63">DC18/CX18-1</f>
        <v>7.1840473468893551E-2</v>
      </c>
      <c r="DD19" s="66">
        <f t="shared" ref="DD19" si="64">DD18/CY18-1</f>
        <v>7.3328590255081316E-2</v>
      </c>
      <c r="DE19" s="66">
        <f t="shared" ref="DE19" si="65">DE18/CZ18-1</f>
        <v>7.2102207903279147E-2</v>
      </c>
      <c r="DF19" s="118">
        <f t="shared" ref="DF19" si="66">DF18/DA18-1</f>
        <v>7.2221670797014026E-2</v>
      </c>
    </row>
    <row r="20" spans="2:110" s="10" customFormat="1" ht="11.25" x14ac:dyDescent="0.2">
      <c r="B20" s="251"/>
      <c r="C20" s="182"/>
      <c r="D20" s="182"/>
      <c r="E20" s="116"/>
      <c r="F20" s="116"/>
      <c r="G20" s="116"/>
      <c r="H20" s="116"/>
      <c r="I20" s="116"/>
      <c r="J20" s="136"/>
      <c r="K20" s="116"/>
      <c r="L20" s="116"/>
      <c r="M20" s="116"/>
      <c r="N20" s="116"/>
      <c r="O20" s="136"/>
      <c r="P20" s="66"/>
      <c r="Q20" s="66"/>
      <c r="R20" s="66"/>
      <c r="S20" s="66"/>
      <c r="T20" s="136"/>
      <c r="U20" s="66"/>
      <c r="V20" s="66"/>
      <c r="W20" s="66"/>
      <c r="X20" s="66"/>
      <c r="Y20" s="136"/>
      <c r="Z20" s="66"/>
      <c r="AA20" s="66"/>
      <c r="AB20" s="66"/>
      <c r="AC20" s="66"/>
      <c r="AD20" s="136"/>
      <c r="AE20" s="66"/>
      <c r="AF20" s="66"/>
      <c r="AG20" s="66"/>
      <c r="AH20" s="66"/>
      <c r="AI20" s="136"/>
      <c r="AJ20" s="66"/>
      <c r="AK20" s="66"/>
      <c r="AL20" s="66"/>
      <c r="AM20" s="66"/>
      <c r="AN20" s="118"/>
      <c r="AO20" s="66"/>
      <c r="AP20" s="66"/>
      <c r="AQ20" s="66"/>
      <c r="AR20" s="66"/>
      <c r="AS20" s="118"/>
      <c r="AT20" s="66"/>
      <c r="AU20" s="66"/>
      <c r="AV20" s="66"/>
      <c r="AW20" s="66"/>
      <c r="AX20" s="118"/>
      <c r="AY20" s="66"/>
      <c r="AZ20" s="66"/>
      <c r="BA20" s="66"/>
      <c r="BB20" s="66"/>
      <c r="BC20" s="118"/>
      <c r="BD20" s="66"/>
      <c r="BE20" s="66"/>
      <c r="BF20" s="66"/>
      <c r="BG20" s="66"/>
      <c r="BH20" s="118"/>
      <c r="BI20" s="66"/>
      <c r="BJ20" s="66"/>
      <c r="BK20" s="66"/>
      <c r="BL20" s="66"/>
      <c r="BM20" s="118"/>
      <c r="BN20" s="66"/>
      <c r="BO20" s="66"/>
      <c r="BP20" s="66"/>
      <c r="BQ20" s="66"/>
      <c r="BR20" s="118"/>
      <c r="BS20" s="66"/>
      <c r="BT20" s="66"/>
      <c r="BU20" s="66"/>
      <c r="BV20" s="66"/>
      <c r="BW20" s="118"/>
      <c r="BX20" s="66"/>
      <c r="BY20" s="66"/>
      <c r="BZ20" s="66"/>
      <c r="CA20" s="66"/>
      <c r="CB20" s="118"/>
      <c r="CC20" s="66"/>
      <c r="CD20" s="66"/>
      <c r="CE20" s="66"/>
      <c r="CF20" s="66"/>
      <c r="CG20" s="118"/>
      <c r="CH20" s="66"/>
      <c r="CI20" s="66"/>
      <c r="CJ20" s="66"/>
      <c r="CK20" s="66"/>
      <c r="CL20" s="118"/>
      <c r="CM20" s="66"/>
      <c r="CN20" s="66"/>
      <c r="CO20" s="66"/>
      <c r="CP20" s="66"/>
      <c r="CQ20" s="118"/>
      <c r="CR20" s="66"/>
      <c r="CS20" s="66"/>
      <c r="CT20" s="66"/>
      <c r="CU20" s="66"/>
      <c r="CV20" s="118"/>
      <c r="CW20" s="66"/>
      <c r="CX20" s="66"/>
      <c r="CY20" s="66"/>
      <c r="CZ20" s="66"/>
      <c r="DA20" s="118"/>
      <c r="DB20" s="66"/>
      <c r="DC20" s="66"/>
      <c r="DD20" s="66"/>
      <c r="DE20" s="66"/>
      <c r="DF20" s="118"/>
    </row>
    <row r="21" spans="2:110" s="651" customFormat="1" ht="11.25" x14ac:dyDescent="0.2">
      <c r="B21" s="789" t="s">
        <v>422</v>
      </c>
      <c r="J21" s="790"/>
      <c r="O21" s="790"/>
      <c r="P21" s="201"/>
      <c r="Q21" s="201"/>
      <c r="R21" s="201"/>
      <c r="S21" s="201"/>
      <c r="T21" s="790"/>
      <c r="U21" s="201"/>
      <c r="V21" s="201"/>
      <c r="W21" s="201"/>
      <c r="X21" s="201"/>
      <c r="Y21" s="790"/>
      <c r="Z21" s="201"/>
      <c r="AA21" s="201"/>
      <c r="AB21" s="201"/>
      <c r="AC21" s="201"/>
      <c r="AD21" s="790"/>
      <c r="AE21" s="201"/>
      <c r="AF21" s="201"/>
      <c r="AG21" s="201"/>
      <c r="AH21" s="201"/>
      <c r="AI21" s="790"/>
      <c r="AJ21" s="201"/>
      <c r="AK21" s="201"/>
      <c r="AL21" s="201"/>
      <c r="AM21" s="201"/>
      <c r="AN21" s="790"/>
      <c r="AO21" s="201">
        <f>Revenue!AO14/Revenue!AO69</f>
        <v>122.42241123267874</v>
      </c>
      <c r="AP21" s="201">
        <f>Revenue!AP14/Revenue!AP69</f>
        <v>120.82897505987573</v>
      </c>
      <c r="AQ21" s="201">
        <f>Revenue!AQ14/Revenue!AQ69</f>
        <v>123.01971494797168</v>
      </c>
      <c r="AR21" s="201">
        <f>Revenue!AR14/Revenue!AR69</f>
        <v>125.37022724582299</v>
      </c>
      <c r="AS21" s="790">
        <f>Revenue!AS14/Revenue!AS69</f>
        <v>122.89343221418763</v>
      </c>
      <c r="AT21" s="201">
        <f ca="1">Revenue!AT14/Revenue!AT69</f>
        <v>120.33622741862892</v>
      </c>
      <c r="AU21" s="201">
        <f ca="1">Revenue!AU14/Revenue!AU69</f>
        <v>125.15408676707423</v>
      </c>
      <c r="AV21" s="201">
        <f ca="1">Revenue!AV14/Revenue!AV69</f>
        <v>123.82061257752918</v>
      </c>
      <c r="AW21" s="201">
        <f ca="1">Revenue!AW14/Revenue!AW69</f>
        <v>159.6449604093367</v>
      </c>
      <c r="AX21" s="790">
        <f ca="1">Revenue!AX14/Revenue!AX69</f>
        <v>133.06242582242078</v>
      </c>
      <c r="AY21" s="201">
        <f ca="1">Revenue!AY14/Revenue!AY69</f>
        <v>179.79328723507112</v>
      </c>
      <c r="AZ21" s="201">
        <f ca="1">Revenue!AZ14/Revenue!AZ69</f>
        <v>180.54006042788495</v>
      </c>
      <c r="BA21" s="201">
        <f ca="1">Revenue!BA14/Revenue!BA69</f>
        <v>178.95666692076432</v>
      </c>
      <c r="BB21" s="201">
        <f ca="1">Revenue!BB14/Revenue!BB69</f>
        <v>180.26915027509094</v>
      </c>
      <c r="BC21" s="790">
        <f ca="1">Revenue!BC14/Revenue!BC69</f>
        <v>179.88888516157732</v>
      </c>
      <c r="BD21" s="201">
        <f ca="1">Revenue!BD14/Revenue!BD69</f>
        <v>185.21205074416537</v>
      </c>
      <c r="BE21" s="201">
        <f>Revenue!BE14/Revenue!BE69</f>
        <v>186.7517327441989</v>
      </c>
      <c r="BF21" s="201">
        <f>Revenue!BF14/Revenue!BF69</f>
        <v>195.35223911451146</v>
      </c>
      <c r="BG21" s="201">
        <f>Revenue!BG14/Revenue!BG69</f>
        <v>200.15075938198075</v>
      </c>
      <c r="BH21" s="790">
        <f ca="1">Revenue!BH14/Revenue!BH69</f>
        <v>191.91186102314177</v>
      </c>
      <c r="BI21" s="201">
        <f ca="1">Revenue!BI14/Revenue!BI69</f>
        <v>192.02642245898079</v>
      </c>
      <c r="BJ21" s="201">
        <f ca="1">Revenue!BJ14/Revenue!BJ69</f>
        <v>180.28755233611537</v>
      </c>
      <c r="BK21" s="201">
        <f ca="1">Revenue!BK14/Revenue!BK69</f>
        <v>174.39013415218048</v>
      </c>
      <c r="BL21" s="201">
        <f ca="1">Revenue!BL14/Revenue!BL69</f>
        <v>179.46008594527689</v>
      </c>
      <c r="BM21" s="790">
        <f ca="1">Revenue!BM14/Revenue!BM69</f>
        <v>179.5782912014644</v>
      </c>
      <c r="BN21" s="201">
        <f ca="1">Revenue!BN14/Revenue!BN69</f>
        <v>168.79293641875699</v>
      </c>
      <c r="BO21" s="201">
        <f ca="1">Revenue!BO14/Revenue!BO69</f>
        <v>175.71623022048698</v>
      </c>
      <c r="BP21" s="201">
        <f ca="1">Revenue!BP14/Revenue!BP69</f>
        <v>186.96588463747474</v>
      </c>
      <c r="BQ21" s="201">
        <f ca="1">Revenue!BQ14/Revenue!BQ69</f>
        <v>180.60364338841021</v>
      </c>
      <c r="BR21" s="790">
        <f ca="1">Revenue!BR14/Revenue!BR69</f>
        <v>177.81229241712484</v>
      </c>
      <c r="BS21" s="201">
        <f ca="1">Revenue!BS14/Revenue!BS69</f>
        <v>182.43541217082287</v>
      </c>
      <c r="BT21" s="201">
        <f ca="1">Revenue!BT14/Revenue!BT69</f>
        <v>188.86255566330408</v>
      </c>
      <c r="BU21" s="201">
        <f ca="1">Revenue!BU14/Revenue!BU69</f>
        <v>193.06223167974343</v>
      </c>
      <c r="BV21" s="201">
        <f ca="1">Revenue!BV14/Revenue!BV69</f>
        <v>192.76559809990161</v>
      </c>
      <c r="BW21" s="790">
        <f ca="1">Revenue!BW14/Revenue!BW69</f>
        <v>189.59328415978689</v>
      </c>
      <c r="BX21" s="201">
        <f ca="1">Revenue!BX14/Revenue!BX69</f>
        <v>175.4527000653674</v>
      </c>
      <c r="BY21" s="201">
        <f ca="1">Revenue!BY14/Revenue!BY69</f>
        <v>181.71626172510653</v>
      </c>
      <c r="BZ21" s="201">
        <f ca="1">Revenue!BZ14/Revenue!BZ69</f>
        <v>185.40918933040535</v>
      </c>
      <c r="CA21" s="201">
        <f ca="1">Revenue!CA14/Revenue!CA69</f>
        <v>195.85273469286804</v>
      </c>
      <c r="CB21" s="790">
        <f ca="1">Revenue!CB14/Revenue!CB69</f>
        <v>184.69887868751607</v>
      </c>
      <c r="CC21" s="201">
        <f ca="1">Revenue!CC14/Revenue!CC69</f>
        <v>187.50332715184899</v>
      </c>
      <c r="CD21" s="201">
        <f ca="1">Revenue!CD14/Revenue!CD69</f>
        <v>186.97589069288506</v>
      </c>
      <c r="CE21" s="201">
        <f ca="1">Revenue!CE14/Revenue!CE69</f>
        <v>184.17797836216994</v>
      </c>
      <c r="CF21" s="201">
        <f ca="1">Revenue!CF14/Revenue!CF69</f>
        <v>191.46702586579457</v>
      </c>
      <c r="CG21" s="790">
        <f ca="1">Revenue!CG14/Revenue!CG69</f>
        <v>187.5463937215174</v>
      </c>
      <c r="CH21" s="201">
        <f ca="1">Revenue!CH14/Revenue!CH69</f>
        <v>177.04653382881122</v>
      </c>
      <c r="CI21" s="201">
        <f ca="1">Revenue!CI14/Revenue!CI69</f>
        <v>179.55538914210905</v>
      </c>
      <c r="CJ21" s="201">
        <f ca="1">Revenue!CJ14/Revenue!CJ69</f>
        <v>160.17034552938847</v>
      </c>
      <c r="CK21" s="201">
        <f ca="1">Revenue!CK14/Revenue!CK69</f>
        <v>169.20084635637158</v>
      </c>
      <c r="CL21" s="790">
        <f ca="1">Revenue!CL14/Revenue!CL69</f>
        <v>171.52560701307326</v>
      </c>
      <c r="CM21" s="201">
        <f ca="1">Revenue!CM14/Revenue!CM69</f>
        <v>162.41135388930718</v>
      </c>
      <c r="CN21" s="201">
        <f ca="1">Revenue!CN14/Revenue!CN69</f>
        <v>163.4595904594577</v>
      </c>
      <c r="CO21" s="201">
        <f ca="1">Revenue!CO14/Revenue!CO69</f>
        <v>145.2646944334474</v>
      </c>
      <c r="CP21" s="201">
        <f ca="1">Revenue!CP14/Revenue!CP69</f>
        <v>154.10128471121536</v>
      </c>
      <c r="CQ21" s="790">
        <f ca="1">Revenue!CQ14/Revenue!CQ69</f>
        <v>156.2379281008356</v>
      </c>
      <c r="CR21" s="201">
        <f ca="1">Revenue!CR14/Revenue!CR69</f>
        <v>155.15882579707397</v>
      </c>
      <c r="CS21" s="201">
        <f ca="1">Revenue!CS14/Revenue!CS69</f>
        <v>160.29963180179644</v>
      </c>
      <c r="CT21" s="201">
        <f ca="1">Revenue!CT14/Revenue!CT69</f>
        <v>141.93927185661323</v>
      </c>
      <c r="CU21" s="201">
        <f ca="1">Revenue!CU14/Revenue!CU69</f>
        <v>152.15714831339835</v>
      </c>
      <c r="CV21" s="790">
        <f ca="1">Revenue!CV14/Revenue!CV69</f>
        <v>152.34479311934516</v>
      </c>
      <c r="CW21" s="201">
        <f ca="1">Revenue!CW14/Revenue!CW69</f>
        <v>149.77394213885185</v>
      </c>
      <c r="CX21" s="201">
        <f ca="1">Revenue!CX14/Revenue!CX69</f>
        <v>154.65126502483835</v>
      </c>
      <c r="CY21" s="201">
        <f ca="1">Revenue!CY14/Revenue!CY69</f>
        <v>136.45623994035481</v>
      </c>
      <c r="CZ21" s="201">
        <f ca="1">Revenue!CZ14/Revenue!CZ69</f>
        <v>146.42711255156618</v>
      </c>
      <c r="DA21" s="790">
        <f ca="1">Revenue!DA14/Revenue!DA69</f>
        <v>146.78158422771898</v>
      </c>
      <c r="DB21" s="201">
        <f ca="1">Revenue!DB14/Revenue!DB69</f>
        <v>145.54628972384097</v>
      </c>
      <c r="DC21" s="201">
        <f ca="1">Revenue!DC14/Revenue!DC69</f>
        <v>150.18824859602847</v>
      </c>
      <c r="DD21" s="201">
        <f ca="1">Revenue!DD14/Revenue!DD69</f>
        <v>131.93734783899393</v>
      </c>
      <c r="DE21" s="201">
        <f ca="1">Revenue!DE14/Revenue!DE69</f>
        <v>141.75880506031029</v>
      </c>
      <c r="DF21" s="790">
        <f ca="1">Revenue!DF14/Revenue!DF69</f>
        <v>142.30963459232245</v>
      </c>
    </row>
    <row r="22" spans="2:110" s="10" customFormat="1" ht="11.25" x14ac:dyDescent="0.2">
      <c r="B22" s="181" t="s">
        <v>177</v>
      </c>
      <c r="C22" s="182"/>
      <c r="D22" s="182"/>
      <c r="E22" s="116"/>
      <c r="F22" s="116"/>
      <c r="G22" s="116"/>
      <c r="H22" s="116"/>
      <c r="I22" s="116"/>
      <c r="J22" s="118"/>
      <c r="K22" s="116"/>
      <c r="L22" s="116"/>
      <c r="M22" s="116"/>
      <c r="N22" s="116"/>
      <c r="O22" s="118"/>
      <c r="P22" s="66"/>
      <c r="Q22" s="66"/>
      <c r="R22" s="66"/>
      <c r="S22" s="66"/>
      <c r="T22" s="118"/>
      <c r="U22" s="66"/>
      <c r="V22" s="66"/>
      <c r="W22" s="66"/>
      <c r="X22" s="66"/>
      <c r="Y22" s="118"/>
      <c r="Z22" s="66"/>
      <c r="AA22" s="66"/>
      <c r="AB22" s="66"/>
      <c r="AC22" s="66"/>
      <c r="AD22" s="118"/>
      <c r="AE22" s="66"/>
      <c r="AF22" s="66"/>
      <c r="AG22" s="66"/>
      <c r="AH22" s="66"/>
      <c r="AI22" s="118"/>
      <c r="AJ22" s="66"/>
      <c r="AK22" s="66"/>
      <c r="AL22" s="66"/>
      <c r="AM22" s="66"/>
      <c r="AN22" s="118"/>
      <c r="AO22" s="66"/>
      <c r="AP22" s="66"/>
      <c r="AQ22" s="66"/>
      <c r="AR22" s="66"/>
      <c r="AS22" s="118"/>
      <c r="AT22" s="66">
        <f t="shared" ref="AT22:BV22" ca="1" si="67">AT21/AO21-1</f>
        <v>-1.7040865255339321E-2</v>
      </c>
      <c r="AU22" s="66">
        <f t="shared" ca="1" si="67"/>
        <v>3.57953190040321E-2</v>
      </c>
      <c r="AV22" s="66">
        <f t="shared" ca="1" si="67"/>
        <v>6.5103193410602778E-3</v>
      </c>
      <c r="AW22" s="66">
        <f t="shared" ca="1" si="67"/>
        <v>0.27338813940496909</v>
      </c>
      <c r="AX22" s="118">
        <f t="shared" ca="1" si="67"/>
        <v>8.2746436689227432E-2</v>
      </c>
      <c r="AY22" s="66">
        <f t="shared" ca="1" si="67"/>
        <v>0.49409110699142467</v>
      </c>
      <c r="AZ22" s="66">
        <f t="shared" ca="1" si="67"/>
        <v>0.44254227002503099</v>
      </c>
      <c r="BA22" s="66">
        <f ca="1">BA21/AV21-1</f>
        <v>0.4452897881498703</v>
      </c>
      <c r="BB22" s="66">
        <f t="shared" ca="1" si="67"/>
        <v>0.12918785417887846</v>
      </c>
      <c r="BC22" s="118">
        <f ca="1">BC21/AX21-1</f>
        <v>0.35191346505022425</v>
      </c>
      <c r="BD22" s="66">
        <f t="shared" ca="1" si="67"/>
        <v>3.0138853304403357E-2</v>
      </c>
      <c r="BE22" s="66">
        <f t="shared" ca="1" si="67"/>
        <v>3.4406060912974823E-2</v>
      </c>
      <c r="BF22" s="66">
        <f ca="1">BF21/BA21-1</f>
        <v>9.1617554550267322E-2</v>
      </c>
      <c r="BG22" s="66">
        <f t="shared" ca="1" si="67"/>
        <v>0.11028847185750013</v>
      </c>
      <c r="BH22" s="118">
        <f ca="1">BH21/BC21-1</f>
        <v>6.6835568249618893E-2</v>
      </c>
      <c r="BI22" s="66">
        <f t="shared" ca="1" si="67"/>
        <v>3.6792269657594634E-2</v>
      </c>
      <c r="BJ22" s="66">
        <f t="shared" ca="1" si="67"/>
        <v>-3.4613764022943583E-2</v>
      </c>
      <c r="BK22" s="66">
        <f ca="1">BK21/BF21-1</f>
        <v>-0.1073041448480323</v>
      </c>
      <c r="BL22" s="66">
        <f t="shared" ca="1" si="67"/>
        <v>-0.10337544309395519</v>
      </c>
      <c r="BM22" s="118">
        <f ca="1">BM21/BH21-1</f>
        <v>-6.4266844977289517E-2</v>
      </c>
      <c r="BN22" s="66">
        <f t="shared" ca="1" si="67"/>
        <v>-0.12099108936525005</v>
      </c>
      <c r="BO22" s="66">
        <f t="shared" ca="1" si="67"/>
        <v>-2.5355727871361533E-2</v>
      </c>
      <c r="BP22" s="66">
        <f ca="1">BP21/BK21-1</f>
        <v>7.2112740473724957E-2</v>
      </c>
      <c r="BQ22" s="66">
        <f t="shared" ca="1" si="67"/>
        <v>6.3722104952186331E-3</v>
      </c>
      <c r="BR22" s="118">
        <f ca="1">BR21/BM21-1</f>
        <v>-9.8341440522915491E-3</v>
      </c>
      <c r="BS22" s="66">
        <f t="shared" ca="1" si="67"/>
        <v>8.0823736120215095E-2</v>
      </c>
      <c r="BT22" s="66">
        <f t="shared" ca="1" si="67"/>
        <v>7.4815658327755052E-2</v>
      </c>
      <c r="BU22" s="66">
        <f ca="1">BU21/BP21-1</f>
        <v>3.2606734935036075E-2</v>
      </c>
      <c r="BV22" s="66">
        <f t="shared" ca="1" si="67"/>
        <v>6.7340583408584065E-2</v>
      </c>
      <c r="BW22" s="118">
        <f t="shared" ref="BW22:CB22" ca="1" si="68">BW21/BR21-1</f>
        <v>6.6255215443853377E-2</v>
      </c>
      <c r="BX22" s="66">
        <f t="shared" ca="1" si="68"/>
        <v>-3.8274981936715413E-2</v>
      </c>
      <c r="BY22" s="66">
        <f t="shared" ca="1" si="68"/>
        <v>-3.7838595973135325E-2</v>
      </c>
      <c r="BZ22" s="66">
        <f t="shared" ca="1" si="68"/>
        <v>-3.9640287397242679E-2</v>
      </c>
      <c r="CA22" s="66">
        <f t="shared" ca="1" si="68"/>
        <v>1.6014976859960894E-2</v>
      </c>
      <c r="CB22" s="118">
        <f t="shared" ca="1" si="68"/>
        <v>-2.5815289259644159E-2</v>
      </c>
      <c r="CC22" s="66">
        <f t="shared" ref="CC22:CL22" ca="1" si="69">CC21/BX21-1</f>
        <v>6.8683052936728606E-2</v>
      </c>
      <c r="CD22" s="66">
        <f t="shared" ca="1" si="69"/>
        <v>2.894418428954415E-2</v>
      </c>
      <c r="CE22" s="66">
        <f t="shared" ca="1" si="69"/>
        <v>-6.640506722896844E-3</v>
      </c>
      <c r="CF22" s="66">
        <f t="shared" ca="1" si="69"/>
        <v>-2.2392890423261314E-2</v>
      </c>
      <c r="CG22" s="118">
        <f t="shared" ca="1" si="69"/>
        <v>1.5417067251495942E-2</v>
      </c>
      <c r="CH22" s="66">
        <f t="shared" ca="1" si="69"/>
        <v>-5.576857478677899E-2</v>
      </c>
      <c r="CI22" s="66">
        <f t="shared" ca="1" si="69"/>
        <v>-3.9686943184372714E-2</v>
      </c>
      <c r="CJ22" s="66">
        <f t="shared" ca="1" si="69"/>
        <v>-0.13035018109261987</v>
      </c>
      <c r="CK22" s="66">
        <f t="shared" ca="1" si="69"/>
        <v>-0.11629250210963249</v>
      </c>
      <c r="CL22" s="118">
        <f t="shared" ca="1" si="69"/>
        <v>-8.5423059279044256E-2</v>
      </c>
      <c r="CM22" s="66">
        <f t="shared" ref="CM22:CV22" ca="1" si="70">CM21/CH21-1</f>
        <v>-8.2662900103172898E-2</v>
      </c>
      <c r="CN22" s="66">
        <f t="shared" ca="1" si="70"/>
        <v>-8.9642526239701592E-2</v>
      </c>
      <c r="CO22" s="66">
        <f t="shared" ca="1" si="70"/>
        <v>-9.3061240810060841E-2</v>
      </c>
      <c r="CP22" s="66">
        <f t="shared" ca="1" si="70"/>
        <v>-8.9240461678031235E-2</v>
      </c>
      <c r="CQ22" s="118">
        <f t="shared" ca="1" si="70"/>
        <v>-8.912767707665048E-2</v>
      </c>
      <c r="CR22" s="66">
        <f t="shared" ca="1" si="70"/>
        <v>-4.4655302222135429E-2</v>
      </c>
      <c r="CS22" s="66">
        <f t="shared" ca="1" si="70"/>
        <v>-1.9331742168074317E-2</v>
      </c>
      <c r="CT22" s="66">
        <f t="shared" ca="1" si="70"/>
        <v>-2.2892159652445399E-2</v>
      </c>
      <c r="CU22" s="66">
        <f t="shared" ca="1" si="70"/>
        <v>-1.261596489257244E-2</v>
      </c>
      <c r="CV22" s="118">
        <f t="shared" ca="1" si="70"/>
        <v>-2.4917989049226485E-2</v>
      </c>
      <c r="CW22" s="66">
        <f t="shared" ref="CW22" ca="1" si="71">CW21/CR21-1</f>
        <v>-3.470562264543553E-2</v>
      </c>
      <c r="CX22" s="66">
        <f t="shared" ref="CX22" ca="1" si="72">CX21/CS21-1</f>
        <v>-3.523630537057032E-2</v>
      </c>
      <c r="CY22" s="66">
        <f t="shared" ref="CY22" ca="1" si="73">CY21/CT21-1</f>
        <v>-3.8629421192165725E-2</v>
      </c>
      <c r="CZ22" s="66">
        <f t="shared" ref="CZ22" ca="1" si="74">CZ21/CU21-1</f>
        <v>-3.7658669509433751E-2</v>
      </c>
      <c r="DA22" s="118">
        <f t="shared" ref="DA22" ca="1" si="75">DA21/CV21-1</f>
        <v>-3.6517223711531877E-2</v>
      </c>
      <c r="DB22" s="66">
        <f t="shared" ref="DB22" ca="1" si="76">DB21/CW21-1</f>
        <v>-2.8226888834184005E-2</v>
      </c>
      <c r="DC22" s="66">
        <f t="shared" ref="DC22" ca="1" si="77">DC21/CX21-1</f>
        <v>-2.885858339466596E-2</v>
      </c>
      <c r="DD22" s="66">
        <f t="shared" ref="DD22" ca="1" si="78">DD21/CY21-1</f>
        <v>-3.3116053200176743E-2</v>
      </c>
      <c r="DE22" s="66">
        <f t="shared" ref="DE22" ca="1" si="79">DE21/CZ21-1</f>
        <v>-3.1881441967326118E-2</v>
      </c>
      <c r="DF22" s="118">
        <f t="shared" ref="DF22" ca="1" si="80">DF21/DA21-1</f>
        <v>-3.0466694162795571E-2</v>
      </c>
    </row>
    <row r="23" spans="2:110" s="10" customFormat="1" ht="11.25" x14ac:dyDescent="0.2">
      <c r="B23" s="251"/>
      <c r="C23" s="182"/>
      <c r="D23" s="182"/>
      <c r="E23" s="116"/>
      <c r="F23" s="116"/>
      <c r="G23" s="116"/>
      <c r="H23" s="116"/>
      <c r="I23" s="116"/>
      <c r="J23" s="136"/>
      <c r="K23" s="116"/>
      <c r="L23" s="116"/>
      <c r="M23" s="116"/>
      <c r="N23" s="116"/>
      <c r="O23" s="136"/>
      <c r="P23" s="66"/>
      <c r="Q23" s="66"/>
      <c r="R23" s="66"/>
      <c r="S23" s="66"/>
      <c r="T23" s="136"/>
      <c r="U23" s="66"/>
      <c r="V23" s="66"/>
      <c r="W23" s="66"/>
      <c r="X23" s="66"/>
      <c r="Y23" s="136"/>
      <c r="Z23" s="66"/>
      <c r="AA23" s="66"/>
      <c r="AB23" s="66"/>
      <c r="AC23" s="66"/>
      <c r="AD23" s="136"/>
      <c r="AE23" s="66"/>
      <c r="AF23" s="66"/>
      <c r="AG23" s="66"/>
      <c r="AH23" s="66"/>
      <c r="AI23" s="136"/>
      <c r="AJ23" s="66"/>
      <c r="AK23" s="66"/>
      <c r="AL23" s="66"/>
      <c r="AM23" s="66"/>
      <c r="AN23" s="118"/>
      <c r="AO23" s="66"/>
      <c r="AP23" s="66"/>
      <c r="AQ23" s="66"/>
      <c r="AR23" s="66"/>
      <c r="AS23" s="118"/>
      <c r="AT23" s="66"/>
      <c r="AU23" s="66"/>
      <c r="AV23" s="66"/>
      <c r="AW23" s="66"/>
      <c r="AX23" s="118"/>
      <c r="AY23" s="66"/>
      <c r="AZ23" s="66"/>
      <c r="BA23" s="66"/>
      <c r="BB23" s="66"/>
      <c r="BC23" s="118"/>
      <c r="BD23" s="66"/>
      <c r="BE23" s="66"/>
      <c r="BF23" s="66"/>
      <c r="BG23" s="66"/>
      <c r="BH23" s="118"/>
      <c r="BI23" s="66"/>
      <c r="BJ23" s="66"/>
      <c r="BK23" s="66"/>
      <c r="BL23" s="66"/>
      <c r="BM23" s="118"/>
      <c r="BN23" s="66"/>
      <c r="BO23" s="66"/>
      <c r="BP23" s="66"/>
      <c r="BQ23" s="66"/>
      <c r="BR23" s="118"/>
      <c r="BS23" s="66"/>
      <c r="BT23" s="66"/>
      <c r="BU23" s="66"/>
      <c r="BV23" s="66"/>
      <c r="BW23" s="118"/>
      <c r="BX23" s="66"/>
      <c r="BY23" s="66"/>
      <c r="BZ23" s="66"/>
      <c r="CA23" s="66"/>
      <c r="CB23" s="118"/>
      <c r="CC23" s="66"/>
      <c r="CD23" s="66"/>
      <c r="CE23" s="66"/>
      <c r="CF23" s="66"/>
      <c r="CG23" s="118"/>
      <c r="CH23" s="66"/>
      <c r="CI23" s="66"/>
      <c r="CJ23" s="66"/>
      <c r="CK23" s="66"/>
      <c r="CL23" s="118"/>
      <c r="CM23" s="66"/>
      <c r="CN23" s="66"/>
      <c r="CO23" s="66"/>
      <c r="CP23" s="66"/>
      <c r="CQ23" s="118"/>
      <c r="CR23" s="66"/>
      <c r="CS23" s="66"/>
      <c r="CT23" s="66"/>
      <c r="CU23" s="66"/>
      <c r="CV23" s="118"/>
      <c r="CW23" s="66"/>
      <c r="CX23" s="66"/>
      <c r="CY23" s="66"/>
      <c r="CZ23" s="66"/>
      <c r="DA23" s="118"/>
      <c r="DB23" s="66"/>
      <c r="DC23" s="66"/>
      <c r="DD23" s="66"/>
      <c r="DE23" s="66"/>
      <c r="DF23" s="118"/>
    </row>
    <row r="24" spans="2:110" s="10" customFormat="1" ht="11.25" x14ac:dyDescent="0.2">
      <c r="B24" s="202" t="s">
        <v>290</v>
      </c>
      <c r="C24" s="182"/>
      <c r="D24" s="182"/>
      <c r="E24" s="116"/>
      <c r="F24" s="116"/>
      <c r="G24" s="116"/>
      <c r="H24" s="116"/>
      <c r="I24" s="116"/>
      <c r="J24" s="253"/>
      <c r="K24" s="116"/>
      <c r="L24" s="116"/>
      <c r="M24" s="116"/>
      <c r="N24" s="116"/>
      <c r="O24" s="253"/>
      <c r="P24" s="252"/>
      <c r="Q24" s="252"/>
      <c r="R24" s="252"/>
      <c r="S24" s="252"/>
      <c r="T24" s="253"/>
      <c r="U24" s="252"/>
      <c r="V24" s="252"/>
      <c r="W24" s="252"/>
      <c r="X24" s="116"/>
      <c r="Y24" s="253"/>
      <c r="Z24" s="116"/>
      <c r="AA24" s="116"/>
      <c r="AB24" s="116"/>
      <c r="AC24" s="116"/>
      <c r="AD24" s="253"/>
      <c r="AE24" s="116"/>
      <c r="AF24" s="116"/>
      <c r="AG24" s="116"/>
      <c r="AH24" s="116"/>
      <c r="AI24" s="253"/>
      <c r="AJ24" s="116"/>
      <c r="AK24" s="116"/>
      <c r="AL24" s="116"/>
      <c r="AM24" s="116"/>
      <c r="AN24" s="253"/>
      <c r="AO24" s="116">
        <f>Revenue!AO14/(Revenue!AO71*3)</f>
        <v>13.602490136964306</v>
      </c>
      <c r="AP24" s="116">
        <f>Revenue!AP14/(Revenue!AP71*3)</f>
        <v>13.425441673319526</v>
      </c>
      <c r="AQ24" s="116">
        <f>Revenue!AQ14/(Revenue!AQ71*3)</f>
        <v>13.668857216441298</v>
      </c>
      <c r="AR24" s="116">
        <f>Revenue!AR14/(Revenue!AR71*3)</f>
        <v>13.930025249535888</v>
      </c>
      <c r="AS24" s="253">
        <f>Revenue!AS14/(Revenue!AS71*3)</f>
        <v>13.654825801576404</v>
      </c>
      <c r="AT24" s="116">
        <f ca="1">Revenue!AT14/(Revenue!AT71*3)</f>
        <v>12.847643210702348</v>
      </c>
      <c r="AU24" s="116">
        <f ca="1">Revenue!AU14/(Revenue!AU71*3)</f>
        <v>13.333053721682848</v>
      </c>
      <c r="AV24" s="116">
        <f ca="1">Revenue!AV14/(Revenue!AV71*3)</f>
        <v>13.219731607717044</v>
      </c>
      <c r="AW24" s="116">
        <f ca="1">Revenue!AW14/(Revenue!AW71*3)</f>
        <v>16.994734072617444</v>
      </c>
      <c r="AX24" s="253">
        <f ca="1">Revenue!AX14/(Revenue!AX71*3)</f>
        <v>14.187556588266352</v>
      </c>
      <c r="AY24" s="116">
        <f ca="1">Revenue!AY14/(Revenue!AY71*3)</f>
        <v>19.28633666262731</v>
      </c>
      <c r="AZ24" s="116">
        <f ca="1">Revenue!AZ14/(Revenue!AZ71*3)</f>
        <v>19.244368456018002</v>
      </c>
      <c r="BA24" s="116">
        <f ca="1">Revenue!BA14/(Revenue!BA71*3)</f>
        <v>19.260121035000708</v>
      </c>
      <c r="BB24" s="116">
        <f ca="1">Revenue!BB14/(Revenue!BB71*3)</f>
        <v>19.279457395730851</v>
      </c>
      <c r="BC24" s="253">
        <f ca="1">Revenue!BC14/(Revenue!BC71*3)</f>
        <v>19.267521846846726</v>
      </c>
      <c r="BD24" s="116">
        <f ca="1">Revenue!BD14/(Revenue!BD71*3)</f>
        <v>19.981102671530632</v>
      </c>
      <c r="BE24" s="116">
        <f>Revenue!BE14/(Revenue!BE71*3)</f>
        <v>20.22009597336006</v>
      </c>
      <c r="BF24" s="116">
        <f>Revenue!BF14/(Revenue!BF71*3)</f>
        <v>21.02001187788651</v>
      </c>
      <c r="BG24" s="116">
        <f>Revenue!BG14/(Revenue!BG71*3)</f>
        <v>21.519585170100822</v>
      </c>
      <c r="BH24" s="253">
        <f ca="1">Revenue!BH14/(Revenue!BH71*3)</f>
        <v>20.691258924561094</v>
      </c>
      <c r="BI24" s="116">
        <f ca="1">Revenue!BI14/(Revenue!BI71*3)</f>
        <v>21.619046869457687</v>
      </c>
      <c r="BJ24" s="116">
        <f ca="1">Revenue!BJ14/(Revenue!BJ71*3)</f>
        <v>19.821264986813727</v>
      </c>
      <c r="BK24" s="116">
        <f ca="1">Revenue!BK14/(Revenue!BK71*3)</f>
        <v>19.144404945298529</v>
      </c>
      <c r="BL24" s="116">
        <f ca="1">Revenue!BL14/(Revenue!BL71*3)</f>
        <v>19.084007867103384</v>
      </c>
      <c r="BM24" s="253">
        <f ca="1">Revenue!BM14/(Revenue!BM71*3)</f>
        <v>19.592491775521779</v>
      </c>
      <c r="BN24" s="116">
        <f ca="1">Revenue!BN14/(Revenue!BN71*3)</f>
        <v>18.654012565977489</v>
      </c>
      <c r="BO24" s="116">
        <f ca="1">Revenue!BO14/(Revenue!BO71*3)</f>
        <v>19.235661726046938</v>
      </c>
      <c r="BP24" s="116">
        <f ca="1">Revenue!BP14/(Revenue!BP71*3)</f>
        <v>20.47074615406283</v>
      </c>
      <c r="BQ24" s="116">
        <f ca="1">Revenue!BQ14/(Revenue!BQ71*3)</f>
        <v>19.741603189298139</v>
      </c>
      <c r="BR24" s="253">
        <f ca="1">Revenue!BR14/(Revenue!BR71*3)</f>
        <v>19.507130905952749</v>
      </c>
      <c r="BS24" s="116">
        <f ca="1">Revenue!BS14/(Revenue!BS71*3)</f>
        <v>19.840719105037838</v>
      </c>
      <c r="BT24" s="116">
        <f ca="1">Revenue!BT14/(Revenue!BT71*3)</f>
        <v>20.539701540326707</v>
      </c>
      <c r="BU24" s="116">
        <f ca="1">Revenue!BU14/(Revenue!BU71*3)</f>
        <v>20.996436289259755</v>
      </c>
      <c r="BV24" s="116">
        <f ca="1">Revenue!BV14/(Revenue!BV71*3)</f>
        <v>20.964175976063252</v>
      </c>
      <c r="BW24" s="253">
        <f ca="1">Revenue!BW14/(Revenue!BW71*3)</f>
        <v>20.619171741140498</v>
      </c>
      <c r="BX24" s="116">
        <f ca="1">Revenue!BX14/(Revenue!BX71*3)</f>
        <v>19.957331608188682</v>
      </c>
      <c r="BY24" s="116">
        <f ca="1">Revenue!BY14/(Revenue!BY71*3)</f>
        <v>20.716614209506297</v>
      </c>
      <c r="BZ24" s="116">
        <f ca="1">Revenue!BZ14/(Revenue!BZ71*3)</f>
        <v>21.189621637760613</v>
      </c>
      <c r="CA24" s="116">
        <f ca="1">Revenue!CA14/(Revenue!CA71*3)</f>
        <v>22.260857276566423</v>
      </c>
      <c r="CB24" s="253">
        <f ca="1">Revenue!CB14/(Revenue!CB71*3)</f>
        <v>21.041206341017382</v>
      </c>
      <c r="CC24" s="116">
        <f ca="1">Revenue!CC14/(Revenue!CC71*3)</f>
        <v>21.326391939568413</v>
      </c>
      <c r="CD24" s="116">
        <f ca="1">Revenue!CD14/(Revenue!CD71*3)</f>
        <v>21.403914534109848</v>
      </c>
      <c r="CE24" s="116">
        <f ca="1">Revenue!CE14/(Revenue!CE71*3)</f>
        <v>21.000909733428724</v>
      </c>
      <c r="CF24" s="116">
        <f ca="1">Revenue!CF14/(Revenue!CF71*3)</f>
        <v>21.873722609245224</v>
      </c>
      <c r="CG24" s="253">
        <f ca="1">Revenue!CG14/(Revenue!CG71*3)</f>
        <v>21.402332218101577</v>
      </c>
      <c r="CH24" s="116">
        <f ca="1">Revenue!CH14/(Revenue!CH71*3)</f>
        <v>20.229903392574961</v>
      </c>
      <c r="CI24" s="116">
        <f ca="1">Revenue!CI14/(Revenue!CI71*3)</f>
        <v>20.462749521057155</v>
      </c>
      <c r="CJ24" s="116">
        <f ca="1">Revenue!CJ14/(Revenue!CJ71*3)</f>
        <v>18.283416374341613</v>
      </c>
      <c r="CK24" s="116">
        <f ca="1">Revenue!CK14/(Revenue!CK71*3)</f>
        <v>19.393781219794636</v>
      </c>
      <c r="CL24" s="253">
        <f ca="1">Revenue!CL14/(Revenue!CL71*3)</f>
        <v>19.596678647664053</v>
      </c>
      <c r="CM24" s="116">
        <f ca="1">Revenue!CM14/(Revenue!CM71*3)</f>
        <v>19.045112158388125</v>
      </c>
      <c r="CN24" s="116">
        <f ca="1">Revenue!CN14/(Revenue!CN71*3)</f>
        <v>19.177311595871384</v>
      </c>
      <c r="CO24" s="116">
        <f ca="1">Revenue!CO14/(Revenue!CO71*3)</f>
        <v>17.051461581134021</v>
      </c>
      <c r="CP24" s="116">
        <f ca="1">Revenue!CP14/(Revenue!CP71*3)</f>
        <v>18.087008938128776</v>
      </c>
      <c r="CQ24" s="253">
        <f ca="1">Revenue!CQ14/(Revenue!CQ71*3)</f>
        <v>18.332236487086085</v>
      </c>
      <c r="CR24" s="116">
        <f ca="1">Revenue!CR14/(Revenue!CR71*3)</f>
        <v>18.207585996501667</v>
      </c>
      <c r="CS24" s="116">
        <f ca="1">Revenue!CS14/(Revenue!CS71*3)</f>
        <v>18.82028216404073</v>
      </c>
      <c r="CT24" s="116">
        <f ca="1">Revenue!CT14/(Revenue!CT71*3)</f>
        <v>16.673564522054612</v>
      </c>
      <c r="CU24" s="116">
        <f ca="1">Revenue!CU14/(Revenue!CU71*3)</f>
        <v>17.872105697245573</v>
      </c>
      <c r="CV24" s="253">
        <f ca="1">Revenue!CV14/(Revenue!CV71*3)</f>
        <v>17.888533511049808</v>
      </c>
      <c r="CW24" s="116">
        <f ca="1">Revenue!CW14/(Revenue!CW71*3)</f>
        <v>17.590076379510389</v>
      </c>
      <c r="CX24" s="116">
        <f ca="1">Revenue!CX14/(Revenue!CX71*3)</f>
        <v>18.172361307216292</v>
      </c>
      <c r="CY24" s="116">
        <f ca="1">Revenue!CY14/(Revenue!CY71*3)</f>
        <v>16.04326845733716</v>
      </c>
      <c r="CZ24" s="116">
        <f ca="1">Revenue!CZ14/(Revenue!CZ71*3)</f>
        <v>17.213799136780832</v>
      </c>
      <c r="DA24" s="253">
        <f ca="1">Revenue!DA14/(Revenue!DA71*3)</f>
        <v>17.249841725618445</v>
      </c>
      <c r="DB24" s="116">
        <f ca="1">Revenue!DB14/(Revenue!DB71*3)</f>
        <v>17.112500942279997</v>
      </c>
      <c r="DC24" s="116">
        <f ca="1">Revenue!DC14/(Revenue!DC71*3)</f>
        <v>17.667963792943816</v>
      </c>
      <c r="DD24" s="116">
        <f ca="1">Revenue!DD14/(Revenue!DD71*3)</f>
        <v>15.530035081452628</v>
      </c>
      <c r="DE24" s="116">
        <f ca="1">Revenue!DE14/(Revenue!DE71*3)</f>
        <v>16.684308450522916</v>
      </c>
      <c r="DF24" s="253">
        <f ca="1">Revenue!DF14/(Revenue!DF71*3)</f>
        <v>16.743390473623563</v>
      </c>
    </row>
    <row r="25" spans="2:110" s="10" customFormat="1" ht="11.25" x14ac:dyDescent="0.2">
      <c r="B25" s="181" t="s">
        <v>178</v>
      </c>
      <c r="C25" s="182"/>
      <c r="D25" s="182"/>
      <c r="E25" s="116"/>
      <c r="F25" s="116"/>
      <c r="G25" s="116"/>
      <c r="H25" s="116"/>
      <c r="I25" s="116"/>
      <c r="J25" s="118"/>
      <c r="K25" s="116"/>
      <c r="L25" s="116"/>
      <c r="M25" s="116"/>
      <c r="N25" s="116"/>
      <c r="O25" s="118"/>
      <c r="P25" s="66"/>
      <c r="Q25" s="66"/>
      <c r="R25" s="66"/>
      <c r="S25" s="66"/>
      <c r="T25" s="118"/>
      <c r="U25" s="66"/>
      <c r="V25" s="66"/>
      <c r="W25" s="66"/>
      <c r="X25" s="68"/>
      <c r="Y25" s="118"/>
      <c r="Z25" s="68"/>
      <c r="AA25" s="68"/>
      <c r="AB25" s="68"/>
      <c r="AC25" s="68"/>
      <c r="AD25" s="118"/>
      <c r="AE25" s="68"/>
      <c r="AF25" s="68"/>
      <c r="AG25" s="68"/>
      <c r="AH25" s="68"/>
      <c r="AI25" s="118"/>
      <c r="AJ25" s="68"/>
      <c r="AK25" s="68"/>
      <c r="AL25" s="68"/>
      <c r="AM25" s="68"/>
      <c r="AN25" s="118"/>
      <c r="AO25" s="68"/>
      <c r="AP25" s="68"/>
      <c r="AQ25" s="68"/>
      <c r="AR25" s="68"/>
      <c r="AS25" s="118"/>
      <c r="AT25" s="68">
        <f t="shared" ref="AT25:BL25" ca="1" si="81">AT24/AO24-1</f>
        <v>-5.549328973308254E-2</v>
      </c>
      <c r="AU25" s="68">
        <f t="shared" ca="1" si="81"/>
        <v>-6.881557708472319E-3</v>
      </c>
      <c r="AV25" s="68">
        <f t="shared" ca="1" si="81"/>
        <v>-3.2857582869768587E-2</v>
      </c>
      <c r="AW25" s="68">
        <f t="shared" ca="1" si="81"/>
        <v>0.22000741335222385</v>
      </c>
      <c r="AX25" s="118">
        <f t="shared" ca="1" si="81"/>
        <v>3.9014103470177197E-2</v>
      </c>
      <c r="AY25" s="68">
        <f t="shared" ca="1" si="81"/>
        <v>0.50115755445025112</v>
      </c>
      <c r="AZ25" s="68">
        <f t="shared" ca="1" si="81"/>
        <v>0.44335790267775588</v>
      </c>
      <c r="BA25" s="68">
        <f ca="1">BA24/AV24-1</f>
        <v>0.45692224369801693</v>
      </c>
      <c r="BB25" s="68">
        <f t="shared" ca="1" si="81"/>
        <v>0.13443713289957504</v>
      </c>
      <c r="BC25" s="118">
        <f ca="1">BC24/AX24-1</f>
        <v>0.35805779712496077</v>
      </c>
      <c r="BD25" s="68">
        <f t="shared" ca="1" si="81"/>
        <v>3.6023741628944395E-2</v>
      </c>
      <c r="BE25" s="68">
        <f t="shared" ca="1" si="81"/>
        <v>5.0701976506635216E-2</v>
      </c>
      <c r="BF25" s="68">
        <f ca="1">BF24/BA24-1</f>
        <v>9.137485894754338E-2</v>
      </c>
      <c r="BG25" s="68">
        <f t="shared" ca="1" si="81"/>
        <v>0.11619246996370403</v>
      </c>
      <c r="BH25" s="118">
        <f ca="1">BH24/BC24-1</f>
        <v>7.3893108259138751E-2</v>
      </c>
      <c r="BI25" s="68">
        <f t="shared" ca="1" si="81"/>
        <v>8.1974665004890923E-2</v>
      </c>
      <c r="BJ25" s="68">
        <f t="shared" ca="1" si="81"/>
        <v>-1.9724485337349162E-2</v>
      </c>
      <c r="BK25" s="68">
        <f ca="1">BK24/BF24-1</f>
        <v>-8.9229584811089446E-2</v>
      </c>
      <c r="BL25" s="68">
        <f t="shared" ca="1" si="81"/>
        <v>-0.11317956567217724</v>
      </c>
      <c r="BM25" s="118">
        <f ca="1">BM24/BH24-1</f>
        <v>-5.3102962610701687E-2</v>
      </c>
      <c r="BN25" s="68">
        <f t="shared" ref="BN25:BV25" ca="1" si="82">BN24/BI24-1</f>
        <v>-0.13714916857269277</v>
      </c>
      <c r="BO25" s="68">
        <f t="shared" ca="1" si="82"/>
        <v>-2.9544192116717438E-2</v>
      </c>
      <c r="BP25" s="68">
        <f ca="1">BP24/BK24-1</f>
        <v>6.9280879325007261E-2</v>
      </c>
      <c r="BQ25" s="68">
        <f t="shared" ca="1" si="82"/>
        <v>3.4457925545519297E-2</v>
      </c>
      <c r="BR25" s="118">
        <f ca="1">BR24/BM24-1</f>
        <v>-4.3568153835172874E-3</v>
      </c>
      <c r="BS25" s="68">
        <f t="shared" ca="1" si="82"/>
        <v>6.3616690235576812E-2</v>
      </c>
      <c r="BT25" s="68">
        <f t="shared" ca="1" si="82"/>
        <v>6.7792823187048157E-2</v>
      </c>
      <c r="BU25" s="68">
        <f ca="1">BU24/BP24-1</f>
        <v>2.5680067118246663E-2</v>
      </c>
      <c r="BV25" s="68">
        <f t="shared" ca="1" si="82"/>
        <v>6.1928748898562924E-2</v>
      </c>
      <c r="BW25" s="118">
        <f t="shared" ref="BW25:CB25" ca="1" si="83">BW24/BR24-1</f>
        <v>5.7006888432188818E-2</v>
      </c>
      <c r="BX25" s="68">
        <f t="shared" ca="1" si="83"/>
        <v>5.8774332993420941E-3</v>
      </c>
      <c r="BY25" s="68">
        <f t="shared" ca="1" si="83"/>
        <v>8.6132054466443453E-3</v>
      </c>
      <c r="BZ25" s="68">
        <f t="shared" ca="1" si="83"/>
        <v>9.2008637008405003E-3</v>
      </c>
      <c r="CA25" s="68">
        <f t="shared" ca="1" si="83"/>
        <v>6.185224270124956E-2</v>
      </c>
      <c r="CB25" s="118">
        <f t="shared" ca="1" si="83"/>
        <v>2.0468067542927404E-2</v>
      </c>
      <c r="CC25" s="68">
        <f t="shared" ref="CC25:CL25" ca="1" si="84">CC24/BX24-1</f>
        <v>6.8599367804160316E-2</v>
      </c>
      <c r="CD25" s="68">
        <f t="shared" ca="1" si="84"/>
        <v>3.3176286320385717E-2</v>
      </c>
      <c r="CE25" s="68">
        <f t="shared" ca="1" si="84"/>
        <v>-8.9058647463340357E-3</v>
      </c>
      <c r="CF25" s="68">
        <f t="shared" ca="1" si="84"/>
        <v>-1.7390824733813259E-2</v>
      </c>
      <c r="CG25" s="118">
        <f t="shared" ca="1" si="84"/>
        <v>1.7162793388904696E-2</v>
      </c>
      <c r="CH25" s="68">
        <f t="shared" ca="1" si="84"/>
        <v>-5.1414629821139868E-2</v>
      </c>
      <c r="CI25" s="68">
        <f t="shared" ca="1" si="84"/>
        <v>-4.3971630121809158E-2</v>
      </c>
      <c r="CJ25" s="68">
        <f t="shared" ca="1" si="84"/>
        <v>-0.12939884003031898</v>
      </c>
      <c r="CK25" s="68">
        <f t="shared" ca="1" si="84"/>
        <v>-0.11337536978741825</v>
      </c>
      <c r="CL25" s="118">
        <f t="shared" ca="1" si="84"/>
        <v>-8.4367140554446052E-2</v>
      </c>
      <c r="CM25" s="68">
        <f t="shared" ref="CM25:CV25" ca="1" si="85">CM24/CH24-1</f>
        <v>-5.8566331790872228E-2</v>
      </c>
      <c r="CN25" s="68">
        <f t="shared" ca="1" si="85"/>
        <v>-6.2818436196122818E-2</v>
      </c>
      <c r="CO25" s="68">
        <f t="shared" ca="1" si="85"/>
        <v>-6.7380995322979143E-2</v>
      </c>
      <c r="CP25" s="68">
        <f t="shared" ca="1" si="85"/>
        <v>-6.7380995322979031E-2</v>
      </c>
      <c r="CQ25" s="118">
        <f t="shared" ca="1" si="85"/>
        <v>-6.4523289038507126E-2</v>
      </c>
      <c r="CR25" s="68">
        <f t="shared" ca="1" si="85"/>
        <v>-4.3975911242800536E-2</v>
      </c>
      <c r="CS25" s="68">
        <f t="shared" ca="1" si="85"/>
        <v>-1.8617282722126594E-2</v>
      </c>
      <c r="CT25" s="68">
        <f t="shared" ca="1" si="85"/>
        <v>-2.2162150574676853E-2</v>
      </c>
      <c r="CU25" s="68">
        <f t="shared" ca="1" si="85"/>
        <v>-1.1881635134827095E-2</v>
      </c>
      <c r="CV25" s="118">
        <f t="shared" ca="1" si="85"/>
        <v>-2.4203428553239426E-2</v>
      </c>
      <c r="CW25" s="68">
        <f t="shared" ref="CW25" ca="1" si="86">CW24/CR24-1</f>
        <v>-3.3914963637130313E-2</v>
      </c>
      <c r="CX25" s="68">
        <f t="shared" ref="CX25" ca="1" si="87">CX24/CS24-1</f>
        <v>-3.4426734475979215E-2</v>
      </c>
      <c r="CY25" s="68">
        <f t="shared" ref="CY25" ca="1" si="88">CY24/CT24-1</f>
        <v>-3.780211867017047E-2</v>
      </c>
      <c r="CZ25" s="68">
        <f t="shared" ref="CZ25" ca="1" si="89">CZ24/CU24-1</f>
        <v>-3.6834303221818909E-2</v>
      </c>
      <c r="DA25" s="118">
        <f t="shared" ref="DA25" ca="1" si="90">DA24/CV24-1</f>
        <v>-3.5703976798145076E-2</v>
      </c>
      <c r="DB25" s="68">
        <f t="shared" ref="DB25" ca="1" si="91">DB24/CW24-1</f>
        <v>-2.7150276492641678E-2</v>
      </c>
      <c r="DC25" s="68">
        <f t="shared" ref="DC25" ca="1" si="92">DC24/CX24-1</f>
        <v>-2.7756300116715038E-2</v>
      </c>
      <c r="DD25" s="68">
        <f t="shared" ref="DD25" ca="1" si="93">DD24/CY24-1</f>
        <v>-3.1990574567105301E-2</v>
      </c>
      <c r="DE25" s="68">
        <f t="shared" ref="DE25" ca="1" si="94">DE24/CZ24-1</f>
        <v>-3.0759664502332251E-2</v>
      </c>
      <c r="DF25" s="118">
        <f t="shared" ref="DF25" ca="1" si="95">DF24/DA24-1</f>
        <v>-2.9359762254672184E-2</v>
      </c>
    </row>
    <row r="26" spans="2:110" s="10" customFormat="1" ht="11.25" x14ac:dyDescent="0.2">
      <c r="B26" s="181"/>
      <c r="C26" s="182"/>
      <c r="D26" s="182"/>
      <c r="E26" s="116"/>
      <c r="F26" s="116"/>
      <c r="G26" s="116"/>
      <c r="H26" s="116"/>
      <c r="I26" s="116"/>
      <c r="J26" s="136"/>
      <c r="K26" s="116"/>
      <c r="L26" s="116"/>
      <c r="M26" s="116"/>
      <c r="N26" s="116"/>
      <c r="O26" s="136"/>
      <c r="P26" s="66"/>
      <c r="Q26" s="66"/>
      <c r="R26" s="66"/>
      <c r="S26" s="66"/>
      <c r="T26" s="136"/>
      <c r="U26" s="66"/>
      <c r="V26" s="66"/>
      <c r="W26" s="66"/>
      <c r="X26" s="66"/>
      <c r="Y26" s="136"/>
      <c r="Z26" s="66"/>
      <c r="AA26" s="66"/>
      <c r="AB26" s="66"/>
      <c r="AC26" s="66"/>
      <c r="AD26" s="136"/>
      <c r="AE26" s="66"/>
      <c r="AF26" s="66"/>
      <c r="AG26" s="66"/>
      <c r="AH26" s="66"/>
      <c r="AI26" s="136"/>
      <c r="AJ26" s="66"/>
      <c r="AK26" s="66"/>
      <c r="AL26" s="66"/>
      <c r="AM26" s="66"/>
      <c r="AN26" s="118"/>
      <c r="AO26" s="66"/>
      <c r="AP26" s="66"/>
      <c r="AQ26" s="66"/>
      <c r="AR26" s="66"/>
      <c r="AS26" s="118"/>
      <c r="AT26" s="66"/>
      <c r="AU26" s="66"/>
      <c r="AV26" s="66"/>
      <c r="AW26" s="66"/>
      <c r="AX26" s="118"/>
      <c r="AY26" s="66"/>
      <c r="AZ26" s="66"/>
      <c r="BA26" s="66"/>
      <c r="BB26" s="66"/>
      <c r="BC26" s="118"/>
      <c r="BD26" s="66"/>
      <c r="BE26" s="66"/>
      <c r="BF26" s="66"/>
      <c r="BG26" s="66"/>
      <c r="BH26" s="118"/>
      <c r="BI26" s="66"/>
      <c r="BJ26" s="66"/>
      <c r="BK26" s="66"/>
      <c r="BL26" s="66"/>
      <c r="BM26" s="118"/>
      <c r="BN26" s="66"/>
      <c r="BO26" s="66"/>
      <c r="BP26" s="66"/>
      <c r="BQ26" s="66"/>
      <c r="BR26" s="118"/>
      <c r="BS26" s="66"/>
      <c r="BT26" s="66"/>
      <c r="BU26" s="66"/>
      <c r="BV26" s="66"/>
      <c r="BW26" s="118"/>
      <c r="BX26" s="66"/>
      <c r="BY26" s="66"/>
      <c r="BZ26" s="66"/>
      <c r="CA26" s="66"/>
      <c r="CB26" s="118"/>
      <c r="CC26" s="66"/>
      <c r="CD26" s="66"/>
      <c r="CE26" s="66"/>
      <c r="CF26" s="66"/>
      <c r="CG26" s="118"/>
      <c r="CH26" s="66"/>
      <c r="CI26" s="66"/>
      <c r="CJ26" s="66"/>
      <c r="CK26" s="66"/>
      <c r="CL26" s="118"/>
      <c r="CM26" s="66"/>
      <c r="CN26" s="66"/>
      <c r="CO26" s="66"/>
      <c r="CP26" s="66"/>
      <c r="CQ26" s="118"/>
      <c r="CR26" s="66"/>
      <c r="CS26" s="66"/>
      <c r="CT26" s="66"/>
      <c r="CU26" s="66"/>
      <c r="CV26" s="118"/>
      <c r="CW26" s="66"/>
      <c r="CX26" s="66"/>
      <c r="CY26" s="66"/>
      <c r="CZ26" s="66"/>
      <c r="DA26" s="118"/>
      <c r="DB26" s="66"/>
      <c r="DC26" s="66"/>
      <c r="DD26" s="66"/>
      <c r="DE26" s="66"/>
      <c r="DF26" s="118"/>
    </row>
    <row r="27" spans="2:110" s="787" customFormat="1" ht="11.25" x14ac:dyDescent="0.2">
      <c r="B27" s="786" t="s">
        <v>303</v>
      </c>
      <c r="J27" s="788"/>
      <c r="O27" s="788"/>
      <c r="P27" s="232"/>
      <c r="Q27" s="232"/>
      <c r="R27" s="232"/>
      <c r="S27" s="232"/>
      <c r="T27" s="788"/>
      <c r="U27" s="232"/>
      <c r="V27" s="232"/>
      <c r="W27" s="232"/>
      <c r="Y27" s="788"/>
      <c r="AD27" s="788"/>
      <c r="AI27" s="788"/>
      <c r="AN27" s="788"/>
      <c r="AO27" s="787">
        <f ca="1">Revenue!AO16/Revenue!AO73</f>
        <v>1753.0991000000001</v>
      </c>
      <c r="AP27" s="787">
        <f ca="1">Revenue!AP16/Revenue!AP73</f>
        <v>1753.0990999999999</v>
      </c>
      <c r="AQ27" s="787">
        <f ca="1">Revenue!AQ16/Revenue!AQ73</f>
        <v>1753.0990999999999</v>
      </c>
      <c r="AR27" s="787">
        <f ca="1">Revenue!AR16/Revenue!AR73</f>
        <v>1753.0991000000001</v>
      </c>
      <c r="AS27" s="788">
        <f ca="1">Revenue!AS16/Revenue!AS73</f>
        <v>1753.0990999999999</v>
      </c>
      <c r="AT27" s="787">
        <f>Revenue!AT16/Revenue!AT73</f>
        <v>1945.9400009999999</v>
      </c>
      <c r="AU27" s="787">
        <f>Revenue!AU16/Revenue!AU73</f>
        <v>1945.9400010000002</v>
      </c>
      <c r="AV27" s="787">
        <f>Revenue!AV16/Revenue!AV73</f>
        <v>1945.9400010000002</v>
      </c>
      <c r="AW27" s="787">
        <f>Revenue!AW16/Revenue!AW73</f>
        <v>1945.9400010000002</v>
      </c>
      <c r="AX27" s="788">
        <f>Revenue!AX16/Revenue!AX73</f>
        <v>1945.9400010000002</v>
      </c>
      <c r="AY27" s="787">
        <f>Revenue!AY16/Revenue!AY73</f>
        <v>2121.0746010900002</v>
      </c>
      <c r="AZ27" s="787">
        <f>Revenue!AZ16/Revenue!AZ73</f>
        <v>2121.0746010900002</v>
      </c>
      <c r="BA27" s="787">
        <f>Revenue!BA16/Revenue!BA73</f>
        <v>2121.0746010900002</v>
      </c>
      <c r="BB27" s="787">
        <f>Revenue!BB16/Revenue!BB73</f>
        <v>2121.0746010900002</v>
      </c>
      <c r="BC27" s="788">
        <f>Revenue!BC16/Revenue!BC73</f>
        <v>2121.0746010900007</v>
      </c>
      <c r="BD27" s="787">
        <f ca="1">Revenue!BD16/Revenue!BD73</f>
        <v>2333.1820611990006</v>
      </c>
      <c r="BE27" s="787">
        <f>Revenue!BE16/Revenue!BE73</f>
        <v>2333.1820611990006</v>
      </c>
      <c r="BF27" s="787">
        <f>Revenue!BF16/Revenue!BF73</f>
        <v>2333.1820611990006</v>
      </c>
      <c r="BG27" s="787">
        <f>Revenue!BG16/Revenue!BG73</f>
        <v>2333.1820611990006</v>
      </c>
      <c r="BH27" s="788">
        <f ca="1">Revenue!BH16/Revenue!BH73</f>
        <v>2333.1820611990006</v>
      </c>
      <c r="BI27" s="787">
        <f ca="1">Revenue!BI16/Revenue!BI73</f>
        <v>2519.836626094921</v>
      </c>
      <c r="BJ27" s="787">
        <f ca="1">Revenue!BJ16/Revenue!BJ73</f>
        <v>2519.836626094921</v>
      </c>
      <c r="BK27" s="787">
        <f ca="1">Revenue!BK16/Revenue!BK73</f>
        <v>2519.836626094921</v>
      </c>
      <c r="BL27" s="787">
        <f ca="1">Revenue!BL16/Revenue!BL73</f>
        <v>2519.836626094921</v>
      </c>
      <c r="BM27" s="788">
        <f ca="1">Revenue!BM16/Revenue!BM73</f>
        <v>2519.8366260949206</v>
      </c>
      <c r="BN27" s="787">
        <f ca="1">Revenue!BN16/Revenue!BN73</f>
        <v>2568.2518080715704</v>
      </c>
      <c r="BO27" s="787">
        <f ca="1">Revenue!BO16/Revenue!BO73</f>
        <v>2575.1344299919156</v>
      </c>
      <c r="BP27" s="787">
        <f ca="1">Revenue!BP16/Revenue!BP73</f>
        <v>2572.4936549737395</v>
      </c>
      <c r="BQ27" s="787">
        <f ca="1">Revenue!BQ16/Revenue!BQ73</f>
        <v>2574.4574585638738</v>
      </c>
      <c r="BR27" s="788">
        <f ca="1">Revenue!BR16/Revenue!BR73</f>
        <v>2572.6495650819274</v>
      </c>
      <c r="BS27" s="787">
        <f ca="1">Revenue!BS16/Revenue!BS73</f>
        <v>2697.8824626761225</v>
      </c>
      <c r="BT27" s="787">
        <f ca="1">Revenue!BT16/Revenue!BT73</f>
        <v>2756.5803542920085</v>
      </c>
      <c r="BU27" s="787">
        <f ca="1">Revenue!BU16/Revenue!BU73</f>
        <v>2753.7528002253907</v>
      </c>
      <c r="BV27" s="787">
        <f ca="1">Revenue!BV16/Revenue!BV73</f>
        <v>2755.8556156534569</v>
      </c>
      <c r="BW27" s="788">
        <f ca="1">Revenue!BW16/Revenue!BW73</f>
        <v>2741.7460367356412</v>
      </c>
      <c r="BX27" s="787">
        <f ca="1">Revenue!BX16/Revenue!BX73</f>
        <v>3021.6283581972575</v>
      </c>
      <c r="BY27" s="787">
        <f ca="1">Revenue!BY16/Revenue!BY73</f>
        <v>3087.36999680705</v>
      </c>
      <c r="BZ27" s="787">
        <f ca="1">Revenue!BZ16/Revenue!BZ73</f>
        <v>3084.2031362524381</v>
      </c>
      <c r="CA27" s="787">
        <f ca="1">Revenue!CA16/Revenue!CA73</f>
        <v>2976.3240649057338</v>
      </c>
      <c r="CB27" s="788">
        <f ca="1">Revenue!CB16/Revenue!CB73</f>
        <v>3042.0680709333428</v>
      </c>
      <c r="CC27" s="787">
        <f ca="1">Revenue!CC16/Revenue!CC73</f>
        <v>3202.9260596890931</v>
      </c>
      <c r="CD27" s="787">
        <f ca="1">Revenue!CD16/Revenue!CD73</f>
        <v>3318.922746567579</v>
      </c>
      <c r="CE27" s="787">
        <f ca="1">Revenue!CE16/Revenue!CE73</f>
        <v>3315.5183714713708</v>
      </c>
      <c r="CF27" s="787">
        <f ca="1">Revenue!CF16/Revenue!CF73</f>
        <v>3199.548369773664</v>
      </c>
      <c r="CG27" s="788">
        <f ca="1">Revenue!CG16/Revenue!CG73</f>
        <v>3259.4733671149888</v>
      </c>
      <c r="CH27" s="787">
        <f ca="1">Revenue!CH16/Revenue!CH73</f>
        <v>3443.1455141657748</v>
      </c>
      <c r="CI27" s="787">
        <f ca="1">Revenue!CI16/Revenue!CI73</f>
        <v>3567.8419525601471</v>
      </c>
      <c r="CJ27" s="787">
        <f ca="1">Revenue!CJ16/Revenue!CJ73</f>
        <v>3564.1822493317241</v>
      </c>
      <c r="CK27" s="787">
        <f ca="1">Revenue!CK16/Revenue!CK73</f>
        <v>3439.5144975066878</v>
      </c>
      <c r="CL27" s="788">
        <f ca="1">Revenue!CL16/Revenue!CL73</f>
        <v>3503.8665729113736</v>
      </c>
      <c r="CM27" s="787">
        <f ca="1">Revenue!CM16/Revenue!CM73</f>
        <v>3787.4600655823529</v>
      </c>
      <c r="CN27" s="787">
        <f ca="1">Revenue!CN16/Revenue!CN73</f>
        <v>3924.6261478161632</v>
      </c>
      <c r="CO27" s="787">
        <f ca="1">Revenue!CO16/Revenue!CO73</f>
        <v>3920.600474264897</v>
      </c>
      <c r="CP27" s="787">
        <f ca="1">Revenue!CP16/Revenue!CP73</f>
        <v>3783.4659472573571</v>
      </c>
      <c r="CQ27" s="788">
        <f ca="1">Revenue!CQ16/Revenue!CQ73</f>
        <v>3854.2532302025115</v>
      </c>
      <c r="CR27" s="787">
        <f ca="1">Revenue!CR16/Revenue!CR73</f>
        <v>4014.7076695172937</v>
      </c>
      <c r="CS27" s="787">
        <f ca="1">Revenue!CS16/Revenue!CS73</f>
        <v>4160.1037166851329</v>
      </c>
      <c r="CT27" s="787">
        <f ca="1">Revenue!CT16/Revenue!CT73</f>
        <v>4155.8365027207901</v>
      </c>
      <c r="CU27" s="787">
        <f ca="1">Revenue!CU16/Revenue!CU73</f>
        <v>4010.4739040927989</v>
      </c>
      <c r="CV27" s="788">
        <f ca="1">Revenue!CV16/Revenue!CV73</f>
        <v>4085.5084240146607</v>
      </c>
      <c r="CW27" s="787">
        <f ca="1">Revenue!CW16/Revenue!CW73</f>
        <v>4215.4430529931578</v>
      </c>
      <c r="CX27" s="787">
        <f ca="1">Revenue!CX16/Revenue!CX73</f>
        <v>4368.1089025193896</v>
      </c>
      <c r="CY27" s="787">
        <f ca="1">Revenue!CY16/Revenue!CY73</f>
        <v>4363.6283278568299</v>
      </c>
      <c r="CZ27" s="787">
        <f ca="1">Revenue!CZ16/Revenue!CZ73</f>
        <v>4210.9975992974387</v>
      </c>
      <c r="DA27" s="788">
        <f ca="1">Revenue!DA16/Revenue!DA73</f>
        <v>4289.7838452153946</v>
      </c>
      <c r="DB27" s="787">
        <f ca="1">Revenue!DB16/Revenue!DB73</f>
        <v>4426.2152056428167</v>
      </c>
      <c r="DC27" s="787">
        <f ca="1">Revenue!DC16/Revenue!DC73</f>
        <v>4586.5143476453586</v>
      </c>
      <c r="DD27" s="787">
        <f ca="1">Revenue!DD16/Revenue!DD73</f>
        <v>4581.8097442496719</v>
      </c>
      <c r="DE27" s="787">
        <f ca="1">Revenue!DE16/Revenue!DE73</f>
        <v>4421.5474792623118</v>
      </c>
      <c r="DF27" s="788">
        <f ca="1">Revenue!DF16/Revenue!DF73</f>
        <v>4504.2730374761659</v>
      </c>
    </row>
    <row r="28" spans="2:110" s="10" customFormat="1" ht="12" thickBot="1" x14ac:dyDescent="0.25">
      <c r="B28" s="210" t="s">
        <v>291</v>
      </c>
      <c r="C28" s="211"/>
      <c r="D28" s="211"/>
      <c r="E28" s="265"/>
      <c r="F28" s="265"/>
      <c r="G28" s="265"/>
      <c r="H28" s="265"/>
      <c r="I28" s="265"/>
      <c r="J28" s="121"/>
      <c r="K28" s="265"/>
      <c r="L28" s="265"/>
      <c r="M28" s="265"/>
      <c r="N28" s="265"/>
      <c r="O28" s="121"/>
      <c r="P28" s="140"/>
      <c r="Q28" s="140"/>
      <c r="R28" s="140"/>
      <c r="S28" s="140"/>
      <c r="T28" s="121"/>
      <c r="U28" s="140"/>
      <c r="V28" s="140"/>
      <c r="W28" s="140"/>
      <c r="X28" s="120"/>
      <c r="Y28" s="121"/>
      <c r="Z28" s="120"/>
      <c r="AA28" s="120"/>
      <c r="AB28" s="120"/>
      <c r="AC28" s="120"/>
      <c r="AD28" s="121"/>
      <c r="AE28" s="120"/>
      <c r="AF28" s="120"/>
      <c r="AG28" s="120"/>
      <c r="AH28" s="120"/>
      <c r="AI28" s="121"/>
      <c r="AJ28" s="120"/>
      <c r="AK28" s="120"/>
      <c r="AL28" s="120"/>
      <c r="AM28" s="120"/>
      <c r="AN28" s="121"/>
      <c r="AO28" s="120"/>
      <c r="AP28" s="120"/>
      <c r="AQ28" s="120"/>
      <c r="AR28" s="120"/>
      <c r="AS28" s="121"/>
      <c r="AT28" s="120">
        <f t="shared" ref="AT28:BM28" ca="1" si="96">AT27/AO27-1</f>
        <v>0.10999999999999988</v>
      </c>
      <c r="AU28" s="120">
        <f t="shared" ca="1" si="96"/>
        <v>0.1100000000000001</v>
      </c>
      <c r="AV28" s="120">
        <f t="shared" ca="1" si="96"/>
        <v>0.1100000000000001</v>
      </c>
      <c r="AW28" s="120">
        <f t="shared" ca="1" si="96"/>
        <v>0.1100000000000001</v>
      </c>
      <c r="AX28" s="121">
        <f t="shared" ca="1" si="96"/>
        <v>0.1100000000000001</v>
      </c>
      <c r="AY28" s="120">
        <f t="shared" si="96"/>
        <v>9.000000000000008E-2</v>
      </c>
      <c r="AZ28" s="120">
        <f t="shared" si="96"/>
        <v>9.000000000000008E-2</v>
      </c>
      <c r="BA28" s="120">
        <f t="shared" si="96"/>
        <v>9.000000000000008E-2</v>
      </c>
      <c r="BB28" s="120">
        <f t="shared" si="96"/>
        <v>9.000000000000008E-2</v>
      </c>
      <c r="BC28" s="121">
        <f t="shared" si="96"/>
        <v>9.0000000000000302E-2</v>
      </c>
      <c r="BD28" s="120">
        <f t="shared" ca="1" si="96"/>
        <v>0.10000000000000009</v>
      </c>
      <c r="BE28" s="120">
        <f t="shared" si="96"/>
        <v>0.10000000000000009</v>
      </c>
      <c r="BF28" s="120">
        <f t="shared" si="96"/>
        <v>0.10000000000000009</v>
      </c>
      <c r="BG28" s="120">
        <f t="shared" si="96"/>
        <v>0.10000000000000009</v>
      </c>
      <c r="BH28" s="121">
        <f t="shared" ca="1" si="96"/>
        <v>9.9999999999999867E-2</v>
      </c>
      <c r="BI28" s="120">
        <f t="shared" ca="1" si="96"/>
        <v>8.0000000000000071E-2</v>
      </c>
      <c r="BJ28" s="120">
        <f t="shared" ca="1" si="96"/>
        <v>8.0000000000000071E-2</v>
      </c>
      <c r="BK28" s="120">
        <f t="shared" ca="1" si="96"/>
        <v>8.0000000000000071E-2</v>
      </c>
      <c r="BL28" s="120">
        <f t="shared" ca="1" si="96"/>
        <v>8.0000000000000071E-2</v>
      </c>
      <c r="BM28" s="121">
        <f t="shared" ca="1" si="96"/>
        <v>8.0000000000000071E-2</v>
      </c>
      <c r="BN28" s="120">
        <f t="shared" ref="BN28:BW28" ca="1" si="97">BN27/BI27-1</f>
        <v>1.9213619436780682E-2</v>
      </c>
      <c r="BO28" s="120">
        <f t="shared" ca="1" si="97"/>
        <v>2.1944995689141766E-2</v>
      </c>
      <c r="BP28" s="120">
        <f t="shared" ca="1" si="97"/>
        <v>2.0897001152182959E-2</v>
      </c>
      <c r="BQ28" s="120">
        <f t="shared" ca="1" si="97"/>
        <v>2.1676338816298824E-2</v>
      </c>
      <c r="BR28" s="121">
        <f t="shared" ca="1" si="97"/>
        <v>2.0958874254023652E-2</v>
      </c>
      <c r="BS28" s="120">
        <f t="shared" ca="1" si="97"/>
        <v>5.0474277559990677E-2</v>
      </c>
      <c r="BT28" s="120">
        <f t="shared" ca="1" si="97"/>
        <v>7.046075815958952E-2</v>
      </c>
      <c r="BU28" s="120">
        <f t="shared" ca="1" si="97"/>
        <v>7.0460482925273293E-2</v>
      </c>
      <c r="BV28" s="120">
        <f t="shared" ca="1" si="97"/>
        <v>7.0460732021873751E-2</v>
      </c>
      <c r="BW28" s="121">
        <f t="shared" ca="1" si="97"/>
        <v>6.5728529042131223E-2</v>
      </c>
      <c r="BX28" s="120">
        <f t="shared" ref="BX28:CG28" ca="1" si="98">BX27/BS27-1</f>
        <v>0.12000000000000011</v>
      </c>
      <c r="BY28" s="120">
        <f t="shared" ca="1" si="98"/>
        <v>0.12000000000000011</v>
      </c>
      <c r="BZ28" s="120">
        <f t="shared" ca="1" si="98"/>
        <v>0.12000000000000011</v>
      </c>
      <c r="CA28" s="120">
        <f t="shared" ca="1" si="98"/>
        <v>8.0000000000000071E-2</v>
      </c>
      <c r="CB28" s="121">
        <f t="shared" ca="1" si="98"/>
        <v>0.1095367806404377</v>
      </c>
      <c r="CC28" s="120">
        <f t="shared" ca="1" si="98"/>
        <v>6.0000000000000053E-2</v>
      </c>
      <c r="CD28" s="120">
        <f t="shared" ca="1" si="98"/>
        <v>7.5000000000000178E-2</v>
      </c>
      <c r="CE28" s="120">
        <f t="shared" ca="1" si="98"/>
        <v>7.4999999999999956E-2</v>
      </c>
      <c r="CF28" s="120">
        <f t="shared" ca="1" si="98"/>
        <v>7.4999999999999956E-2</v>
      </c>
      <c r="CG28" s="121">
        <f t="shared" ca="1" si="98"/>
        <v>7.1466282513179769E-2</v>
      </c>
      <c r="CH28" s="120">
        <f t="shared" ref="CH28:CQ28" ca="1" si="99">CH27/CC27-1</f>
        <v>7.4999999999999956E-2</v>
      </c>
      <c r="CI28" s="120">
        <f t="shared" ca="1" si="99"/>
        <v>7.4999999999999956E-2</v>
      </c>
      <c r="CJ28" s="120">
        <f t="shared" ca="1" si="99"/>
        <v>7.5000000000000178E-2</v>
      </c>
      <c r="CK28" s="120">
        <f t="shared" ca="1" si="99"/>
        <v>7.4999999999999734E-2</v>
      </c>
      <c r="CL28" s="121">
        <f t="shared" ca="1" si="99"/>
        <v>7.4979353493751955E-2</v>
      </c>
      <c r="CM28" s="120">
        <f t="shared" ca="1" si="99"/>
        <v>0.10000000000000009</v>
      </c>
      <c r="CN28" s="120">
        <f t="shared" ca="1" si="99"/>
        <v>0.10000000000000031</v>
      </c>
      <c r="CO28" s="120">
        <f t="shared" ca="1" si="99"/>
        <v>0.10000000000000009</v>
      </c>
      <c r="CP28" s="120">
        <f t="shared" ca="1" si="99"/>
        <v>0.10000000000000009</v>
      </c>
      <c r="CQ28" s="121">
        <f t="shared" ca="1" si="99"/>
        <v>0.10000000000000009</v>
      </c>
      <c r="CR28" s="120">
        <f t="shared" ref="CR28" ca="1" si="100">CR27/CM27-1</f>
        <v>5.9999999999999831E-2</v>
      </c>
      <c r="CS28" s="120">
        <f t="shared" ref="CS28" ca="1" si="101">CS27/CN27-1</f>
        <v>6.0000000000000053E-2</v>
      </c>
      <c r="CT28" s="120">
        <f t="shared" ref="CT28" ca="1" si="102">CT27/CO27-1</f>
        <v>5.9999999999999831E-2</v>
      </c>
      <c r="CU28" s="120">
        <f t="shared" ref="CU28" ca="1" si="103">CU27/CP27-1</f>
        <v>6.0000000000000053E-2</v>
      </c>
      <c r="CV28" s="121">
        <f t="shared" ref="CV28" ca="1" si="104">CV27/CQ27-1</f>
        <v>5.9999999999999609E-2</v>
      </c>
      <c r="CW28" s="120">
        <f t="shared" ref="CW28" ca="1" si="105">CW27/CR27-1</f>
        <v>4.9999999999999822E-2</v>
      </c>
      <c r="CX28" s="120">
        <f t="shared" ref="CX28" ca="1" si="106">CX27/CS27-1</f>
        <v>5.0000000000000044E-2</v>
      </c>
      <c r="CY28" s="120">
        <f t="shared" ref="CY28" ca="1" si="107">CY27/CT27-1</f>
        <v>5.0000000000000044E-2</v>
      </c>
      <c r="CZ28" s="120">
        <f t="shared" ref="CZ28" ca="1" si="108">CZ27/CU27-1</f>
        <v>5.0000000000000044E-2</v>
      </c>
      <c r="DA28" s="121">
        <f t="shared" ref="DA28" ca="1" si="109">DA27/CV27-1</f>
        <v>5.0000000000000266E-2</v>
      </c>
      <c r="DB28" s="120">
        <f t="shared" ref="DB28" ca="1" si="110">DB27/CW27-1</f>
        <v>5.0000000000000266E-2</v>
      </c>
      <c r="DC28" s="120">
        <f t="shared" ref="DC28" ca="1" si="111">DC27/CX27-1</f>
        <v>4.9999999999999822E-2</v>
      </c>
      <c r="DD28" s="120">
        <f t="shared" ref="DD28" ca="1" si="112">DD27/CY27-1</f>
        <v>5.0000000000000044E-2</v>
      </c>
      <c r="DE28" s="120">
        <f t="shared" ref="DE28" ca="1" si="113">DE27/CZ27-1</f>
        <v>5.0000000000000266E-2</v>
      </c>
      <c r="DF28" s="121">
        <f t="shared" ref="DF28" ca="1" si="114">DF27/DA27-1</f>
        <v>5.0000000000000266E-2</v>
      </c>
    </row>
    <row r="29" spans="2:110" ht="13.5" thickBot="1" x14ac:dyDescent="0.25"/>
    <row r="30" spans="2:110" s="77" customFormat="1" ht="12" thickBot="1" x14ac:dyDescent="0.25">
      <c r="B30" s="877" t="s">
        <v>304</v>
      </c>
      <c r="C30" s="819"/>
      <c r="D30" s="819"/>
      <c r="E30" s="819"/>
      <c r="F30" s="819"/>
      <c r="G30" s="819"/>
      <c r="H30" s="819"/>
      <c r="I30" s="819"/>
      <c r="J30" s="819"/>
      <c r="K30" s="819"/>
      <c r="L30" s="819"/>
      <c r="M30" s="819"/>
      <c r="N30" s="819"/>
      <c r="O30" s="819"/>
      <c r="P30" s="819"/>
      <c r="Q30" s="819"/>
      <c r="R30" s="819"/>
      <c r="S30" s="819"/>
      <c r="T30" s="819"/>
      <c r="U30" s="819"/>
      <c r="V30" s="819"/>
      <c r="W30" s="819"/>
      <c r="X30" s="819"/>
      <c r="Y30" s="819"/>
      <c r="Z30" s="819"/>
      <c r="AA30" s="819"/>
      <c r="AB30" s="819"/>
      <c r="AC30" s="819"/>
      <c r="AD30" s="819"/>
      <c r="AE30" s="819"/>
      <c r="AF30" s="819"/>
      <c r="AG30" s="819"/>
      <c r="AH30" s="819"/>
      <c r="AI30" s="819"/>
      <c r="AJ30" s="819"/>
      <c r="AK30" s="819"/>
      <c r="AL30" s="819"/>
      <c r="AM30" s="819"/>
      <c r="AN30" s="819"/>
      <c r="AO30" s="819"/>
      <c r="AP30" s="819"/>
      <c r="AQ30" s="819"/>
      <c r="AR30" s="819"/>
      <c r="AS30" s="819"/>
      <c r="AT30" s="819"/>
      <c r="AU30" s="819"/>
      <c r="AV30" s="819"/>
      <c r="AW30" s="819"/>
      <c r="AX30" s="819"/>
      <c r="AY30" s="819"/>
      <c r="AZ30" s="819"/>
      <c r="BA30" s="819"/>
      <c r="BB30" s="819"/>
      <c r="BC30" s="819"/>
      <c r="BD30" s="819"/>
      <c r="BE30" s="819"/>
      <c r="BF30" s="819"/>
      <c r="BG30" s="819"/>
      <c r="BH30" s="819"/>
      <c r="BI30" s="819"/>
      <c r="BJ30" s="819"/>
      <c r="BK30" s="819"/>
      <c r="BL30" s="819"/>
      <c r="BM30" s="819"/>
      <c r="BN30" s="819"/>
      <c r="BO30" s="819"/>
      <c r="BP30" s="819"/>
      <c r="BQ30" s="819"/>
      <c r="BR30" s="819"/>
      <c r="BS30" s="819"/>
      <c r="BT30" s="819"/>
      <c r="BU30" s="819"/>
      <c r="BV30" s="819"/>
      <c r="BW30" s="819"/>
      <c r="BX30" s="819"/>
      <c r="BY30" s="819"/>
      <c r="BZ30" s="819"/>
      <c r="CA30" s="819"/>
      <c r="CB30" s="872"/>
      <c r="CC30" s="819"/>
      <c r="CD30" s="819"/>
      <c r="CE30" s="819"/>
      <c r="CF30" s="819"/>
      <c r="CG30" s="872"/>
      <c r="CH30" s="819"/>
      <c r="CI30" s="819"/>
      <c r="CJ30" s="819"/>
      <c r="CK30" s="819"/>
      <c r="CL30" s="872"/>
      <c r="CM30" s="819"/>
      <c r="CN30" s="819"/>
      <c r="CO30" s="819"/>
      <c r="CP30" s="819"/>
      <c r="CQ30" s="872"/>
      <c r="CR30" s="819"/>
      <c r="CS30" s="819"/>
      <c r="CT30" s="819"/>
      <c r="CU30" s="819"/>
      <c r="CV30" s="872"/>
      <c r="CW30" s="819"/>
      <c r="CX30" s="819"/>
      <c r="CY30" s="819"/>
      <c r="CZ30" s="819"/>
      <c r="DA30" s="872"/>
      <c r="DB30" s="819"/>
      <c r="DC30" s="819"/>
      <c r="DD30" s="819"/>
      <c r="DE30" s="819"/>
      <c r="DF30" s="872"/>
    </row>
    <row r="31" spans="2:110" s="10" customFormat="1" ht="11.25" x14ac:dyDescent="0.2">
      <c r="B31" s="235" t="s">
        <v>70</v>
      </c>
      <c r="J31" s="110"/>
      <c r="O31" s="110"/>
      <c r="T31" s="110"/>
      <c r="U31" s="666"/>
      <c r="V31" s="666"/>
      <c r="W31" s="666"/>
      <c r="X31" s="666"/>
      <c r="Y31" s="110"/>
      <c r="AD31" s="110"/>
      <c r="AI31" s="110"/>
      <c r="AN31" s="110"/>
      <c r="AS31" s="110"/>
      <c r="AX31" s="110"/>
      <c r="BC31" s="110"/>
      <c r="BH31" s="110"/>
      <c r="BM31" s="110"/>
      <c r="BR31" s="110"/>
      <c r="BW31" s="110"/>
      <c r="CB31" s="9"/>
      <c r="CG31" s="9"/>
      <c r="CL31" s="9"/>
      <c r="CQ31" s="9"/>
      <c r="CV31" s="9"/>
      <c r="DA31" s="9"/>
      <c r="DF31" s="9"/>
    </row>
    <row r="32" spans="2:110" s="77" customFormat="1" ht="11.25" x14ac:dyDescent="0.2">
      <c r="B32" s="495" t="s">
        <v>293</v>
      </c>
      <c r="J32" s="271"/>
      <c r="O32" s="271"/>
      <c r="P32" s="79">
        <f>'Gross Margin'!P37/Revenue!P132</f>
        <v>0.76028439251569713</v>
      </c>
      <c r="Q32" s="79">
        <f>'Gross Margin'!Q37/Revenue!Q132</f>
        <v>0.8010139779805221</v>
      </c>
      <c r="R32" s="79">
        <f>'Gross Margin'!R37/Revenue!R132</f>
        <v>0.80471527150670819</v>
      </c>
      <c r="S32" s="79">
        <f>'Gross Margin'!S37/Revenue!S132</f>
        <v>0.80602619465923075</v>
      </c>
      <c r="T32" s="271">
        <f>'Gross Margin'!T37/Revenue!T132</f>
        <v>0.79284362327788171</v>
      </c>
      <c r="U32" s="757">
        <f>'Gross Margin'!U37/Revenue!U132</f>
        <v>0.79778531298689592</v>
      </c>
      <c r="V32" s="757">
        <f>'Gross Margin'!V37/Revenue!V132</f>
        <v>0.80136659434854085</v>
      </c>
      <c r="W32" s="757">
        <f>'Gross Margin'!W37/Revenue!W132</f>
        <v>0.74225161450149557</v>
      </c>
      <c r="X32" s="757">
        <f>'Gross Margin'!X37/Revenue!X132</f>
        <v>0.73872734663090411</v>
      </c>
      <c r="Y32" s="271">
        <f>'Gross Margin'!Y37/Revenue!Y132</f>
        <v>0.76890554350135265</v>
      </c>
      <c r="Z32" s="79">
        <f>'Gross Margin'!Z37/Revenue!Z132</f>
        <v>0.66955397503521652</v>
      </c>
      <c r="AA32" s="79">
        <f>'Gross Margin'!AA37/Revenue!AA132</f>
        <v>0.67766023081076587</v>
      </c>
      <c r="AB32" s="79">
        <f>'Gross Margin'!AB37/Revenue!AB132</f>
        <v>0.66020884678521541</v>
      </c>
      <c r="AC32" s="79">
        <f>'Gross Margin'!AC37/Revenue!AC132</f>
        <v>0.6637667204292701</v>
      </c>
      <c r="AD32" s="271">
        <f>'Gross Margin'!AD37/Revenue!AD132</f>
        <v>0.66781172204256389</v>
      </c>
      <c r="AE32" s="79">
        <f>'Gross Margin'!AE37/Revenue!AE132</f>
        <v>0.64544224501377268</v>
      </c>
      <c r="AF32" s="79">
        <f>'Gross Margin'!AF37/Revenue!AF132</f>
        <v>0.69466521868384612</v>
      </c>
      <c r="AG32" s="79">
        <f>'Gross Margin'!AG37/Revenue!AG132</f>
        <v>0.70427947663071011</v>
      </c>
      <c r="AH32" s="79">
        <f>'Gross Margin'!AH37/Revenue!AH132</f>
        <v>0.72815168546796261</v>
      </c>
      <c r="AI32" s="271">
        <f>'Gross Margin'!AI37/Revenue!AI132</f>
        <v>0.69296965016340872</v>
      </c>
      <c r="AJ32" s="79">
        <f>'Gross Margin'!AJ37/Revenue!AJ132</f>
        <v>0.84209170400490496</v>
      </c>
      <c r="AK32" s="79">
        <f>'Gross Margin'!AK37/Revenue!AK132</f>
        <v>0.90892221940493345</v>
      </c>
      <c r="AL32" s="79">
        <f>'Gross Margin'!AL37/Revenue!AL132</f>
        <v>0.85525491153425237</v>
      </c>
      <c r="AM32" s="79">
        <f>'Gross Margin'!AM37/Revenue!AM132</f>
        <v>0.96751947923266046</v>
      </c>
      <c r="AN32" s="271">
        <f>'Gross Margin'!AN37/Revenue!AN132</f>
        <v>0.89463745166449515</v>
      </c>
      <c r="AO32" s="79">
        <f>'Gross Margin'!AO37/Revenue!AO132</f>
        <v>1.4443405850949145</v>
      </c>
      <c r="AP32" s="79">
        <f>'Gross Margin'!AP37/Revenue!AP132</f>
        <v>1.5624243948869916</v>
      </c>
      <c r="AQ32" s="79">
        <f>'Gross Margin'!AQ37/Revenue!AQ132</f>
        <v>1.7509882735123858</v>
      </c>
      <c r="AR32" s="79">
        <f>'Gross Margin'!AR37/Revenue!AR132</f>
        <v>1.9537022108950031</v>
      </c>
      <c r="AS32" s="271">
        <f>'Gross Margin'!AS37/Revenue!AS132</f>
        <v>1.6763714192365149</v>
      </c>
      <c r="AT32" s="79">
        <f>'Gross Margin'!AT37/Revenue!AT132</f>
        <v>1.9289153820117544</v>
      </c>
      <c r="AU32" s="79">
        <f>'Gross Margin'!AU37/Revenue!AU132</f>
        <v>2.0802640924313667</v>
      </c>
      <c r="AV32" s="79">
        <f>'Gross Margin'!AV37/Revenue!AV132</f>
        <v>2.1636734293237025</v>
      </c>
      <c r="AW32" s="79">
        <f>'Gross Margin'!AW37/Revenue!AW132</f>
        <v>2.0867176464665027</v>
      </c>
      <c r="AX32" s="271">
        <f>'Gross Margin'!AX37/Revenue!AX132</f>
        <v>2.0668863969391573</v>
      </c>
      <c r="AY32" s="79">
        <f>'Gross Margin'!AY37/Revenue!AY132</f>
        <v>1.8229839429915331</v>
      </c>
      <c r="AZ32" s="79">
        <f>'Gross Margin'!AZ37/Revenue!AZ132</f>
        <v>1.8867501570574483</v>
      </c>
      <c r="BA32" s="79">
        <f>'Gross Margin'!BA37/Revenue!BA132</f>
        <v>1.9851210215850419</v>
      </c>
      <c r="BB32" s="79">
        <f>'Gross Margin'!BB37/Revenue!BB132</f>
        <v>1.9713479879114835</v>
      </c>
      <c r="BC32" s="271">
        <f>'Gross Margin'!BC37/Revenue!BC132</f>
        <v>1.9176492634977564</v>
      </c>
      <c r="BD32" s="79">
        <f>'Gross Margin'!BD37/Revenue!BD132</f>
        <v>1.7496566831167963</v>
      </c>
      <c r="BE32" s="79">
        <f>'Gross Margin'!BE37/Revenue!BE132</f>
        <v>1.7954062245236162</v>
      </c>
      <c r="BF32" s="79">
        <f>'Gross Margin'!BF37/Revenue!BF132</f>
        <v>1.8660398789193022</v>
      </c>
      <c r="BG32" s="79">
        <f>'Gross Margin'!BG37/Revenue!BG132</f>
        <v>1.8954336611068967</v>
      </c>
      <c r="BH32" s="271">
        <f>'Gross Margin'!BH37/Revenue!BH132</f>
        <v>1.8277259470819114</v>
      </c>
      <c r="BI32" s="79">
        <f>'Gross Margin'!BI37/Revenue!BI132</f>
        <v>1.8248964647173103</v>
      </c>
      <c r="BJ32" s="79">
        <f>'Gross Margin'!BJ37/Revenue!BJ132</f>
        <v>2.0465099326929876</v>
      </c>
      <c r="BK32" s="79">
        <f>'Gross Margin'!BK37/Revenue!BK132</f>
        <v>2.0288318277200412</v>
      </c>
      <c r="BL32" s="79">
        <f>'Gross Margin'!BL37/Revenue!BL132</f>
        <v>2.0832034986098105</v>
      </c>
      <c r="BM32" s="271">
        <f>'Gross Margin'!BM37/Revenue!BM132</f>
        <v>2.0201090878298147</v>
      </c>
      <c r="BN32" s="79">
        <f>'Gross Margin'!BN37/Revenue!BN132</f>
        <v>2.052112821038993</v>
      </c>
      <c r="BO32" s="79">
        <f>'Gross Margin'!BO37/Revenue!BO132</f>
        <v>2.6100126470341043</v>
      </c>
      <c r="BP32" s="79">
        <f>'Gross Margin'!BP37/Revenue!BP132</f>
        <v>2.1271101147373717</v>
      </c>
      <c r="BQ32" s="79">
        <f>'Gross Margin'!BQ37/Revenue!BQ132</f>
        <v>1.9906943790860907</v>
      </c>
      <c r="BR32" s="271">
        <f>'Gross Margin'!BR37/Revenue!BR132</f>
        <v>2.1949938555436517</v>
      </c>
      <c r="BS32" s="79">
        <f>'Gross Margin'!BS37/Revenue!BS132</f>
        <v>2.1466709645590911</v>
      </c>
      <c r="BT32" s="79">
        <f>'Gross Margin'!BT37/Revenue!BT132</f>
        <v>2.4713308649833734</v>
      </c>
      <c r="BU32" s="79">
        <f>'Gross Margin'!BU37/Revenue!BU132</f>
        <v>2.2587379090552058</v>
      </c>
      <c r="BV32" s="79">
        <f>'Gross Margin'!BV37/Revenue!BV132</f>
        <v>1.9871924953864639</v>
      </c>
      <c r="BW32" s="271">
        <f>'Gross Margin'!BW37/Revenue!BW132</f>
        <v>2.2141932238943305</v>
      </c>
      <c r="BX32" s="79">
        <f>'Gross Margin'!BX37/Revenue!BX132</f>
        <v>2.002308452171873</v>
      </c>
      <c r="BY32" s="79">
        <f>'Gross Margin'!BY37/Revenue!BY132</f>
        <v>2.218164478568911</v>
      </c>
      <c r="BZ32" s="79">
        <f>'Gross Margin'!BZ37/Revenue!BZ132</f>
        <v>1.9130408361368305</v>
      </c>
      <c r="CA32" s="79">
        <f>'Gross Margin'!CA37/Revenue!CA132</f>
        <v>1.8435766408019865</v>
      </c>
      <c r="CB32" s="271">
        <f>'Gross Margin'!CB37/Revenue!CB132</f>
        <v>1.9912275726998634</v>
      </c>
      <c r="CC32" s="79">
        <f>'Gross Margin'!CC37/Revenue!CC132</f>
        <v>1.6179098385796173</v>
      </c>
      <c r="CD32" s="79">
        <f>'Gross Margin'!CD37/Revenue!CD132</f>
        <v>1.9866703643318637</v>
      </c>
      <c r="CE32" s="79">
        <f>'Gross Margin'!CE37/Revenue!CE132</f>
        <v>1.9009879092765833</v>
      </c>
      <c r="CF32" s="79">
        <f>'Gross Margin'!CF37/Revenue!CF132</f>
        <v>2.0224259222182108</v>
      </c>
      <c r="CG32" s="271">
        <f>'Gross Margin'!CG37/Revenue!CG132</f>
        <v>1.8811462730515425</v>
      </c>
      <c r="CH32" s="79">
        <f>'Gross Margin'!CH37/Revenue!CH132</f>
        <v>2.095085575398175</v>
      </c>
      <c r="CI32" s="79">
        <f>'Gross Margin'!CI37/Revenue!CI132</f>
        <v>1.9219633770578584</v>
      </c>
      <c r="CJ32" s="79">
        <f>'Gross Margin'!CJ37/Revenue!CJ132</f>
        <v>2.0218850946120299</v>
      </c>
      <c r="CK32" s="79">
        <f>'Gross Margin'!CK37/Revenue!CK132</f>
        <v>1.9830337501587929</v>
      </c>
      <c r="CL32" s="271">
        <f>'Gross Margin'!CL37/Revenue!CL132</f>
        <v>2.0055640681032085</v>
      </c>
      <c r="CM32" s="79">
        <f>'Gross Margin'!CM37/Revenue!CM132</f>
        <v>1.6627360975660059</v>
      </c>
      <c r="CN32" s="79">
        <f>'Gross Margin'!CN37/Revenue!CN132</f>
        <v>1.7338031624438941</v>
      </c>
      <c r="CO32" s="79">
        <f>'Gross Margin'!CO37/Revenue!CO132</f>
        <v>1.7510969122979188</v>
      </c>
      <c r="CP32" s="79">
        <f>'Gross Margin'!CP37/Revenue!CP132</f>
        <v>1.9408719515067681</v>
      </c>
      <c r="CQ32" s="271">
        <f>'Gross Margin'!CQ37/Revenue!CQ132</f>
        <v>1.7735292223182999</v>
      </c>
      <c r="CR32" s="79">
        <f>'Gross Margin'!CR37/Revenue!CR132</f>
        <v>1.5232510138257465</v>
      </c>
      <c r="CS32" s="79">
        <f>'Gross Margin'!CS37/Revenue!CS132</f>
        <v>1.59137030049689</v>
      </c>
      <c r="CT32" s="79">
        <f>'Gross Margin'!CT37/Revenue!CT132</f>
        <v>1.4437794041896339</v>
      </c>
      <c r="CU32" s="79">
        <f>'Gross Margin'!CU37/Revenue!CU132</f>
        <v>1.6641244062785261</v>
      </c>
      <c r="CV32" s="271">
        <f>'Gross Margin'!CV37/Revenue!CV132</f>
        <v>1.5565019792232122</v>
      </c>
      <c r="CW32" s="79">
        <f>'Gross Margin'!CW37/Revenue!CW132</f>
        <v>1.3037236618332124</v>
      </c>
      <c r="CX32" s="79">
        <f>'Gross Margin'!CX37/Revenue!CX132</f>
        <v>1.3155930609221449</v>
      </c>
      <c r="CY32" s="79">
        <f>'Gross Margin'!CY37/Revenue!CY132</f>
        <v>1.153324959346778</v>
      </c>
      <c r="CZ32" s="79">
        <f>'Gross Margin'!CZ37/Revenue!CZ132</f>
        <v>1.3696248143795389</v>
      </c>
      <c r="DA32" s="271">
        <f>'Gross Margin'!DA37/Revenue!DA132</f>
        <v>1.286292153214172</v>
      </c>
      <c r="DB32" s="79">
        <f>'Gross Margin'!DB37/Revenue!DB132</f>
        <v>1.0116895615825727</v>
      </c>
      <c r="DC32" s="79">
        <f>'Gross Margin'!DC37/Revenue!DC132</f>
        <v>1.0209002152755842</v>
      </c>
      <c r="DD32" s="79">
        <f>'Gross Margin'!DD37/Revenue!DD132</f>
        <v>0.95890732334260698</v>
      </c>
      <c r="DE32" s="79">
        <f>'Gross Margin'!DE37/Revenue!DE132</f>
        <v>1.0912974860288394</v>
      </c>
      <c r="DF32" s="271">
        <f>'Gross Margin'!DF37/Revenue!DF132</f>
        <v>1.0213078343493416</v>
      </c>
    </row>
    <row r="33" spans="2:110" s="77" customFormat="1" ht="11.25" x14ac:dyDescent="0.2">
      <c r="B33" s="495" t="s">
        <v>294</v>
      </c>
      <c r="J33" s="271"/>
      <c r="O33" s="271"/>
      <c r="P33" s="79">
        <f>'Gross Margin'!P38/Revenue!P133</f>
        <v>0.33064066884540588</v>
      </c>
      <c r="Q33" s="79">
        <f>'Gross Margin'!Q38/Revenue!Q133</f>
        <v>0.6399775652839389</v>
      </c>
      <c r="R33" s="79">
        <f>'Gross Margin'!R38/Revenue!R133</f>
        <v>0.37735820141072746</v>
      </c>
      <c r="S33" s="79">
        <f>'Gross Margin'!S38/Revenue!S133</f>
        <v>0.63665986531501317</v>
      </c>
      <c r="T33" s="271">
        <f>'Gross Margin'!T38/Revenue!T133</f>
        <v>0.49707146340097652</v>
      </c>
      <c r="U33" s="757">
        <f>'Gross Margin'!U38/Revenue!U133</f>
        <v>0.22927200096977976</v>
      </c>
      <c r="V33" s="757">
        <f>'Gross Margin'!V38/Revenue!V133</f>
        <v>-5.2345587166952486E-3</v>
      </c>
      <c r="W33" s="757">
        <f>'Gross Margin'!W38/Revenue!W133</f>
        <v>4.3890473479444268E-3</v>
      </c>
      <c r="X33" s="757">
        <f>'Gross Margin'!X38/Revenue!X133</f>
        <v>0.18326828786905144</v>
      </c>
      <c r="Y33" s="271">
        <f>'Gross Margin'!Y38/Revenue!Y133</f>
        <v>0.10462583912522731</v>
      </c>
      <c r="Z33" s="79">
        <f>'Gross Margin'!Z38/Revenue!Z133</f>
        <v>0.83999244861556255</v>
      </c>
      <c r="AA33" s="79">
        <f>'Gross Margin'!AA38/Revenue!AA133</f>
        <v>0.87292590553023952</v>
      </c>
      <c r="AB33" s="79">
        <f>'Gross Margin'!AB38/Revenue!AB133</f>
        <v>0.87673021259599182</v>
      </c>
      <c r="AC33" s="79">
        <f>'Gross Margin'!AC38/Revenue!AC133</f>
        <v>0.89031529981163771</v>
      </c>
      <c r="AD33" s="271">
        <f>'Gross Margin'!AD38/Revenue!AD133</f>
        <v>0.86960942953121945</v>
      </c>
      <c r="AE33" s="79">
        <f>'Gross Margin'!AE38/Revenue!AE133</f>
        <v>0.91852602253508564</v>
      </c>
      <c r="AF33" s="79">
        <f>'Gross Margin'!AF38/Revenue!AF133</f>
        <v>0.97357435609659404</v>
      </c>
      <c r="AG33" s="79">
        <f>'Gross Margin'!AG38/Revenue!AG133</f>
        <v>1.0408133252341827</v>
      </c>
      <c r="AH33" s="79">
        <f>'Gross Margin'!AH38/Revenue!AH133</f>
        <v>1.0858610688534827</v>
      </c>
      <c r="AI33" s="271">
        <f>'Gross Margin'!AI38/Revenue!AI133</f>
        <v>1.0011163445538365</v>
      </c>
      <c r="AJ33" s="79">
        <f>'Gross Margin'!AJ38/Revenue!AJ133</f>
        <v>1.1684098540738426</v>
      </c>
      <c r="AK33" s="79">
        <f>'Gross Margin'!AK38/Revenue!AK133</f>
        <v>1.2420012596200609</v>
      </c>
      <c r="AL33" s="79">
        <f>'Gross Margin'!AL38/Revenue!AL133</f>
        <v>2.7290652060780678</v>
      </c>
      <c r="AM33" s="79">
        <f>'Gross Margin'!AM38/Revenue!AM133</f>
        <v>2.7247915722626144</v>
      </c>
      <c r="AN33" s="271">
        <f>'Gross Margin'!AN38/Revenue!AN133</f>
        <v>1.9372963804779053</v>
      </c>
      <c r="AO33" s="79">
        <f>'Gross Margin'!AO38/Revenue!AO133</f>
        <v>1.2756173951236249</v>
      </c>
      <c r="AP33" s="79">
        <f>'Gross Margin'!AP38/Revenue!AP133</f>
        <v>1.7248735928928152</v>
      </c>
      <c r="AQ33" s="79">
        <f>'Gross Margin'!AQ38/Revenue!AQ133</f>
        <v>1.5720840617957796</v>
      </c>
      <c r="AR33" s="79">
        <f>'Gross Margin'!AR38/Revenue!AR133</f>
        <v>1.812044397924883</v>
      </c>
      <c r="AS33" s="271">
        <f>'Gross Margin'!AS38/Revenue!AS133</f>
        <v>1.5890899593944043</v>
      </c>
      <c r="AT33" s="79">
        <f>'Gross Margin'!AT38/Revenue!AT133</f>
        <v>1.6749461749195258</v>
      </c>
      <c r="AU33" s="79">
        <f>'Gross Margin'!AU38/Revenue!AU133</f>
        <v>2.0406809556512977</v>
      </c>
      <c r="AV33" s="79">
        <f>'Gross Margin'!AV38/Revenue!AV133</f>
        <v>2.2945622706596462</v>
      </c>
      <c r="AW33" s="79">
        <f>'Gross Margin'!AW38/Revenue!AW133</f>
        <v>1.9946579639733424</v>
      </c>
      <c r="AX33" s="271">
        <f>'Gross Margin'!AX38/Revenue!AX133</f>
        <v>2.0002371757785995</v>
      </c>
      <c r="AY33" s="79">
        <f>'Gross Margin'!AY38/Revenue!AY133</f>
        <v>2.1438109622301273</v>
      </c>
      <c r="AZ33" s="79">
        <f>'Gross Margin'!AZ38/Revenue!AZ133</f>
        <v>2.1977784830246838</v>
      </c>
      <c r="BA33" s="79">
        <f>'Gross Margin'!BA38/Revenue!BA133</f>
        <v>2.3140590716668843</v>
      </c>
      <c r="BB33" s="79">
        <f>'Gross Margin'!BB38/Revenue!BB133</f>
        <v>2.4280776953559102</v>
      </c>
      <c r="BC33" s="271">
        <f>'Gross Margin'!BC38/Revenue!BC133</f>
        <v>2.2680064303109169</v>
      </c>
      <c r="BD33" s="79">
        <f>'Gross Margin'!BD38/Revenue!BD133</f>
        <v>1.9198342701982336</v>
      </c>
      <c r="BE33" s="79">
        <f>'Gross Margin'!BE38/Revenue!BE133</f>
        <v>2.0439927426782454</v>
      </c>
      <c r="BF33" s="79">
        <f>'Gross Margin'!BF38/Revenue!BF133</f>
        <v>2.2999288661133344</v>
      </c>
      <c r="BG33" s="79">
        <f>'Gross Margin'!BG38/Revenue!BG133</f>
        <v>2.0164156133290878</v>
      </c>
      <c r="BH33" s="271">
        <f>'Gross Margin'!BH38/Revenue!BH133</f>
        <v>2.0688577846900627</v>
      </c>
      <c r="BI33" s="79">
        <f>'Gross Margin'!BI38/Revenue!BI133</f>
        <v>1.5048379876794726</v>
      </c>
      <c r="BJ33" s="79">
        <f>'Gross Margin'!BJ38/Revenue!BJ133</f>
        <v>1.5072083081666052</v>
      </c>
      <c r="BK33" s="79">
        <f>'Gross Margin'!BK38/Revenue!BK133</f>
        <v>1.5186470615329009</v>
      </c>
      <c r="BL33" s="79">
        <f>'Gross Margin'!BL38/Revenue!BL133</f>
        <v>1.5510862357506563</v>
      </c>
      <c r="BM33" s="271">
        <f>'Gross Margin'!BM38/Revenue!BM133</f>
        <v>1.5220546190027753</v>
      </c>
      <c r="BN33" s="79">
        <f>'Gross Margin'!BN38/Revenue!BN133</f>
        <v>1.6145946007685588</v>
      </c>
      <c r="BO33" s="79">
        <f>'Gross Margin'!BO38/Revenue!BO133</f>
        <v>2.2976329442833725</v>
      </c>
      <c r="BP33" s="79">
        <f>'Gross Margin'!BP38/Revenue!BP133</f>
        <v>1.8873278017461721</v>
      </c>
      <c r="BQ33" s="79">
        <f>'Gross Margin'!BQ38/Revenue!BQ133</f>
        <v>1.8823527685172932</v>
      </c>
      <c r="BR33" s="271">
        <f>'Gross Margin'!BR38/Revenue!BR133</f>
        <v>1.914728322378676</v>
      </c>
      <c r="BS33" s="79">
        <f>'Gross Margin'!BS38/Revenue!BS133</f>
        <v>1.803823567168356</v>
      </c>
      <c r="BT33" s="79">
        <f>'Gross Margin'!BT38/Revenue!BT133</f>
        <v>2.3149191925747425</v>
      </c>
      <c r="BU33" s="79">
        <f>'Gross Margin'!BU38/Revenue!BU133</f>
        <v>2.7741404373173562</v>
      </c>
      <c r="BV33" s="79">
        <f>'Gross Margin'!BV38/Revenue!BV133</f>
        <v>2.7067119717385895</v>
      </c>
      <c r="BW33" s="271">
        <f>'Gross Margin'!BW38/Revenue!BW133</f>
        <v>2.4002730998313715</v>
      </c>
      <c r="BX33" s="79">
        <f>'Gross Margin'!BX38/Revenue!BX133</f>
        <v>2.6038475519341371</v>
      </c>
      <c r="BY33" s="79">
        <f>'Gross Margin'!BY38/Revenue!BY133</f>
        <v>2.9838530066913962</v>
      </c>
      <c r="BZ33" s="79">
        <f>'Gross Margin'!BZ38/Revenue!BZ133</f>
        <v>2.6925285978718536</v>
      </c>
      <c r="CA33" s="79">
        <f>'Gross Margin'!CA38/Revenue!CA133</f>
        <v>2.4543069707117682</v>
      </c>
      <c r="CB33" s="271">
        <f>'Gross Margin'!CB38/Revenue!CB133</f>
        <v>2.677678225123346</v>
      </c>
      <c r="CC33" s="79">
        <f>'Gross Margin'!CC38/Revenue!CC133</f>
        <v>2.1905241157743958</v>
      </c>
      <c r="CD33" s="79">
        <f>'Gross Margin'!CD38/Revenue!CD133</f>
        <v>2.629848065457431</v>
      </c>
      <c r="CE33" s="79">
        <f>'Gross Margin'!CE38/Revenue!CE133</f>
        <v>2.7536402175003585</v>
      </c>
      <c r="CF33" s="79">
        <f>'Gross Margin'!CF38/Revenue!CF133</f>
        <v>2.7384942149099278</v>
      </c>
      <c r="CG33" s="271">
        <f>'Gross Margin'!CG38/Revenue!CG133</f>
        <v>2.5766462013796367</v>
      </c>
      <c r="CH33" s="79">
        <f>'Gross Margin'!CH38/Revenue!CH133</f>
        <v>3.7242919380866373</v>
      </c>
      <c r="CI33" s="79">
        <f>'Gross Margin'!CI38/Revenue!CI133</f>
        <v>2.9624282749484472</v>
      </c>
      <c r="CJ33" s="79">
        <f>'Gross Margin'!CJ38/Revenue!CJ133</f>
        <v>4.2006542205784534</v>
      </c>
      <c r="CK33" s="79">
        <f>'Gross Margin'!CK38/Revenue!CK133</f>
        <v>3.6353162165593802</v>
      </c>
      <c r="CL33" s="271">
        <f>'Gross Margin'!CL38/Revenue!CL133</f>
        <v>3.6361955145700815</v>
      </c>
      <c r="CM33" s="79">
        <f>'Gross Margin'!CM38/Revenue!CM133</f>
        <v>2.5138970582084803</v>
      </c>
      <c r="CN33" s="79">
        <f>'Gross Margin'!CN38/Revenue!CN133</f>
        <v>3.3273994384220962</v>
      </c>
      <c r="CO33" s="79">
        <f>'Gross Margin'!CO38/Revenue!CO133</f>
        <v>4.5367065582247292</v>
      </c>
      <c r="CP33" s="79">
        <f>'Gross Margin'!CP38/Revenue!CP133</f>
        <v>4.0451154991533462</v>
      </c>
      <c r="CQ33" s="271">
        <f>'Gross Margin'!CQ38/Revenue!CQ133</f>
        <v>3.6321576825179509</v>
      </c>
      <c r="CR33" s="79">
        <f>'Gross Margin'!CR38/Revenue!CR133</f>
        <v>2.7150088228651592</v>
      </c>
      <c r="CS33" s="79">
        <f>'Gross Margin'!CS38/Revenue!CS133</f>
        <v>3.5935913934958634</v>
      </c>
      <c r="CT33" s="79">
        <f>'Gross Margin'!CT38/Revenue!CT133</f>
        <v>4.899643082882708</v>
      </c>
      <c r="CU33" s="79">
        <f>'Gross Margin'!CU38/Revenue!CU133</f>
        <v>4.3687247390856152</v>
      </c>
      <c r="CV33" s="271">
        <f>'Gross Margin'!CV38/Revenue!CV133</f>
        <v>3.9218441189447506</v>
      </c>
      <c r="CW33" s="79">
        <f>'Gross Margin'!CW38/Revenue!CW133</f>
        <v>2.8507592640084169</v>
      </c>
      <c r="CX33" s="79">
        <f>'Gross Margin'!CX38/Revenue!CX133</f>
        <v>3.7732709631706562</v>
      </c>
      <c r="CY33" s="79">
        <f>'Gross Margin'!CY38/Revenue!CY133</f>
        <v>5.1446252370268439</v>
      </c>
      <c r="CZ33" s="79">
        <f>'Gross Margin'!CZ38/Revenue!CZ133</f>
        <v>4.5871609760398959</v>
      </c>
      <c r="DA33" s="271">
        <f>'Gross Margin'!DA38/Revenue!DA133</f>
        <v>4.1170777475661575</v>
      </c>
      <c r="DB33" s="79">
        <f>'Gross Margin'!DB38/Revenue!DB133</f>
        <v>3.050312412489006</v>
      </c>
      <c r="DC33" s="79">
        <f>'Gross Margin'!DC38/Revenue!DC133</f>
        <v>4.0373999305926036</v>
      </c>
      <c r="DD33" s="79">
        <f>'Gross Margin'!DD38/Revenue!DD133</f>
        <v>5.5047490036187243</v>
      </c>
      <c r="DE33" s="79">
        <f>'Gross Margin'!DE38/Revenue!DE133</f>
        <v>4.9082622443626871</v>
      </c>
      <c r="DF33" s="271">
        <f>'Gross Margin'!DF38/Revenue!DF133</f>
        <v>4.404422867936419</v>
      </c>
    </row>
    <row r="34" spans="2:110" s="77" customFormat="1" ht="11.25" x14ac:dyDescent="0.2">
      <c r="B34" s="495"/>
      <c r="J34" s="271"/>
      <c r="O34" s="271"/>
      <c r="P34" s="79"/>
      <c r="Q34" s="79"/>
      <c r="R34" s="79"/>
      <c r="S34" s="79"/>
      <c r="T34" s="271"/>
      <c r="U34" s="757"/>
      <c r="V34" s="757"/>
      <c r="W34" s="757"/>
      <c r="X34" s="757"/>
      <c r="Y34" s="271"/>
      <c r="Z34" s="79"/>
      <c r="AA34" s="79"/>
      <c r="AB34" s="79"/>
      <c r="AC34" s="79"/>
      <c r="AD34" s="271"/>
      <c r="AE34" s="79"/>
      <c r="AF34" s="79"/>
      <c r="AG34" s="79"/>
      <c r="AH34" s="79"/>
      <c r="AI34" s="271"/>
      <c r="AJ34" s="79"/>
      <c r="AK34" s="79"/>
      <c r="AL34" s="79"/>
      <c r="AM34" s="79"/>
      <c r="AN34" s="271"/>
      <c r="AO34" s="79"/>
      <c r="AP34" s="79"/>
      <c r="AQ34" s="79"/>
      <c r="AR34" s="79"/>
      <c r="AS34" s="271"/>
      <c r="AT34" s="79"/>
      <c r="AU34" s="79"/>
      <c r="AV34" s="79"/>
      <c r="AW34" s="79"/>
      <c r="AX34" s="271"/>
      <c r="AY34" s="79"/>
      <c r="AZ34" s="79"/>
      <c r="BA34" s="79"/>
      <c r="BB34" s="79"/>
      <c r="BC34" s="271"/>
      <c r="BD34" s="79"/>
      <c r="BE34" s="79"/>
      <c r="BF34" s="79"/>
      <c r="BG34" s="79"/>
      <c r="BH34" s="271"/>
      <c r="BI34" s="79"/>
      <c r="BJ34" s="79"/>
      <c r="BK34" s="79"/>
      <c r="BL34" s="79"/>
      <c r="BM34" s="271"/>
      <c r="BN34" s="79"/>
      <c r="BO34" s="79"/>
      <c r="BP34" s="79"/>
      <c r="BQ34" s="79"/>
      <c r="BR34" s="271"/>
      <c r="BS34" s="79"/>
      <c r="BT34" s="79"/>
      <c r="BU34" s="79"/>
      <c r="BV34" s="79"/>
      <c r="BW34" s="271"/>
      <c r="BX34" s="79"/>
      <c r="BY34" s="79"/>
      <c r="BZ34" s="79"/>
      <c r="CA34" s="79"/>
      <c r="CB34" s="271"/>
      <c r="CC34" s="79"/>
      <c r="CD34" s="79"/>
      <c r="CE34" s="79"/>
      <c r="CF34" s="79"/>
      <c r="CG34" s="271"/>
      <c r="CH34" s="79"/>
      <c r="CI34" s="79"/>
      <c r="CJ34" s="79"/>
      <c r="CK34" s="79"/>
      <c r="CL34" s="271"/>
      <c r="CM34" s="79"/>
      <c r="CN34" s="79"/>
      <c r="CO34" s="79"/>
      <c r="CP34" s="79"/>
      <c r="CQ34" s="271"/>
      <c r="CR34" s="79"/>
      <c r="CS34" s="79"/>
      <c r="CT34" s="79"/>
      <c r="CU34" s="79"/>
      <c r="CV34" s="271"/>
      <c r="CW34" s="79"/>
      <c r="CX34" s="79"/>
      <c r="CY34" s="79"/>
      <c r="CZ34" s="79"/>
      <c r="DA34" s="271"/>
      <c r="DB34" s="79"/>
      <c r="DC34" s="79"/>
      <c r="DD34" s="79"/>
      <c r="DE34" s="79"/>
      <c r="DF34" s="271"/>
    </row>
    <row r="35" spans="2:110" s="77" customFormat="1" ht="11.25" x14ac:dyDescent="0.2">
      <c r="B35" s="495" t="s">
        <v>292</v>
      </c>
      <c r="J35" s="271"/>
      <c r="O35" s="271"/>
      <c r="P35" s="79">
        <f>'Gross Margin'!P41/(Revenue!P137*3)</f>
        <v>4.5623541736151356</v>
      </c>
      <c r="Q35" s="79">
        <f>'Gross Margin'!Q41/(Revenue!Q137*3)</f>
        <v>3.7493343491620323</v>
      </c>
      <c r="R35" s="79">
        <f>'Gross Margin'!R41/(Revenue!R137*3)</f>
        <v>4.0224612767023151</v>
      </c>
      <c r="S35" s="79">
        <f>'Gross Margin'!S41/(Revenue!S137*3)</f>
        <v>4.062901404329101</v>
      </c>
      <c r="T35" s="271">
        <f>'Gross Margin'!T41/(Revenue!T137*3)</f>
        <v>4.0883292823048638</v>
      </c>
      <c r="U35" s="757">
        <f>'Gross Margin'!U41/(Revenue!U137*3)</f>
        <v>4.1609510315364631</v>
      </c>
      <c r="V35" s="757">
        <f>'Gross Margin'!V41/(Revenue!V137*3)</f>
        <v>4.2462584219174611</v>
      </c>
      <c r="W35" s="757">
        <f>'Gross Margin'!W41/(Revenue!W137*3)</f>
        <v>3.9035854442574762</v>
      </c>
      <c r="X35" s="757">
        <f>'Gross Margin'!X41/(Revenue!X137*3)</f>
        <v>4.0374433680285096</v>
      </c>
      <c r="Y35" s="271">
        <f>'Gross Margin'!Y41/(Revenue!Y137*3)</f>
        <v>4.0815015718696017</v>
      </c>
      <c r="Z35" s="79">
        <f>'Gross Margin'!Z41/(Revenue!Z137*3)</f>
        <v>3.6061837767594001</v>
      </c>
      <c r="AA35" s="79">
        <f>'Gross Margin'!AA41/(Revenue!AA137*3)</f>
        <v>3.5732810147374185</v>
      </c>
      <c r="AB35" s="79">
        <f>'Gross Margin'!AB41/(Revenue!AB137*3)</f>
        <v>3.6028956971396928</v>
      </c>
      <c r="AC35" s="79">
        <f>'Gross Margin'!AC41/(Revenue!AC137*3)</f>
        <v>3.5537472513825286</v>
      </c>
      <c r="AD35" s="271">
        <f>'Gross Margin'!AD41/(Revenue!AD137*3)</f>
        <v>3.583424396885694</v>
      </c>
      <c r="AE35" s="79">
        <f>'Gross Margin'!AE41/(Revenue!AE137*3)</f>
        <v>3.9582793959007558</v>
      </c>
      <c r="AF35" s="79">
        <f>'Gross Margin'!AF41/(Revenue!AF137*3)</f>
        <v>4.0250305250305258</v>
      </c>
      <c r="AG35" s="79">
        <f>'Gross Margin'!AG41/(Revenue!AG137*3)</f>
        <v>3.766244119728571</v>
      </c>
      <c r="AH35" s="79">
        <f>'Gross Margin'!AH41/(Revenue!AH137*3)</f>
        <v>4.076760512209983</v>
      </c>
      <c r="AI35" s="271">
        <f>'Gross Margin'!AI41/(Revenue!AI137*3)</f>
        <v>3.9568117169665826</v>
      </c>
      <c r="AJ35" s="79">
        <f>'Gross Margin'!AJ41/(Revenue!AJ137*3)</f>
        <v>4.1986497554448139</v>
      </c>
      <c r="AK35" s="79">
        <f>'Gross Margin'!AK41/(Revenue!AK137*3)</f>
        <v>4.3753714353983719</v>
      </c>
      <c r="AL35" s="79">
        <f>'Gross Margin'!AL41/(Revenue!AL137*3)</f>
        <v>3.9981472305774641</v>
      </c>
      <c r="AM35" s="79">
        <f>'Gross Margin'!AM41/(Revenue!AM137*3)</f>
        <v>4.1617568250810075</v>
      </c>
      <c r="AN35" s="271">
        <f>'Gross Margin'!AN41/(Revenue!AN137*3)</f>
        <v>4.1818173751491008</v>
      </c>
      <c r="AO35" s="79">
        <f>'Gross Margin'!AO41/(Revenue!AO137*3)</f>
        <v>3.5543516713927792</v>
      </c>
      <c r="AP35" s="79">
        <f>'Gross Margin'!AP41/(Revenue!AP137*3)</f>
        <v>3.5231779639514174</v>
      </c>
      <c r="AQ35" s="79">
        <f>'Gross Margin'!AQ41/(Revenue!AQ137*3)</f>
        <v>3.8748526343461678</v>
      </c>
      <c r="AR35" s="79">
        <f>'Gross Margin'!AR41/(Revenue!AR137*3)</f>
        <v>3.9004098994457372</v>
      </c>
      <c r="AS35" s="271">
        <f>'Gross Margin'!AS41/(Revenue!AS137*3)</f>
        <v>3.7161454090926758</v>
      </c>
      <c r="AT35" s="79">
        <f ca="1">'Gross Margin'!AT41/(Revenue!AT137*3)</f>
        <v>3.6925816901082746</v>
      </c>
      <c r="AU35" s="79">
        <f ca="1">'Gross Margin'!AU41/(Revenue!AU137*3)</f>
        <v>4.0190853682351824</v>
      </c>
      <c r="AV35" s="79">
        <f ca="1">'Gross Margin'!AV41/(Revenue!AV137*3)</f>
        <v>3.8513847435721154</v>
      </c>
      <c r="AW35" s="79">
        <f ca="1">'Gross Margin'!AW41/(Revenue!AW137*3)</f>
        <v>4.024036989374947</v>
      </c>
      <c r="AX35" s="271">
        <f ca="1">'Gross Margin'!AX41/(Revenue!AX137*3)</f>
        <v>3.90249896326976</v>
      </c>
      <c r="AY35" s="79">
        <f ca="1">'Gross Margin'!AY41/(Revenue!AY137*3)</f>
        <v>3.4035107637583697</v>
      </c>
      <c r="AZ35" s="79">
        <f ca="1">'Gross Margin'!AZ41/(Revenue!AZ137*3)</f>
        <v>3.7129198695210541</v>
      </c>
      <c r="BA35" s="79">
        <f ca="1">'Gross Margin'!BA41/(Revenue!BA137*3)</f>
        <v>3.8949148659652106</v>
      </c>
      <c r="BB35" s="79">
        <f ca="1">'Gross Margin'!BB41/(Revenue!BB137*3)</f>
        <v>3.8640213689927458</v>
      </c>
      <c r="BC35" s="271">
        <f ca="1">'Gross Margin'!BC41/(Revenue!BC137*3)</f>
        <v>3.7215454444357561</v>
      </c>
      <c r="BD35" s="79">
        <f ca="1">'Gross Margin'!BD41/(Revenue!BD137*3)</f>
        <v>3.3325258307307482</v>
      </c>
      <c r="BE35" s="79">
        <f>'Gross Margin'!BE41/(Revenue!BE137*3)</f>
        <v>3.5173705942480762</v>
      </c>
      <c r="BF35" s="79">
        <f>'Gross Margin'!BF41/(Revenue!BF137*3)</f>
        <v>3.8350767776154711</v>
      </c>
      <c r="BG35" s="79">
        <f>'Gross Margin'!BG41/(Revenue!BG137*3)</f>
        <v>3.5928650616544626</v>
      </c>
      <c r="BH35" s="271">
        <f ca="1">'Gross Margin'!BH41/(Revenue!BH137*3)</f>
        <v>3.5713699197131232</v>
      </c>
      <c r="BI35" s="79">
        <f ca="1">'Gross Margin'!BI41/(Revenue!BI137*3)</f>
        <v>3.6582805861127707</v>
      </c>
      <c r="BJ35" s="79">
        <f ca="1">'Gross Margin'!BJ41/(Revenue!BJ137*3)</f>
        <v>3.779167357560965</v>
      </c>
      <c r="BK35" s="79">
        <f ca="1">'Gross Margin'!BK41/(Revenue!BK137*3)</f>
        <v>3.776967048986887</v>
      </c>
      <c r="BL35" s="79">
        <f ca="1">'Gross Margin'!BL41/(Revenue!BL137*3)</f>
        <v>4.0950318112287087</v>
      </c>
      <c r="BM35" s="271">
        <f ca="1">'Gross Margin'!BM41/(Revenue!BM137*3)</f>
        <v>3.8635263595743754</v>
      </c>
      <c r="BN35" s="79">
        <f ca="1">'Gross Margin'!BN41/(Revenue!BN137*3)</f>
        <v>3.2650776532326136</v>
      </c>
      <c r="BO35" s="79">
        <f ca="1">'Gross Margin'!BO41/(Revenue!BO137*3)</f>
        <v>3.4608607896037387</v>
      </c>
      <c r="BP35" s="79">
        <f ca="1">'Gross Margin'!BP41/(Revenue!BP137*3)</f>
        <v>3.6703441690844696</v>
      </c>
      <c r="BQ35" s="79">
        <f ca="1">'Gross Margin'!BQ41/(Revenue!BQ137*3)</f>
        <v>3.1077133957794145</v>
      </c>
      <c r="BR35" s="271">
        <f ca="1">'Gross Margin'!BR41/(Revenue!BR137*3)</f>
        <v>3.3747173893592466</v>
      </c>
      <c r="BS35" s="79">
        <f ca="1">'Gross Margin'!BS41/(Revenue!BS137*3)</f>
        <v>2.9028500749994604</v>
      </c>
      <c r="BT35" s="79">
        <f ca="1">'Gross Margin'!BT41/(Revenue!BT137*3)</f>
        <v>3.2304171334000467</v>
      </c>
      <c r="BU35" s="79">
        <f ca="1">'Gross Margin'!BU41/(Revenue!BU137*3)</f>
        <v>3.484918073261019</v>
      </c>
      <c r="BV35" s="79">
        <f ca="1">'Gross Margin'!BV41/(Revenue!BV137*3)</f>
        <v>3.3867885053928788</v>
      </c>
      <c r="BW35" s="271">
        <f ca="1">'Gross Margin'!BW41/(Revenue!BW137*3)</f>
        <v>3.2597609156954173</v>
      </c>
      <c r="BX35" s="79">
        <f ca="1">'Gross Margin'!BX41/(Revenue!BX137*3)</f>
        <v>3.056568236572732</v>
      </c>
      <c r="BY35" s="79">
        <f ca="1">'Gross Margin'!BY41/(Revenue!BY137*3)</f>
        <v>3.6434889014494209</v>
      </c>
      <c r="BZ35" s="79">
        <f ca="1">'Gross Margin'!BZ41/(Revenue!BZ137*3)</f>
        <v>4.159002345118509</v>
      </c>
      <c r="CA35" s="79">
        <f ca="1">'Gross Margin'!CA41/(Revenue!CA137*3)</f>
        <v>4.55758128792914</v>
      </c>
      <c r="CB35" s="271">
        <f ca="1">'Gross Margin'!CB41/(Revenue!CB137*3)</f>
        <v>3.8615587632488548</v>
      </c>
      <c r="CC35" s="79">
        <f ca="1">'Gross Margin'!CC41/(Revenue!CC137*3)</f>
        <v>3.3900119106298683</v>
      </c>
      <c r="CD35" s="79">
        <f ca="1">'Gross Margin'!CD41/(Revenue!CD137*3)</f>
        <v>4.3285873096786753</v>
      </c>
      <c r="CE35" s="79">
        <f ca="1">'Gross Margin'!CE41/(Revenue!CE137*3)</f>
        <v>4.5226790835169961</v>
      </c>
      <c r="CF35" s="79">
        <f ca="1">'Gross Margin'!CF41/(Revenue!CF137*3)</f>
        <v>5.0327405747421157</v>
      </c>
      <c r="CG35" s="271">
        <f ca="1">'Gross Margin'!CG41/(Revenue!CG137*3)</f>
        <v>4.3221410825933546</v>
      </c>
      <c r="CH35" s="79">
        <f ca="1">'Gross Margin'!CH41/(Revenue!CH137*3)</f>
        <v>4.7415394476140298</v>
      </c>
      <c r="CI35" s="79">
        <f ca="1">'Gross Margin'!CI41/(Revenue!CI137*3)</f>
        <v>4.6611669717044668</v>
      </c>
      <c r="CJ35" s="79">
        <f ca="1">'Gross Margin'!CJ41/(Revenue!CJ137*3)</f>
        <v>4.4980314051968877</v>
      </c>
      <c r="CK35" s="79">
        <f ca="1">'Gross Margin'!CK41/(Revenue!CK137*3)</f>
        <v>4.4488216617523371</v>
      </c>
      <c r="CL35" s="271">
        <f ca="1">'Gross Margin'!CL41/(Revenue!CL137*3)</f>
        <v>4.5865889125851806</v>
      </c>
      <c r="CM35" s="79">
        <f ca="1">'Gross Margin'!CM41/(Revenue!CM137*3)</f>
        <v>3.7172370217390536</v>
      </c>
      <c r="CN35" s="79">
        <f ca="1">'Gross Margin'!CN41/(Revenue!CN137*3)</f>
        <v>4.4225372914060053</v>
      </c>
      <c r="CO35" s="79">
        <f ca="1">'Gross Margin'!CO41/(Revenue!CO137*3)</f>
        <v>4.1272477353090373</v>
      </c>
      <c r="CP35" s="79">
        <f ca="1">'Gross Margin'!CP41/(Revenue!CP137*3)</f>
        <v>4.5967933387627955</v>
      </c>
      <c r="CQ35" s="271">
        <f ca="1">'Gross Margin'!CQ41/(Revenue!CQ137*3)</f>
        <v>4.2217042268794263</v>
      </c>
      <c r="CR35" s="79">
        <f ca="1">'Gross Margin'!CR41/(Revenue!CR137*3)</f>
        <v>3.2084795818993443</v>
      </c>
      <c r="CS35" s="79">
        <f ca="1">'Gross Margin'!CS41/(Revenue!CS137*3)</f>
        <v>3.8808655051760383</v>
      </c>
      <c r="CT35" s="79">
        <f ca="1">'Gross Margin'!CT41/(Revenue!CT137*3)</f>
        <v>3.6316832036622877</v>
      </c>
      <c r="CU35" s="79">
        <f ca="1">'Gross Margin'!CU41/(Revenue!CU137*3)</f>
        <v>4.0342333920665876</v>
      </c>
      <c r="CV35" s="271">
        <f ca="1">'Gross Margin'!CV41/(Revenue!CV137*3)</f>
        <v>3.6932290053018351</v>
      </c>
      <c r="CW35" s="79">
        <f ca="1">'Gross Margin'!CW41/(Revenue!CW137*3)</f>
        <v>2.9640239947070133</v>
      </c>
      <c r="CX35" s="79">
        <f ca="1">'Gross Margin'!CX41/(Revenue!CX137*3)</f>
        <v>3.4789800700615001</v>
      </c>
      <c r="CY35" s="79">
        <f ca="1">'Gross Margin'!CY41/(Revenue!CY137*3)</f>
        <v>3.1621380209525651</v>
      </c>
      <c r="CZ35" s="79">
        <f ca="1">'Gross Margin'!CZ41/(Revenue!CZ137*3)</f>
        <v>3.5307125326056443</v>
      </c>
      <c r="DA35" s="271">
        <f ca="1">'Gross Margin'!DA41/(Revenue!DA137*3)</f>
        <v>3.2866271607305118</v>
      </c>
      <c r="DB35" s="79">
        <f ca="1">'Gross Margin'!DB41/(Revenue!DB137*3)</f>
        <v>2.5875929473792225</v>
      </c>
      <c r="DC35" s="79">
        <f ca="1">'Gross Margin'!DC41/(Revenue!DC137*3)</f>
        <v>2.8417774045976043</v>
      </c>
      <c r="DD35" s="79">
        <f ca="1">'Gross Margin'!DD41/(Revenue!DD137*3)</f>
        <v>2.6905911230912172</v>
      </c>
      <c r="DE35" s="79">
        <f ca="1">'Gross Margin'!DE41/(Revenue!DE137*3)</f>
        <v>3.0252321883542699</v>
      </c>
      <c r="DF35" s="271">
        <f ca="1">'Gross Margin'!DF41/(Revenue!DF137*3)</f>
        <v>2.7886906509718901</v>
      </c>
    </row>
    <row r="36" spans="2:110" s="77" customFormat="1" ht="11.25" x14ac:dyDescent="0.2">
      <c r="B36" s="495" t="s">
        <v>270</v>
      </c>
      <c r="J36" s="271"/>
      <c r="O36" s="271"/>
      <c r="P36" s="79">
        <f>'Gross Margin'!P42/(Revenue!P138*3)</f>
        <v>0.20122129114891391</v>
      </c>
      <c r="Q36" s="79">
        <f>'Gross Margin'!Q42/(Revenue!Q138*3)</f>
        <v>0.18524181460050879</v>
      </c>
      <c r="R36" s="79">
        <f>'Gross Margin'!R42/(Revenue!R138*3)</f>
        <v>0.18663430425068717</v>
      </c>
      <c r="S36" s="79">
        <f>'Gross Margin'!S42/(Revenue!S138*3)</f>
        <v>0.19409280541974425</v>
      </c>
      <c r="T36" s="271">
        <f>'Gross Margin'!T42/(Revenue!T138*3)</f>
        <v>0.19161667274859848</v>
      </c>
      <c r="U36" s="757">
        <f>'Gross Margin'!U42/(Revenue!U138*3)</f>
        <v>0.19839339698130834</v>
      </c>
      <c r="V36" s="757">
        <f>'Gross Margin'!V42/(Revenue!V138*3)</f>
        <v>0.19576717243542671</v>
      </c>
      <c r="W36" s="757">
        <f>'Gross Margin'!W42/(Revenue!W138*3)</f>
        <v>0.2034404254777927</v>
      </c>
      <c r="X36" s="757">
        <f>'Gross Margin'!X42/(Revenue!X138*3)</f>
        <v>0.20593365818323656</v>
      </c>
      <c r="Y36" s="271">
        <f>'Gross Margin'!Y42/(Revenue!Y138*3)</f>
        <v>0.20089821262579458</v>
      </c>
      <c r="Z36" s="79">
        <f>'Gross Margin'!Z42/(Revenue!Z138*3)</f>
        <v>0.53356384730661233</v>
      </c>
      <c r="AA36" s="79">
        <f>'Gross Margin'!AA42/(Revenue!AA138*3)</f>
        <v>0.57395076568729275</v>
      </c>
      <c r="AB36" s="79">
        <f>'Gross Margin'!AB42/(Revenue!AB138*3)</f>
        <v>0.8528395108352459</v>
      </c>
      <c r="AC36" s="79">
        <f>'Gross Margin'!AC42/(Revenue!AC138*3)</f>
        <v>1.2740380410783598</v>
      </c>
      <c r="AD36" s="271">
        <f>'Gross Margin'!AD42/(Revenue!AD138*3)</f>
        <v>0.81142563627086406</v>
      </c>
      <c r="AE36" s="79">
        <f>'Gross Margin'!AE42/(Revenue!AE138*3)</f>
        <v>-0.30245275443808051</v>
      </c>
      <c r="AF36" s="79">
        <f>'Gross Margin'!AF42/(Revenue!AF138*3)</f>
        <v>0.57663524608963046</v>
      </c>
      <c r="AG36" s="79">
        <f>'Gross Margin'!AG42/(Revenue!AG138*3)</f>
        <v>1.7238025048288692</v>
      </c>
      <c r="AH36" s="79">
        <f>'Gross Margin'!AH42/(Revenue!AH138*3)</f>
        <v>1.9775458311836636</v>
      </c>
      <c r="AI36" s="271">
        <f>'Gross Margin'!AI42/(Revenue!AI138*3)</f>
        <v>0.95689667036583059</v>
      </c>
      <c r="AJ36" s="79">
        <f>'Gross Margin'!AJ42/(Revenue!AJ138*3)</f>
        <v>2.193352173353913</v>
      </c>
      <c r="AK36" s="79">
        <f>'Gross Margin'!AK42/(Revenue!AK138*3)</f>
        <v>2.2147751425456002</v>
      </c>
      <c r="AL36" s="79">
        <f>'Gross Margin'!AL42/(Revenue!AL138*3)</f>
        <v>1.9128295069573695</v>
      </c>
      <c r="AM36" s="79">
        <f>'Gross Margin'!AM42/(Revenue!AM138*3)</f>
        <v>1.9353552741230318</v>
      </c>
      <c r="AN36" s="271">
        <f>'Gross Margin'!AN42/(Revenue!AN138*3)</f>
        <v>2.0669919953411089</v>
      </c>
      <c r="AO36" s="79">
        <f>'Gross Margin'!AO42/(Revenue!AO138*3)</f>
        <v>0.69543927170657494</v>
      </c>
      <c r="AP36" s="79">
        <f>'Gross Margin'!AP42/(Revenue!AP138*3)</f>
        <v>0.77876455116864352</v>
      </c>
      <c r="AQ36" s="79">
        <f>'Gross Margin'!AQ42/(Revenue!AQ138*3)</f>
        <v>0.82080890357601732</v>
      </c>
      <c r="AR36" s="79">
        <f>'Gross Margin'!AR42/(Revenue!AR138*3)</f>
        <v>0.9722573160581276</v>
      </c>
      <c r="AS36" s="271">
        <f>'Gross Margin'!AS42/(Revenue!AS138*3)</f>
        <v>0.8126739899004779</v>
      </c>
      <c r="AT36" s="79">
        <f ca="1">'Gross Margin'!AT42/(Revenue!AT138*3)</f>
        <v>0.86325787541499432</v>
      </c>
      <c r="AU36" s="79">
        <f ca="1">'Gross Margin'!AU42/(Revenue!AU138*3)</f>
        <v>1.0345490514988223</v>
      </c>
      <c r="AV36" s="79">
        <f ca="1">'Gross Margin'!AV42/(Revenue!AV138*3)</f>
        <v>1.1793400018418909</v>
      </c>
      <c r="AW36" s="79">
        <f ca="1">'Gross Margin'!AW42/(Revenue!AW138*3)</f>
        <v>1.0991858363367173</v>
      </c>
      <c r="AX36" s="271">
        <f ca="1">'Gross Margin'!AX42/(Revenue!AX138*3)</f>
        <v>1.0457335752436583</v>
      </c>
      <c r="AY36" s="79">
        <f ca="1">'Gross Margin'!AY42/(Revenue!AY138*3)</f>
        <v>0.87429809427501382</v>
      </c>
      <c r="AZ36" s="79">
        <f ca="1">'Gross Margin'!AZ42/(Revenue!AZ138*3)</f>
        <v>1.0603977833967833</v>
      </c>
      <c r="BA36" s="79">
        <f ca="1">'Gross Margin'!BA42/(Revenue!BA138*3)</f>
        <v>1.1515713924998556</v>
      </c>
      <c r="BB36" s="79">
        <f ca="1">'Gross Margin'!BB42/(Revenue!BB138*3)</f>
        <v>1.2053391524806432</v>
      </c>
      <c r="BC36" s="271">
        <f ca="1">'Gross Margin'!BC42/(Revenue!BC138*3)</f>
        <v>1.0718526240349475</v>
      </c>
      <c r="BD36" s="79">
        <f ca="1">'Gross Margin'!BD42/(Revenue!BD138*3)</f>
        <v>1.0026025024787204</v>
      </c>
      <c r="BE36" s="79">
        <f>'Gross Margin'!BE42/(Revenue!BE138*3)</f>
        <v>1.1717753597129974</v>
      </c>
      <c r="BF36" s="79">
        <f>'Gross Margin'!BF42/(Revenue!BF138*3)</f>
        <v>1.3735010839678101</v>
      </c>
      <c r="BG36" s="79">
        <f>'Gross Margin'!BG42/(Revenue!BG138*3)</f>
        <v>1.3144040813168067</v>
      </c>
      <c r="BH36" s="271">
        <f ca="1">'Gross Margin'!BH42/(Revenue!BH138*3)</f>
        <v>1.2135992928184494</v>
      </c>
      <c r="BI36" s="79">
        <f ca="1">'Gross Margin'!BI42/(Revenue!BI138*3)</f>
        <v>1.3941797385717829</v>
      </c>
      <c r="BJ36" s="79">
        <f ca="1">'Gross Margin'!BJ42/(Revenue!BJ138*3)</f>
        <v>0.70314776506905274</v>
      </c>
      <c r="BK36" s="79">
        <f ca="1">'Gross Margin'!BK42/(Revenue!BK138*3)</f>
        <v>0.78321276490827219</v>
      </c>
      <c r="BL36" s="79">
        <f ca="1">'Gross Margin'!BL42/(Revenue!BL138*3)</f>
        <v>0.95894631144952747</v>
      </c>
      <c r="BM36" s="271">
        <f ca="1">'Gross Margin'!BM42/(Revenue!BM138*3)</f>
        <v>0.88346558398070307</v>
      </c>
      <c r="BN36" s="79">
        <f ca="1">'Gross Margin'!BN42/(Revenue!BN138*3)</f>
        <v>0.89398029015741054</v>
      </c>
      <c r="BO36" s="79">
        <f ca="1">'Gross Margin'!BO42/(Revenue!BO138*3)</f>
        <v>1.003783786517193</v>
      </c>
      <c r="BP36" s="79">
        <f ca="1">'Gross Margin'!BP42/(Revenue!BP138*3)</f>
        <v>1.0301346374416027</v>
      </c>
      <c r="BQ36" s="79">
        <f ca="1">'Gross Margin'!BQ42/(Revenue!BQ138*3)</f>
        <v>1.0229717321980349</v>
      </c>
      <c r="BR36" s="271">
        <f ca="1">'Gross Margin'!BR42/(Revenue!BR138*3)</f>
        <v>0.9856135186876509</v>
      </c>
      <c r="BS36" s="79">
        <f ca="1">'Gross Margin'!BS42/(Revenue!BS138*3)</f>
        <v>0.86714391134991931</v>
      </c>
      <c r="BT36" s="79">
        <f ca="1">'Gross Margin'!BT42/(Revenue!BT138*3)</f>
        <v>1.1216543288827643</v>
      </c>
      <c r="BU36" s="79">
        <f ca="1">'Gross Margin'!BU42/(Revenue!BU138*3)</f>
        <v>1.2412269661168767</v>
      </c>
      <c r="BV36" s="79">
        <f ca="1">'Gross Margin'!BV42/(Revenue!BV138*3)</f>
        <v>0.9630602097862937</v>
      </c>
      <c r="BW36" s="271">
        <f ca="1">'Gross Margin'!BW42/(Revenue!BW138*3)</f>
        <v>1.0502038464655263</v>
      </c>
      <c r="BX36" s="79">
        <f ca="1">'Gross Margin'!BX42/(Revenue!BX138*3)</f>
        <v>0.86918172110943448</v>
      </c>
      <c r="BY36" s="79">
        <f ca="1">'Gross Margin'!BY42/(Revenue!BY138*3)</f>
        <v>1.31450142022285</v>
      </c>
      <c r="BZ36" s="79">
        <f ca="1">'Gross Margin'!BZ42/(Revenue!BZ138*3)</f>
        <v>1.0549035684079635</v>
      </c>
      <c r="CA36" s="79">
        <f ca="1">'Gross Margin'!CA42/(Revenue!CA138*3)</f>
        <v>0.98996238493624589</v>
      </c>
      <c r="CB36" s="271">
        <f ca="1">'Gross Margin'!CB42/(Revenue!CB138*3)</f>
        <v>1.0544588678044708</v>
      </c>
      <c r="CC36" s="79">
        <f ca="1">'Gross Margin'!CC42/(Revenue!CC138*3)</f>
        <v>0.96211844037802075</v>
      </c>
      <c r="CD36" s="79">
        <f ca="1">'Gross Margin'!CD42/(Revenue!CD138*3)</f>
        <v>1.1322393073511825</v>
      </c>
      <c r="CE36" s="79">
        <f ca="1">'Gross Margin'!CE42/(Revenue!CE138*3)</f>
        <v>1.4212244999747672</v>
      </c>
      <c r="CF36" s="79">
        <f ca="1">'Gross Margin'!CF42/(Revenue!CF138*3)</f>
        <v>1.4862509557003243</v>
      </c>
      <c r="CG36" s="271">
        <f ca="1">'Gross Margin'!CG42/(Revenue!CG138*3)</f>
        <v>1.2441969528598862</v>
      </c>
      <c r="CH36" s="79">
        <f ca="1">'Gross Margin'!CH42/(Revenue!CH138*3)</f>
        <v>1.2899892603227467</v>
      </c>
      <c r="CI36" s="79">
        <f ca="1">'Gross Margin'!CI42/(Revenue!CI138*3)</f>
        <v>1.3884208286150661</v>
      </c>
      <c r="CJ36" s="79">
        <f ca="1">'Gross Margin'!CJ42/(Revenue!CJ138*3)</f>
        <v>1.4408656354309666</v>
      </c>
      <c r="CK36" s="79">
        <f ca="1">'Gross Margin'!CK42/(Revenue!CK138*3)</f>
        <v>1.4010062252311732</v>
      </c>
      <c r="CL36" s="271">
        <f ca="1">'Gross Margin'!CL42/(Revenue!CL138*3)</f>
        <v>1.3783065722110672</v>
      </c>
      <c r="CM36" s="79">
        <f ca="1">'Gross Margin'!CM42/(Revenue!CM138*3)</f>
        <v>0.98871434920220846</v>
      </c>
      <c r="CN36" s="79">
        <f ca="1">'Gross Margin'!CN42/(Revenue!CN138*3)</f>
        <v>1.5932129008357885</v>
      </c>
      <c r="CO36" s="79">
        <f ca="1">'Gross Margin'!CO42/(Revenue!CO138*3)</f>
        <v>1.5561348862654441</v>
      </c>
      <c r="CP36" s="79">
        <f ca="1">'Gross Margin'!CP42/(Revenue!CP138*3)</f>
        <v>1.5589378360754151</v>
      </c>
      <c r="CQ36" s="271">
        <f ca="1">'Gross Margin'!CQ42/(Revenue!CQ138*3)</f>
        <v>1.4184006433363159</v>
      </c>
      <c r="CR36" s="79">
        <f ca="1">'Gross Margin'!CR42/(Revenue!CR138*3)</f>
        <v>1.0678114971383852</v>
      </c>
      <c r="CS36" s="79">
        <f ca="1">'Gross Margin'!CS42/(Revenue!CS138*3)</f>
        <v>1.7206699329026516</v>
      </c>
      <c r="CT36" s="79">
        <f ca="1">'Gross Margin'!CT42/(Revenue!CT138*3)</f>
        <v>1.6806256771666797</v>
      </c>
      <c r="CU36" s="79">
        <f ca="1">'Gross Margin'!CU42/(Revenue!CU138*3)</f>
        <v>1.683652862961448</v>
      </c>
      <c r="CV36" s="271">
        <f ca="1">'Gross Margin'!CV42/(Revenue!CV138*3)</f>
        <v>1.5368020775202695</v>
      </c>
      <c r="CW36" s="79">
        <f ca="1">'Gross Margin'!CW42/(Revenue!CW138*3)</f>
        <v>1.1212020719953046</v>
      </c>
      <c r="CX36" s="79">
        <f ca="1">'Gross Margin'!CX42/(Revenue!CX138*3)</f>
        <v>1.806703429547784</v>
      </c>
      <c r="CY36" s="79">
        <f ca="1">'Gross Margin'!CY42/(Revenue!CY138*3)</f>
        <v>1.764656961025014</v>
      </c>
      <c r="CZ36" s="79">
        <f ca="1">'Gross Margin'!CZ42/(Revenue!CZ138*3)</f>
        <v>1.7678355061095201</v>
      </c>
      <c r="DA36" s="271">
        <f ca="1">'Gross Margin'!DA42/(Revenue!DA138*3)</f>
        <v>1.6132062229246211</v>
      </c>
      <c r="DB36" s="79">
        <f ca="1">'Gross Margin'!DB42/(Revenue!DB138*3)</f>
        <v>1.1996862170349758</v>
      </c>
      <c r="DC36" s="79">
        <f ca="1">'Gross Margin'!DC42/(Revenue!DC138*3)</f>
        <v>1.9331726696161289</v>
      </c>
      <c r="DD36" s="79">
        <f ca="1">'Gross Margin'!DD42/(Revenue!DD138*3)</f>
        <v>1.8881829482967649</v>
      </c>
      <c r="DE36" s="79">
        <f ca="1">'Gross Margin'!DE42/(Revenue!DE138*3)</f>
        <v>1.8915839915371873</v>
      </c>
      <c r="DF36" s="271">
        <f ca="1">'Gross Margin'!DF42/(Revenue!DF138*3)</f>
        <v>1.7255625495440134</v>
      </c>
    </row>
    <row r="37" spans="2:110" s="77" customFormat="1" ht="12" thickBot="1" x14ac:dyDescent="0.25">
      <c r="B37" s="499"/>
      <c r="C37" s="269"/>
      <c r="D37" s="269"/>
      <c r="E37" s="269"/>
      <c r="F37" s="269"/>
      <c r="G37" s="269"/>
      <c r="H37" s="269"/>
      <c r="I37" s="269"/>
      <c r="J37" s="503"/>
      <c r="K37" s="269"/>
      <c r="L37" s="269"/>
      <c r="M37" s="269"/>
      <c r="N37" s="269"/>
      <c r="O37" s="503"/>
      <c r="P37" s="236"/>
      <c r="Q37" s="236"/>
      <c r="R37" s="236"/>
      <c r="S37" s="236"/>
      <c r="T37" s="503"/>
      <c r="U37" s="758"/>
      <c r="V37" s="758"/>
      <c r="W37" s="758"/>
      <c r="X37" s="758"/>
      <c r="Y37" s="503"/>
      <c r="Z37" s="236"/>
      <c r="AA37" s="236"/>
      <c r="AB37" s="236"/>
      <c r="AC37" s="236"/>
      <c r="AD37" s="503"/>
      <c r="AE37" s="236"/>
      <c r="AF37" s="236"/>
      <c r="AG37" s="236"/>
      <c r="AH37" s="236"/>
      <c r="AI37" s="503"/>
      <c r="AJ37" s="236"/>
      <c r="AK37" s="236"/>
      <c r="AL37" s="236"/>
      <c r="AM37" s="236"/>
      <c r="AN37" s="503"/>
      <c r="AO37" s="236"/>
      <c r="AP37" s="236"/>
      <c r="AQ37" s="236"/>
      <c r="AR37" s="236"/>
      <c r="AS37" s="503"/>
      <c r="AT37" s="236"/>
      <c r="AU37" s="236"/>
      <c r="AV37" s="236"/>
      <c r="AW37" s="236"/>
      <c r="AX37" s="503"/>
      <c r="AY37" s="236"/>
      <c r="AZ37" s="236"/>
      <c r="BA37" s="236"/>
      <c r="BB37" s="236"/>
      <c r="BC37" s="503"/>
      <c r="BD37" s="236"/>
      <c r="BE37" s="236"/>
      <c r="BF37" s="236"/>
      <c r="BG37" s="236"/>
      <c r="BH37" s="503"/>
      <c r="BI37" s="236"/>
      <c r="BJ37" s="236"/>
      <c r="BK37" s="236"/>
      <c r="BL37" s="236"/>
      <c r="BM37" s="503"/>
      <c r="BN37" s="236"/>
      <c r="BO37" s="236"/>
      <c r="BP37" s="236"/>
      <c r="BQ37" s="236"/>
      <c r="BR37" s="503"/>
      <c r="BS37" s="236"/>
      <c r="BT37" s="236"/>
      <c r="BU37" s="236"/>
      <c r="BV37" s="236"/>
      <c r="BW37" s="503"/>
      <c r="BX37" s="236"/>
      <c r="BY37" s="236"/>
      <c r="BZ37" s="236"/>
      <c r="CA37" s="236"/>
      <c r="CB37" s="503"/>
      <c r="CC37" s="236"/>
      <c r="CD37" s="236"/>
      <c r="CE37" s="236"/>
      <c r="CF37" s="236"/>
      <c r="CG37" s="503"/>
      <c r="CH37" s="236"/>
      <c r="CI37" s="236"/>
      <c r="CJ37" s="236"/>
      <c r="CK37" s="236"/>
      <c r="CL37" s="503"/>
      <c r="CM37" s="236"/>
      <c r="CN37" s="236"/>
      <c r="CO37" s="236"/>
      <c r="CP37" s="236"/>
      <c r="CQ37" s="503"/>
      <c r="CR37" s="236"/>
      <c r="CS37" s="236"/>
      <c r="CT37" s="236"/>
      <c r="CU37" s="236"/>
      <c r="CV37" s="503"/>
      <c r="CW37" s="236"/>
      <c r="CX37" s="236"/>
      <c r="CY37" s="236"/>
      <c r="CZ37" s="236"/>
      <c r="DA37" s="503"/>
      <c r="DB37" s="236"/>
      <c r="DC37" s="236"/>
      <c r="DD37" s="236"/>
      <c r="DE37" s="236"/>
      <c r="DF37" s="503"/>
    </row>
    <row r="38" spans="2:110" ht="13.5" thickBot="1" x14ac:dyDescent="0.25"/>
    <row r="39" spans="2:110" ht="13.5" thickBot="1" x14ac:dyDescent="0.25">
      <c r="B39" s="877" t="s">
        <v>304</v>
      </c>
      <c r="C39" s="819"/>
      <c r="D39" s="819"/>
      <c r="E39" s="819"/>
      <c r="F39" s="819"/>
      <c r="G39" s="819"/>
      <c r="H39" s="819"/>
      <c r="I39" s="819"/>
      <c r="J39" s="819"/>
      <c r="K39" s="819"/>
      <c r="L39" s="819"/>
      <c r="M39" s="819"/>
      <c r="N39" s="819"/>
      <c r="O39" s="819"/>
      <c r="P39" s="819"/>
      <c r="Q39" s="819"/>
      <c r="R39" s="819"/>
      <c r="S39" s="819"/>
      <c r="T39" s="819"/>
      <c r="U39" s="819"/>
      <c r="V39" s="819"/>
      <c r="W39" s="819"/>
      <c r="X39" s="819"/>
      <c r="Y39" s="819"/>
      <c r="Z39" s="819"/>
      <c r="AA39" s="819"/>
      <c r="AB39" s="819"/>
      <c r="AC39" s="819"/>
      <c r="AD39" s="819"/>
      <c r="AE39" s="819"/>
      <c r="AF39" s="819"/>
      <c r="AG39" s="819"/>
      <c r="AH39" s="819"/>
      <c r="AI39" s="819"/>
      <c r="AJ39" s="819"/>
      <c r="AK39" s="819"/>
      <c r="AL39" s="819"/>
      <c r="AM39" s="819"/>
      <c r="AN39" s="819"/>
      <c r="AO39" s="819"/>
      <c r="AP39" s="819"/>
      <c r="AQ39" s="819"/>
      <c r="AR39" s="819"/>
      <c r="AS39" s="819"/>
      <c r="AT39" s="819"/>
      <c r="AU39" s="819"/>
      <c r="AV39" s="819"/>
      <c r="AW39" s="819"/>
      <c r="AX39" s="819"/>
      <c r="AY39" s="819"/>
      <c r="AZ39" s="819"/>
      <c r="BA39" s="819"/>
      <c r="BB39" s="819"/>
      <c r="BC39" s="819"/>
      <c r="BD39" s="819"/>
      <c r="BE39" s="819"/>
      <c r="BF39" s="819"/>
      <c r="BG39" s="819"/>
      <c r="BH39" s="819"/>
      <c r="BI39" s="819"/>
      <c r="BJ39" s="819"/>
      <c r="BK39" s="819"/>
      <c r="BL39" s="819"/>
      <c r="BM39" s="819"/>
      <c r="BN39" s="819"/>
      <c r="BO39" s="819"/>
      <c r="BP39" s="819"/>
      <c r="BQ39" s="819"/>
      <c r="BR39" s="819"/>
      <c r="BS39" s="819"/>
      <c r="BT39" s="819"/>
      <c r="BU39" s="819"/>
      <c r="BV39" s="819"/>
      <c r="BW39" s="819"/>
      <c r="BX39" s="819"/>
      <c r="BY39" s="819"/>
      <c r="BZ39" s="819"/>
      <c r="CA39" s="819"/>
      <c r="CB39" s="872"/>
      <c r="CC39" s="819"/>
      <c r="CD39" s="819"/>
      <c r="CE39" s="819"/>
      <c r="CF39" s="819"/>
      <c r="CG39" s="872"/>
      <c r="CH39" s="819"/>
      <c r="CI39" s="819"/>
      <c r="CJ39" s="819"/>
      <c r="CK39" s="819"/>
      <c r="CL39" s="872"/>
      <c r="CM39" s="819"/>
      <c r="CN39" s="819"/>
      <c r="CO39" s="819"/>
      <c r="CP39" s="819"/>
      <c r="CQ39" s="872"/>
      <c r="CR39" s="819"/>
      <c r="CS39" s="819"/>
      <c r="CT39" s="819"/>
      <c r="CU39" s="819"/>
      <c r="CV39" s="872"/>
      <c r="CW39" s="819"/>
      <c r="CX39" s="819"/>
      <c r="CY39" s="819"/>
      <c r="CZ39" s="819"/>
      <c r="DA39" s="872"/>
      <c r="DB39" s="819"/>
      <c r="DC39" s="819"/>
      <c r="DD39" s="819"/>
      <c r="DE39" s="819"/>
      <c r="DF39" s="872"/>
    </row>
    <row r="40" spans="2:110" x14ac:dyDescent="0.2">
      <c r="B40" s="495" t="s">
        <v>151</v>
      </c>
      <c r="C40" s="77"/>
      <c r="D40" s="77"/>
      <c r="E40" s="77"/>
      <c r="F40" s="77"/>
      <c r="G40" s="77"/>
      <c r="H40" s="77"/>
      <c r="I40" s="77"/>
      <c r="J40" s="271"/>
      <c r="K40" s="77"/>
      <c r="L40" s="77"/>
      <c r="M40" s="77"/>
      <c r="N40" s="77"/>
      <c r="O40" s="271"/>
      <c r="P40" s="79"/>
      <c r="Q40" s="79"/>
      <c r="R40" s="79"/>
      <c r="S40" s="79"/>
      <c r="T40" s="271"/>
      <c r="U40" s="757"/>
      <c r="V40" s="757"/>
      <c r="W40" s="757"/>
      <c r="X40" s="757"/>
      <c r="Y40" s="271"/>
      <c r="Z40" s="79"/>
      <c r="AA40" s="79"/>
      <c r="AB40" s="79"/>
      <c r="AC40" s="79"/>
      <c r="AD40" s="271"/>
      <c r="AE40" s="79"/>
      <c r="AF40" s="79"/>
      <c r="AG40" s="79"/>
      <c r="AH40" s="79"/>
      <c r="AI40" s="271"/>
      <c r="AJ40" s="79"/>
      <c r="AK40" s="79"/>
      <c r="AL40" s="79"/>
      <c r="AM40" s="79"/>
      <c r="AN40" s="271"/>
      <c r="AO40" s="79"/>
      <c r="AP40" s="79"/>
      <c r="AQ40" s="79"/>
      <c r="AR40" s="79"/>
      <c r="AS40" s="247">
        <f>Model!AS15</f>
        <v>760.39999999999986</v>
      </c>
      <c r="AT40" s="19">
        <f>Model!AT15</f>
        <v>169.9</v>
      </c>
      <c r="AU40" s="19">
        <f>Model!AU15</f>
        <v>208.60000000000002</v>
      </c>
      <c r="AV40" s="19">
        <f>Model!AV15</f>
        <v>200.8</v>
      </c>
      <c r="AW40" s="19">
        <f>Model!AW15</f>
        <v>236.4</v>
      </c>
      <c r="AX40" s="247">
        <f>Model!AX15</f>
        <v>815.69999999999993</v>
      </c>
      <c r="AY40" s="19">
        <f>Model!AY15</f>
        <v>194.60000000000002</v>
      </c>
      <c r="AZ40" s="19">
        <f>Model!AZ15</f>
        <v>212.7</v>
      </c>
      <c r="BA40" s="19">
        <f>Model!BA15</f>
        <v>213.6</v>
      </c>
      <c r="BB40" s="19">
        <f>Model!BB15</f>
        <v>199.9</v>
      </c>
      <c r="BC40" s="247">
        <f>Model!BC15</f>
        <v>820.8</v>
      </c>
      <c r="BD40" s="19">
        <f>Model!BD15</f>
        <v>182.9</v>
      </c>
      <c r="BE40" s="19">
        <f>Model!BE15</f>
        <v>194.60000000000002</v>
      </c>
      <c r="BF40" s="19">
        <f>Model!BF15</f>
        <v>199.2</v>
      </c>
      <c r="BG40" s="19">
        <f>Model!BG15</f>
        <v>204.60000000000005</v>
      </c>
      <c r="BH40" s="247">
        <f>Model!BH15</f>
        <v>781.30000000000007</v>
      </c>
      <c r="BI40" s="19">
        <f>Model!BI15</f>
        <v>228.19999999999996</v>
      </c>
      <c r="BJ40" s="19">
        <f>Model!BJ15</f>
        <v>751.69999999999982</v>
      </c>
      <c r="BK40" s="19">
        <f>Model!BK15</f>
        <v>609.29999999999995</v>
      </c>
      <c r="BL40" s="19">
        <f>Model!BL15</f>
        <v>784.5</v>
      </c>
      <c r="BM40" s="247">
        <f>Model!BM15</f>
        <v>2373.6999999999998</v>
      </c>
      <c r="BN40" s="19">
        <f>Model!BN15</f>
        <v>541.70000000000005</v>
      </c>
      <c r="BO40" s="19">
        <f>Model!BO15</f>
        <v>544.9</v>
      </c>
      <c r="BP40" s="19">
        <f>Model!BP15</f>
        <v>510.8</v>
      </c>
      <c r="BQ40" s="19">
        <f>Model!BQ15</f>
        <v>614.40000000000009</v>
      </c>
      <c r="BR40" s="247">
        <f>Model!BR15</f>
        <v>2211.8000000000002</v>
      </c>
      <c r="BS40" s="19">
        <f>Model!BS15</f>
        <v>506.3</v>
      </c>
      <c r="BT40" s="19">
        <f>Model!BT15</f>
        <v>502.6</v>
      </c>
      <c r="BU40" s="19">
        <f>Model!BU15</f>
        <v>517.70000000000005</v>
      </c>
      <c r="BV40" s="19">
        <f>Model!BV15</f>
        <v>540.6</v>
      </c>
      <c r="BW40" s="247">
        <f>Model!BW15</f>
        <v>2067.2000000000003</v>
      </c>
      <c r="BX40" s="19">
        <f>Model!BX15</f>
        <v>497.5</v>
      </c>
      <c r="BY40" s="19">
        <f>Model!BY15</f>
        <v>501.5</v>
      </c>
      <c r="BZ40" s="19">
        <f>Model!BZ15</f>
        <v>530.1</v>
      </c>
      <c r="CA40" s="19">
        <f>Model!CA15</f>
        <v>538.9</v>
      </c>
      <c r="CB40" s="247">
        <f>Model!CB15</f>
        <v>2068</v>
      </c>
      <c r="CC40" s="19">
        <f>Model!CC15</f>
        <v>497.2</v>
      </c>
      <c r="CD40" s="19">
        <f>Model!CD15</f>
        <v>496.6</v>
      </c>
      <c r="CE40" s="19">
        <f>Model!CE15</f>
        <v>449.8</v>
      </c>
      <c r="CF40" s="19">
        <f>Model!CF15</f>
        <v>415.6</v>
      </c>
      <c r="CG40" s="247">
        <f>Model!CG15</f>
        <v>1859.1999999999998</v>
      </c>
      <c r="CH40" s="19">
        <f>Model!CH15</f>
        <v>511.1</v>
      </c>
      <c r="CI40" s="19">
        <f>Model!CI15</f>
        <v>473.9</v>
      </c>
      <c r="CJ40" s="19">
        <f>Model!CJ15</f>
        <v>427.7</v>
      </c>
      <c r="CK40" s="19">
        <f>Model!CK15</f>
        <v>483.2</v>
      </c>
      <c r="CL40" s="247">
        <f>Model!CL15</f>
        <v>1895.9</v>
      </c>
      <c r="CM40" s="19">
        <f ca="1">Model!CM15</f>
        <v>574.60726879933554</v>
      </c>
      <c r="CN40" s="19">
        <f ca="1">Model!CN15</f>
        <v>491.75011467165871</v>
      </c>
      <c r="CO40" s="19">
        <f ca="1">Model!CO15</f>
        <v>495.02946740775411</v>
      </c>
      <c r="CP40" s="19">
        <f ca="1">Model!CP15</f>
        <v>507.05230988254306</v>
      </c>
      <c r="CQ40" s="247">
        <f ca="1">Model!CQ15</f>
        <v>2068.4391607612911</v>
      </c>
      <c r="CR40" s="19">
        <f ca="1">Model!CR15</f>
        <v>574.17306304992962</v>
      </c>
      <c r="CS40" s="19">
        <f ca="1">Model!CS15</f>
        <v>488.6948789302549</v>
      </c>
      <c r="CT40" s="19">
        <f ca="1">Model!CT15</f>
        <v>493.12690985840902</v>
      </c>
      <c r="CU40" s="19">
        <f ca="1">Model!CU15</f>
        <v>505.08939459645421</v>
      </c>
      <c r="CV40" s="247">
        <f ca="1">Model!CV15</f>
        <v>2061.084246435048</v>
      </c>
      <c r="CW40" s="19">
        <f ca="1">Model!CW15</f>
        <v>552.7186070288692</v>
      </c>
      <c r="CX40" s="19">
        <f ca="1">Model!CX15</f>
        <v>472.72186839707501</v>
      </c>
      <c r="CY40" s="19">
        <f ca="1">Model!CY15</f>
        <v>478.10357915568977</v>
      </c>
      <c r="CZ40" s="19">
        <f ca="1">Model!CZ15</f>
        <v>489.03849692574676</v>
      </c>
      <c r="DA40" s="247">
        <f ca="1">Model!DA15</f>
        <v>1992.5825515073809</v>
      </c>
      <c r="DB40" s="19">
        <f ca="1">Model!DB15</f>
        <v>535.25891116754156</v>
      </c>
      <c r="DC40" s="19">
        <f ca="1">Model!DC15</f>
        <v>460.10503783139291</v>
      </c>
      <c r="DD40" s="19">
        <f ca="1">Model!DD15</f>
        <v>466.39062411255816</v>
      </c>
      <c r="DE40" s="19">
        <f ca="1">Model!DE15</f>
        <v>476.44114294670567</v>
      </c>
      <c r="DF40" s="247">
        <f ca="1">Model!DF15</f>
        <v>1938.1957160581983</v>
      </c>
    </row>
    <row r="41" spans="2:110" x14ac:dyDescent="0.2">
      <c r="B41" s="495" t="s">
        <v>689</v>
      </c>
      <c r="C41" s="77"/>
      <c r="D41" s="77"/>
      <c r="E41" s="77"/>
      <c r="F41" s="77"/>
      <c r="G41" s="77"/>
      <c r="H41" s="77"/>
      <c r="I41" s="77"/>
      <c r="J41" s="271"/>
      <c r="K41" s="77"/>
      <c r="L41" s="77"/>
      <c r="M41" s="77"/>
      <c r="N41" s="77"/>
      <c r="O41" s="271"/>
      <c r="P41" s="79"/>
      <c r="Q41" s="79"/>
      <c r="R41" s="79"/>
      <c r="S41" s="79"/>
      <c r="T41" s="271"/>
      <c r="U41" s="757"/>
      <c r="V41" s="757"/>
      <c r="W41" s="757"/>
      <c r="X41" s="757"/>
      <c r="Y41" s="271"/>
      <c r="Z41" s="79"/>
      <c r="AA41" s="79"/>
      <c r="AB41" s="79"/>
      <c r="AC41" s="79"/>
      <c r="AD41" s="271"/>
      <c r="AE41" s="79"/>
      <c r="AF41" s="79"/>
      <c r="AG41" s="79"/>
      <c r="AH41" s="79"/>
      <c r="AI41" s="271"/>
      <c r="AJ41" s="79"/>
      <c r="AK41" s="79"/>
      <c r="AL41" s="79"/>
      <c r="AM41" s="79"/>
      <c r="AN41" s="271"/>
      <c r="AO41" s="79"/>
      <c r="AP41" s="79"/>
      <c r="AQ41" s="79"/>
      <c r="AR41" s="79"/>
      <c r="AS41" s="247">
        <f>Revenue!AS78</f>
        <v>506.3</v>
      </c>
      <c r="AT41" s="19">
        <f>Revenue!AT78</f>
        <v>124.1</v>
      </c>
      <c r="AU41" s="19">
        <f>Revenue!AU78</f>
        <v>125.6</v>
      </c>
      <c r="AV41" s="19">
        <f>Revenue!AV78</f>
        <v>126.3</v>
      </c>
      <c r="AW41" s="19">
        <f>Revenue!AW78</f>
        <v>154.6</v>
      </c>
      <c r="AX41" s="247">
        <f>Revenue!AX78</f>
        <v>530.6</v>
      </c>
      <c r="AY41" s="19">
        <f>Revenue!AY78</f>
        <v>186.6</v>
      </c>
      <c r="AZ41" s="19">
        <f>Revenue!AZ78</f>
        <v>189.1</v>
      </c>
      <c r="BA41" s="19">
        <f>Revenue!BA78</f>
        <v>186.9</v>
      </c>
      <c r="BB41" s="19">
        <f>Revenue!BB78</f>
        <v>191.3</v>
      </c>
      <c r="BC41" s="247">
        <f>Revenue!BC78</f>
        <v>753.90000000000009</v>
      </c>
      <c r="BD41" s="19">
        <f>Revenue!BD78</f>
        <v>186.1</v>
      </c>
      <c r="BE41" s="19">
        <f>Revenue!BE78</f>
        <v>185.7</v>
      </c>
      <c r="BF41" s="19">
        <f>Revenue!BF78</f>
        <v>184.8</v>
      </c>
      <c r="BG41" s="19">
        <f>Revenue!BG78</f>
        <v>194.9</v>
      </c>
      <c r="BH41" s="247">
        <f>Revenue!BH78</f>
        <v>751.49999999999989</v>
      </c>
      <c r="BI41" s="19">
        <f>Revenue!BI78</f>
        <v>192.8</v>
      </c>
      <c r="BJ41" s="19">
        <f>Revenue!BJ78</f>
        <v>398.3</v>
      </c>
      <c r="BK41" s="19">
        <f>Revenue!BK78</f>
        <v>393.79999999999995</v>
      </c>
      <c r="BL41" s="19">
        <f>Revenue!BL78</f>
        <v>410.8</v>
      </c>
      <c r="BM41" s="247">
        <f>Revenue!BM78</f>
        <v>1395.7</v>
      </c>
      <c r="BN41" s="19">
        <f>Revenue!BN78</f>
        <v>390</v>
      </c>
      <c r="BO41" s="19">
        <f>Revenue!BO78</f>
        <v>369.4</v>
      </c>
      <c r="BP41" s="19">
        <f>Revenue!BP78</f>
        <v>358.1</v>
      </c>
      <c r="BQ41" s="19">
        <f>Revenue!BQ78</f>
        <v>360.7</v>
      </c>
      <c r="BR41" s="247">
        <f>Revenue!BR78</f>
        <v>1478.2</v>
      </c>
      <c r="BS41" s="19">
        <f>Revenue!BS78</f>
        <v>320</v>
      </c>
      <c r="BT41" s="19">
        <f>Revenue!BT78</f>
        <v>324.3</v>
      </c>
      <c r="BU41" s="19">
        <f>Revenue!BU78</f>
        <v>328.3</v>
      </c>
      <c r="BV41" s="19">
        <f>Revenue!BV78</f>
        <v>337</v>
      </c>
      <c r="BW41" s="247">
        <f>Revenue!BW78</f>
        <v>1309.5999999999999</v>
      </c>
      <c r="BX41" s="19">
        <f>Revenue!BX78</f>
        <v>340.6</v>
      </c>
      <c r="BY41" s="19">
        <f>Revenue!BY78</f>
        <v>356.8</v>
      </c>
      <c r="BZ41" s="19">
        <f>Revenue!BZ78</f>
        <v>365.2</v>
      </c>
      <c r="CA41" s="19">
        <f>Revenue!CA78</f>
        <v>379</v>
      </c>
      <c r="CB41" s="247">
        <f>Revenue!CB78</f>
        <v>1441.6</v>
      </c>
      <c r="CC41" s="19">
        <f>Revenue!CC78</f>
        <v>356.3</v>
      </c>
      <c r="CD41" s="19">
        <f>Revenue!CD77</f>
        <v>349.29999999999995</v>
      </c>
      <c r="CE41" s="19">
        <f>Revenue!CE77</f>
        <v>347.09999999999997</v>
      </c>
      <c r="CF41" s="19">
        <f>Revenue!CF77</f>
        <v>354.9</v>
      </c>
      <c r="CG41" s="247">
        <f>Revenue!CG77</f>
        <v>1407.6</v>
      </c>
      <c r="CH41" s="19">
        <f>Revenue!CH77</f>
        <v>351.70000000000005</v>
      </c>
      <c r="CI41" s="19">
        <f>Revenue!CI77</f>
        <v>349.8</v>
      </c>
      <c r="CJ41" s="19">
        <f>Revenue!CJ77</f>
        <v>343.6</v>
      </c>
      <c r="CK41" s="19">
        <f>Revenue!CK77</f>
        <v>355.8</v>
      </c>
      <c r="CL41" s="247">
        <f>Revenue!CL77</f>
        <v>1400.8999999999999</v>
      </c>
      <c r="CM41" s="19">
        <f>Revenue!CM77</f>
        <v>337.57249999999999</v>
      </c>
      <c r="CN41" s="19">
        <f>Revenue!CN77</f>
        <v>335.53204999999997</v>
      </c>
      <c r="CO41" s="19">
        <f>Revenue!CO77</f>
        <v>340.00740000000002</v>
      </c>
      <c r="CP41" s="19">
        <f>Revenue!CP77</f>
        <v>352.4307</v>
      </c>
      <c r="CQ41" s="247">
        <f>Revenue!CQ77</f>
        <v>1365.5426499999999</v>
      </c>
      <c r="CR41" s="19">
        <f>Revenue!CR77</f>
        <v>334.08972549999999</v>
      </c>
      <c r="CS41" s="19">
        <f>Revenue!CS77</f>
        <v>332.07963775000002</v>
      </c>
      <c r="CT41" s="19">
        <f>Revenue!CT77</f>
        <v>336.50902799999994</v>
      </c>
      <c r="CU41" s="19">
        <f>Revenue!CU77</f>
        <v>348.79536750000005</v>
      </c>
      <c r="CV41" s="247">
        <f>Revenue!CV77</f>
        <v>1351.4737587500001</v>
      </c>
      <c r="CW41" s="19">
        <f>Revenue!CW77</f>
        <v>299.01030432250002</v>
      </c>
      <c r="CX41" s="19">
        <f>Revenue!CX77</f>
        <v>297.21127578624998</v>
      </c>
      <c r="CY41" s="19">
        <f>Revenue!CY77</f>
        <v>301.17558005999996</v>
      </c>
      <c r="CZ41" s="19">
        <f>Revenue!CZ77</f>
        <v>312.17185391250007</v>
      </c>
      <c r="DA41" s="247">
        <f>Revenue!DA77</f>
        <v>1209.5690140812499</v>
      </c>
      <c r="DB41" s="19">
        <f>Revenue!DB77</f>
        <v>264.62411932541255</v>
      </c>
      <c r="DC41" s="19">
        <f>Revenue!DC77</f>
        <v>263.0319790708312</v>
      </c>
      <c r="DD41" s="19">
        <f>Revenue!DD77</f>
        <v>266.5403883530999</v>
      </c>
      <c r="DE41" s="19">
        <f>Revenue!DE77</f>
        <v>276.27209071256254</v>
      </c>
      <c r="DF41" s="247">
        <f>Revenue!DF77</f>
        <v>1070.4685774619061</v>
      </c>
    </row>
    <row r="42" spans="2:110" x14ac:dyDescent="0.2">
      <c r="B42" s="782" t="s">
        <v>690</v>
      </c>
      <c r="C42" s="255"/>
      <c r="D42" s="255"/>
      <c r="E42" s="252"/>
      <c r="F42" s="77"/>
      <c r="G42" s="77"/>
      <c r="H42" s="77"/>
      <c r="I42" s="77"/>
      <c r="J42" s="526"/>
      <c r="K42" s="252"/>
      <c r="L42" s="252"/>
      <c r="M42" s="252"/>
      <c r="N42" s="252"/>
      <c r="O42" s="526"/>
      <c r="P42" s="252"/>
      <c r="Q42" s="252"/>
      <c r="R42" s="252"/>
      <c r="S42" s="252"/>
      <c r="T42" s="526"/>
      <c r="U42" s="252"/>
      <c r="V42" s="252"/>
      <c r="W42" s="252"/>
      <c r="X42" s="252"/>
      <c r="Y42" s="526"/>
      <c r="Z42" s="252"/>
      <c r="AA42" s="252"/>
      <c r="AB42" s="252"/>
      <c r="AC42" s="252"/>
      <c r="AD42" s="526"/>
      <c r="AE42" s="252"/>
      <c r="AF42" s="252"/>
      <c r="AG42" s="252"/>
      <c r="AH42" s="252"/>
      <c r="AI42" s="526"/>
      <c r="AJ42" s="252"/>
      <c r="AK42" s="252"/>
      <c r="AL42" s="252"/>
      <c r="AM42" s="252"/>
      <c r="AN42" s="526"/>
      <c r="AO42" s="252"/>
      <c r="AP42" s="252"/>
      <c r="AQ42" s="252"/>
      <c r="AR42" s="252"/>
      <c r="AS42" s="526">
        <f>AS40/AS41</f>
        <v>1.5018763578905785</v>
      </c>
      <c r="AT42" s="252">
        <f t="shared" ref="AT42:CQ42" si="115">AT40/AT41</f>
        <v>1.3690572119258664</v>
      </c>
      <c r="AU42" s="252">
        <f t="shared" si="115"/>
        <v>1.6608280254777072</v>
      </c>
      <c r="AV42" s="252">
        <f t="shared" si="115"/>
        <v>1.589865399841647</v>
      </c>
      <c r="AW42" s="252">
        <f t="shared" si="115"/>
        <v>1.5291073738680467</v>
      </c>
      <c r="AX42" s="526">
        <f t="shared" si="115"/>
        <v>1.5373162457595173</v>
      </c>
      <c r="AY42" s="252">
        <f t="shared" si="115"/>
        <v>1.0428724544480172</v>
      </c>
      <c r="AZ42" s="252">
        <f t="shared" si="115"/>
        <v>1.1248016922263353</v>
      </c>
      <c r="BA42" s="252">
        <f t="shared" si="115"/>
        <v>1.1428571428571428</v>
      </c>
      <c r="BB42" s="252">
        <f t="shared" si="115"/>
        <v>1.0449555671719812</v>
      </c>
      <c r="BC42" s="526">
        <f t="shared" si="115"/>
        <v>1.0887385594906485</v>
      </c>
      <c r="BD42" s="252">
        <f t="shared" si="115"/>
        <v>0.98280494357872117</v>
      </c>
      <c r="BE42" s="252">
        <f t="shared" si="115"/>
        <v>1.0479267635972001</v>
      </c>
      <c r="BF42" s="252">
        <f t="shared" si="115"/>
        <v>1.0779220779220777</v>
      </c>
      <c r="BG42" s="252">
        <f t="shared" si="115"/>
        <v>1.0497691123653157</v>
      </c>
      <c r="BH42" s="526">
        <f t="shared" si="115"/>
        <v>1.039654025282768</v>
      </c>
      <c r="BI42" s="252">
        <f t="shared" si="115"/>
        <v>1.1836099585062239</v>
      </c>
      <c r="BJ42" s="252">
        <f t="shared" si="115"/>
        <v>1.8872709013306548</v>
      </c>
      <c r="BK42" s="252">
        <f t="shared" si="115"/>
        <v>1.5472320975114271</v>
      </c>
      <c r="BL42" s="252">
        <f t="shared" si="115"/>
        <v>1.9096884128529699</v>
      </c>
      <c r="BM42" s="1890">
        <f t="shared" si="115"/>
        <v>1.7007236512144441</v>
      </c>
      <c r="BN42" s="252">
        <f t="shared" si="115"/>
        <v>1.3889743589743591</v>
      </c>
      <c r="BO42" s="252">
        <f t="shared" si="115"/>
        <v>1.4750947482403898</v>
      </c>
      <c r="BP42" s="252">
        <f t="shared" si="115"/>
        <v>1.426417201898911</v>
      </c>
      <c r="BQ42" s="252">
        <f t="shared" si="115"/>
        <v>1.703354588300527</v>
      </c>
      <c r="BR42" s="526">
        <f t="shared" si="115"/>
        <v>1.4962792585577054</v>
      </c>
      <c r="BS42" s="252">
        <f t="shared" si="115"/>
        <v>1.5821875000000001</v>
      </c>
      <c r="BT42" s="252">
        <f t="shared" si="115"/>
        <v>1.549799568300956</v>
      </c>
      <c r="BU42" s="252">
        <f t="shared" si="115"/>
        <v>1.5769113615595494</v>
      </c>
      <c r="BV42" s="252">
        <f t="shared" si="115"/>
        <v>1.6041543026706233</v>
      </c>
      <c r="BW42" s="526">
        <f t="shared" si="115"/>
        <v>1.5784972510690289</v>
      </c>
      <c r="BX42" s="252">
        <f t="shared" si="115"/>
        <v>1.4606576629477392</v>
      </c>
      <c r="BY42" s="252">
        <f t="shared" si="115"/>
        <v>1.4055493273542601</v>
      </c>
      <c r="BZ42" s="252">
        <f t="shared" si="115"/>
        <v>1.4515334063526835</v>
      </c>
      <c r="CA42" s="252">
        <f t="shared" si="115"/>
        <v>1.4218997361477572</v>
      </c>
      <c r="CB42" s="526">
        <f t="shared" si="115"/>
        <v>1.4345172031076583</v>
      </c>
      <c r="CC42" s="252">
        <f t="shared" si="115"/>
        <v>1.3954532697165309</v>
      </c>
      <c r="CD42" s="252">
        <f t="shared" si="115"/>
        <v>1.4217005439450332</v>
      </c>
      <c r="CE42" s="252">
        <f t="shared" si="115"/>
        <v>1.2958801498127341</v>
      </c>
      <c r="CF42" s="252">
        <f t="shared" si="115"/>
        <v>1.1710340941110173</v>
      </c>
      <c r="CG42" s="526">
        <f t="shared" si="115"/>
        <v>1.3208297811878373</v>
      </c>
      <c r="CH42" s="252">
        <f t="shared" si="115"/>
        <v>1.4532271822576057</v>
      </c>
      <c r="CI42" s="252">
        <f t="shared" si="115"/>
        <v>1.354774156660949</v>
      </c>
      <c r="CJ42" s="252">
        <f t="shared" si="115"/>
        <v>1.2447613504074504</v>
      </c>
      <c r="CK42" s="252">
        <f t="shared" si="115"/>
        <v>1.3580663293985384</v>
      </c>
      <c r="CL42" s="526">
        <f t="shared" si="115"/>
        <v>1.353344278677993</v>
      </c>
      <c r="CM42" s="252">
        <f t="shared" ca="1" si="115"/>
        <v>1.7021744034224813</v>
      </c>
      <c r="CN42" s="252">
        <f t="shared" ca="1" si="115"/>
        <v>1.465583137800573</v>
      </c>
      <c r="CO42" s="252">
        <f t="shared" ca="1" si="115"/>
        <v>1.4559373337396599</v>
      </c>
      <c r="CP42" s="252">
        <f t="shared" ca="1" si="115"/>
        <v>1.4387291171925234</v>
      </c>
      <c r="CQ42" s="526">
        <f t="shared" ca="1" si="115"/>
        <v>1.514737866855562</v>
      </c>
      <c r="CR42" s="252">
        <f t="shared" ref="CR42:CV42" ca="1" si="116">CR40/CR41</f>
        <v>1.7186193385343413</v>
      </c>
      <c r="CS42" s="252">
        <f t="shared" ca="1" si="116"/>
        <v>1.4716195254891231</v>
      </c>
      <c r="CT42" s="252">
        <f t="shared" ca="1" si="116"/>
        <v>1.4654195543853554</v>
      </c>
      <c r="CU42" s="252">
        <f t="shared" ca="1" si="116"/>
        <v>1.4480966252983682</v>
      </c>
      <c r="CV42" s="526">
        <f t="shared" ca="1" si="116"/>
        <v>1.5250641997972481</v>
      </c>
      <c r="CW42" s="252">
        <f t="shared" ref="CW42:DF42" ca="1" si="117">CW40/CW41</f>
        <v>1.8484935102194004</v>
      </c>
      <c r="CX42" s="252">
        <f t="shared" ca="1" si="117"/>
        <v>1.5905246769205676</v>
      </c>
      <c r="CY42" s="252">
        <f t="shared" ca="1" si="117"/>
        <v>1.5874579840119918</v>
      </c>
      <c r="CZ42" s="252">
        <f t="shared" ca="1" si="117"/>
        <v>1.5665681924765111</v>
      </c>
      <c r="DA42" s="526">
        <f t="shared" ca="1" si="117"/>
        <v>1.6473492031547148</v>
      </c>
      <c r="DB42" s="252">
        <f t="shared" ca="1" si="117"/>
        <v>2.0227140010216718</v>
      </c>
      <c r="DC42" s="252">
        <f t="shared" ca="1" si="117"/>
        <v>1.7492361174360949</v>
      </c>
      <c r="DD42" s="252">
        <f t="shared" ca="1" si="117"/>
        <v>1.7497934440416072</v>
      </c>
      <c r="DE42" s="252">
        <f t="shared" ca="1" si="117"/>
        <v>1.7245359157266518</v>
      </c>
      <c r="DF42" s="526">
        <f t="shared" ca="1" si="117"/>
        <v>1.8106049601695771</v>
      </c>
    </row>
    <row r="43" spans="2:110" x14ac:dyDescent="0.2">
      <c r="B43" s="181" t="s">
        <v>719</v>
      </c>
      <c r="C43" s="182"/>
      <c r="D43" s="182"/>
      <c r="E43" s="116"/>
      <c r="F43" s="116"/>
      <c r="G43" s="116"/>
      <c r="H43" s="116"/>
      <c r="I43" s="116"/>
      <c r="J43" s="118"/>
      <c r="K43" s="116"/>
      <c r="L43" s="116"/>
      <c r="M43" s="116"/>
      <c r="N43" s="116"/>
      <c r="O43" s="118"/>
      <c r="P43" s="66"/>
      <c r="Q43" s="66"/>
      <c r="R43" s="66"/>
      <c r="S43" s="66"/>
      <c r="T43" s="118"/>
      <c r="U43" s="66"/>
      <c r="V43" s="66"/>
      <c r="W43" s="66"/>
      <c r="X43" s="66"/>
      <c r="Y43" s="118"/>
      <c r="Z43" s="66"/>
      <c r="AA43" s="66"/>
      <c r="AB43" s="66"/>
      <c r="AC43" s="66"/>
      <c r="AD43" s="118"/>
      <c r="AE43" s="66"/>
      <c r="AF43" s="66"/>
      <c r="AG43" s="66"/>
      <c r="AH43" s="66"/>
      <c r="AI43" s="118"/>
      <c r="AJ43" s="66"/>
      <c r="AK43" s="66"/>
      <c r="AL43" s="66"/>
      <c r="AM43" s="66"/>
      <c r="AN43" s="118"/>
      <c r="AO43" s="66"/>
      <c r="AP43" s="66"/>
      <c r="AQ43" s="66"/>
      <c r="AR43" s="66"/>
      <c r="AS43" s="118"/>
      <c r="AT43" s="66" t="e">
        <f t="shared" ref="AT43" si="118">AT42/AO42-1</f>
        <v>#DIV/0!</v>
      </c>
      <c r="AU43" s="66" t="e">
        <f t="shared" ref="AU43" si="119">AU42/AP42-1</f>
        <v>#DIV/0!</v>
      </c>
      <c r="AV43" s="66" t="e">
        <f t="shared" ref="AV43" si="120">AV42/AQ42-1</f>
        <v>#DIV/0!</v>
      </c>
      <c r="AW43" s="66" t="e">
        <f t="shared" ref="AW43" si="121">AW42/AR42-1</f>
        <v>#DIV/0!</v>
      </c>
      <c r="AX43" s="118">
        <f t="shared" ref="AX43" si="122">AX42/AS42-1</f>
        <v>2.3597074208368873E-2</v>
      </c>
      <c r="AY43" s="66">
        <f t="shared" ref="AY43" si="123">AY42/AT42-1</f>
        <v>-0.23825502297234302</v>
      </c>
      <c r="AZ43" s="66">
        <f t="shared" ref="AZ43" si="124">AZ42/AU42-1</f>
        <v>-0.322746440346943</v>
      </c>
      <c r="BA43" s="66">
        <f>BA42/AV42-1</f>
        <v>-0.28116107000569157</v>
      </c>
      <c r="BB43" s="66">
        <f t="shared" ref="BB43" si="125">BB42/AW42-1</f>
        <v>-0.31662381267010031</v>
      </c>
      <c r="BC43" s="118">
        <f>BC42/AX42-1</f>
        <v>-0.29179271832078191</v>
      </c>
      <c r="BD43" s="66">
        <f t="shared" ref="BD43" si="126">BD42/AY42-1</f>
        <v>-5.7598137349489487E-2</v>
      </c>
      <c r="BE43" s="66">
        <f t="shared" ref="BE43" si="127">BE42/AZ42-1</f>
        <v>-6.8345317366100056E-2</v>
      </c>
      <c r="BF43" s="66">
        <f>BF42/BA42-1</f>
        <v>-5.681818181818199E-2</v>
      </c>
      <c r="BG43" s="66">
        <f t="shared" ref="BG43" si="128">BG42/BB42-1</f>
        <v>4.6064592070278465E-3</v>
      </c>
      <c r="BH43" s="118">
        <f>BH42/BC42-1</f>
        <v>-4.5083857625878521E-2</v>
      </c>
      <c r="BI43" s="66">
        <f t="shared" ref="BI43" si="129">BI42/BD42-1</f>
        <v>0.20431827926740431</v>
      </c>
      <c r="BJ43" s="66">
        <f t="shared" ref="BJ43" si="130">BJ42/BE42-1</f>
        <v>0.800956867302685</v>
      </c>
      <c r="BK43" s="66">
        <f>BK42/BF42-1</f>
        <v>0.43538399407686645</v>
      </c>
      <c r="BL43" s="66">
        <f t="shared" ref="BL43" si="131">BL42/BG42-1</f>
        <v>0.81915088790343971</v>
      </c>
      <c r="BM43" s="118">
        <f>BM42/BH42-1</f>
        <v>0.63585539983060868</v>
      </c>
      <c r="BN43" s="66">
        <f t="shared" ref="BN43" si="132">BN42/BI42-1</f>
        <v>0.17350682037798637</v>
      </c>
      <c r="BO43" s="66">
        <f t="shared" ref="BO43" si="133">BO42/BJ42-1</f>
        <v>-0.21839798027917068</v>
      </c>
      <c r="BP43" s="66">
        <f>BP42/BK42-1</f>
        <v>-7.8084532893827108E-2</v>
      </c>
      <c r="BQ43" s="66">
        <f t="shared" ref="BQ43" si="134">BQ42/BL42-1</f>
        <v>-0.10804580640681138</v>
      </c>
      <c r="BR43" s="118">
        <f>BR42/BM42-1</f>
        <v>-0.12021023668998199</v>
      </c>
      <c r="BS43" s="66">
        <f t="shared" ref="BS43" si="135">BS42/BN42-1</f>
        <v>0.13910490123684704</v>
      </c>
      <c r="BT43" s="66">
        <f t="shared" ref="BT43" si="136">BT42/BO42-1</f>
        <v>5.064408245618135E-2</v>
      </c>
      <c r="BU43" s="66">
        <f>BU42/BP42-1</f>
        <v>0.10550500895551029</v>
      </c>
      <c r="BV43" s="66">
        <f t="shared" ref="BV43" si="137">BV42/BQ42-1</f>
        <v>-5.823818852002971E-2</v>
      </c>
      <c r="BW43" s="118">
        <f t="shared" ref="BW43" si="138">BW42/BR42-1</f>
        <v>5.4948293937172599E-2</v>
      </c>
      <c r="BX43" s="66">
        <f t="shared" ref="BX43" si="139">BX42/BS42-1</f>
        <v>-7.6811273665264634E-2</v>
      </c>
      <c r="BY43" s="66">
        <f t="shared" ref="BY43" si="140">BY42/BT42-1</f>
        <v>-9.3076707399549319E-2</v>
      </c>
      <c r="BZ43" s="66">
        <f t="shared" ref="BZ43" si="141">BZ42/BU42-1</f>
        <v>-7.9508562283975404E-2</v>
      </c>
      <c r="CA43" s="66">
        <f t="shared" ref="CA43" si="142">CA42/BV42-1</f>
        <v>-0.11361411194636672</v>
      </c>
      <c r="CB43" s="118">
        <f t="shared" ref="CB43" si="143">CB42/BW42-1</f>
        <v>-9.1213366297509202E-2</v>
      </c>
      <c r="CC43" s="66">
        <f t="shared" ref="CC43" si="144">CC42/BX42-1</f>
        <v>-4.4640434843315702E-2</v>
      </c>
      <c r="CD43" s="66">
        <f t="shared" ref="CD43" si="145">CD42/BY42-1</f>
        <v>1.149103505401361E-2</v>
      </c>
      <c r="CE43" s="66">
        <f t="shared" ref="CE43" si="146">CE42/BZ42-1</f>
        <v>-0.10723367154949914</v>
      </c>
      <c r="CF43" s="66">
        <f t="shared" ref="CF43" si="147">CF42/CA42-1</f>
        <v>-0.17642990968996919</v>
      </c>
      <c r="CG43" s="118">
        <f t="shared" ref="CG43" si="148">CG42/CB42-1</f>
        <v>-7.9251347891496016E-2</v>
      </c>
      <c r="CH43" s="66">
        <f t="shared" ref="CH43" si="149">CH42/CC42-1</f>
        <v>4.1401538693453199E-2</v>
      </c>
      <c r="CI43" s="66">
        <f t="shared" ref="CI43" si="150">CI42/CD42-1</f>
        <v>-4.7074883363533271E-2</v>
      </c>
      <c r="CJ43" s="66">
        <f t="shared" ref="CJ43" si="151">CJ42/CE42-1</f>
        <v>-3.9447166015060042E-2</v>
      </c>
      <c r="CK43" s="66">
        <f t="shared" ref="CK43" si="152">CK42/CF42-1</f>
        <v>0.15971544827608564</v>
      </c>
      <c r="CL43" s="118">
        <f t="shared" ref="CL43" si="153">CL42/CG42-1</f>
        <v>2.461672045349772E-2</v>
      </c>
      <c r="CM43" s="66">
        <f t="shared" ref="CM43:CV43" ca="1" si="154">CM42/CH42-1</f>
        <v>0.17130647169572821</v>
      </c>
      <c r="CN43" s="66">
        <f t="shared" ca="1" si="154"/>
        <v>8.1791478376536109E-2</v>
      </c>
      <c r="CO43" s="66">
        <f t="shared" ca="1" si="154"/>
        <v>0.16965178366365952</v>
      </c>
      <c r="CP43" s="66">
        <f t="shared" ca="1" si="154"/>
        <v>5.9395322634726577E-2</v>
      </c>
      <c r="CQ43" s="118">
        <f t="shared" ca="1" si="154"/>
        <v>0.119255381443091</v>
      </c>
      <c r="CR43" s="66">
        <f t="shared" ca="1" si="154"/>
        <v>9.6611340640506693E-3</v>
      </c>
      <c r="CS43" s="66">
        <f t="shared" ca="1" si="154"/>
        <v>4.1187616948219485E-3</v>
      </c>
      <c r="CT43" s="66">
        <f t="shared" ca="1" si="154"/>
        <v>6.5127944905016832E-3</v>
      </c>
      <c r="CU43" s="66">
        <f t="shared" ca="1" si="154"/>
        <v>6.5109602592350324E-3</v>
      </c>
      <c r="CV43" s="118">
        <f t="shared" ca="1" si="154"/>
        <v>6.8172409019671143E-3</v>
      </c>
      <c r="CW43" s="66">
        <f t="shared" ref="CW43" ca="1" si="155">CW42/CR42-1</f>
        <v>7.5568899274587098E-2</v>
      </c>
      <c r="CX43" s="66">
        <f t="shared" ref="CX43" ca="1" si="156">CX42/CS42-1</f>
        <v>8.0798840577984254E-2</v>
      </c>
      <c r="CY43" s="66">
        <f t="shared" ref="CY43" ca="1" si="157">CY42/CT42-1</f>
        <v>8.3278832510067957E-2</v>
      </c>
      <c r="CZ43" s="66">
        <f t="shared" ref="CZ43" ca="1" si="158">CZ42/CU42-1</f>
        <v>8.1811921323780901E-2</v>
      </c>
      <c r="DA43" s="118">
        <f t="shared" ref="DA43" ca="1" si="159">DA42/CV42-1</f>
        <v>8.0183511863778589E-2</v>
      </c>
      <c r="DB43" s="66">
        <f t="shared" ref="DB43" ca="1" si="160">DB42/CW42-1</f>
        <v>9.4249987808500801E-2</v>
      </c>
      <c r="DC43" s="66">
        <f t="shared" ref="DC43" ca="1" si="161">DC42/CX42-1</f>
        <v>9.9785588251802615E-2</v>
      </c>
      <c r="DD43" s="66">
        <f t="shared" ref="DD43" ca="1" si="162">DD42/CY42-1</f>
        <v>0.10226126402372171</v>
      </c>
      <c r="DE43" s="66">
        <f t="shared" ref="DE43" ca="1" si="163">DE42/CZ42-1</f>
        <v>0.10083679983340987</v>
      </c>
      <c r="DF43" s="118">
        <f t="shared" ref="DF43" ca="1" si="164">DF42/DA42-1</f>
        <v>9.910209486988153E-2</v>
      </c>
    </row>
  </sheetData>
  <phoneticPr fontId="15" type="noConversion"/>
  <pageMargins left="0.25" right="0.25" top="0.5" bottom="0.5" header="0.5" footer="0.5"/>
  <pageSetup paperSize="5" orientation="landscape" r:id="rId1"/>
  <headerFooter alignWithMargins="0"/>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B1:BQ92"/>
  <sheetViews>
    <sheetView showGridLines="0" workbookViewId="0">
      <pane xSplit="3" ySplit="7" topLeftCell="AN8" activePane="bottomRight" state="frozen"/>
      <selection activeCell="B2" sqref="B2"/>
      <selection pane="topRight" activeCell="B2" sqref="B2"/>
      <selection pane="bottomLeft" activeCell="B2" sqref="B2"/>
      <selection pane="bottomRight" activeCell="AR1" sqref="AR1:AR1048576"/>
    </sheetView>
  </sheetViews>
  <sheetFormatPr defaultRowHeight="12.75" outlineLevelRow="1" outlineLevelCol="1" x14ac:dyDescent="0.2"/>
  <cols>
    <col min="1" max="1" width="9.140625" style="679"/>
    <col min="2" max="2" width="13.28515625" style="679" customWidth="1"/>
    <col min="3" max="3" width="9.140625" style="679"/>
    <col min="4" max="4" width="6.7109375" style="679" hidden="1" customWidth="1"/>
    <col min="5" max="8" width="6.7109375" style="679" hidden="1" customWidth="1" outlineLevel="1"/>
    <col min="9" max="9" width="6.7109375" style="679" hidden="1" customWidth="1" collapsed="1"/>
    <col min="10" max="13" width="6.7109375" style="679" hidden="1" customWidth="1" outlineLevel="1"/>
    <col min="14" max="14" width="6.7109375" style="679" hidden="1" customWidth="1" collapsed="1"/>
    <col min="15" max="18" width="6.7109375" style="679" hidden="1" customWidth="1" outlineLevel="1"/>
    <col min="19" max="19" width="7" style="679" hidden="1" customWidth="1" collapsed="1"/>
    <col min="20" max="23" width="6.7109375" style="679" hidden="1" customWidth="1" outlineLevel="1"/>
    <col min="24" max="24" width="8.140625" style="679" hidden="1" customWidth="1" collapsed="1"/>
    <col min="25" max="28" width="6.7109375" style="679" hidden="1" customWidth="1" outlineLevel="1"/>
    <col min="29" max="29" width="8.140625" style="679" hidden="1" customWidth="1" collapsed="1"/>
    <col min="30" max="30" width="6.7109375" style="930" hidden="1" customWidth="1" outlineLevel="1"/>
    <col min="31" max="33" width="6.7109375" style="679" hidden="1" customWidth="1" outlineLevel="1"/>
    <col min="34" max="34" width="8.28515625" style="679" hidden="1" customWidth="1" collapsed="1"/>
    <col min="35" max="35" width="6.7109375" style="930" hidden="1" customWidth="1" outlineLevel="1"/>
    <col min="36" max="38" width="6.7109375" style="679" hidden="1" customWidth="1" outlineLevel="1"/>
    <col min="39" max="39" width="8.140625" style="679" hidden="1" customWidth="1" collapsed="1"/>
    <col min="40" max="40" width="6.7109375" style="930" hidden="1" customWidth="1" outlineLevel="1"/>
    <col min="41" max="43" width="6.7109375" style="679" hidden="1" customWidth="1" outlineLevel="1"/>
    <col min="44" max="44" width="8.140625" style="679" hidden="1" customWidth="1" collapsed="1"/>
    <col min="45" max="45" width="6.7109375" style="930" customWidth="1" outlineLevel="1"/>
    <col min="46" max="48" width="6.7109375" style="679" customWidth="1" outlineLevel="1"/>
    <col min="49" max="49" width="8.140625" style="679" bestFit="1" customWidth="1"/>
    <col min="50" max="50" width="6.7109375" style="930" customWidth="1" outlineLevel="1"/>
    <col min="51" max="53" width="6.7109375" style="679" customWidth="1" outlineLevel="1"/>
    <col min="54" max="54" width="8.140625" style="679" bestFit="1" customWidth="1"/>
    <col min="55" max="58" width="9.140625" style="679" customWidth="1" outlineLevel="1"/>
    <col min="59" max="59" width="9.140625" style="679"/>
    <col min="60" max="63" width="9.140625" style="679" hidden="1" customWidth="1" outlineLevel="1"/>
    <col min="64" max="64" width="9.140625" style="679" collapsed="1"/>
    <col min="65" max="68" width="9.140625" style="679" hidden="1" customWidth="1" outlineLevel="1"/>
    <col min="69" max="69" width="9.140625" style="679" collapsed="1"/>
    <col min="70" max="16384" width="9.140625" style="679"/>
  </cols>
  <sheetData>
    <row r="1" spans="2:69" outlineLevel="1" x14ac:dyDescent="0.2">
      <c r="B1" s="943" t="s">
        <v>442</v>
      </c>
      <c r="C1" s="943"/>
      <c r="D1" s="945">
        <f>Model!AS28</f>
        <v>1.5480540111199399</v>
      </c>
      <c r="E1" s="944">
        <f>Model!AT28</f>
        <v>0.44203770557561239</v>
      </c>
      <c r="F1" s="944">
        <f>Model!AU28</f>
        <v>0.44918856259659962</v>
      </c>
      <c r="G1" s="944">
        <f>Model!AV28</f>
        <v>0.41630591630591529</v>
      </c>
      <c r="H1" s="944">
        <f>Model!AW28</f>
        <v>0.48705501618122948</v>
      </c>
      <c r="I1" s="945">
        <f>Model!AX28</f>
        <v>1.7953733308256565</v>
      </c>
      <c r="J1" s="1068">
        <f>Model!AY28</f>
        <v>0.54839870456998863</v>
      </c>
      <c r="K1" s="1068">
        <f>Model!AZ28</f>
        <v>0.5980730776222517</v>
      </c>
      <c r="L1" s="1068">
        <f>Model!BA28</f>
        <v>0.64916201117318229</v>
      </c>
      <c r="M1" s="1068">
        <f>Model!BB28</f>
        <v>0.70895102270595001</v>
      </c>
      <c r="N1" s="1011">
        <f>Model!BC28</f>
        <v>2.5005974813861567</v>
      </c>
      <c r="O1" s="1068">
        <f>Model!BD28</f>
        <v>0.65761378535306236</v>
      </c>
      <c r="P1" s="1068">
        <f>Model!BE28</f>
        <v>0.70729783037475413</v>
      </c>
      <c r="Q1" s="1068">
        <f>Model!BF28</f>
        <v>0.79299103504482327</v>
      </c>
      <c r="R1" s="1068">
        <f ca="1">Model!BG28</f>
        <v>0.83434997808597022</v>
      </c>
      <c r="S1" s="1011">
        <f ca="1">Model!BH28</f>
        <v>2.9829210457446247</v>
      </c>
      <c r="T1" s="1068">
        <f>Model!BI28</f>
        <v>0.73228507249336339</v>
      </c>
      <c r="U1" s="1068">
        <f>Model!BJ28</f>
        <v>0.85422988226726559</v>
      </c>
      <c r="V1" s="1068">
        <f>Model!BK28</f>
        <v>1.0383317261330762</v>
      </c>
      <c r="W1" s="1068">
        <f>Model!BL28</f>
        <v>1.0502162421912558</v>
      </c>
      <c r="X1" s="1011">
        <f>Model!BM28</f>
        <v>3.7441455907935253</v>
      </c>
      <c r="Y1" s="1068">
        <f>Model!BN28</f>
        <v>0.98942942942942735</v>
      </c>
      <c r="Z1" s="1068">
        <f>Model!BO28</f>
        <v>1.1307339449541247</v>
      </c>
      <c r="AA1" s="1068">
        <f>Model!BP28</f>
        <v>1.0905334791590671</v>
      </c>
      <c r="AB1" s="1068">
        <f>Model!BQ28</f>
        <v>1.1163717916770513</v>
      </c>
      <c r="AC1" s="1011">
        <f>Model!BR28</f>
        <v>4.3253407984420553</v>
      </c>
      <c r="AD1" s="1068">
        <f>Model!BS28</f>
        <v>0.99084435401831239</v>
      </c>
      <c r="AE1" s="1068">
        <f>Model!BT28</f>
        <v>1.2255707762557071</v>
      </c>
      <c r="AF1" s="1068">
        <f>Model!BU28</f>
        <v>1.2902144772117965</v>
      </c>
      <c r="AG1" s="1068">
        <f>Model!BV28</f>
        <v>1.3865022360753494</v>
      </c>
      <c r="AH1" s="1011">
        <f>Model!BW28</f>
        <v>4.8790832455216027</v>
      </c>
      <c r="AI1" s="1114">
        <f>Model!BX28</f>
        <v>1.1000815882512918</v>
      </c>
      <c r="AJ1" s="1068">
        <f>Model!BY28</f>
        <v>1.4368946287056059</v>
      </c>
      <c r="AK1" s="1068">
        <f>Model!BZ28</f>
        <v>1.4508941659337435</v>
      </c>
      <c r="AL1" s="1068">
        <f>Model!CA28</f>
        <v>1.5574923099458033</v>
      </c>
      <c r="AM1" s="1011">
        <f>Model!CB28</f>
        <v>5.545362692836445</v>
      </c>
      <c r="AN1" s="1114">
        <f>Model!CC28</f>
        <v>1.2031706941665383</v>
      </c>
      <c r="AO1" s="1068">
        <f>Model!CD28</f>
        <v>1.571024067956583</v>
      </c>
      <c r="AP1" s="1068">
        <f>Model!CE28</f>
        <v>1.7407112103332802</v>
      </c>
      <c r="AQ1" s="1068">
        <f>Model!CF28</f>
        <v>1.8793806030969846</v>
      </c>
      <c r="AR1" s="1011">
        <f>Model!CG28</f>
        <v>6.3942865755533873</v>
      </c>
      <c r="AS1" s="1114">
        <f>Model!CH28</f>
        <v>1.3310196661708806</v>
      </c>
      <c r="AT1" s="1068">
        <f>Model!CI28</f>
        <v>1.7296789617486334</v>
      </c>
      <c r="AU1" s="1068">
        <f>Model!CJ28</f>
        <v>1.9029058639290062</v>
      </c>
      <c r="AV1" s="1068">
        <f>Model!CK28</f>
        <v>2.1622097114707954</v>
      </c>
      <c r="AW1" s="1011">
        <f>Model!CL28</f>
        <v>7.1258142033193153</v>
      </c>
      <c r="AX1" s="1114">
        <f ca="1">Model!CM28</f>
        <v>1.7585269261523324</v>
      </c>
      <c r="AY1" s="1068">
        <f ca="1">Model!CN28</f>
        <v>2.3441323861462924</v>
      </c>
      <c r="AZ1" s="1068">
        <f ca="1">Model!CO28</f>
        <v>2.3779947125068932</v>
      </c>
      <c r="BA1" s="1068">
        <f ca="1">Model!CP28</f>
        <v>2.5912679856317542</v>
      </c>
      <c r="BB1" s="1011">
        <f ca="1">Model!CQ28</f>
        <v>9.0719220104372731</v>
      </c>
      <c r="BC1" s="1114">
        <f ca="1">Model!CR28</f>
        <v>1.7837130603578375</v>
      </c>
      <c r="BD1" s="1068">
        <f ca="1">Model!CS28</f>
        <v>2.281105691851431</v>
      </c>
      <c r="BE1" s="1068">
        <f ca="1">Model!CT28</f>
        <v>2.2890888658682678</v>
      </c>
      <c r="BF1" s="1068">
        <f ca="1">Model!CU28</f>
        <v>2.4824796366091815</v>
      </c>
      <c r="BG1" s="1011">
        <f ca="1">Model!CV28</f>
        <v>8.8363872546867164</v>
      </c>
      <c r="BH1" s="1114">
        <f ca="1">Model!CW28</f>
        <v>1.5780343126274321</v>
      </c>
      <c r="BI1" s="1068">
        <f ca="1">Model!CX28</f>
        <v>1.9865523500240814</v>
      </c>
      <c r="BJ1" s="1068">
        <f ca="1">Model!CY28</f>
        <v>1.9757612260504194</v>
      </c>
      <c r="BK1" s="1068">
        <f ca="1">Model!CZ28</f>
        <v>2.1343121711570676</v>
      </c>
      <c r="BL1" s="1011">
        <f ca="1">Model!DA28</f>
        <v>7.6746600598590007</v>
      </c>
      <c r="BM1" s="1114">
        <f ca="1">Model!DB28</f>
        <v>1.3630043905374514</v>
      </c>
      <c r="BN1" s="1068">
        <f ca="1">Model!DC28</f>
        <v>1.6868250464670262</v>
      </c>
      <c r="BO1" s="1068">
        <f ca="1">Model!DD28</f>
        <v>1.7416346548875419</v>
      </c>
      <c r="BP1" s="1068">
        <f ca="1">Model!DE28</f>
        <v>1.8503498396367546</v>
      </c>
      <c r="BQ1" s="1011">
        <f ca="1">Model!DF28</f>
        <v>6.6418139315287741</v>
      </c>
    </row>
    <row r="2" spans="2:69" outlineLevel="1" x14ac:dyDescent="0.2">
      <c r="B2" s="1465" t="s">
        <v>441</v>
      </c>
      <c r="C2" s="943"/>
      <c r="D2" s="947">
        <v>1.5480540111199399</v>
      </c>
      <c r="E2" s="946">
        <v>0.44203770557561239</v>
      </c>
      <c r="F2" s="946">
        <v>0.44918856259659962</v>
      </c>
      <c r="G2" s="946">
        <v>0.41630591630591529</v>
      </c>
      <c r="H2" s="946">
        <v>0.48705501618122948</v>
      </c>
      <c r="I2" s="947">
        <v>1.7953733308256565</v>
      </c>
      <c r="J2" s="1069">
        <v>0.54839870456998863</v>
      </c>
      <c r="K2" s="1069">
        <v>0.5980730776222517</v>
      </c>
      <c r="L2" s="1069">
        <v>0.64916201117318229</v>
      </c>
      <c r="M2" s="1069">
        <v>0.70895102270595001</v>
      </c>
      <c r="N2" s="1012">
        <v>2.5005974813861567</v>
      </c>
      <c r="O2" s="1069">
        <v>0.65761378535306236</v>
      </c>
      <c r="P2" s="1069">
        <v>0.70729783037475413</v>
      </c>
      <c r="Q2" s="1069">
        <v>0.79299103504482327</v>
      </c>
      <c r="R2" s="1069">
        <v>0.83434997808597022</v>
      </c>
      <c r="S2" s="947">
        <v>2.9829210457446247</v>
      </c>
      <c r="T2" s="1069">
        <v>0.73228507249336339</v>
      </c>
      <c r="U2" s="1069">
        <v>0.85422988226726559</v>
      </c>
      <c r="V2" s="1069">
        <v>1.0383317261330762</v>
      </c>
      <c r="W2" s="1069">
        <v>1.0502162421912558</v>
      </c>
      <c r="X2" s="1012">
        <v>3.7441455907935253</v>
      </c>
      <c r="Y2" s="1069">
        <v>0.98942942942942735</v>
      </c>
      <c r="Z2" s="1069">
        <v>1.1307339449541247</v>
      </c>
      <c r="AA2" s="1069">
        <v>1.0905334791590671</v>
      </c>
      <c r="AB2" s="1069">
        <v>1.1163717916770513</v>
      </c>
      <c r="AC2" s="1012">
        <v>4.3253407984420553</v>
      </c>
      <c r="AD2" s="1115">
        <v>0.99084435401831239</v>
      </c>
      <c r="AE2" s="1069">
        <v>1.2255707762557071</v>
      </c>
      <c r="AF2" s="1069">
        <v>1.2902144772117965</v>
      </c>
      <c r="AG2" s="1069">
        <v>1.3865022360753494</v>
      </c>
      <c r="AH2" s="1012">
        <v>4.8790832455216027</v>
      </c>
      <c r="AI2" s="1115">
        <v>1.0972949362684501</v>
      </c>
      <c r="AJ2" s="1069">
        <v>1.3793345706861835</v>
      </c>
      <c r="AK2" s="1069">
        <v>1.4864752013815075</v>
      </c>
      <c r="AL2" s="1069">
        <v>1.5092245796610637</v>
      </c>
      <c r="AM2" s="1012">
        <v>5.4610561283717294</v>
      </c>
      <c r="AN2" s="1115">
        <v>1.2735935289264912</v>
      </c>
      <c r="AO2" s="1069">
        <v>1.515897455428125</v>
      </c>
      <c r="AP2" s="1069">
        <v>1.6436092779202494</v>
      </c>
      <c r="AQ2" s="1069">
        <v>1.5999270240273069</v>
      </c>
      <c r="AR2" s="1012">
        <v>6.0228859421067371</v>
      </c>
      <c r="AS2" s="1115">
        <v>1.41404201457932</v>
      </c>
      <c r="AT2" s="1069">
        <v>1.681696817614557</v>
      </c>
      <c r="AU2" s="1069">
        <v>1.807059752802167</v>
      </c>
      <c r="AV2" s="1069">
        <v>1.7571797792861554</v>
      </c>
      <c r="AW2" s="1012">
        <v>6.6510091642990243</v>
      </c>
      <c r="AX2" s="1115">
        <v>1.41404201457932</v>
      </c>
      <c r="AY2" s="1069">
        <v>1.681696817614557</v>
      </c>
      <c r="AZ2" s="1069">
        <v>1.807059752802167</v>
      </c>
      <c r="BA2" s="1069">
        <v>1.7571797792861554</v>
      </c>
      <c r="BB2" s="1012">
        <v>6.6510091642990243</v>
      </c>
      <c r="BC2" s="1115">
        <v>1.41404201457932</v>
      </c>
      <c r="BD2" s="1069">
        <v>1.681696817614557</v>
      </c>
      <c r="BE2" s="1069">
        <v>1.807059752802167</v>
      </c>
      <c r="BF2" s="1069">
        <v>1.7571797792861554</v>
      </c>
      <c r="BG2" s="1012">
        <v>6.6510091642990243</v>
      </c>
      <c r="BH2" s="1115">
        <v>1.41404201457932</v>
      </c>
      <c r="BI2" s="1069">
        <v>1.681696817614557</v>
      </c>
      <c r="BJ2" s="1069">
        <v>1.807059752802167</v>
      </c>
      <c r="BK2" s="1069">
        <v>1.7571797792861554</v>
      </c>
      <c r="BL2" s="1012">
        <v>6.6510091642990243</v>
      </c>
      <c r="BM2" s="1115">
        <v>1.41404201457932</v>
      </c>
      <c r="BN2" s="1069">
        <v>1.681696817614557</v>
      </c>
      <c r="BO2" s="1069">
        <v>1.807059752802167</v>
      </c>
      <c r="BP2" s="1069">
        <v>1.7571797792861554</v>
      </c>
      <c r="BQ2" s="1012">
        <v>6.6510091642990243</v>
      </c>
    </row>
    <row r="3" spans="2:69" outlineLevel="1" x14ac:dyDescent="0.2">
      <c r="B3" s="943"/>
      <c r="C3" s="943"/>
      <c r="D3" s="947"/>
      <c r="E3" s="946"/>
      <c r="F3" s="946"/>
      <c r="G3" s="946"/>
      <c r="H3" s="946"/>
      <c r="I3" s="947"/>
      <c r="J3" s="1069"/>
      <c r="K3" s="1069"/>
      <c r="L3" s="1069"/>
      <c r="M3" s="1069"/>
      <c r="N3" s="1012"/>
      <c r="O3" s="1069"/>
      <c r="P3" s="1069"/>
      <c r="Q3" s="1069"/>
      <c r="R3" s="1069"/>
      <c r="S3" s="947"/>
      <c r="T3" s="1069"/>
      <c r="U3" s="1069"/>
      <c r="V3" s="1069"/>
      <c r="W3" s="1069"/>
      <c r="X3" s="1012"/>
      <c r="Y3" s="1069"/>
      <c r="Z3" s="1069"/>
      <c r="AA3" s="1069"/>
      <c r="AB3" s="1069"/>
      <c r="AC3" s="1523"/>
      <c r="AD3" s="1115"/>
      <c r="AE3" s="1069"/>
      <c r="AF3" s="1069"/>
      <c r="AG3" s="1069"/>
      <c r="AH3" s="1575"/>
      <c r="AI3" s="1115"/>
      <c r="AJ3" s="1069"/>
      <c r="AK3" s="1069"/>
      <c r="AL3" s="1069"/>
      <c r="AM3" s="1012"/>
      <c r="AN3" s="1115"/>
      <c r="AO3" s="1069"/>
      <c r="AP3" s="1069"/>
      <c r="AQ3" s="1069"/>
      <c r="AR3" s="1012"/>
      <c r="AS3" s="1115"/>
      <c r="AT3" s="1069"/>
      <c r="AU3" s="1069"/>
      <c r="AV3" s="1069"/>
      <c r="AW3" s="1012"/>
      <c r="AX3" s="1115"/>
      <c r="AY3" s="1069"/>
      <c r="AZ3" s="1069"/>
      <c r="BA3" s="1069"/>
      <c r="BB3" s="1012"/>
      <c r="BC3" s="1115"/>
      <c r="BD3" s="1069"/>
      <c r="BE3" s="1069"/>
      <c r="BF3" s="1069"/>
      <c r="BG3" s="1012"/>
      <c r="BH3" s="1115"/>
      <c r="BI3" s="1069"/>
      <c r="BJ3" s="1069"/>
      <c r="BK3" s="1069"/>
      <c r="BL3" s="1012"/>
      <c r="BM3" s="1115"/>
      <c r="BN3" s="1069"/>
      <c r="BO3" s="1069"/>
      <c r="BP3" s="1069"/>
      <c r="BQ3" s="1012"/>
    </row>
    <row r="4" spans="2:69" s="1021" customFormat="1" ht="14.25" x14ac:dyDescent="0.3">
      <c r="B4" s="2022" t="str">
        <f>Ticker</f>
        <v>ESRX</v>
      </c>
      <c r="C4" s="2023"/>
      <c r="D4" s="1102"/>
      <c r="E4" s="1102"/>
      <c r="F4" s="1102"/>
      <c r="G4" s="1102"/>
      <c r="H4" s="1102"/>
      <c r="I4" s="1102"/>
      <c r="J4" s="1102"/>
      <c r="K4" s="1102"/>
      <c r="L4" s="1102"/>
      <c r="M4" s="1102"/>
      <c r="N4" s="1102"/>
      <c r="O4" s="1102"/>
      <c r="P4" s="1102"/>
      <c r="Q4" s="1102"/>
      <c r="R4" s="1102"/>
      <c r="S4" s="1102"/>
      <c r="T4" s="1102"/>
      <c r="U4" s="1102"/>
      <c r="V4" s="1102"/>
      <c r="W4" s="1102"/>
      <c r="X4" s="1102"/>
      <c r="Y4" s="1102"/>
      <c r="Z4" s="1102"/>
      <c r="AA4" s="1102"/>
      <c r="AB4" s="1102"/>
      <c r="AC4" s="1102"/>
      <c r="AD4" s="1102"/>
      <c r="AE4" s="1102"/>
      <c r="AF4" s="1102"/>
      <c r="AG4" s="1102"/>
      <c r="AH4" s="1102"/>
      <c r="AI4" s="1102"/>
      <c r="AJ4" s="1102"/>
      <c r="AK4" s="1102"/>
      <c r="AL4" s="1102"/>
      <c r="AM4" s="1102"/>
      <c r="AN4" s="1102"/>
      <c r="AO4" s="1102"/>
      <c r="AP4" s="1102"/>
      <c r="AQ4" s="1102"/>
      <c r="AR4" s="1102"/>
      <c r="AS4" s="1102"/>
      <c r="AT4" s="1102"/>
      <c r="AU4" s="1102"/>
      <c r="AV4" s="1102"/>
      <c r="AW4" s="1102"/>
      <c r="AX4" s="1102"/>
      <c r="AY4" s="1102"/>
      <c r="AZ4" s="1102"/>
      <c r="BA4" s="1102"/>
      <c r="BB4" s="1102"/>
      <c r="BC4" s="1102"/>
      <c r="BD4" s="1102"/>
      <c r="BE4" s="1102"/>
      <c r="BF4" s="1102"/>
      <c r="BG4" s="1102"/>
      <c r="BH4" s="1102"/>
      <c r="BI4" s="1102"/>
      <c r="BJ4" s="1102"/>
      <c r="BK4" s="1102"/>
      <c r="BL4" s="1102"/>
      <c r="BM4" s="1102"/>
      <c r="BN4" s="1102"/>
      <c r="BO4" s="1102"/>
      <c r="BP4" s="1102"/>
      <c r="BQ4" s="1102"/>
    </row>
    <row r="5" spans="2:69" ht="13.5" thickBot="1" x14ac:dyDescent="0.25">
      <c r="B5" s="948" t="s">
        <v>364</v>
      </c>
      <c r="C5" s="884"/>
      <c r="D5" s="886"/>
      <c r="E5" s="886"/>
      <c r="F5" s="886"/>
      <c r="G5" s="886"/>
      <c r="H5" s="886"/>
      <c r="I5" s="886"/>
      <c r="J5" s="886"/>
      <c r="K5" s="886"/>
      <c r="L5" s="886"/>
      <c r="M5" s="886"/>
      <c r="N5" s="886"/>
      <c r="O5" s="1103"/>
      <c r="P5" s="1103"/>
      <c r="Q5" s="1103"/>
      <c r="R5" s="1103"/>
      <c r="S5" s="1103"/>
      <c r="T5" s="1103"/>
      <c r="U5" s="1103"/>
      <c r="V5" s="1103"/>
      <c r="W5" s="1103"/>
      <c r="X5" s="1103"/>
      <c r="Y5" s="885"/>
      <c r="Z5" s="885"/>
      <c r="AA5" s="1103"/>
      <c r="AB5" s="885"/>
      <c r="AC5" s="885"/>
      <c r="AD5" s="894"/>
      <c r="AE5" s="1103"/>
      <c r="AF5" s="1103"/>
      <c r="AG5" s="1103"/>
      <c r="AH5" s="1103"/>
      <c r="AI5" s="1103"/>
      <c r="AJ5" s="1103"/>
      <c r="AK5" s="1103"/>
      <c r="AL5" s="1103"/>
      <c r="AM5" s="1103"/>
      <c r="AN5" s="1103"/>
      <c r="AO5" s="1103"/>
      <c r="AP5" s="1103"/>
      <c r="AQ5" s="1103"/>
      <c r="AR5" s="1103"/>
      <c r="AS5" s="1103"/>
      <c r="AT5" s="1103"/>
      <c r="AU5" s="1103"/>
      <c r="AV5" s="1103"/>
      <c r="AW5" s="1103"/>
      <c r="AX5" s="1103"/>
      <c r="AY5" s="1103"/>
      <c r="AZ5" s="1103"/>
      <c r="BA5" s="1103"/>
      <c r="BB5" s="1103"/>
      <c r="BC5" s="1103"/>
      <c r="BD5" s="1103"/>
      <c r="BE5" s="1103"/>
      <c r="BF5" s="1103"/>
      <c r="BG5" s="1103"/>
      <c r="BH5" s="1103"/>
      <c r="BI5" s="1103"/>
      <c r="BJ5" s="1103"/>
      <c r="BK5" s="1103"/>
      <c r="BL5" s="1103"/>
      <c r="BM5" s="1103"/>
      <c r="BN5" s="1103"/>
      <c r="BO5" s="1103"/>
      <c r="BP5" s="1103"/>
      <c r="BQ5" s="1103"/>
    </row>
    <row r="6" spans="2:69" ht="13.5" thickBot="1" x14ac:dyDescent="0.25">
      <c r="B6" s="1002"/>
      <c r="C6" s="1003"/>
      <c r="D6" s="830"/>
      <c r="E6" s="803" t="s">
        <v>34</v>
      </c>
      <c r="F6" s="803"/>
      <c r="G6" s="803"/>
      <c r="H6" s="803"/>
      <c r="I6" s="801"/>
      <c r="J6" s="803" t="s">
        <v>35</v>
      </c>
      <c r="K6" s="803"/>
      <c r="L6" s="803"/>
      <c r="M6" s="803"/>
      <c r="N6" s="801"/>
      <c r="O6" s="803" t="s">
        <v>36</v>
      </c>
      <c r="P6" s="803"/>
      <c r="Q6" s="803"/>
      <c r="R6" s="803"/>
      <c r="S6" s="801"/>
      <c r="T6" s="803" t="s">
        <v>37</v>
      </c>
      <c r="U6" s="803"/>
      <c r="V6" s="803"/>
      <c r="W6" s="803"/>
      <c r="X6" s="801"/>
      <c r="Y6" s="803" t="s">
        <v>331</v>
      </c>
      <c r="Z6" s="803"/>
      <c r="AA6" s="803"/>
      <c r="AB6" s="803"/>
      <c r="AC6" s="801"/>
      <c r="AD6" s="803" t="s">
        <v>334</v>
      </c>
      <c r="AE6" s="803"/>
      <c r="AF6" s="803"/>
      <c r="AG6" s="803"/>
      <c r="AH6" s="801"/>
      <c r="AI6" s="803" t="s">
        <v>356</v>
      </c>
      <c r="AJ6" s="803"/>
      <c r="AK6" s="803"/>
      <c r="AL6" s="803"/>
      <c r="AM6" s="801"/>
      <c r="AN6" s="803" t="s">
        <v>560</v>
      </c>
      <c r="AO6" s="803"/>
      <c r="AP6" s="803"/>
      <c r="AQ6" s="803"/>
      <c r="AR6" s="801"/>
      <c r="AS6" s="803" t="s">
        <v>606</v>
      </c>
      <c r="AT6" s="803"/>
      <c r="AU6" s="803"/>
      <c r="AV6" s="803"/>
      <c r="AW6" s="801"/>
      <c r="AX6" s="803" t="s">
        <v>674</v>
      </c>
      <c r="AY6" s="803"/>
      <c r="AZ6" s="803"/>
      <c r="BA6" s="803"/>
      <c r="BB6" s="801"/>
      <c r="BC6" s="803" t="s">
        <v>724</v>
      </c>
      <c r="BD6" s="803"/>
      <c r="BE6" s="803"/>
      <c r="BF6" s="803"/>
      <c r="BG6" s="801"/>
      <c r="BH6" s="803" t="s">
        <v>747</v>
      </c>
      <c r="BI6" s="803"/>
      <c r="BJ6" s="803"/>
      <c r="BK6" s="803"/>
      <c r="BL6" s="801"/>
      <c r="BM6" s="803" t="s">
        <v>748</v>
      </c>
      <c r="BN6" s="803"/>
      <c r="BO6" s="803"/>
      <c r="BP6" s="803"/>
      <c r="BQ6" s="801"/>
    </row>
    <row r="7" spans="2:69" ht="13.5" thickBot="1" x14ac:dyDescent="0.25">
      <c r="B7" s="1004"/>
      <c r="C7" s="1005" t="s">
        <v>394</v>
      </c>
      <c r="D7" s="808"/>
      <c r="E7" s="810" t="str">
        <f>Revenue!AT8</f>
        <v>1QA</v>
      </c>
      <c r="F7" s="810" t="str">
        <f>Revenue!AU8</f>
        <v>2QA</v>
      </c>
      <c r="G7" s="810" t="str">
        <f>Revenue!AV8</f>
        <v>3QA</v>
      </c>
      <c r="H7" s="810" t="str">
        <f>Revenue!AW8</f>
        <v>4QA</v>
      </c>
      <c r="I7" s="809" t="str">
        <f>Revenue!AX8</f>
        <v>2009A</v>
      </c>
      <c r="J7" s="810" t="str">
        <f>Revenue!AY8</f>
        <v>1QA</v>
      </c>
      <c r="K7" s="810" t="str">
        <f>Revenue!AZ8</f>
        <v>2QA</v>
      </c>
      <c r="L7" s="810" t="str">
        <f>Revenue!BA8</f>
        <v>3QA</v>
      </c>
      <c r="M7" s="810" t="str">
        <f>Revenue!BB8</f>
        <v>4QA</v>
      </c>
      <c r="N7" s="809" t="str">
        <f>Revenue!BC8</f>
        <v>2010A</v>
      </c>
      <c r="O7" s="810" t="str">
        <f>Revenue!BD8</f>
        <v>1QA</v>
      </c>
      <c r="P7" s="810" t="str">
        <f>Revenue!BE8</f>
        <v>2QA</v>
      </c>
      <c r="Q7" s="810" t="str">
        <f>Revenue!BF8</f>
        <v>3QA</v>
      </c>
      <c r="R7" s="810" t="str">
        <f>Revenue!BG8</f>
        <v>4QA</v>
      </c>
      <c r="S7" s="809" t="str">
        <f>Revenue!BH8</f>
        <v>2011A</v>
      </c>
      <c r="T7" s="810" t="str">
        <f>Revenue!BI8</f>
        <v>1QA</v>
      </c>
      <c r="U7" s="810" t="str">
        <f>Revenue!BJ8</f>
        <v>2QA</v>
      </c>
      <c r="V7" s="810" t="str">
        <f>Revenue!BK8</f>
        <v>3QA</v>
      </c>
      <c r="W7" s="810" t="str">
        <f>Revenue!BL8</f>
        <v>4QA</v>
      </c>
      <c r="X7" s="809" t="str">
        <f>Revenue!BM8</f>
        <v>2012A</v>
      </c>
      <c r="Y7" s="810" t="str">
        <f>Revenue!BN8</f>
        <v>1QA</v>
      </c>
      <c r="Z7" s="810" t="str">
        <f>Revenue!BO8</f>
        <v>2QA</v>
      </c>
      <c r="AA7" s="810" t="str">
        <f>Revenue!BP8</f>
        <v>3QA</v>
      </c>
      <c r="AB7" s="810" t="str">
        <f>Revenue!BQ8</f>
        <v>4QA</v>
      </c>
      <c r="AC7" s="809" t="str">
        <f>Revenue!BR8</f>
        <v>2013A</v>
      </c>
      <c r="AD7" s="810" t="str">
        <f>Revenue!BS8</f>
        <v>1QA</v>
      </c>
      <c r="AE7" s="810" t="str">
        <f>Revenue!BT8</f>
        <v>2QA</v>
      </c>
      <c r="AF7" s="810" t="str">
        <f>Revenue!BU8</f>
        <v>3QA</v>
      </c>
      <c r="AG7" s="810" t="str">
        <f>Revenue!BV8</f>
        <v>4QA</v>
      </c>
      <c r="AH7" s="809" t="str">
        <f>Revenue!BW8</f>
        <v>2014A</v>
      </c>
      <c r="AI7" s="810" t="str">
        <f>Revenue!BX8</f>
        <v>1QA</v>
      </c>
      <c r="AJ7" s="810" t="str">
        <f>Revenue!BY8</f>
        <v>2QA</v>
      </c>
      <c r="AK7" s="810" t="str">
        <f>Revenue!BZ8</f>
        <v>3QA</v>
      </c>
      <c r="AL7" s="810" t="str">
        <f>Revenue!CA8</f>
        <v>4QA</v>
      </c>
      <c r="AM7" s="809" t="str">
        <f>Revenue!CB8</f>
        <v>2015A</v>
      </c>
      <c r="AN7" s="810" t="str">
        <f>Revenue!CC8</f>
        <v>1QA</v>
      </c>
      <c r="AO7" s="810" t="str">
        <f>Revenue!CD8</f>
        <v>2QA</v>
      </c>
      <c r="AP7" s="810" t="str">
        <f>Revenue!CE8</f>
        <v>3QA</v>
      </c>
      <c r="AQ7" s="810" t="str">
        <f>Revenue!CF8</f>
        <v>4QA</v>
      </c>
      <c r="AR7" s="809" t="str">
        <f>Revenue!CG8</f>
        <v>2016A</v>
      </c>
      <c r="AS7" s="810" t="str">
        <f>Revenue!CH8</f>
        <v>1QA</v>
      </c>
      <c r="AT7" s="810" t="str">
        <f>Revenue!CI8</f>
        <v>2QA</v>
      </c>
      <c r="AU7" s="810" t="str">
        <f>Revenue!CJ8</f>
        <v>3QA</v>
      </c>
      <c r="AV7" s="810" t="str">
        <f>Revenue!CK8</f>
        <v>4QA</v>
      </c>
      <c r="AW7" s="809" t="str">
        <f>Revenue!CL8</f>
        <v>2017A</v>
      </c>
      <c r="AX7" s="810" t="str">
        <f>Revenue!CM8</f>
        <v>1QE</v>
      </c>
      <c r="AY7" s="810" t="str">
        <f>Revenue!CN8</f>
        <v>2QE</v>
      </c>
      <c r="AZ7" s="810" t="str">
        <f>Revenue!CO8</f>
        <v>3QE</v>
      </c>
      <c r="BA7" s="810" t="str">
        <f>Revenue!CP8</f>
        <v>4QE</v>
      </c>
      <c r="BB7" s="809" t="str">
        <f>Revenue!CQ8</f>
        <v>2018E</v>
      </c>
      <c r="BC7" s="810" t="str">
        <f>Revenue!CR8</f>
        <v>1QE</v>
      </c>
      <c r="BD7" s="810" t="str">
        <f>Revenue!CS8</f>
        <v>2QE</v>
      </c>
      <c r="BE7" s="810" t="str">
        <f>Revenue!CT8</f>
        <v>3QE</v>
      </c>
      <c r="BF7" s="810" t="str">
        <f>Revenue!CU8</f>
        <v>4QE</v>
      </c>
      <c r="BG7" s="809" t="str">
        <f>Revenue!CV8</f>
        <v>2019E</v>
      </c>
      <c r="BH7" s="810" t="str">
        <f>Revenue!CW8</f>
        <v>1QE</v>
      </c>
      <c r="BI7" s="810" t="str">
        <f>Revenue!CX8</f>
        <v>2QE</v>
      </c>
      <c r="BJ7" s="810" t="str">
        <f>Revenue!CY8</f>
        <v>3QE</v>
      </c>
      <c r="BK7" s="810" t="str">
        <f>Revenue!CZ8</f>
        <v>4QE</v>
      </c>
      <c r="BL7" s="809" t="str">
        <f>Revenue!DA8</f>
        <v>2020E</v>
      </c>
      <c r="BM7" s="810" t="str">
        <f>Revenue!DB8</f>
        <v>1QE</v>
      </c>
      <c r="BN7" s="810" t="str">
        <f>Revenue!DC8</f>
        <v>2QE</v>
      </c>
      <c r="BO7" s="810" t="str">
        <f>Revenue!DD8</f>
        <v>3QE</v>
      </c>
      <c r="BP7" s="810" t="str">
        <f>Revenue!DE8</f>
        <v>4QE</v>
      </c>
      <c r="BQ7" s="809" t="str">
        <f>Revenue!DF8</f>
        <v>2021E</v>
      </c>
    </row>
    <row r="8" spans="2:69" ht="13.5" thickBot="1" x14ac:dyDescent="0.25">
      <c r="B8" s="904"/>
      <c r="C8" s="905"/>
      <c r="D8" s="666"/>
      <c r="E8" s="906"/>
      <c r="F8" s="906"/>
      <c r="G8" s="666"/>
      <c r="H8" s="666"/>
      <c r="I8" s="666"/>
      <c r="J8" s="906"/>
      <c r="K8" s="906"/>
      <c r="L8" s="906"/>
      <c r="M8" s="906"/>
      <c r="N8" s="666"/>
      <c r="O8" s="666"/>
      <c r="P8" s="666"/>
      <c r="Q8" s="666"/>
      <c r="R8" s="666"/>
      <c r="S8" s="666"/>
      <c r="T8" s="666"/>
      <c r="U8" s="666"/>
      <c r="V8" s="666"/>
      <c r="W8" s="666"/>
      <c r="X8" s="666"/>
      <c r="Y8" s="666"/>
      <c r="Z8" s="666"/>
      <c r="AA8" s="666"/>
      <c r="AB8" s="666"/>
      <c r="AC8" s="1530"/>
      <c r="AD8" s="666"/>
      <c r="AE8" s="666"/>
      <c r="AF8" s="666"/>
      <c r="AG8" s="666"/>
      <c r="AH8" s="666"/>
      <c r="AI8" s="666"/>
      <c r="AJ8" s="666"/>
      <c r="AK8" s="666"/>
      <c r="AL8" s="666"/>
      <c r="AM8" s="666"/>
      <c r="AN8" s="1146"/>
      <c r="AO8" s="666"/>
      <c r="AP8" s="666"/>
      <c r="AQ8" s="666"/>
      <c r="AR8" s="907"/>
      <c r="AS8" s="1146"/>
      <c r="AT8" s="666"/>
      <c r="AU8" s="666"/>
      <c r="AV8" s="666"/>
      <c r="AW8" s="907"/>
      <c r="AX8" s="1146"/>
      <c r="AY8" s="666"/>
      <c r="AZ8" s="666"/>
      <c r="BA8" s="666"/>
      <c r="BB8" s="907"/>
      <c r="BC8" s="1146"/>
      <c r="BD8" s="666"/>
      <c r="BE8" s="666"/>
      <c r="BF8" s="666"/>
      <c r="BG8" s="907"/>
      <c r="BH8" s="1146"/>
      <c r="BI8" s="666"/>
      <c r="BJ8" s="666"/>
      <c r="BK8" s="666"/>
      <c r="BL8" s="907"/>
      <c r="BM8" s="1146"/>
      <c r="BN8" s="666"/>
      <c r="BO8" s="666"/>
      <c r="BP8" s="666"/>
      <c r="BQ8" s="907"/>
    </row>
    <row r="9" spans="2:69" ht="13.5" thickBot="1" x14ac:dyDescent="0.25">
      <c r="B9" s="904"/>
      <c r="C9" s="676">
        <v>2</v>
      </c>
      <c r="D9" s="666"/>
      <c r="E9" s="908"/>
      <c r="F9" s="908"/>
      <c r="G9" s="908"/>
      <c r="H9" s="1054"/>
      <c r="I9" s="1054"/>
      <c r="N9" s="908"/>
      <c r="P9" s="908"/>
      <c r="Q9" s="1128"/>
      <c r="R9" s="1128"/>
      <c r="S9" s="1128"/>
      <c r="T9" s="1128"/>
      <c r="U9" s="1128"/>
      <c r="V9" s="1128"/>
      <c r="W9" s="1128"/>
      <c r="X9" s="1128"/>
      <c r="Y9" s="660"/>
      <c r="Z9" s="660"/>
      <c r="AA9" s="660"/>
      <c r="AB9" s="660"/>
      <c r="AC9" s="1534"/>
      <c r="AD9" s="908"/>
      <c r="AE9" s="908"/>
      <c r="AF9" s="908"/>
      <c r="AG9" s="908"/>
      <c r="AH9" s="908"/>
      <c r="AI9" s="908"/>
      <c r="AJ9" s="908"/>
      <c r="AK9" s="908"/>
      <c r="AL9" s="908"/>
      <c r="AM9" s="908"/>
      <c r="AN9" s="908"/>
      <c r="AO9" s="908"/>
      <c r="AP9" s="908"/>
      <c r="AQ9" s="908"/>
      <c r="AR9" s="909"/>
      <c r="AS9" s="908"/>
      <c r="AT9" s="908"/>
      <c r="AU9" s="908"/>
      <c r="AV9" s="908"/>
      <c r="AW9" s="909"/>
      <c r="AX9" s="908"/>
      <c r="AY9" s="908"/>
      <c r="AZ9" s="908"/>
      <c r="BA9" s="908"/>
      <c r="BB9" s="909"/>
      <c r="BC9" s="660">
        <v>0.60499999999999998</v>
      </c>
      <c r="BD9" s="660">
        <v>0.69677</v>
      </c>
      <c r="BE9" s="660">
        <v>0.71499999999999997</v>
      </c>
      <c r="BF9" s="660">
        <v>0.745</v>
      </c>
      <c r="BG9" s="1010"/>
      <c r="BH9" s="660">
        <v>0.53</v>
      </c>
      <c r="BI9" s="660">
        <v>0.6</v>
      </c>
      <c r="BJ9" s="660">
        <v>0.6</v>
      </c>
      <c r="BK9" s="660">
        <v>0.63</v>
      </c>
      <c r="BL9" s="1010"/>
      <c r="BM9" s="660">
        <v>0.45</v>
      </c>
      <c r="BN9" s="660">
        <v>0.48</v>
      </c>
      <c r="BO9" s="660">
        <v>0.5</v>
      </c>
      <c r="BP9" s="660">
        <v>0.53</v>
      </c>
      <c r="BQ9" s="909"/>
    </row>
    <row r="10" spans="2:69" x14ac:dyDescent="0.2">
      <c r="B10" s="904"/>
      <c r="C10" s="910"/>
      <c r="D10" s="666"/>
      <c r="E10" s="908"/>
      <c r="F10" s="908"/>
      <c r="G10" s="1054"/>
      <c r="H10" s="1054"/>
      <c r="I10" s="1055"/>
      <c r="J10" s="1054"/>
      <c r="K10" s="1084"/>
      <c r="L10" s="1084"/>
      <c r="M10" s="1084"/>
      <c r="N10" s="908"/>
      <c r="O10" s="1054"/>
      <c r="P10" s="911"/>
      <c r="Q10" s="1129"/>
      <c r="R10" s="1129"/>
      <c r="S10" s="1131"/>
      <c r="T10" s="1129"/>
      <c r="U10" s="1128"/>
      <c r="V10" s="1128"/>
      <c r="W10" s="1128"/>
      <c r="X10" s="1131"/>
      <c r="Y10" s="1533"/>
      <c r="Z10" s="1128"/>
      <c r="AA10" s="1076"/>
      <c r="AB10" s="1128"/>
      <c r="AC10" s="1128"/>
      <c r="AD10" s="908"/>
      <c r="AE10" s="908"/>
      <c r="AF10" s="908"/>
      <c r="AG10" s="908"/>
      <c r="AH10" s="908"/>
      <c r="AI10" s="908"/>
      <c r="AJ10" s="908"/>
      <c r="AK10" s="908"/>
      <c r="AL10" s="908"/>
      <c r="AM10" s="908"/>
      <c r="AN10" s="908"/>
      <c r="AO10" s="908"/>
      <c r="AP10" s="908"/>
      <c r="AQ10" s="908"/>
      <c r="AR10" s="909"/>
      <c r="AS10" s="908"/>
      <c r="AT10" s="908"/>
      <c r="AU10" s="908"/>
      <c r="AV10" s="908"/>
      <c r="AW10" s="909"/>
      <c r="AX10" s="908"/>
      <c r="AY10" s="908"/>
      <c r="AZ10" s="908"/>
      <c r="BA10" s="908"/>
      <c r="BB10" s="909"/>
      <c r="BC10" s="908"/>
      <c r="BD10" s="908"/>
      <c r="BE10" s="908"/>
      <c r="BF10" s="908"/>
      <c r="BG10" s="909"/>
      <c r="BH10" s="908"/>
      <c r="BI10" s="908"/>
      <c r="BJ10" s="908"/>
      <c r="BK10" s="908"/>
      <c r="BL10" s="909"/>
      <c r="BM10" s="908"/>
      <c r="BN10" s="908"/>
      <c r="BO10" s="908"/>
      <c r="BP10" s="908"/>
      <c r="BQ10" s="909"/>
    </row>
    <row r="11" spans="2:69" ht="23.25" customHeight="1" x14ac:dyDescent="0.2">
      <c r="B11" s="2024" t="s">
        <v>343</v>
      </c>
      <c r="C11" s="2025"/>
      <c r="D11" s="2025"/>
      <c r="E11" s="1009"/>
      <c r="F11" s="1009"/>
      <c r="G11" s="1055"/>
      <c r="H11" s="1055"/>
      <c r="I11" s="1085"/>
      <c r="J11" s="1083"/>
      <c r="K11" s="1083"/>
      <c r="L11" s="1083"/>
      <c r="M11" s="1083"/>
      <c r="N11" s="1009"/>
      <c r="O11" s="1083"/>
      <c r="P11" s="1083"/>
      <c r="Q11" s="1083"/>
      <c r="R11" s="1083"/>
      <c r="S11" s="1130"/>
      <c r="T11" s="1083"/>
      <c r="U11" s="1130"/>
      <c r="V11" s="1130"/>
      <c r="W11" s="1130"/>
      <c r="X11" s="1130"/>
      <c r="Y11" s="1130"/>
      <c r="Z11" s="1130"/>
      <c r="AA11" s="1130"/>
      <c r="AB11" s="1130"/>
      <c r="AC11" s="1130"/>
      <c r="AD11" s="1009"/>
      <c r="AE11" s="1009"/>
      <c r="AF11" s="1009"/>
      <c r="AG11" s="1009"/>
      <c r="AH11" s="1009"/>
      <c r="AI11" s="1009"/>
      <c r="AJ11" s="1009"/>
      <c r="AK11" s="1009"/>
      <c r="AL11" s="1009"/>
      <c r="AM11" s="908"/>
      <c r="AN11" s="1009"/>
      <c r="AO11" s="1009"/>
      <c r="AP11" s="1009"/>
      <c r="AQ11" s="1009"/>
      <c r="AR11" s="909"/>
      <c r="AS11" s="1009"/>
      <c r="AT11" s="1009"/>
      <c r="AU11" s="1009"/>
      <c r="AV11" s="1009"/>
      <c r="AW11" s="909"/>
      <c r="AX11" s="1009"/>
      <c r="AY11" s="1009"/>
      <c r="AZ11" s="1009"/>
      <c r="BA11" s="1009"/>
      <c r="BB11" s="909"/>
      <c r="BC11" s="1009"/>
      <c r="BD11" s="1009"/>
      <c r="BE11" s="1009"/>
      <c r="BF11" s="1009"/>
      <c r="BG11" s="909"/>
      <c r="BH11" s="1009"/>
      <c r="BI11" s="1009"/>
      <c r="BJ11" s="1009"/>
      <c r="BK11" s="1009"/>
      <c r="BL11" s="909"/>
      <c r="BM11" s="1009"/>
      <c r="BN11" s="1009"/>
      <c r="BO11" s="1009"/>
      <c r="BP11" s="1009"/>
      <c r="BQ11" s="909"/>
    </row>
    <row r="12" spans="2:69" x14ac:dyDescent="0.2">
      <c r="B12" s="904"/>
      <c r="C12" s="910" t="s">
        <v>340</v>
      </c>
      <c r="D12" s="666"/>
      <c r="E12" s="661"/>
      <c r="F12" s="661"/>
      <c r="G12" s="661"/>
      <c r="H12" s="661"/>
      <c r="I12" s="661"/>
      <c r="J12" s="661"/>
      <c r="K12" s="660"/>
      <c r="L12" s="660"/>
      <c r="M12" s="660"/>
      <c r="N12" s="661"/>
      <c r="O12" s="661"/>
      <c r="P12" s="661"/>
      <c r="Q12" s="661"/>
      <c r="R12" s="661"/>
      <c r="S12" s="661"/>
      <c r="T12" s="661"/>
      <c r="U12" s="661"/>
      <c r="V12" s="661"/>
      <c r="W12" s="661"/>
      <c r="X12" s="661"/>
      <c r="Y12" s="660"/>
      <c r="Z12" s="660"/>
      <c r="AA12" s="660"/>
      <c r="AB12" s="660"/>
      <c r="AC12" s="661"/>
      <c r="AD12" s="660"/>
      <c r="AE12" s="660"/>
      <c r="AF12" s="660"/>
      <c r="AG12" s="660"/>
      <c r="AH12" s="661"/>
      <c r="AI12" s="660"/>
      <c r="AJ12" s="660"/>
      <c r="AK12" s="660"/>
      <c r="AL12" s="660"/>
      <c r="AM12" s="666"/>
      <c r="AN12" s="660"/>
      <c r="AO12" s="660"/>
      <c r="AP12" s="660"/>
      <c r="AQ12" s="660"/>
      <c r="AR12" s="1840"/>
      <c r="AS12" s="660"/>
      <c r="AT12" s="660"/>
      <c r="AU12" s="660"/>
      <c r="AV12" s="660"/>
      <c r="AW12" s="1840"/>
      <c r="AX12" s="660">
        <f>AX13+0.003</f>
        <v>0.59299999999999997</v>
      </c>
      <c r="AY12" s="660">
        <f t="shared" ref="AY12:BA12" si="0">AY13+0.003</f>
        <v>0.68476999999999999</v>
      </c>
      <c r="AZ12" s="660">
        <f t="shared" si="0"/>
        <v>0.70299999999999996</v>
      </c>
      <c r="BA12" s="660">
        <f t="shared" si="0"/>
        <v>0.73799999999999999</v>
      </c>
      <c r="BB12" s="907"/>
      <c r="BC12" s="660">
        <v>0.60799999999999998</v>
      </c>
      <c r="BD12" s="660">
        <v>0.69977</v>
      </c>
      <c r="BE12" s="660">
        <v>0.71799999999999997</v>
      </c>
      <c r="BF12" s="660">
        <v>0.748</v>
      </c>
      <c r="BG12" s="907"/>
      <c r="BH12" s="660">
        <v>0.53300000000000003</v>
      </c>
      <c r="BI12" s="660">
        <v>0.60299999999999998</v>
      </c>
      <c r="BJ12" s="660">
        <v>0.60299999999999998</v>
      </c>
      <c r="BK12" s="660">
        <v>0.63300000000000001</v>
      </c>
      <c r="BL12" s="907"/>
      <c r="BM12" s="660">
        <v>0.45300000000000001</v>
      </c>
      <c r="BN12" s="660">
        <v>0.48299999999999998</v>
      </c>
      <c r="BO12" s="660">
        <v>0.503</v>
      </c>
      <c r="BP12" s="660">
        <v>0.53300000000000003</v>
      </c>
      <c r="BQ12" s="907"/>
    </row>
    <row r="13" spans="2:69" x14ac:dyDescent="0.2">
      <c r="B13" s="904"/>
      <c r="C13" s="910" t="s">
        <v>341</v>
      </c>
      <c r="D13" s="666"/>
      <c r="E13" s="661">
        <f>'Gross Margin'!AT29</f>
        <v>0.94761047344609595</v>
      </c>
      <c r="F13" s="661">
        <f>'Gross Margin'!AU29</f>
        <v>0.98</v>
      </c>
      <c r="G13" s="661">
        <f>'Gross Margin'!AV29</f>
        <v>0.98</v>
      </c>
      <c r="H13" s="661">
        <f>'Gross Margin'!AW29</f>
        <v>0.78607303508657445</v>
      </c>
      <c r="I13" s="661">
        <f ca="1">'Gross Margin'!AX29</f>
        <v>0.90946362294899596</v>
      </c>
      <c r="J13" s="661">
        <f>'Gross Margin'!AY29</f>
        <v>0.57596015759799934</v>
      </c>
      <c r="K13" s="661">
        <f>'Gross Margin'!AZ29</f>
        <v>0.63023927225615606</v>
      </c>
      <c r="L13" s="661">
        <f>'Gross Margin'!BA29</f>
        <v>0.6591533627586581</v>
      </c>
      <c r="M13" s="661">
        <f>'Gross Margin'!BB29</f>
        <v>0.65918050868370814</v>
      </c>
      <c r="N13" s="661">
        <f ca="1">'Gross Margin'!BC29</f>
        <v>0.63155835090792567</v>
      </c>
      <c r="O13" s="661">
        <f>'Gross Margin'!BD29</f>
        <v>0.51193</v>
      </c>
      <c r="P13" s="661">
        <f>'Gross Margin'!BE29</f>
        <v>0.54693999999999998</v>
      </c>
      <c r="Q13" s="661">
        <f>'Gross Margin'!BF29</f>
        <v>0.59215700000000004</v>
      </c>
      <c r="R13" s="661">
        <f>'Gross Margin'!BG29</f>
        <v>0.53624000000000005</v>
      </c>
      <c r="S13" s="661">
        <f ca="1">'Gross Margin'!BH29</f>
        <v>0.54677546513124142</v>
      </c>
      <c r="T13" s="661">
        <f>'Gross Margin'!BI29</f>
        <v>0.54017712514503213</v>
      </c>
      <c r="U13" s="661">
        <f>'Gross Margin'!BJ29</f>
        <v>0.61450000000000005</v>
      </c>
      <c r="V13" s="661">
        <f>'Gross Margin'!BK29</f>
        <v>0.65</v>
      </c>
      <c r="W13" s="661">
        <f>'Gross Margin'!BL29</f>
        <v>0.71036999999999995</v>
      </c>
      <c r="X13" s="661">
        <f ca="1">'Gross Margin'!BM29</f>
        <v>0.64482139640347458</v>
      </c>
      <c r="Y13" s="661">
        <f>'Gross Margin'!BN29</f>
        <v>0.58547499999999997</v>
      </c>
      <c r="Z13" s="661">
        <f>'Gross Margin'!BO29</f>
        <v>0.60921000000000003</v>
      </c>
      <c r="AA13" s="661">
        <f>'Gross Margin'!BP29</f>
        <v>0.64656999999999998</v>
      </c>
      <c r="AB13" s="661">
        <f>'Gross Margin'!BQ29</f>
        <v>0.61070999999999998</v>
      </c>
      <c r="AC13" s="661">
        <f ca="1">'Gross Margin'!BR29</f>
        <v>0.61282566528605797</v>
      </c>
      <c r="AD13" s="661">
        <f>'Gross Margin'!BS29</f>
        <v>0.54108999999999996</v>
      </c>
      <c r="AE13" s="661">
        <f>'Gross Margin'!BT29</f>
        <v>0.57162800000000002</v>
      </c>
      <c r="AF13" s="661">
        <f>'Gross Margin'!BU29</f>
        <v>0.59118999999999999</v>
      </c>
      <c r="AG13" s="661">
        <f>'Gross Margin'!BV29</f>
        <v>0.56613000000000002</v>
      </c>
      <c r="AH13" s="661"/>
      <c r="AI13" s="661">
        <f>'Gross Margin'!BX29</f>
        <v>0.52339999999999998</v>
      </c>
      <c r="AJ13" s="661">
        <f>'Gross Margin'!BY29</f>
        <v>0.58677999999999997</v>
      </c>
      <c r="AK13" s="661">
        <f>'Gross Margin'!BZ29</f>
        <v>0.64178000000000002</v>
      </c>
      <c r="AL13" s="661">
        <f>'Gross Margin'!CA29</f>
        <v>0.68711999999999995</v>
      </c>
      <c r="AM13" s="661"/>
      <c r="AN13" s="661">
        <f>'Gross Margin'!CC29</f>
        <v>0.52725999999999995</v>
      </c>
      <c r="AO13" s="661">
        <f>'Gross Margin'!CD29</f>
        <v>0.65031399999999995</v>
      </c>
      <c r="AP13" s="661">
        <f>'Gross Margin'!CE29</f>
        <v>0.68504500000000002</v>
      </c>
      <c r="AQ13" s="661">
        <f>'Gross Margin'!CF29</f>
        <v>0.72992999999999997</v>
      </c>
      <c r="AR13" s="1010"/>
      <c r="AS13" s="661">
        <f>'Gross Margin'!CH29</f>
        <v>0.73</v>
      </c>
      <c r="AT13" s="661">
        <f>'Gross Margin'!CI29</f>
        <v>0.69699999999999995</v>
      </c>
      <c r="AU13" s="661">
        <f>'Gross Margin'!CJ29</f>
        <v>0.74</v>
      </c>
      <c r="AV13" s="661">
        <f>'Gross Margin'!CK29</f>
        <v>0.69</v>
      </c>
      <c r="AW13" s="1010"/>
      <c r="AX13" s="660">
        <v>0.59</v>
      </c>
      <c r="AY13" s="660">
        <v>0.68176999999999999</v>
      </c>
      <c r="AZ13" s="660">
        <v>0.7</v>
      </c>
      <c r="BA13" s="660">
        <v>0.73499999999999999</v>
      </c>
      <c r="BB13" s="1010"/>
      <c r="BC13" s="660">
        <v>0.52500000000000002</v>
      </c>
      <c r="BD13" s="660">
        <v>0.61677000000000004</v>
      </c>
      <c r="BE13" s="660">
        <v>0.63500000000000001</v>
      </c>
      <c r="BF13" s="660">
        <v>0.66500000000000004</v>
      </c>
      <c r="BG13" s="1010"/>
      <c r="BH13" s="660">
        <v>0.5</v>
      </c>
      <c r="BI13" s="660">
        <v>0.56999999999999995</v>
      </c>
      <c r="BJ13" s="660">
        <v>0.56999999999999995</v>
      </c>
      <c r="BK13" s="660">
        <v>0.6</v>
      </c>
      <c r="BL13" s="1010"/>
      <c r="BM13" s="660">
        <v>0.45</v>
      </c>
      <c r="BN13" s="660">
        <v>0.48</v>
      </c>
      <c r="BO13" s="660">
        <v>0.5</v>
      </c>
      <c r="BP13" s="660">
        <v>0.53</v>
      </c>
      <c r="BQ13" s="1010"/>
    </row>
    <row r="14" spans="2:69" x14ac:dyDescent="0.2">
      <c r="B14" s="904"/>
      <c r="C14" s="910" t="s">
        <v>342</v>
      </c>
      <c r="D14" s="666"/>
      <c r="E14" s="661"/>
      <c r="F14" s="661"/>
      <c r="G14" s="661"/>
      <c r="H14" s="661"/>
      <c r="I14" s="661"/>
      <c r="J14" s="661"/>
      <c r="K14" s="660"/>
      <c r="L14" s="660"/>
      <c r="M14" s="660"/>
      <c r="N14" s="661"/>
      <c r="O14" s="661"/>
      <c r="P14" s="661"/>
      <c r="Q14" s="661"/>
      <c r="R14" s="661"/>
      <c r="S14" s="661"/>
      <c r="T14" s="661"/>
      <c r="U14" s="661"/>
      <c r="V14" s="661"/>
      <c r="W14" s="661"/>
      <c r="X14" s="661"/>
      <c r="Y14" s="660"/>
      <c r="Z14" s="660"/>
      <c r="AA14" s="660"/>
      <c r="AB14" s="660"/>
      <c r="AC14" s="661"/>
      <c r="AD14" s="660"/>
      <c r="AE14" s="660"/>
      <c r="AF14" s="660"/>
      <c r="AG14" s="660"/>
      <c r="AH14" s="661"/>
      <c r="AI14" s="660"/>
      <c r="AJ14" s="660"/>
      <c r="AK14" s="660"/>
      <c r="AL14" s="660"/>
      <c r="AM14" s="666"/>
      <c r="AN14" s="660"/>
      <c r="AO14" s="660"/>
      <c r="AP14" s="660"/>
      <c r="AQ14" s="660"/>
      <c r="AR14" s="907"/>
      <c r="AS14" s="660"/>
      <c r="AT14" s="660"/>
      <c r="AU14" s="660"/>
      <c r="AV14" s="660"/>
      <c r="AW14" s="907"/>
      <c r="AX14" s="660">
        <f>AX13-0.01</f>
        <v>0.57999999999999996</v>
      </c>
      <c r="AY14" s="660">
        <f t="shared" ref="AY14:BA14" si="1">AY13-0.01</f>
        <v>0.67176999999999998</v>
      </c>
      <c r="AZ14" s="660">
        <f t="shared" si="1"/>
        <v>0.69</v>
      </c>
      <c r="BA14" s="660">
        <f t="shared" si="1"/>
        <v>0.72499999999999998</v>
      </c>
      <c r="BB14" s="907"/>
      <c r="BC14" s="660">
        <v>0.52500000000000002</v>
      </c>
      <c r="BD14" s="660">
        <v>0.61677000000000004</v>
      </c>
      <c r="BE14" s="660">
        <v>0.63500000000000001</v>
      </c>
      <c r="BF14" s="660">
        <v>0.66500000000000004</v>
      </c>
      <c r="BG14" s="907"/>
      <c r="BH14" s="660">
        <v>0.5</v>
      </c>
      <c r="BI14" s="660">
        <v>0.56999999999999995</v>
      </c>
      <c r="BJ14" s="660">
        <v>0.56999999999999995</v>
      </c>
      <c r="BK14" s="660">
        <v>0.6</v>
      </c>
      <c r="BL14" s="907"/>
      <c r="BM14" s="660">
        <v>0.44600000000000001</v>
      </c>
      <c r="BN14" s="660">
        <v>0.47599999999999998</v>
      </c>
      <c r="BO14" s="660">
        <v>0.496</v>
      </c>
      <c r="BP14" s="660">
        <v>0.52600000000000002</v>
      </c>
      <c r="BQ14" s="907"/>
    </row>
    <row r="15" spans="2:69" x14ac:dyDescent="0.2">
      <c r="B15" s="904"/>
      <c r="C15" s="910"/>
      <c r="D15" s="666"/>
      <c r="E15" s="661"/>
      <c r="F15" s="661"/>
      <c r="G15" s="661"/>
      <c r="H15" s="661"/>
      <c r="I15" s="661"/>
      <c r="J15" s="661"/>
      <c r="K15" s="660"/>
      <c r="L15" s="660"/>
      <c r="M15" s="660"/>
      <c r="N15" s="661"/>
      <c r="O15" s="661"/>
      <c r="P15" s="661"/>
      <c r="Q15" s="661"/>
      <c r="R15" s="661"/>
      <c r="S15" s="661"/>
      <c r="T15" s="661"/>
      <c r="U15" s="661"/>
      <c r="V15" s="661"/>
      <c r="W15" s="661"/>
      <c r="X15" s="661"/>
      <c r="Y15" s="660"/>
      <c r="Z15" s="660"/>
      <c r="AA15" s="660"/>
      <c r="AB15" s="660"/>
      <c r="AC15" s="661"/>
      <c r="AD15" s="660"/>
      <c r="AE15" s="660"/>
      <c r="AF15" s="660"/>
      <c r="AG15" s="660"/>
      <c r="AH15" s="661"/>
      <c r="AI15" s="660"/>
      <c r="AJ15" s="660"/>
      <c r="AK15" s="660"/>
      <c r="AL15" s="660"/>
      <c r="AM15" s="666"/>
      <c r="AN15" s="660"/>
      <c r="AO15" s="660"/>
      <c r="AP15" s="660"/>
      <c r="AQ15" s="660"/>
      <c r="AR15" s="907"/>
      <c r="AS15" s="660"/>
      <c r="AT15" s="660"/>
      <c r="AU15" s="660"/>
      <c r="AV15" s="660"/>
      <c r="AW15" s="907"/>
      <c r="AX15" s="660"/>
      <c r="AY15" s="660"/>
      <c r="AZ15" s="660"/>
      <c r="BA15" s="660"/>
      <c r="BB15" s="907"/>
      <c r="BC15" s="660"/>
      <c r="BD15" s="660"/>
      <c r="BE15" s="660"/>
      <c r="BF15" s="660"/>
      <c r="BG15" s="907"/>
      <c r="BH15" s="660"/>
      <c r="BI15" s="660"/>
      <c r="BJ15" s="660"/>
      <c r="BK15" s="660"/>
      <c r="BL15" s="907"/>
      <c r="BM15" s="660"/>
      <c r="BN15" s="660"/>
      <c r="BO15" s="660"/>
      <c r="BP15" s="660"/>
      <c r="BQ15" s="907"/>
    </row>
    <row r="16" spans="2:69" x14ac:dyDescent="0.2">
      <c r="B16" s="2024" t="s">
        <v>673</v>
      </c>
      <c r="C16" s="2025"/>
      <c r="D16" s="2025"/>
      <c r="E16" s="1009"/>
      <c r="F16" s="1009"/>
      <c r="G16" s="1055"/>
      <c r="H16" s="1055"/>
      <c r="I16" s="1085"/>
      <c r="J16" s="1083"/>
      <c r="K16" s="1083"/>
      <c r="L16" s="1083"/>
      <c r="M16" s="1083"/>
      <c r="N16" s="1009"/>
      <c r="O16" s="1083"/>
      <c r="P16" s="1083"/>
      <c r="Q16" s="1083"/>
      <c r="R16" s="1083"/>
      <c r="S16" s="1130"/>
      <c r="T16" s="1083"/>
      <c r="U16" s="1130"/>
      <c r="V16" s="1130"/>
      <c r="W16" s="1130"/>
      <c r="X16" s="1130"/>
      <c r="Y16" s="1130"/>
      <c r="Z16" s="1130"/>
      <c r="AA16" s="1130"/>
      <c r="AB16" s="1130"/>
      <c r="AC16" s="1130"/>
      <c r="AD16" s="1009"/>
      <c r="AE16" s="1009"/>
      <c r="AF16" s="1009"/>
      <c r="AG16" s="1009"/>
      <c r="AH16" s="1009"/>
      <c r="AI16" s="1009"/>
      <c r="AJ16" s="1009"/>
      <c r="AK16" s="1009"/>
      <c r="AL16" s="1009"/>
      <c r="AM16" s="908"/>
      <c r="AN16" s="1009"/>
      <c r="AO16" s="1009"/>
      <c r="AP16" s="1009"/>
      <c r="AQ16" s="1009"/>
      <c r="AR16" s="909"/>
      <c r="AS16" s="1009"/>
      <c r="AT16" s="1009"/>
      <c r="AU16" s="1009"/>
      <c r="AV16" s="1009"/>
      <c r="AW16" s="1924"/>
      <c r="AX16" s="1009"/>
      <c r="AY16" s="1009"/>
      <c r="AZ16" s="1009"/>
      <c r="BA16" s="1009"/>
      <c r="BB16" s="907"/>
      <c r="BC16" s="1009"/>
      <c r="BD16" s="1009"/>
      <c r="BE16" s="1009"/>
      <c r="BF16" s="1009"/>
      <c r="BG16" s="907"/>
      <c r="BH16" s="1009"/>
      <c r="BI16" s="1009"/>
      <c r="BJ16" s="1009"/>
      <c r="BK16" s="1009"/>
      <c r="BL16" s="907"/>
      <c r="BM16" s="1009"/>
      <c r="BN16" s="1009"/>
      <c r="BO16" s="1009"/>
      <c r="BP16" s="1009"/>
      <c r="BQ16" s="907"/>
    </row>
    <row r="17" spans="2:69" x14ac:dyDescent="0.2">
      <c r="B17" s="904"/>
      <c r="C17" s="910" t="s">
        <v>340</v>
      </c>
      <c r="D17" s="666"/>
      <c r="E17" s="661"/>
      <c r="F17" s="661"/>
      <c r="G17" s="661"/>
      <c r="H17" s="661"/>
      <c r="I17" s="661"/>
      <c r="J17" s="661"/>
      <c r="K17" s="660"/>
      <c r="L17" s="660"/>
      <c r="M17" s="660"/>
      <c r="N17" s="661"/>
      <c r="O17" s="661"/>
      <c r="P17" s="661"/>
      <c r="Q17" s="661"/>
      <c r="R17" s="661"/>
      <c r="S17" s="661"/>
      <c r="T17" s="661"/>
      <c r="U17" s="661"/>
      <c r="V17" s="661"/>
      <c r="W17" s="661"/>
      <c r="X17" s="661"/>
      <c r="Y17" s="660"/>
      <c r="Z17" s="660"/>
      <c r="AA17" s="660"/>
      <c r="AB17" s="660"/>
      <c r="AC17" s="661"/>
      <c r="AD17" s="660"/>
      <c r="AE17" s="660"/>
      <c r="AF17" s="660"/>
      <c r="AG17" s="660"/>
      <c r="AH17" s="661"/>
      <c r="AI17" s="660"/>
      <c r="AJ17" s="660"/>
      <c r="AK17" s="660"/>
      <c r="AL17" s="660"/>
      <c r="AM17" s="666"/>
      <c r="AN17" s="660"/>
      <c r="AO17" s="660"/>
      <c r="AP17" s="660"/>
      <c r="AQ17" s="660"/>
      <c r="AR17" s="907"/>
      <c r="AS17" s="660"/>
      <c r="AT17" s="660"/>
      <c r="AU17" s="660"/>
      <c r="AV17" s="660"/>
      <c r="AW17" s="1925"/>
      <c r="AX17" s="660">
        <f>AX18+0.001</f>
        <v>9.0999999999999998E-2</v>
      </c>
      <c r="AY17" s="660">
        <f t="shared" ref="AY17:BA17" si="2">AY18+0.001</f>
        <v>9.4E-2</v>
      </c>
      <c r="AZ17" s="660">
        <f t="shared" si="2"/>
        <v>0.10100000000000001</v>
      </c>
      <c r="BA17" s="660">
        <f t="shared" si="2"/>
        <v>0.113</v>
      </c>
      <c r="BB17" s="907"/>
      <c r="BC17" s="660">
        <v>9.0999999999999998E-2</v>
      </c>
      <c r="BD17" s="660">
        <v>9.4E-2</v>
      </c>
      <c r="BE17" s="660">
        <v>9.0999999999999998E-2</v>
      </c>
      <c r="BF17" s="660">
        <v>0.105</v>
      </c>
      <c r="BG17" s="907"/>
      <c r="BH17" s="660">
        <v>8.1000000000000003E-2</v>
      </c>
      <c r="BI17" s="660">
        <v>8.1000000000000003E-2</v>
      </c>
      <c r="BJ17" s="660">
        <v>7.5999999999999998E-2</v>
      </c>
      <c r="BK17" s="660">
        <v>9.0000000000000011E-2</v>
      </c>
      <c r="BL17" s="907"/>
      <c r="BM17" s="660">
        <v>6.0999999999999999E-2</v>
      </c>
      <c r="BN17" s="660">
        <v>6.0999999999999999E-2</v>
      </c>
      <c r="BO17" s="660">
        <v>6.0999999999999999E-2</v>
      </c>
      <c r="BP17" s="660">
        <v>6.9999999999999993E-2</v>
      </c>
      <c r="BQ17" s="907"/>
    </row>
    <row r="18" spans="2:69" x14ac:dyDescent="0.2">
      <c r="B18" s="904"/>
      <c r="C18" s="910" t="s">
        <v>341</v>
      </c>
      <c r="D18" s="666"/>
      <c r="E18" s="661">
        <f>'Gross Margin'!AT25</f>
        <v>0.14499999999999999</v>
      </c>
      <c r="F18" s="661">
        <f>'Gross Margin'!AU25</f>
        <v>0.16</v>
      </c>
      <c r="G18" s="661">
        <f>'Gross Margin'!AV25</f>
        <v>0.16500000000000001</v>
      </c>
      <c r="H18" s="661">
        <f>'Gross Margin'!AW25</f>
        <v>0.119424858899908</v>
      </c>
      <c r="I18" s="661">
        <f>'Gross Margin'!AX25</f>
        <v>0.14311591343420121</v>
      </c>
      <c r="J18" s="661">
        <f>'Gross Margin'!AY25</f>
        <v>0.09</v>
      </c>
      <c r="K18" s="661">
        <f>'Gross Margin'!AZ25</f>
        <v>9.2999999999999999E-2</v>
      </c>
      <c r="L18" s="661">
        <f>'Gross Margin'!BA25</f>
        <v>9.6000000000000002E-2</v>
      </c>
      <c r="M18" s="661">
        <f>'Gross Margin'!BB25</f>
        <v>9.6000000000000002E-2</v>
      </c>
      <c r="N18" s="661">
        <f>'Gross Margin'!BC25</f>
        <v>9.3813698081268659E-2</v>
      </c>
      <c r="O18" s="661">
        <f>'Gross Margin'!BD25</f>
        <v>9.0999999999999998E-2</v>
      </c>
      <c r="P18" s="661">
        <f>'Gross Margin'!BE25</f>
        <v>9.4E-2</v>
      </c>
      <c r="Q18" s="661">
        <f>'Gross Margin'!BF25</f>
        <v>9.8000000000000004E-2</v>
      </c>
      <c r="R18" s="661">
        <f>'Gross Margin'!BG25</f>
        <v>9.4E-2</v>
      </c>
      <c r="S18" s="661">
        <f>'Gross Margin'!BH25</f>
        <v>9.4233460901553961E-2</v>
      </c>
      <c r="T18" s="661">
        <f>'Gross Margin'!BI25</f>
        <v>0.09</v>
      </c>
      <c r="U18" s="661">
        <f>'Gross Margin'!BJ25</f>
        <v>8.4000000000000005E-2</v>
      </c>
      <c r="V18" s="661">
        <f>'Gross Margin'!BK25</f>
        <v>8.3798999999999998E-2</v>
      </c>
      <c r="W18" s="661">
        <f>'Gross Margin'!BL25</f>
        <v>8.7999999999999995E-2</v>
      </c>
      <c r="X18" s="661">
        <f>'Gross Margin'!BM25</f>
        <v>8.5896027602327465E-2</v>
      </c>
      <c r="Y18" s="661">
        <f>'Gross Margin'!BN25</f>
        <v>8.5703000000000001E-2</v>
      </c>
      <c r="Z18" s="661">
        <f>'Gross Margin'!BO25</f>
        <v>0.102455</v>
      </c>
      <c r="AA18" s="661">
        <f>'Gross Margin'!BP25</f>
        <v>8.5000000000000006E-2</v>
      </c>
      <c r="AB18" s="661">
        <f>'Gross Margin'!BQ25</f>
        <v>0.08</v>
      </c>
      <c r="AC18" s="661">
        <f>'Gross Margin'!BR25</f>
        <v>8.8443648885820556E-2</v>
      </c>
      <c r="AD18" s="661">
        <f>'Gross Margin'!BS25</f>
        <v>8.5000000000000006E-2</v>
      </c>
      <c r="AE18" s="661">
        <f>'Gross Margin'!BT25</f>
        <v>9.8000000000000004E-2</v>
      </c>
      <c r="AF18" s="661">
        <f>'Gross Margin'!BU25</f>
        <v>0.09</v>
      </c>
      <c r="AG18" s="661">
        <f>'Gross Margin'!BV25</f>
        <v>0.08</v>
      </c>
      <c r="AH18" s="661"/>
      <c r="AI18" s="661">
        <f>'Gross Margin'!BX25</f>
        <v>0.08</v>
      </c>
      <c r="AJ18" s="661">
        <f>'Gross Margin'!BY25</f>
        <v>9.5000000000000001E-2</v>
      </c>
      <c r="AK18" s="661">
        <f>'Gross Margin'!BZ25</f>
        <v>8.6999999999999994E-2</v>
      </c>
      <c r="AL18" s="661">
        <f>'Gross Margin'!CA25</f>
        <v>8.5000000000000006E-2</v>
      </c>
      <c r="AM18" s="666"/>
      <c r="AN18" s="661">
        <f>'Gross Margin'!CC25</f>
        <v>7.8E-2</v>
      </c>
      <c r="AO18" s="661">
        <f>'Gross Margin'!CD25</f>
        <v>9.2999999999999999E-2</v>
      </c>
      <c r="AP18" s="661">
        <f>'Gross Margin'!CE25</f>
        <v>0.09</v>
      </c>
      <c r="AQ18" s="661">
        <f>'Gross Margin'!CF25</f>
        <v>0.105</v>
      </c>
      <c r="AR18" s="907"/>
      <c r="AS18" s="661">
        <f>'Gross Margin'!CH25</f>
        <v>0.11</v>
      </c>
      <c r="AT18" s="661">
        <f>'Gross Margin'!CI25</f>
        <v>0.1</v>
      </c>
      <c r="AU18" s="661">
        <f>'Gross Margin'!CJ25</f>
        <v>0.112</v>
      </c>
      <c r="AV18" s="661">
        <f>'Gross Margin'!CK25</f>
        <v>0.111</v>
      </c>
      <c r="AW18" s="1924"/>
      <c r="AX18" s="660">
        <v>0.09</v>
      </c>
      <c r="AY18" s="660">
        <v>9.2999999999999999E-2</v>
      </c>
      <c r="AZ18" s="660">
        <v>0.1</v>
      </c>
      <c r="BA18" s="660">
        <v>0.112</v>
      </c>
      <c r="BB18" s="907"/>
      <c r="BC18" s="660">
        <v>8.4999999999999992E-2</v>
      </c>
      <c r="BD18" s="660">
        <v>8.7999999999999995E-2</v>
      </c>
      <c r="BE18" s="660">
        <v>8.4999999999999992E-2</v>
      </c>
      <c r="BF18" s="660">
        <v>9.8999999999999991E-2</v>
      </c>
      <c r="BG18" s="907"/>
      <c r="BH18" s="660">
        <v>7.4999999999999997E-2</v>
      </c>
      <c r="BI18" s="660">
        <v>7.4999999999999997E-2</v>
      </c>
      <c r="BJ18" s="660">
        <v>6.9999999999999993E-2</v>
      </c>
      <c r="BK18" s="660">
        <v>8.4000000000000005E-2</v>
      </c>
      <c r="BL18" s="907"/>
      <c r="BM18" s="660">
        <v>0.06</v>
      </c>
      <c r="BN18" s="660">
        <v>0.06</v>
      </c>
      <c r="BO18" s="660">
        <v>0.06</v>
      </c>
      <c r="BP18" s="660">
        <v>6.8999999999999992E-2</v>
      </c>
      <c r="BQ18" s="907"/>
    </row>
    <row r="19" spans="2:69" x14ac:dyDescent="0.2">
      <c r="B19" s="904"/>
      <c r="C19" s="910" t="s">
        <v>342</v>
      </c>
      <c r="D19" s="666"/>
      <c r="E19" s="661"/>
      <c r="F19" s="661"/>
      <c r="G19" s="661"/>
      <c r="H19" s="661"/>
      <c r="I19" s="661"/>
      <c r="J19" s="661"/>
      <c r="K19" s="660"/>
      <c r="L19" s="660"/>
      <c r="M19" s="660"/>
      <c r="N19" s="661"/>
      <c r="O19" s="661"/>
      <c r="P19" s="661"/>
      <c r="Q19" s="661"/>
      <c r="R19" s="661"/>
      <c r="S19" s="661"/>
      <c r="T19" s="661"/>
      <c r="U19" s="661"/>
      <c r="V19" s="661"/>
      <c r="W19" s="661"/>
      <c r="X19" s="661"/>
      <c r="Y19" s="660"/>
      <c r="Z19" s="660"/>
      <c r="AA19" s="660"/>
      <c r="AB19" s="660"/>
      <c r="AC19" s="661"/>
      <c r="AD19" s="660"/>
      <c r="AE19" s="660"/>
      <c r="AF19" s="660"/>
      <c r="AG19" s="660"/>
      <c r="AH19" s="661"/>
      <c r="AI19" s="660"/>
      <c r="AJ19" s="660"/>
      <c r="AK19" s="660"/>
      <c r="AL19" s="660"/>
      <c r="AM19" s="666"/>
      <c r="AN19" s="660"/>
      <c r="AO19" s="660"/>
      <c r="AP19" s="660"/>
      <c r="AQ19" s="660"/>
      <c r="AR19" s="1840"/>
      <c r="AS19" s="660"/>
      <c r="AT19" s="660"/>
      <c r="AU19" s="660"/>
      <c r="AV19" s="660"/>
      <c r="AW19" s="1924"/>
      <c r="AX19" s="660">
        <f>AX18-0.002</f>
        <v>8.7999999999999995E-2</v>
      </c>
      <c r="AY19" s="660">
        <f t="shared" ref="AY19:BA19" si="3">AY18-0.002</f>
        <v>9.0999999999999998E-2</v>
      </c>
      <c r="AZ19" s="660">
        <f t="shared" si="3"/>
        <v>9.8000000000000004E-2</v>
      </c>
      <c r="BA19" s="660">
        <f t="shared" si="3"/>
        <v>0.11</v>
      </c>
      <c r="BB19" s="907"/>
      <c r="BC19" s="660">
        <v>0.08</v>
      </c>
      <c r="BD19" s="660">
        <v>8.3000000000000004E-2</v>
      </c>
      <c r="BE19" s="660">
        <v>0.08</v>
      </c>
      <c r="BF19" s="660">
        <v>9.4E-2</v>
      </c>
      <c r="BG19" s="907"/>
      <c r="BH19" s="660">
        <v>7.0000000000000007E-2</v>
      </c>
      <c r="BI19" s="660">
        <v>7.0000000000000007E-2</v>
      </c>
      <c r="BJ19" s="660">
        <v>6.5000000000000002E-2</v>
      </c>
      <c r="BK19" s="660">
        <v>7.9000000000000015E-2</v>
      </c>
      <c r="BL19" s="907"/>
      <c r="BM19" s="660">
        <v>5.8499999999999996E-2</v>
      </c>
      <c r="BN19" s="660">
        <v>5.8499999999999996E-2</v>
      </c>
      <c r="BO19" s="660">
        <v>5.8499999999999996E-2</v>
      </c>
      <c r="BP19" s="660">
        <v>6.7499999999999991E-2</v>
      </c>
      <c r="BQ19" s="907"/>
    </row>
    <row r="20" spans="2:69" x14ac:dyDescent="0.2">
      <c r="B20" s="904"/>
      <c r="C20" s="910"/>
      <c r="D20" s="666"/>
      <c r="E20" s="661"/>
      <c r="F20" s="661"/>
      <c r="G20" s="661"/>
      <c r="H20" s="661"/>
      <c r="I20" s="661"/>
      <c r="J20" s="661"/>
      <c r="K20" s="660"/>
      <c r="L20" s="660"/>
      <c r="M20" s="660"/>
      <c r="N20" s="661"/>
      <c r="O20" s="661"/>
      <c r="P20" s="661"/>
      <c r="Q20" s="661"/>
      <c r="R20" s="661"/>
      <c r="S20" s="661"/>
      <c r="T20" s="661"/>
      <c r="U20" s="661"/>
      <c r="V20" s="661"/>
      <c r="W20" s="661"/>
      <c r="X20" s="661"/>
      <c r="Y20" s="660"/>
      <c r="Z20" s="660"/>
      <c r="AA20" s="660"/>
      <c r="AB20" s="660"/>
      <c r="AC20" s="661"/>
      <c r="AD20" s="660"/>
      <c r="AE20" s="660"/>
      <c r="AF20" s="660"/>
      <c r="AG20" s="660"/>
      <c r="AH20" s="661"/>
      <c r="AI20" s="660"/>
      <c r="AJ20" s="660"/>
      <c r="AK20" s="660"/>
      <c r="AL20" s="660"/>
      <c r="AM20" s="666"/>
      <c r="AN20" s="660"/>
      <c r="AO20" s="660"/>
      <c r="AP20" s="660"/>
      <c r="AQ20" s="660"/>
      <c r="AR20" s="907"/>
      <c r="AS20" s="660"/>
      <c r="AT20" s="660"/>
      <c r="AU20" s="660"/>
      <c r="AV20" s="660"/>
      <c r="AW20" s="907"/>
      <c r="AX20" s="660"/>
      <c r="AY20" s="660"/>
      <c r="AZ20" s="660"/>
      <c r="BA20" s="660"/>
      <c r="BB20" s="907"/>
      <c r="BC20" s="1967"/>
      <c r="BD20" s="1967"/>
      <c r="BE20" s="1967"/>
      <c r="BF20" s="1967"/>
      <c r="BG20" s="907"/>
      <c r="BH20" s="660"/>
      <c r="BI20" s="660"/>
      <c r="BJ20" s="660"/>
      <c r="BK20" s="660"/>
      <c r="BL20" s="907"/>
      <c r="BM20" s="660"/>
      <c r="BN20" s="660"/>
      <c r="BO20" s="660"/>
      <c r="BP20" s="660"/>
      <c r="BQ20" s="907"/>
    </row>
    <row r="21" spans="2:69" x14ac:dyDescent="0.2">
      <c r="B21" s="904"/>
      <c r="C21" s="910"/>
      <c r="D21" s="666"/>
      <c r="E21" s="661"/>
      <c r="F21" s="661"/>
      <c r="G21" s="661"/>
      <c r="H21" s="661"/>
      <c r="I21" s="661"/>
      <c r="J21" s="661"/>
      <c r="K21" s="660"/>
      <c r="L21" s="660"/>
      <c r="M21" s="660"/>
      <c r="N21" s="661"/>
      <c r="O21" s="661"/>
      <c r="P21" s="661"/>
      <c r="Q21" s="661"/>
      <c r="R21" s="661"/>
      <c r="S21" s="661"/>
      <c r="T21" s="661"/>
      <c r="U21" s="661"/>
      <c r="V21" s="661"/>
      <c r="W21" s="661"/>
      <c r="X21" s="661"/>
      <c r="Y21" s="660"/>
      <c r="Z21" s="660"/>
      <c r="AA21" s="660"/>
      <c r="AB21" s="660"/>
      <c r="AC21" s="661"/>
      <c r="AD21" s="660"/>
      <c r="AE21" s="660"/>
      <c r="AF21" s="660"/>
      <c r="AG21" s="660"/>
      <c r="AH21" s="661"/>
      <c r="AI21" s="660"/>
      <c r="AJ21" s="660"/>
      <c r="AK21" s="660"/>
      <c r="AL21" s="660"/>
      <c r="AM21" s="666"/>
      <c r="AN21" s="660"/>
      <c r="AO21" s="660"/>
      <c r="AP21" s="660"/>
      <c r="AQ21" s="660"/>
      <c r="AR21" s="907"/>
      <c r="AS21" s="660"/>
      <c r="AT21" s="660"/>
      <c r="AU21" s="660"/>
      <c r="AV21" s="660"/>
      <c r="AW21" s="907"/>
      <c r="AX21" s="660"/>
      <c r="AY21" s="660"/>
      <c r="AZ21" s="660"/>
      <c r="BA21" s="660"/>
      <c r="BB21" s="907"/>
      <c r="BC21" s="660"/>
      <c r="BD21" s="660"/>
      <c r="BE21" s="660"/>
      <c r="BF21" s="660"/>
      <c r="BG21" s="907"/>
      <c r="BH21" s="660"/>
      <c r="BI21" s="660"/>
      <c r="BJ21" s="660"/>
      <c r="BK21" s="660"/>
      <c r="BL21" s="907"/>
      <c r="BM21" s="660"/>
      <c r="BN21" s="660"/>
      <c r="BO21" s="660"/>
      <c r="BP21" s="660"/>
      <c r="BQ21" s="907"/>
    </row>
    <row r="22" spans="2:69" x14ac:dyDescent="0.2">
      <c r="B22" s="2024" t="s">
        <v>161</v>
      </c>
      <c r="C22" s="2025"/>
      <c r="D22" s="2025"/>
      <c r="E22" s="1009"/>
      <c r="F22" s="1009"/>
      <c r="G22" s="1055"/>
      <c r="H22" s="1055"/>
      <c r="I22" s="1085"/>
      <c r="J22" s="1083"/>
      <c r="K22" s="1083"/>
      <c r="L22" s="1083"/>
      <c r="M22" s="1083"/>
      <c r="N22" s="1009"/>
      <c r="O22" s="1083"/>
      <c r="P22" s="1083"/>
      <c r="Q22" s="1083"/>
      <c r="R22" s="1083"/>
      <c r="S22" s="1130"/>
      <c r="T22" s="1083"/>
      <c r="U22" s="1130"/>
      <c r="V22" s="1130"/>
      <c r="W22" s="1130"/>
      <c r="X22" s="1130"/>
      <c r="Y22" s="1130"/>
      <c r="Z22" s="1130"/>
      <c r="AA22" s="1130"/>
      <c r="AB22" s="1130"/>
      <c r="AC22" s="1130"/>
      <c r="AD22" s="1009"/>
      <c r="AE22" s="1009"/>
      <c r="AF22" s="1009"/>
      <c r="AG22" s="1009"/>
      <c r="AH22" s="1009"/>
      <c r="AI22" s="1009"/>
      <c r="AJ22" s="1009"/>
      <c r="AK22" s="1009"/>
      <c r="AL22" s="1009"/>
      <c r="AM22" s="908"/>
      <c r="AN22" s="1009"/>
      <c r="AO22" s="1009"/>
      <c r="AP22" s="1009"/>
      <c r="AQ22" s="1009"/>
      <c r="AR22" s="909"/>
      <c r="AS22" s="1009"/>
      <c r="AT22" s="1009"/>
      <c r="AU22" s="1009"/>
      <c r="AV22" s="1009"/>
      <c r="AW22" s="907"/>
      <c r="AX22" s="1009"/>
      <c r="AY22" s="1009"/>
      <c r="AZ22" s="1009"/>
      <c r="BA22" s="1009"/>
      <c r="BB22" s="907"/>
      <c r="BC22" s="1009"/>
      <c r="BD22" s="1009"/>
      <c r="BE22" s="1009"/>
      <c r="BF22" s="1009"/>
      <c r="BG22" s="907"/>
      <c r="BH22" s="1009"/>
      <c r="BI22" s="1009"/>
      <c r="BJ22" s="1009"/>
      <c r="BK22" s="1009"/>
      <c r="BL22" s="907"/>
      <c r="BM22" s="1009"/>
      <c r="BN22" s="1009"/>
      <c r="BO22" s="1009"/>
      <c r="BP22" s="1009"/>
      <c r="BQ22" s="907"/>
    </row>
    <row r="23" spans="2:69" x14ac:dyDescent="0.2">
      <c r="B23" s="904"/>
      <c r="C23" s="910" t="s">
        <v>340</v>
      </c>
      <c r="D23" s="666"/>
      <c r="E23" s="661"/>
      <c r="F23" s="661"/>
      <c r="G23" s="661"/>
      <c r="H23" s="661"/>
      <c r="I23" s="661"/>
      <c r="J23" s="661"/>
      <c r="K23" s="660"/>
      <c r="L23" s="660"/>
      <c r="M23" s="660"/>
      <c r="N23" s="661"/>
      <c r="O23" s="661"/>
      <c r="P23" s="661"/>
      <c r="Q23" s="661"/>
      <c r="R23" s="661"/>
      <c r="S23" s="661"/>
      <c r="T23" s="661"/>
      <c r="U23" s="661"/>
      <c r="V23" s="661"/>
      <c r="W23" s="661"/>
      <c r="X23" s="661"/>
      <c r="Y23" s="660"/>
      <c r="Z23" s="660"/>
      <c r="AA23" s="660"/>
      <c r="AB23" s="660"/>
      <c r="AC23" s="661"/>
      <c r="AD23" s="660"/>
      <c r="AE23" s="660"/>
      <c r="AF23" s="660"/>
      <c r="AG23" s="660"/>
      <c r="AH23" s="661"/>
      <c r="AI23" s="660"/>
      <c r="AJ23" s="660"/>
      <c r="AK23" s="660"/>
      <c r="AL23" s="660"/>
      <c r="AM23" s="666"/>
      <c r="AN23" s="660"/>
      <c r="AO23" s="660"/>
      <c r="AP23" s="660"/>
      <c r="AQ23" s="660"/>
      <c r="AR23" s="907"/>
      <c r="AS23" s="660"/>
      <c r="AT23" s="660"/>
      <c r="AU23" s="660"/>
      <c r="AV23" s="660"/>
      <c r="AW23" s="907"/>
      <c r="AX23" s="660">
        <f>AX24+0.001</f>
        <v>7.1000000000000008E-2</v>
      </c>
      <c r="AY23" s="660">
        <f t="shared" ref="AY23" si="4">AY24+0.001</f>
        <v>7.1000000000000008E-2</v>
      </c>
      <c r="AZ23" s="660">
        <f t="shared" ref="AZ23" si="5">AZ24+0.001</f>
        <v>7.1000000000000008E-2</v>
      </c>
      <c r="BA23" s="660">
        <f t="shared" ref="BA23" si="6">BA24+0.001</f>
        <v>7.1000000000000008E-2</v>
      </c>
      <c r="BB23" s="907"/>
      <c r="BC23" s="660">
        <v>7.1000000000000008E-2</v>
      </c>
      <c r="BD23" s="660">
        <v>7.1000000000000008E-2</v>
      </c>
      <c r="BE23" s="660">
        <v>7.1000000000000008E-2</v>
      </c>
      <c r="BF23" s="660">
        <v>7.1000000000000008E-2</v>
      </c>
      <c r="BG23" s="907"/>
      <c r="BH23" s="660">
        <v>7.1000000000000008E-2</v>
      </c>
      <c r="BI23" s="660">
        <v>7.1000000000000008E-2</v>
      </c>
      <c r="BJ23" s="660">
        <v>7.1000000000000008E-2</v>
      </c>
      <c r="BK23" s="660">
        <v>7.1000000000000008E-2</v>
      </c>
      <c r="BL23" s="907"/>
      <c r="BM23" s="660">
        <v>6.8500000000000005E-2</v>
      </c>
      <c r="BN23" s="660">
        <v>6.8500000000000005E-2</v>
      </c>
      <c r="BO23" s="660">
        <v>6.8500000000000005E-2</v>
      </c>
      <c r="BP23" s="660">
        <v>6.8500000000000005E-2</v>
      </c>
      <c r="BQ23" s="907"/>
    </row>
    <row r="24" spans="2:69" x14ac:dyDescent="0.2">
      <c r="B24" s="904"/>
      <c r="C24" s="910" t="s">
        <v>341</v>
      </c>
      <c r="D24" s="666"/>
      <c r="E24" s="661">
        <f ca="1">'Gross Margin'!AT31</f>
        <v>0.19249780566098629</v>
      </c>
      <c r="F24" s="661">
        <f ca="1">'Gross Margin'!AU31</f>
        <v>0.20563209913519889</v>
      </c>
      <c r="G24" s="661">
        <f ca="1">'Gross Margin'!AV31</f>
        <v>0.2070497471123241</v>
      </c>
      <c r="H24" s="661">
        <f ca="1">'Gross Margin'!AW31</f>
        <v>0.16501429481479904</v>
      </c>
      <c r="I24" s="661">
        <f ca="1">'Gross Margin'!AX31</f>
        <v>0.18988973570982196</v>
      </c>
      <c r="J24" s="661">
        <f ca="1">'Gross Margin'!AY31</f>
        <v>0.12322974868283587</v>
      </c>
      <c r="K24" s="661">
        <f ca="1">'Gross Margin'!AZ31</f>
        <v>0.13780192585338144</v>
      </c>
      <c r="L24" s="661">
        <f ca="1">'Gross Margin'!BA31</f>
        <v>0.14596451335054092</v>
      </c>
      <c r="M24" s="661">
        <f ca="1">'Gross Margin'!BB31</f>
        <v>0.14650187317833704</v>
      </c>
      <c r="N24" s="661">
        <f ca="1">'Gross Margin'!BC31</f>
        <v>0.13842176877987097</v>
      </c>
      <c r="O24" s="661">
        <f ca="1">'Gross Margin'!BD31</f>
        <v>0.12224025668105776</v>
      </c>
      <c r="P24" s="661">
        <f>'Gross Margin'!BE31</f>
        <v>0.13068501629507262</v>
      </c>
      <c r="Q24" s="661">
        <f>'Gross Margin'!BF31</f>
        <v>0.13911951087155447</v>
      </c>
      <c r="R24" s="661">
        <f>'Gross Margin'!BG31</f>
        <v>0.12958281089310633</v>
      </c>
      <c r="S24" s="661">
        <f ca="1">'Gross Margin'!BH31</f>
        <v>0.13051204166326069</v>
      </c>
      <c r="T24" s="661">
        <f ca="1">'Gross Margin'!BI31</f>
        <v>0.13381785594493639</v>
      </c>
      <c r="U24" s="661">
        <f ca="1">'Gross Margin'!BJ31</f>
        <v>0.14488185187405056</v>
      </c>
      <c r="V24" s="661">
        <f ca="1">'Gross Margin'!BK31</f>
        <v>0.15381535056466669</v>
      </c>
      <c r="W24" s="661">
        <f ca="1">'Gross Margin'!BL31</f>
        <v>0.17136030060142443</v>
      </c>
      <c r="X24" s="661"/>
      <c r="Y24" s="661"/>
      <c r="Z24" s="661"/>
      <c r="AA24" s="661"/>
      <c r="AB24" s="661"/>
      <c r="AC24" s="661"/>
      <c r="AD24" s="661">
        <f>Specialty!BG11</f>
        <v>7.0000000000000007E-2</v>
      </c>
      <c r="AE24" s="661">
        <f>Specialty!BH11</f>
        <v>7.0000000000000007E-2</v>
      </c>
      <c r="AF24" s="661">
        <f>Specialty!BI11</f>
        <v>7.0000000000000007E-2</v>
      </c>
      <c r="AG24" s="661">
        <f>Specialty!BJ11</f>
        <v>7.0000000000000007E-2</v>
      </c>
      <c r="AH24" s="661"/>
      <c r="AI24" s="661">
        <f>Specialty!BL11</f>
        <v>7.0000000000000007E-2</v>
      </c>
      <c r="AJ24" s="661">
        <f>Specialty!BM11</f>
        <v>7.0000000000000007E-2</v>
      </c>
      <c r="AK24" s="661">
        <f>Specialty!BN11</f>
        <v>6.5000000000000002E-2</v>
      </c>
      <c r="AL24" s="661">
        <f>Specialty!BO11</f>
        <v>6.5000000000000002E-2</v>
      </c>
      <c r="AM24" s="666"/>
      <c r="AN24" s="661">
        <f>Specialty!BQ11</f>
        <v>0.06</v>
      </c>
      <c r="AO24" s="661">
        <f>Specialty!BR11</f>
        <v>7.0000000000000007E-2</v>
      </c>
      <c r="AP24" s="661">
        <f>Specialty!BS11</f>
        <v>7.0000000000000007E-2</v>
      </c>
      <c r="AQ24" s="661">
        <f>Specialty!BT11</f>
        <v>6.5000000000000002E-2</v>
      </c>
      <c r="AR24" s="907"/>
      <c r="AS24" s="661">
        <f>Specialty!BV11</f>
        <v>7.0000000000000007E-2</v>
      </c>
      <c r="AT24" s="661">
        <f>Specialty!BW11</f>
        <v>7.0000000000000007E-2</v>
      </c>
      <c r="AU24" s="661">
        <f>Specialty!BX11</f>
        <v>7.0000000000000007E-2</v>
      </c>
      <c r="AV24" s="661">
        <f>Specialty!BY11</f>
        <v>7.0000000000000007E-2</v>
      </c>
      <c r="AW24" s="907"/>
      <c r="AX24" s="660">
        <f>+AS24</f>
        <v>7.0000000000000007E-2</v>
      </c>
      <c r="AY24" s="660">
        <f t="shared" ref="AY24:BA24" si="7">+AT24</f>
        <v>7.0000000000000007E-2</v>
      </c>
      <c r="AZ24" s="660">
        <f t="shared" si="7"/>
        <v>7.0000000000000007E-2</v>
      </c>
      <c r="BA24" s="660">
        <f t="shared" si="7"/>
        <v>7.0000000000000007E-2</v>
      </c>
      <c r="BB24" s="907"/>
      <c r="BC24" s="660">
        <v>7.0000000000000007E-2</v>
      </c>
      <c r="BD24" s="660">
        <v>7.0000000000000007E-2</v>
      </c>
      <c r="BE24" s="660">
        <v>7.0000000000000007E-2</v>
      </c>
      <c r="BF24" s="660">
        <v>7.0000000000000007E-2</v>
      </c>
      <c r="BG24" s="907"/>
      <c r="BH24" s="660">
        <v>6.8000000000000005E-2</v>
      </c>
      <c r="BI24" s="660">
        <v>6.8000000000000005E-2</v>
      </c>
      <c r="BJ24" s="660">
        <v>6.8000000000000005E-2</v>
      </c>
      <c r="BK24" s="660">
        <v>6.8000000000000005E-2</v>
      </c>
      <c r="BL24" s="907"/>
      <c r="BM24" s="660">
        <v>6.7500000000000004E-2</v>
      </c>
      <c r="BN24" s="660">
        <v>6.7500000000000004E-2</v>
      </c>
      <c r="BO24" s="660">
        <v>6.7500000000000004E-2</v>
      </c>
      <c r="BP24" s="660">
        <v>6.7500000000000004E-2</v>
      </c>
      <c r="BQ24" s="907"/>
    </row>
    <row r="25" spans="2:69" x14ac:dyDescent="0.2">
      <c r="B25" s="904"/>
      <c r="C25" s="910" t="s">
        <v>342</v>
      </c>
      <c r="D25" s="666"/>
      <c r="E25" s="661"/>
      <c r="F25" s="661"/>
      <c r="G25" s="661"/>
      <c r="H25" s="661"/>
      <c r="I25" s="661"/>
      <c r="J25" s="661"/>
      <c r="K25" s="660"/>
      <c r="L25" s="660"/>
      <c r="M25" s="660"/>
      <c r="N25" s="661"/>
      <c r="O25" s="661"/>
      <c r="P25" s="661"/>
      <c r="Q25" s="661"/>
      <c r="R25" s="661"/>
      <c r="S25" s="661"/>
      <c r="T25" s="661"/>
      <c r="U25" s="661"/>
      <c r="V25" s="661"/>
      <c r="W25" s="661"/>
      <c r="X25" s="661"/>
      <c r="Y25" s="660"/>
      <c r="Z25" s="660"/>
      <c r="AA25" s="660"/>
      <c r="AB25" s="660"/>
      <c r="AC25" s="661"/>
      <c r="AD25" s="660"/>
      <c r="AE25" s="660"/>
      <c r="AF25" s="660"/>
      <c r="AG25" s="660"/>
      <c r="AH25" s="661"/>
      <c r="AI25" s="660"/>
      <c r="AJ25" s="660"/>
      <c r="AK25" s="660"/>
      <c r="AL25" s="660"/>
      <c r="AM25" s="666"/>
      <c r="AN25" s="660"/>
      <c r="AO25" s="660"/>
      <c r="AP25" s="660"/>
      <c r="AQ25" s="660"/>
      <c r="AR25" s="907"/>
      <c r="AS25" s="660"/>
      <c r="AT25" s="660"/>
      <c r="AU25" s="660"/>
      <c r="AV25" s="660"/>
      <c r="AW25" s="907"/>
      <c r="AX25" s="660">
        <f>AX24-0.001</f>
        <v>6.9000000000000006E-2</v>
      </c>
      <c r="AY25" s="660">
        <f t="shared" ref="AY25" si="8">AY24-0.001</f>
        <v>6.9000000000000006E-2</v>
      </c>
      <c r="AZ25" s="660">
        <f t="shared" ref="AZ25" si="9">AZ24-0.001</f>
        <v>6.9000000000000006E-2</v>
      </c>
      <c r="BA25" s="660">
        <f t="shared" ref="BA25" si="10">BA24-0.001</f>
        <v>6.9000000000000006E-2</v>
      </c>
      <c r="BB25" s="907"/>
      <c r="BC25" s="660">
        <v>6.8000000000000005E-2</v>
      </c>
      <c r="BD25" s="660">
        <v>6.8000000000000005E-2</v>
      </c>
      <c r="BE25" s="660">
        <v>6.8000000000000005E-2</v>
      </c>
      <c r="BF25" s="660">
        <v>6.8000000000000005E-2</v>
      </c>
      <c r="BG25" s="907"/>
      <c r="BH25" s="660">
        <v>6.8000000000000005E-2</v>
      </c>
      <c r="BI25" s="660">
        <v>6.8000000000000005E-2</v>
      </c>
      <c r="BJ25" s="660">
        <v>6.8000000000000005E-2</v>
      </c>
      <c r="BK25" s="660">
        <v>6.8000000000000005E-2</v>
      </c>
      <c r="BL25" s="907"/>
      <c r="BM25" s="660">
        <v>6.5500000000000003E-2</v>
      </c>
      <c r="BN25" s="660">
        <v>6.5500000000000003E-2</v>
      </c>
      <c r="BO25" s="660">
        <v>6.5500000000000003E-2</v>
      </c>
      <c r="BP25" s="660">
        <v>6.5500000000000003E-2</v>
      </c>
      <c r="BQ25" s="907"/>
    </row>
    <row r="26" spans="2:69" ht="13.5" thickBot="1" x14ac:dyDescent="0.25">
      <c r="B26" s="913"/>
      <c r="C26" s="914"/>
      <c r="D26" s="915"/>
      <c r="E26" s="915"/>
      <c r="F26" s="915"/>
      <c r="G26" s="915"/>
      <c r="H26" s="915"/>
      <c r="I26" s="915"/>
      <c r="J26" s="915"/>
      <c r="K26" s="915"/>
      <c r="L26" s="915"/>
      <c r="M26" s="915"/>
      <c r="N26" s="915"/>
      <c r="O26" s="915"/>
      <c r="P26" s="915"/>
      <c r="Q26" s="915"/>
      <c r="R26" s="915"/>
      <c r="S26" s="915"/>
      <c r="T26" s="915"/>
      <c r="U26" s="915"/>
      <c r="V26" s="915"/>
      <c r="W26" s="915"/>
      <c r="X26" s="1141"/>
      <c r="Y26" s="915"/>
      <c r="Z26" s="915"/>
      <c r="AA26" s="915"/>
      <c r="AB26" s="915"/>
      <c r="AC26" s="915"/>
      <c r="AD26" s="915"/>
      <c r="AE26" s="915"/>
      <c r="AF26" s="915"/>
      <c r="AG26" s="915"/>
      <c r="AH26" s="915"/>
      <c r="AI26" s="915"/>
      <c r="AJ26" s="915"/>
      <c r="AK26" s="915"/>
      <c r="AL26" s="915"/>
      <c r="AM26" s="915"/>
      <c r="AN26" s="915"/>
      <c r="AO26" s="915"/>
      <c r="AP26" s="915"/>
      <c r="AQ26" s="915"/>
      <c r="AR26" s="916"/>
      <c r="AS26" s="915"/>
      <c r="AT26" s="915"/>
      <c r="AU26" s="915"/>
      <c r="AV26" s="915"/>
      <c r="AW26" s="916"/>
      <c r="AX26" s="915"/>
      <c r="AY26" s="915"/>
      <c r="AZ26" s="915"/>
      <c r="BA26" s="915"/>
      <c r="BB26" s="916"/>
      <c r="BC26" s="915"/>
      <c r="BD26" s="915"/>
      <c r="BE26" s="915"/>
      <c r="BF26" s="915"/>
      <c r="BG26" s="916"/>
      <c r="BH26" s="915"/>
      <c r="BI26" s="915"/>
      <c r="BJ26" s="915"/>
      <c r="BK26" s="915"/>
      <c r="BL26" s="916"/>
      <c r="BM26" s="915"/>
      <c r="BN26" s="915"/>
      <c r="BO26" s="915"/>
      <c r="BP26" s="915"/>
      <c r="BQ26" s="916"/>
    </row>
    <row r="27" spans="2:69" ht="13.5" thickBot="1" x14ac:dyDescent="0.25">
      <c r="E27" s="928"/>
      <c r="F27" s="928"/>
      <c r="G27" s="928"/>
      <c r="H27" s="928"/>
      <c r="I27" s="928"/>
      <c r="J27" s="928"/>
      <c r="K27" s="928"/>
      <c r="L27" s="928"/>
      <c r="M27" s="928"/>
      <c r="N27" s="929"/>
      <c r="AS27" s="679"/>
      <c r="BC27" s="930"/>
      <c r="BH27" s="930"/>
      <c r="BM27" s="930"/>
    </row>
    <row r="28" spans="2:69" ht="13.5" thickBot="1" x14ac:dyDescent="0.25">
      <c r="B28" s="942"/>
      <c r="C28" s="900" t="s">
        <v>421</v>
      </c>
      <c r="D28" s="901"/>
      <c r="E28" s="899" t="str">
        <f t="shared" ref="E28:AW28" si="11">E7</f>
        <v>1QA</v>
      </c>
      <c r="F28" s="899" t="str">
        <f t="shared" si="11"/>
        <v>2QA</v>
      </c>
      <c r="G28" s="899" t="str">
        <f t="shared" si="11"/>
        <v>3QA</v>
      </c>
      <c r="H28" s="899" t="str">
        <f t="shared" si="11"/>
        <v>4QA</v>
      </c>
      <c r="I28" s="899" t="str">
        <f t="shared" si="11"/>
        <v>2009A</v>
      </c>
      <c r="J28" s="899" t="str">
        <f t="shared" si="11"/>
        <v>1QA</v>
      </c>
      <c r="K28" s="899" t="str">
        <f t="shared" si="11"/>
        <v>2QA</v>
      </c>
      <c r="L28" s="899" t="str">
        <f t="shared" si="11"/>
        <v>3QA</v>
      </c>
      <c r="M28" s="899" t="str">
        <f t="shared" si="11"/>
        <v>4QA</v>
      </c>
      <c r="N28" s="899" t="str">
        <f t="shared" si="11"/>
        <v>2010A</v>
      </c>
      <c r="O28" s="899" t="str">
        <f t="shared" si="11"/>
        <v>1QA</v>
      </c>
      <c r="P28" s="899" t="str">
        <f t="shared" si="11"/>
        <v>2QA</v>
      </c>
      <c r="Q28" s="899" t="str">
        <f t="shared" si="11"/>
        <v>3QA</v>
      </c>
      <c r="R28" s="899" t="str">
        <f t="shared" si="11"/>
        <v>4QA</v>
      </c>
      <c r="S28" s="899" t="str">
        <f t="shared" si="11"/>
        <v>2011A</v>
      </c>
      <c r="T28" s="899" t="str">
        <f t="shared" si="11"/>
        <v>1QA</v>
      </c>
      <c r="U28" s="899" t="str">
        <f t="shared" si="11"/>
        <v>2QA</v>
      </c>
      <c r="V28" s="899" t="str">
        <f t="shared" si="11"/>
        <v>3QA</v>
      </c>
      <c r="W28" s="899" t="str">
        <f t="shared" si="11"/>
        <v>4QA</v>
      </c>
      <c r="X28" s="828" t="str">
        <f t="shared" si="11"/>
        <v>2012A</v>
      </c>
      <c r="Y28" s="810" t="str">
        <f t="shared" si="11"/>
        <v>1QA</v>
      </c>
      <c r="Z28" s="810" t="str">
        <f t="shared" si="11"/>
        <v>2QA</v>
      </c>
      <c r="AA28" s="810" t="str">
        <f t="shared" si="11"/>
        <v>3QA</v>
      </c>
      <c r="AB28" s="810" t="str">
        <f t="shared" si="11"/>
        <v>4QA</v>
      </c>
      <c r="AC28" s="828" t="str">
        <f t="shared" si="11"/>
        <v>2013A</v>
      </c>
      <c r="AD28" s="810" t="str">
        <f t="shared" si="11"/>
        <v>1QA</v>
      </c>
      <c r="AE28" s="810" t="str">
        <f t="shared" si="11"/>
        <v>2QA</v>
      </c>
      <c r="AF28" s="810" t="str">
        <f t="shared" si="11"/>
        <v>3QA</v>
      </c>
      <c r="AG28" s="810" t="str">
        <f t="shared" si="11"/>
        <v>4QA</v>
      </c>
      <c r="AH28" s="828" t="str">
        <f t="shared" si="11"/>
        <v>2014A</v>
      </c>
      <c r="AI28" s="810" t="str">
        <f t="shared" si="11"/>
        <v>1QA</v>
      </c>
      <c r="AJ28" s="810" t="str">
        <f t="shared" si="11"/>
        <v>2QA</v>
      </c>
      <c r="AK28" s="810" t="str">
        <f t="shared" si="11"/>
        <v>3QA</v>
      </c>
      <c r="AL28" s="810" t="str">
        <f t="shared" si="11"/>
        <v>4QA</v>
      </c>
      <c r="AM28" s="828" t="str">
        <f t="shared" si="11"/>
        <v>2015A</v>
      </c>
      <c r="AN28" s="810" t="str">
        <f t="shared" si="11"/>
        <v>1QA</v>
      </c>
      <c r="AO28" s="810" t="str">
        <f t="shared" si="11"/>
        <v>2QA</v>
      </c>
      <c r="AP28" s="810" t="str">
        <f t="shared" si="11"/>
        <v>3QA</v>
      </c>
      <c r="AQ28" s="810" t="str">
        <f t="shared" ref="AQ28:AS28" si="12">AQ7</f>
        <v>4QA</v>
      </c>
      <c r="AR28" s="828" t="str">
        <f t="shared" si="11"/>
        <v>2016A</v>
      </c>
      <c r="AS28" s="810" t="str">
        <f t="shared" si="12"/>
        <v>1QA</v>
      </c>
      <c r="AT28" s="810" t="str">
        <f t="shared" ref="AT28:AU28" si="13">AT7</f>
        <v>2QA</v>
      </c>
      <c r="AU28" s="810" t="str">
        <f t="shared" si="13"/>
        <v>3QA</v>
      </c>
      <c r="AV28" s="810" t="str">
        <f t="shared" si="11"/>
        <v>4QA</v>
      </c>
      <c r="AW28" s="828" t="str">
        <f t="shared" si="11"/>
        <v>2017A</v>
      </c>
      <c r="AX28" s="810" t="str">
        <f t="shared" ref="AX28:BG28" si="14">AX7</f>
        <v>1QE</v>
      </c>
      <c r="AY28" s="810" t="str">
        <f t="shared" si="14"/>
        <v>2QE</v>
      </c>
      <c r="AZ28" s="810" t="str">
        <f t="shared" si="14"/>
        <v>3QE</v>
      </c>
      <c r="BA28" s="810" t="str">
        <f t="shared" si="14"/>
        <v>4QE</v>
      </c>
      <c r="BB28" s="828" t="str">
        <f t="shared" si="14"/>
        <v>2018E</v>
      </c>
      <c r="BC28" s="810" t="str">
        <f t="shared" si="14"/>
        <v>1QE</v>
      </c>
      <c r="BD28" s="810" t="str">
        <f t="shared" si="14"/>
        <v>2QE</v>
      </c>
      <c r="BE28" s="810" t="str">
        <f t="shared" si="14"/>
        <v>3QE</v>
      </c>
      <c r="BF28" s="810" t="str">
        <f t="shared" si="14"/>
        <v>4QE</v>
      </c>
      <c r="BG28" s="828" t="str">
        <f t="shared" si="14"/>
        <v>2019E</v>
      </c>
      <c r="BH28" s="810" t="str">
        <f t="shared" ref="BH28:BQ28" si="15">BH7</f>
        <v>1QE</v>
      </c>
      <c r="BI28" s="810" t="str">
        <f t="shared" si="15"/>
        <v>2QE</v>
      </c>
      <c r="BJ28" s="810" t="str">
        <f t="shared" si="15"/>
        <v>3QE</v>
      </c>
      <c r="BK28" s="810" t="str">
        <f t="shared" si="15"/>
        <v>4QE</v>
      </c>
      <c r="BL28" s="828" t="str">
        <f t="shared" si="15"/>
        <v>2020E</v>
      </c>
      <c r="BM28" s="810" t="str">
        <f t="shared" si="15"/>
        <v>1QE</v>
      </c>
      <c r="BN28" s="810" t="str">
        <f t="shared" si="15"/>
        <v>2QE</v>
      </c>
      <c r="BO28" s="810" t="str">
        <f t="shared" si="15"/>
        <v>3QE</v>
      </c>
      <c r="BP28" s="810" t="str">
        <f t="shared" si="15"/>
        <v>4QE</v>
      </c>
      <c r="BQ28" s="828" t="str">
        <f t="shared" si="15"/>
        <v>2021E</v>
      </c>
    </row>
    <row r="29" spans="2:69" ht="13.5" thickBot="1" x14ac:dyDescent="0.25">
      <c r="B29" s="918"/>
      <c r="C29" s="919"/>
      <c r="D29" s="920"/>
      <c r="E29" s="908"/>
      <c r="F29" s="908"/>
      <c r="G29" s="908"/>
      <c r="H29" s="908"/>
      <c r="I29" s="908"/>
      <c r="J29" s="908"/>
      <c r="K29" s="908"/>
      <c r="L29" s="908"/>
      <c r="M29" s="908"/>
      <c r="N29" s="908"/>
      <c r="O29" s="908"/>
      <c r="P29" s="908"/>
      <c r="Q29" s="908"/>
      <c r="R29" s="908"/>
      <c r="S29" s="908"/>
      <c r="T29" s="908"/>
      <c r="U29" s="908"/>
      <c r="V29" s="908"/>
      <c r="W29" s="908"/>
      <c r="X29" s="921"/>
      <c r="Y29" s="1520"/>
      <c r="Z29" s="1520"/>
      <c r="AA29" s="1520"/>
      <c r="AB29" s="1520"/>
      <c r="AC29" s="1520"/>
      <c r="AD29" s="1521"/>
      <c r="AE29" s="1521"/>
      <c r="AF29" s="1521"/>
      <c r="AG29" s="1521"/>
      <c r="AH29" s="1520"/>
      <c r="AI29" s="908"/>
      <c r="AJ29" s="908"/>
      <c r="AK29" s="908"/>
      <c r="AL29" s="908"/>
      <c r="AM29" s="921"/>
      <c r="AN29" s="1590"/>
      <c r="AO29" s="908"/>
      <c r="AP29" s="908"/>
      <c r="AQ29" s="908"/>
      <c r="AR29" s="922"/>
      <c r="AS29" s="908"/>
      <c r="AT29" s="908"/>
      <c r="AU29" s="908"/>
      <c r="AV29" s="908"/>
      <c r="AW29" s="922"/>
      <c r="AX29" s="1590"/>
      <c r="AY29" s="908"/>
      <c r="AZ29" s="908"/>
      <c r="BA29" s="908"/>
      <c r="BB29" s="922"/>
      <c r="BC29" s="1590"/>
      <c r="BD29" s="908"/>
      <c r="BE29" s="908"/>
      <c r="BF29" s="908"/>
      <c r="BG29" s="922"/>
      <c r="BH29" s="1590"/>
      <c r="BI29" s="908"/>
      <c r="BJ29" s="908"/>
      <c r="BK29" s="908"/>
      <c r="BL29" s="922"/>
      <c r="BM29" s="1590"/>
      <c r="BN29" s="908"/>
      <c r="BO29" s="908"/>
      <c r="BP29" s="908"/>
      <c r="BQ29" s="922"/>
    </row>
    <row r="30" spans="2:69" ht="13.5" thickBot="1" x14ac:dyDescent="0.25">
      <c r="B30" s="918"/>
      <c r="C30" s="676">
        <f>C9</f>
        <v>2</v>
      </c>
      <c r="D30" s="917"/>
      <c r="E30" s="917"/>
      <c r="F30" s="917"/>
      <c r="G30" s="917"/>
      <c r="H30" s="917"/>
      <c r="I30" s="917"/>
      <c r="J30" s="917"/>
      <c r="K30" s="917"/>
      <c r="L30" s="917"/>
      <c r="M30" s="917"/>
      <c r="N30" s="917"/>
      <c r="O30" s="917"/>
      <c r="P30" s="917"/>
      <c r="Q30" s="917"/>
      <c r="R30" s="917"/>
      <c r="S30" s="917"/>
      <c r="T30" s="917"/>
      <c r="U30" s="917"/>
      <c r="V30" s="917"/>
      <c r="W30" s="917"/>
      <c r="X30" s="917"/>
      <c r="Y30" s="917"/>
      <c r="Z30" s="917"/>
      <c r="AA30" s="917"/>
      <c r="AB30" s="917"/>
      <c r="AC30" s="917"/>
      <c r="AD30" s="1076"/>
      <c r="AE30" s="1076"/>
      <c r="AF30" s="1076"/>
      <c r="AH30" s="661"/>
      <c r="AI30" s="660"/>
      <c r="AJ30" s="660"/>
      <c r="AK30" s="660"/>
      <c r="AL30" s="1591"/>
      <c r="AM30" s="917"/>
      <c r="AN30" s="660"/>
      <c r="AO30" s="660"/>
      <c r="AP30" s="660"/>
      <c r="AQ30" s="660"/>
      <c r="AR30" s="923"/>
      <c r="AS30" s="660"/>
      <c r="AT30" s="660"/>
      <c r="AU30" s="660"/>
      <c r="AV30" s="660"/>
      <c r="AW30" s="923"/>
      <c r="AX30" s="660"/>
      <c r="AY30" s="660"/>
      <c r="AZ30" s="660"/>
      <c r="BA30" s="660"/>
      <c r="BB30" s="923"/>
      <c r="BC30" s="660"/>
      <c r="BD30" s="660"/>
      <c r="BE30" s="660"/>
      <c r="BF30" s="660"/>
      <c r="BG30" s="923"/>
      <c r="BH30" s="660"/>
      <c r="BI30" s="660"/>
      <c r="BJ30" s="660"/>
      <c r="BK30" s="660"/>
      <c r="BL30" s="923"/>
      <c r="BM30" s="660"/>
      <c r="BN30" s="660"/>
      <c r="BO30" s="660"/>
      <c r="BP30" s="660"/>
      <c r="BQ30" s="923"/>
    </row>
    <row r="31" spans="2:69" x14ac:dyDescent="0.2">
      <c r="B31" s="918"/>
      <c r="C31" s="912"/>
      <c r="D31" s="1149"/>
      <c r="E31" s="1149"/>
      <c r="F31" s="1149"/>
      <c r="G31" s="1149"/>
      <c r="H31" s="1149"/>
      <c r="I31" s="1149"/>
      <c r="J31" s="1149"/>
      <c r="K31" s="1149"/>
      <c r="L31" s="1149"/>
      <c r="M31" s="1149"/>
      <c r="N31" s="1149"/>
      <c r="O31" s="1149"/>
      <c r="P31" s="1149"/>
      <c r="Q31" s="1150"/>
      <c r="R31" s="1150"/>
      <c r="S31" s="1149"/>
      <c r="T31" s="1150"/>
      <c r="U31" s="1150"/>
      <c r="V31" s="1150"/>
      <c r="W31" s="1150"/>
      <c r="X31" s="1149"/>
      <c r="Y31" s="1518"/>
      <c r="Z31" s="1518"/>
      <c r="AA31" s="1518"/>
      <c r="AB31" s="1518"/>
      <c r="AC31" s="1149"/>
      <c r="AD31" s="1150"/>
      <c r="AE31" s="1150"/>
      <c r="AF31" s="1150"/>
      <c r="AG31" s="1150"/>
      <c r="AH31" s="1149"/>
      <c r="AI31" s="1149"/>
      <c r="AJ31" s="1149"/>
      <c r="AK31" s="1149"/>
      <c r="AL31" s="1149"/>
      <c r="AM31" s="1149"/>
      <c r="AN31" s="1150"/>
      <c r="AO31" s="1150"/>
      <c r="AP31" s="1150"/>
      <c r="AQ31" s="1150"/>
      <c r="AR31" s="1220"/>
      <c r="AS31" s="1150"/>
      <c r="AT31" s="1150"/>
      <c r="AU31" s="1150"/>
      <c r="AV31" s="1150"/>
      <c r="AW31" s="1220"/>
      <c r="AX31" s="1150"/>
      <c r="AY31" s="1150"/>
      <c r="AZ31" s="1150"/>
      <c r="BA31" s="1150"/>
      <c r="BB31" s="1220"/>
      <c r="BC31" s="1150"/>
      <c r="BD31" s="1150"/>
      <c r="BE31" s="1150"/>
      <c r="BF31" s="1150"/>
      <c r="BG31" s="1220"/>
      <c r="BH31" s="1150"/>
      <c r="BI31" s="1150"/>
      <c r="BJ31" s="1150"/>
      <c r="BK31" s="1150"/>
      <c r="BL31" s="1220"/>
      <c r="BM31" s="1150"/>
      <c r="BN31" s="1150"/>
      <c r="BO31" s="1150"/>
      <c r="BP31" s="1150"/>
      <c r="BQ31" s="1220"/>
    </row>
    <row r="32" spans="2:69" x14ac:dyDescent="0.2">
      <c r="B32" s="918"/>
      <c r="C32" s="910" t="s">
        <v>281</v>
      </c>
      <c r="D32" s="917"/>
      <c r="E32" s="666"/>
      <c r="F32" s="666"/>
      <c r="G32" s="666"/>
      <c r="H32" s="666"/>
      <c r="I32" s="666"/>
      <c r="J32" s="666"/>
      <c r="N32" s="666"/>
      <c r="O32" s="666"/>
      <c r="P32" s="666"/>
      <c r="Q32" s="666"/>
      <c r="R32" s="666"/>
      <c r="S32" s="666"/>
      <c r="T32" s="666"/>
      <c r="U32" s="680"/>
      <c r="V32" s="680"/>
      <c r="W32" s="680"/>
      <c r="X32" s="666"/>
      <c r="Y32" s="680"/>
      <c r="Z32" s="680"/>
      <c r="AA32" s="680"/>
      <c r="AB32" s="680"/>
      <c r="AC32" s="666"/>
      <c r="AD32" s="680"/>
      <c r="AE32" s="680"/>
      <c r="AF32" s="680"/>
      <c r="AG32" s="680"/>
      <c r="AH32" s="666"/>
      <c r="AI32" s="680"/>
      <c r="AJ32" s="680"/>
      <c r="AK32" s="680"/>
      <c r="AL32" s="680"/>
      <c r="AM32" s="666"/>
      <c r="AN32" s="680"/>
      <c r="AO32" s="680"/>
      <c r="AP32" s="680"/>
      <c r="AQ32" s="680"/>
      <c r="AR32" s="907"/>
      <c r="AS32" s="680"/>
      <c r="AT32" s="680"/>
      <c r="AU32" s="680"/>
      <c r="AV32" s="680"/>
      <c r="AW32" s="907"/>
      <c r="AX32" s="680"/>
      <c r="AY32" s="680"/>
      <c r="AZ32" s="680"/>
      <c r="BA32" s="680"/>
      <c r="BB32" s="907"/>
      <c r="BC32" s="680"/>
      <c r="BD32" s="680"/>
      <c r="BE32" s="680"/>
      <c r="BF32" s="680"/>
      <c r="BG32" s="907"/>
      <c r="BH32" s="680"/>
      <c r="BI32" s="680"/>
      <c r="BJ32" s="680"/>
      <c r="BK32" s="680"/>
      <c r="BL32" s="907"/>
      <c r="BM32" s="680"/>
      <c r="BN32" s="680"/>
      <c r="BO32" s="680"/>
      <c r="BP32" s="680"/>
      <c r="BQ32" s="907"/>
    </row>
    <row r="33" spans="2:69" x14ac:dyDescent="0.2">
      <c r="B33" s="918"/>
      <c r="C33" s="910" t="s">
        <v>340</v>
      </c>
      <c r="D33" s="917"/>
      <c r="E33" s="666"/>
      <c r="F33" s="661"/>
      <c r="G33" s="661"/>
      <c r="H33" s="661"/>
      <c r="I33" s="661"/>
      <c r="J33" s="666"/>
      <c r="K33" s="660"/>
      <c r="L33" s="660"/>
      <c r="M33" s="660"/>
      <c r="N33" s="661"/>
      <c r="O33" s="661"/>
      <c r="P33" s="661"/>
      <c r="Q33" s="661"/>
      <c r="R33" s="661"/>
      <c r="S33" s="660"/>
      <c r="T33" s="661"/>
      <c r="U33" s="661"/>
      <c r="V33" s="661"/>
      <c r="W33" s="661"/>
      <c r="X33" s="660"/>
      <c r="Y33" s="660"/>
      <c r="Z33" s="660"/>
      <c r="AA33" s="660"/>
      <c r="AB33" s="660"/>
      <c r="AC33" s="660"/>
      <c r="AD33" s="660"/>
      <c r="AE33" s="660"/>
      <c r="AF33" s="660"/>
      <c r="AG33" s="660"/>
      <c r="AH33" s="660"/>
      <c r="AI33" s="660"/>
      <c r="AJ33" s="660"/>
      <c r="AK33" s="660"/>
      <c r="AL33" s="660"/>
      <c r="AM33" s="661"/>
      <c r="AN33" s="660"/>
      <c r="AO33" s="660"/>
      <c r="AP33" s="660"/>
      <c r="AQ33" s="660"/>
      <c r="AR33" s="1010"/>
      <c r="AS33" s="660"/>
      <c r="AT33" s="660"/>
      <c r="AU33" s="660"/>
      <c r="AV33" s="660"/>
      <c r="AW33" s="1010"/>
      <c r="AX33" s="660">
        <v>-0.02</v>
      </c>
      <c r="AY33" s="660">
        <v>-0.02</v>
      </c>
      <c r="AZ33" s="660">
        <v>-0.02</v>
      </c>
      <c r="BA33" s="660">
        <v>-0.02</v>
      </c>
      <c r="BB33" s="1010"/>
      <c r="BC33" s="911">
        <f>BC34+1.5%</f>
        <v>2.9999999999999992E-3</v>
      </c>
      <c r="BD33" s="911">
        <f t="shared" ref="BD33:BF33" si="16">BD34+1.5%</f>
        <v>2.9999999999999992E-3</v>
      </c>
      <c r="BE33" s="911">
        <f t="shared" si="16"/>
        <v>2.9999999999999992E-3</v>
      </c>
      <c r="BF33" s="911">
        <f t="shared" si="16"/>
        <v>2.9999999999999992E-3</v>
      </c>
      <c r="BG33" s="1010"/>
      <c r="BH33" s="911">
        <f>BH34+1.5%</f>
        <v>-0.09</v>
      </c>
      <c r="BI33" s="911">
        <f t="shared" ref="BI33:BK33" si="17">BI34+1.5%</f>
        <v>-0.09</v>
      </c>
      <c r="BJ33" s="911">
        <f t="shared" si="17"/>
        <v>-0.09</v>
      </c>
      <c r="BK33" s="911">
        <f t="shared" si="17"/>
        <v>-0.09</v>
      </c>
      <c r="BL33" s="1010"/>
      <c r="BM33" s="911">
        <f>BM34+1.5%</f>
        <v>-0.1</v>
      </c>
      <c r="BN33" s="911">
        <f t="shared" ref="BN33" si="18">BN34+1.5%</f>
        <v>-0.1</v>
      </c>
      <c r="BO33" s="911">
        <f t="shared" ref="BO33" si="19">BO34+1.5%</f>
        <v>-0.1</v>
      </c>
      <c r="BP33" s="911">
        <f t="shared" ref="BP33" si="20">BP34+1.5%</f>
        <v>-0.1</v>
      </c>
      <c r="BQ33" s="1010"/>
    </row>
    <row r="34" spans="2:69" x14ac:dyDescent="0.2">
      <c r="B34" s="918"/>
      <c r="C34" s="910" t="s">
        <v>341</v>
      </c>
      <c r="D34" s="917"/>
      <c r="E34" s="661">
        <f>Revenue!AT95</f>
        <v>-4.0733197556008127E-2</v>
      </c>
      <c r="F34" s="661">
        <f>Revenue!AU95</f>
        <v>-1.4568158168574263E-2</v>
      </c>
      <c r="G34" s="661">
        <f>Revenue!AV95</f>
        <v>4.0437158469945444E-2</v>
      </c>
      <c r="H34" s="661">
        <f>Revenue!AW95</f>
        <v>0.28144989339019189</v>
      </c>
      <c r="I34" s="661">
        <f>Revenue!AX95</f>
        <v>6.5068493150684859E-2</v>
      </c>
      <c r="J34" s="661">
        <f>Revenue!AY95</f>
        <v>0.58174097664543511</v>
      </c>
      <c r="K34" s="661">
        <f>Revenue!AZ95</f>
        <v>0.59450897571277705</v>
      </c>
      <c r="L34" s="661">
        <f>Revenue!BA95</f>
        <v>0.56407563025210083</v>
      </c>
      <c r="M34" s="661">
        <f>Revenue!BB95</f>
        <v>0.27371048252911812</v>
      </c>
      <c r="N34" s="661">
        <f>Revenue!BC95</f>
        <v>0.48899332179074939</v>
      </c>
      <c r="O34" s="661">
        <f>Revenue!BD95</f>
        <v>0.14568148722323326</v>
      </c>
      <c r="P34" s="661">
        <f>Revenue!BE95</f>
        <v>0.12852891231730856</v>
      </c>
      <c r="Q34" s="661">
        <f>Revenue!BF95</f>
        <v>0.14075761945024556</v>
      </c>
      <c r="R34" s="661">
        <f>Revenue!BG95</f>
        <v>0.175490039190072</v>
      </c>
      <c r="S34" s="661">
        <f>Revenue!BH95</f>
        <v>0.14774209616663958</v>
      </c>
      <c r="T34" s="661">
        <f>Revenue!BI95</f>
        <v>2.7617276025456938E-2</v>
      </c>
      <c r="U34" s="661">
        <f>Revenue!BJ95</f>
        <v>0.9292434262201954</v>
      </c>
      <c r="V34" s="661">
        <f>Revenue!BK95</f>
        <v>0.92210581422260507</v>
      </c>
      <c r="W34" s="661">
        <f>Revenue!BL95</f>
        <v>0.91293957062531139</v>
      </c>
      <c r="X34" s="661">
        <f>Revenue!BM95</f>
        <v>0.70048280588708534</v>
      </c>
      <c r="Y34" s="661">
        <f>Revenue!BN95</f>
        <v>0.85055512955303691</v>
      </c>
      <c r="Z34" s="661">
        <f>Revenue!BO95</f>
        <v>-6.7457276523457455E-2</v>
      </c>
      <c r="AA34" s="661">
        <f>Revenue!BP95</f>
        <v>-9.2123362238882289E-2</v>
      </c>
      <c r="AB34" s="661">
        <f>Revenue!BQ95</f>
        <v>-0.13292720475677322</v>
      </c>
      <c r="AC34" s="661">
        <f>Revenue!BR95</f>
        <v>4.3567250312990913E-2</v>
      </c>
      <c r="AD34" s="661">
        <f>Revenue!BS95</f>
        <v>-0.18615917150327377</v>
      </c>
      <c r="AE34" s="661">
        <f>Revenue!BT95</f>
        <v>-0.1331059162174496</v>
      </c>
      <c r="AF34" s="661">
        <f>Revenue!BU95</f>
        <v>-9.9217094437371922E-2</v>
      </c>
      <c r="AG34" s="661">
        <f>Revenue!BV95</f>
        <v>-7.2676446640427939E-2</v>
      </c>
      <c r="AH34" s="661"/>
      <c r="AI34" s="661">
        <f>Revenue!BX95</f>
        <v>-4.5777212380503807E-2</v>
      </c>
      <c r="AJ34" s="661">
        <f>Revenue!BY95</f>
        <v>1.0259276470142575E-2</v>
      </c>
      <c r="AK34" s="661">
        <f>Revenue!BZ95</f>
        <v>4.0072311538912775E-2</v>
      </c>
      <c r="AL34" s="661">
        <f>Revenue!CA95</f>
        <v>3.8617421389305129E-2</v>
      </c>
      <c r="AM34" s="661"/>
      <c r="AN34" s="661">
        <f>Revenue!CC95</f>
        <v>6.1086870289567718E-2</v>
      </c>
      <c r="AO34" s="661">
        <f>Revenue!CD95</f>
        <v>-1.8994413407821265E-2</v>
      </c>
      <c r="AP34" s="661">
        <f>Revenue!CE95</f>
        <v>-6.5898451566438698E-2</v>
      </c>
      <c r="AQ34" s="661">
        <f>Revenue!CF95</f>
        <v>-7.4086956521739133E-2</v>
      </c>
      <c r="AR34" s="1010"/>
      <c r="AS34" s="661">
        <f>Revenue!CH95</f>
        <v>-1.4953271028036452E-3</v>
      </c>
      <c r="AT34" s="661">
        <f>Revenue!CI95</f>
        <v>2.6575550493548317E-3</v>
      </c>
      <c r="AU34" s="661">
        <f>Revenue!CJ95</f>
        <v>3.8550501156531247E-4</v>
      </c>
      <c r="AV34" s="661">
        <f>Revenue!CK95</f>
        <v>1.5401953418482384E-2</v>
      </c>
      <c r="AW34" s="1010"/>
      <c r="AX34" s="660">
        <v>-0.04</v>
      </c>
      <c r="AY34" s="660">
        <v>-0.04</v>
      </c>
      <c r="AZ34" s="660">
        <v>-0.01</v>
      </c>
      <c r="BA34" s="660">
        <v>-0.01</v>
      </c>
      <c r="BB34" s="1010"/>
      <c r="BC34" s="660">
        <v>-1.2E-2</v>
      </c>
      <c r="BD34" s="660">
        <v>-1.2E-2</v>
      </c>
      <c r="BE34" s="660">
        <v>-1.2E-2</v>
      </c>
      <c r="BF34" s="660">
        <v>-1.2E-2</v>
      </c>
      <c r="BG34" s="1010"/>
      <c r="BH34" s="660">
        <v>-0.105</v>
      </c>
      <c r="BI34" s="660">
        <v>-0.105</v>
      </c>
      <c r="BJ34" s="660">
        <v>-0.105</v>
      </c>
      <c r="BK34" s="660">
        <v>-0.105</v>
      </c>
      <c r="BL34" s="1010"/>
      <c r="BM34" s="660">
        <v>-0.115</v>
      </c>
      <c r="BN34" s="660">
        <v>-0.115</v>
      </c>
      <c r="BO34" s="660">
        <v>-0.115</v>
      </c>
      <c r="BP34" s="660">
        <v>-0.115</v>
      </c>
      <c r="BQ34" s="1010"/>
    </row>
    <row r="35" spans="2:69" x14ac:dyDescent="0.2">
      <c r="B35" s="918"/>
      <c r="C35" s="910" t="s">
        <v>342</v>
      </c>
      <c r="D35" s="917"/>
      <c r="E35" s="666"/>
      <c r="F35" s="661"/>
      <c r="G35" s="661"/>
      <c r="H35" s="661"/>
      <c r="I35" s="661"/>
      <c r="J35" s="666"/>
      <c r="K35" s="660"/>
      <c r="L35" s="660"/>
      <c r="M35" s="660"/>
      <c r="N35" s="661"/>
      <c r="O35" s="661"/>
      <c r="P35" s="661"/>
      <c r="Q35" s="661"/>
      <c r="R35" s="661"/>
      <c r="S35" s="661"/>
      <c r="T35" s="661"/>
      <c r="U35" s="661"/>
      <c r="V35" s="661"/>
      <c r="W35" s="661"/>
      <c r="X35" s="661"/>
      <c r="Y35" s="660"/>
      <c r="Z35" s="660"/>
      <c r="AA35" s="660"/>
      <c r="AB35" s="660"/>
      <c r="AC35" s="661"/>
      <c r="AD35" s="660"/>
      <c r="AE35" s="660"/>
      <c r="AF35" s="660"/>
      <c r="AG35" s="660"/>
      <c r="AH35" s="661"/>
      <c r="AI35" s="660"/>
      <c r="AJ35" s="660"/>
      <c r="AK35" s="660"/>
      <c r="AL35" s="660"/>
      <c r="AM35" s="661"/>
      <c r="AN35" s="660"/>
      <c r="AO35" s="660"/>
      <c r="AP35" s="660"/>
      <c r="AQ35" s="660"/>
      <c r="AR35" s="1010"/>
      <c r="AS35" s="660"/>
      <c r="AT35" s="660"/>
      <c r="AU35" s="660"/>
      <c r="AV35" s="660"/>
      <c r="AW35" s="1010"/>
      <c r="AX35" s="660">
        <f>AX34</f>
        <v>-0.04</v>
      </c>
      <c r="AY35" s="660">
        <f t="shared" ref="AY35:BA35" si="21">AY34</f>
        <v>-0.04</v>
      </c>
      <c r="AZ35" s="660">
        <f t="shared" si="21"/>
        <v>-0.01</v>
      </c>
      <c r="BA35" s="660">
        <f t="shared" si="21"/>
        <v>-0.01</v>
      </c>
      <c r="BB35" s="1010"/>
      <c r="BC35" s="660">
        <f>BC34-0.015</f>
        <v>-2.7E-2</v>
      </c>
      <c r="BD35" s="660">
        <f t="shared" ref="BD35:BF35" si="22">BD34-0.015</f>
        <v>-2.7E-2</v>
      </c>
      <c r="BE35" s="660">
        <f t="shared" si="22"/>
        <v>-2.7E-2</v>
      </c>
      <c r="BF35" s="660">
        <f t="shared" si="22"/>
        <v>-2.7E-2</v>
      </c>
      <c r="BG35" s="1010"/>
      <c r="BH35" s="660">
        <f>BH34-0.015</f>
        <v>-0.12</v>
      </c>
      <c r="BI35" s="660">
        <f t="shared" ref="BI35" si="23">BI34-0.015</f>
        <v>-0.12</v>
      </c>
      <c r="BJ35" s="660">
        <f t="shared" ref="BJ35" si="24">BJ34-0.015</f>
        <v>-0.12</v>
      </c>
      <c r="BK35" s="660">
        <f t="shared" ref="BK35" si="25">BK34-0.015</f>
        <v>-0.12</v>
      </c>
      <c r="BL35" s="1010"/>
      <c r="BM35" s="660">
        <f>BM34-0.015</f>
        <v>-0.13</v>
      </c>
      <c r="BN35" s="660">
        <f t="shared" ref="BN35" si="26">BN34-0.015</f>
        <v>-0.13</v>
      </c>
      <c r="BO35" s="660">
        <f t="shared" ref="BO35" si="27">BO34-0.015</f>
        <v>-0.13</v>
      </c>
      <c r="BP35" s="660">
        <f t="shared" ref="BP35" si="28">BP34-0.015</f>
        <v>-0.13</v>
      </c>
      <c r="BQ35" s="1010"/>
    </row>
    <row r="36" spans="2:69" x14ac:dyDescent="0.2">
      <c r="B36" s="918"/>
      <c r="C36" s="910"/>
      <c r="D36" s="917"/>
      <c r="E36" s="666"/>
      <c r="F36" s="661"/>
      <c r="G36" s="661"/>
      <c r="H36" s="661"/>
      <c r="I36" s="661"/>
      <c r="J36" s="666"/>
      <c r="K36" s="660"/>
      <c r="L36" s="660"/>
      <c r="M36" s="660"/>
      <c r="N36" s="661"/>
      <c r="O36" s="757"/>
      <c r="P36" s="757"/>
      <c r="Q36" s="757"/>
      <c r="R36" s="757"/>
      <c r="S36" s="757"/>
      <c r="T36" s="757"/>
      <c r="U36" s="1076"/>
      <c r="V36" s="1076"/>
      <c r="W36" s="1076"/>
      <c r="X36" s="757"/>
      <c r="Y36" s="1518"/>
      <c r="Z36" s="1518"/>
      <c r="AA36" s="1518"/>
      <c r="AB36" s="1518"/>
      <c r="AC36" s="917"/>
      <c r="AD36" s="1076"/>
      <c r="AE36" s="1076"/>
      <c r="AF36" s="1076"/>
      <c r="AG36" s="1076"/>
      <c r="AH36" s="757"/>
      <c r="AI36" s="1076"/>
      <c r="AJ36" s="1076"/>
      <c r="AK36" s="1076"/>
      <c r="AL36" s="1076"/>
      <c r="AM36" s="757"/>
      <c r="AN36" s="1076"/>
      <c r="AO36" s="1076"/>
      <c r="AP36" s="1076"/>
      <c r="AQ36" s="1076"/>
      <c r="AR36" s="1515"/>
      <c r="AS36" s="1076"/>
      <c r="AT36" s="1076"/>
      <c r="AU36" s="1076"/>
      <c r="AV36" s="1076"/>
      <c r="AW36" s="1515"/>
      <c r="AX36" s="1196"/>
      <c r="AY36" s="1196"/>
      <c r="AZ36" s="1196"/>
      <c r="BA36" s="1196"/>
      <c r="BB36" s="1515"/>
      <c r="BC36" s="1196"/>
      <c r="BD36" s="1196"/>
      <c r="BE36" s="1196"/>
      <c r="BF36" s="1196"/>
      <c r="BG36" s="1515"/>
      <c r="BH36" s="1196"/>
      <c r="BI36" s="1196"/>
      <c r="BJ36" s="1196"/>
      <c r="BK36" s="1196"/>
      <c r="BL36" s="1515"/>
      <c r="BM36" s="1196"/>
      <c r="BN36" s="1196"/>
      <c r="BO36" s="1196"/>
      <c r="BP36" s="1196"/>
      <c r="BQ36" s="1515"/>
    </row>
    <row r="37" spans="2:69" x14ac:dyDescent="0.2">
      <c r="B37" s="918"/>
      <c r="C37" s="910" t="s">
        <v>344</v>
      </c>
      <c r="D37" s="917"/>
      <c r="E37" s="666"/>
      <c r="F37" s="661"/>
      <c r="G37" s="661"/>
      <c r="H37" s="661"/>
      <c r="I37" s="661"/>
      <c r="J37" s="666"/>
      <c r="K37" s="660"/>
      <c r="L37" s="660"/>
      <c r="M37" s="660"/>
      <c r="N37" s="661"/>
      <c r="O37" s="1149"/>
      <c r="P37" s="1149"/>
      <c r="Q37" s="1149"/>
      <c r="R37" s="1149"/>
      <c r="S37" s="1149"/>
      <c r="T37" s="1149"/>
      <c r="U37" s="1150"/>
      <c r="V37" s="1150"/>
      <c r="W37" s="1150"/>
      <c r="X37" s="1149"/>
      <c r="Y37" s="1150"/>
      <c r="Z37" s="1150"/>
      <c r="AA37" s="1150"/>
      <c r="AB37" s="1150"/>
      <c r="AC37" s="1149"/>
      <c r="AD37" s="1150"/>
      <c r="AE37" s="1150"/>
      <c r="AF37" s="1150"/>
      <c r="AG37" s="1150"/>
      <c r="AH37" s="1149"/>
      <c r="AI37" s="1150"/>
      <c r="AJ37" s="1150"/>
      <c r="AK37" s="1150"/>
      <c r="AL37" s="1150"/>
      <c r="AM37" s="1149"/>
      <c r="AN37" s="1150"/>
      <c r="AO37" s="1150"/>
      <c r="AP37" s="1150"/>
      <c r="AQ37" s="1150"/>
      <c r="AR37" s="1220"/>
      <c r="AS37" s="1150"/>
      <c r="AT37" s="1150"/>
      <c r="AU37" s="1150"/>
      <c r="AV37" s="1150"/>
      <c r="AW37" s="1220"/>
      <c r="AX37" s="1196"/>
      <c r="AY37" s="1196"/>
      <c r="AZ37" s="1196"/>
      <c r="BA37" s="1196"/>
      <c r="BB37" s="1220"/>
      <c r="BC37" s="1196"/>
      <c r="BD37" s="1196"/>
      <c r="BE37" s="1196"/>
      <c r="BF37" s="1196"/>
      <c r="BG37" s="1220"/>
      <c r="BH37" s="1196"/>
      <c r="BI37" s="1196"/>
      <c r="BJ37" s="1196"/>
      <c r="BK37" s="1196"/>
      <c r="BL37" s="1220"/>
      <c r="BM37" s="1196"/>
      <c r="BN37" s="1196"/>
      <c r="BO37" s="1196"/>
      <c r="BP37" s="1196"/>
      <c r="BQ37" s="1220"/>
    </row>
    <row r="38" spans="2:69" x14ac:dyDescent="0.2">
      <c r="B38" s="918"/>
      <c r="C38" s="910" t="s">
        <v>340</v>
      </c>
      <c r="D38" s="917"/>
      <c r="E38" s="666"/>
      <c r="F38" s="661"/>
      <c r="G38" s="661"/>
      <c r="H38" s="661"/>
      <c r="I38" s="661"/>
      <c r="J38" s="666"/>
      <c r="K38" s="660"/>
      <c r="L38" s="660"/>
      <c r="M38" s="660"/>
      <c r="N38" s="661"/>
      <c r="O38" s="661"/>
      <c r="P38" s="661"/>
      <c r="Q38" s="661"/>
      <c r="R38" s="661"/>
      <c r="S38" s="661"/>
      <c r="T38" s="661"/>
      <c r="U38" s="661"/>
      <c r="V38" s="661"/>
      <c r="W38" s="661"/>
      <c r="X38" s="661"/>
      <c r="Y38" s="660"/>
      <c r="Z38" s="660"/>
      <c r="AA38" s="660"/>
      <c r="AB38" s="660"/>
      <c r="AC38" s="661"/>
      <c r="AD38" s="660"/>
      <c r="AE38" s="660"/>
      <c r="AF38" s="660"/>
      <c r="AG38" s="660"/>
      <c r="AH38" s="661"/>
      <c r="AI38" s="660"/>
      <c r="AJ38" s="660"/>
      <c r="AK38" s="660"/>
      <c r="AL38" s="660"/>
      <c r="AM38" s="661"/>
      <c r="AN38" s="660"/>
      <c r="AO38" s="660"/>
      <c r="AP38" s="660"/>
      <c r="AQ38" s="660"/>
      <c r="AR38" s="1010"/>
      <c r="AS38" s="660"/>
      <c r="AT38" s="660"/>
      <c r="AU38" s="660"/>
      <c r="AV38" s="660"/>
      <c r="AW38" s="1010"/>
      <c r="AX38" s="660">
        <v>-1.4999999999999999E-2</v>
      </c>
      <c r="AY38" s="660">
        <v>-1.4999999999999999E-2</v>
      </c>
      <c r="AZ38" s="660">
        <v>-1.4999999999999999E-2</v>
      </c>
      <c r="BA38" s="660">
        <v>-1.4999999999999999E-2</v>
      </c>
      <c r="BB38" s="1010"/>
      <c r="BC38" s="911">
        <f>BC39+1.5%</f>
        <v>9.9999999999999985E-3</v>
      </c>
      <c r="BD38" s="911">
        <f t="shared" ref="BD38:BF38" si="29">BD39+1.5%</f>
        <v>9.9999999999999985E-3</v>
      </c>
      <c r="BE38" s="911">
        <f t="shared" si="29"/>
        <v>9.9999999999999985E-3</v>
      </c>
      <c r="BF38" s="911">
        <f t="shared" si="29"/>
        <v>9.9999999999999985E-3</v>
      </c>
      <c r="BG38" s="1010"/>
      <c r="BH38" s="911">
        <f>BH39+1.5%</f>
        <v>-0.09</v>
      </c>
      <c r="BI38" s="911">
        <f t="shared" ref="BI38" si="30">BI39+1.5%</f>
        <v>-0.09</v>
      </c>
      <c r="BJ38" s="911">
        <f t="shared" ref="BJ38" si="31">BJ39+1.5%</f>
        <v>-0.09</v>
      </c>
      <c r="BK38" s="911">
        <f t="shared" ref="BK38" si="32">BK39+1.5%</f>
        <v>-0.09</v>
      </c>
      <c r="BL38" s="1010"/>
      <c r="BM38" s="911">
        <f>BM39+1.5%</f>
        <v>-0.1</v>
      </c>
      <c r="BN38" s="911">
        <f t="shared" ref="BN38" si="33">BN39+1.5%</f>
        <v>-0.1</v>
      </c>
      <c r="BO38" s="911">
        <f t="shared" ref="BO38" si="34">BO39+1.5%</f>
        <v>-0.1</v>
      </c>
      <c r="BP38" s="911">
        <f t="shared" ref="BP38" si="35">BP39+1.5%</f>
        <v>-0.1</v>
      </c>
      <c r="BQ38" s="1010"/>
    </row>
    <row r="39" spans="2:69" x14ac:dyDescent="0.2">
      <c r="B39" s="918"/>
      <c r="C39" s="910" t="s">
        <v>341</v>
      </c>
      <c r="D39" s="917"/>
      <c r="E39" s="924">
        <f>Revenue!AT97</f>
        <v>-5.0985494760298677E-2</v>
      </c>
      <c r="F39" s="661">
        <f>Revenue!AU97</f>
        <v>-4.0092571353340545E-2</v>
      </c>
      <c r="G39" s="661">
        <f>Revenue!AV97</f>
        <v>-3.0673102730162105E-2</v>
      </c>
      <c r="H39" s="661">
        <f>Revenue!AW97</f>
        <v>0.10185198182459265</v>
      </c>
      <c r="I39" s="661">
        <f>Revenue!AX97</f>
        <v>-2.3183266574705041E-2</v>
      </c>
      <c r="J39" s="924">
        <f>Revenue!AY97</f>
        <v>0.26347266933149127</v>
      </c>
      <c r="K39" s="924">
        <f>Revenue!AZ97</f>
        <v>0.23370686888385839</v>
      </c>
      <c r="L39" s="924">
        <f>Revenue!BA97</f>
        <v>0.23169916623109832</v>
      </c>
      <c r="M39" s="924">
        <f>Revenue!BB97</f>
        <v>0.11562735822436521</v>
      </c>
      <c r="N39" s="661">
        <f>Revenue!BC97</f>
        <v>0.02</v>
      </c>
      <c r="O39" s="661">
        <f>Revenue!BD97</f>
        <v>-2.3115898818105718E-3</v>
      </c>
      <c r="P39" s="661">
        <f>Revenue!BE97</f>
        <v>5.0898036209094943E-3</v>
      </c>
      <c r="Q39" s="661">
        <f>Revenue!BF97</f>
        <v>-1.0746302094354454E-2</v>
      </c>
      <c r="R39" s="661">
        <f>Revenue!BG97</f>
        <v>1.32126991570376E-2</v>
      </c>
      <c r="S39" s="661">
        <f>Revenue!BH97</f>
        <v>1.3139326677780172E-3</v>
      </c>
      <c r="T39" s="661">
        <f>Revenue!BI97</f>
        <v>0.11352399894802656</v>
      </c>
      <c r="U39" s="661">
        <f>Revenue!BJ97</f>
        <v>2.0354956737139753</v>
      </c>
      <c r="V39" s="661">
        <f>Revenue!BK97</f>
        <v>2.0091864513042688</v>
      </c>
      <c r="W39" s="661">
        <f>Revenue!BL97</f>
        <v>1.8670055096096148</v>
      </c>
      <c r="X39" s="661">
        <f>Revenue!BM97</f>
        <v>1.5114095617030361</v>
      </c>
      <c r="Y39" s="661">
        <f>Revenue!BN97</f>
        <v>1.6439555990408894</v>
      </c>
      <c r="Z39" s="661">
        <f>Revenue!BO97</f>
        <v>-8.8229766100378249E-2</v>
      </c>
      <c r="AA39" s="661">
        <f>Revenue!BP97</f>
        <v>-8.9876537722365035E-2</v>
      </c>
      <c r="AB39" s="661">
        <f>Revenue!BQ97</f>
        <v>-6.6961753937680335E-2</v>
      </c>
      <c r="AC39" s="661">
        <f>Revenue!BR97</f>
        <v>0.1071574685089427</v>
      </c>
      <c r="AD39" s="661">
        <f>Revenue!BS97</f>
        <v>-0.17936909470571627</v>
      </c>
      <c r="AE39" s="661">
        <f>Revenue!BT97</f>
        <v>-0.10262320759980226</v>
      </c>
      <c r="AF39" s="661">
        <f>Revenue!BU97</f>
        <v>-4.755696969635459E-2</v>
      </c>
      <c r="AG39" s="661">
        <f>Revenue!BV97</f>
        <v>-5.3655185808237471E-2</v>
      </c>
      <c r="AH39" s="661"/>
      <c r="AI39" s="661">
        <f>Revenue!BX97</f>
        <v>3.5440237393594032E-2</v>
      </c>
      <c r="AJ39" s="661">
        <f>Revenue!BY97</f>
        <v>-7.0305123804655922E-3</v>
      </c>
      <c r="AK39" s="661">
        <f>Revenue!BZ97</f>
        <v>-5.2434641424847661E-2</v>
      </c>
      <c r="AL39" s="661">
        <f>Revenue!CA97</f>
        <v>-7.5272842098085269E-3</v>
      </c>
      <c r="AM39" s="661"/>
      <c r="AN39" s="661">
        <f>Revenue!CC97</f>
        <v>3.3112582781458233E-3</v>
      </c>
      <c r="AO39" s="661">
        <f>Revenue!CD97</f>
        <v>-2.3178807947019875E-2</v>
      </c>
      <c r="AP39" s="661">
        <f>Revenue!CE97</f>
        <v>0</v>
      </c>
      <c r="AQ39" s="661">
        <f>Revenue!CF97</f>
        <v>-2.5641025641025661E-2</v>
      </c>
      <c r="AR39" s="1010"/>
      <c r="AS39" s="661">
        <f>Revenue!CH97</f>
        <v>-4.2904290429042979E-2</v>
      </c>
      <c r="AT39" s="661">
        <f>Revenue!CI97</f>
        <v>-6.7796610169491567E-3</v>
      </c>
      <c r="AU39" s="661">
        <f>Revenue!CJ97</f>
        <v>-3.9999999999999925E-2</v>
      </c>
      <c r="AV39" s="661">
        <f>Revenue!CK97</f>
        <v>-3.289473684210531E-2</v>
      </c>
      <c r="AW39" s="1010"/>
      <c r="AX39" s="660">
        <v>-3.5000000000000003E-2</v>
      </c>
      <c r="AY39" s="660">
        <v>-3.5000000000000003E-2</v>
      </c>
      <c r="AZ39" s="660">
        <v>-5.0000000000000001E-3</v>
      </c>
      <c r="BA39" s="660">
        <v>-5.0000000000000001E-3</v>
      </c>
      <c r="BB39" s="1010"/>
      <c r="BC39" s="660">
        <v>-5.0000000000000001E-3</v>
      </c>
      <c r="BD39" s="660">
        <v>-5.0000000000000001E-3</v>
      </c>
      <c r="BE39" s="660">
        <v>-5.0000000000000001E-3</v>
      </c>
      <c r="BF39" s="660">
        <v>-5.0000000000000001E-3</v>
      </c>
      <c r="BG39" s="1010"/>
      <c r="BH39" s="660">
        <v>-0.105</v>
      </c>
      <c r="BI39" s="660">
        <v>-0.105</v>
      </c>
      <c r="BJ39" s="660">
        <v>-0.105</v>
      </c>
      <c r="BK39" s="660">
        <v>-0.105</v>
      </c>
      <c r="BL39" s="1010"/>
      <c r="BM39" s="660">
        <v>-0.115</v>
      </c>
      <c r="BN39" s="660">
        <v>-0.115</v>
      </c>
      <c r="BO39" s="660">
        <v>-0.115</v>
      </c>
      <c r="BP39" s="660">
        <v>-0.115</v>
      </c>
      <c r="BQ39" s="1010"/>
    </row>
    <row r="40" spans="2:69" x14ac:dyDescent="0.2">
      <c r="B40" s="918"/>
      <c r="C40" s="910" t="s">
        <v>342</v>
      </c>
      <c r="D40" s="917"/>
      <c r="E40" s="666"/>
      <c r="F40" s="661"/>
      <c r="G40" s="661"/>
      <c r="H40" s="661"/>
      <c r="I40" s="661"/>
      <c r="J40" s="666"/>
      <c r="K40" s="660"/>
      <c r="L40" s="660"/>
      <c r="M40" s="660"/>
      <c r="N40" s="661"/>
      <c r="O40" s="661"/>
      <c r="P40" s="661"/>
      <c r="Q40" s="661"/>
      <c r="R40" s="661"/>
      <c r="S40" s="661"/>
      <c r="T40" s="661"/>
      <c r="U40" s="661"/>
      <c r="V40" s="661"/>
      <c r="W40" s="661"/>
      <c r="X40" s="661"/>
      <c r="Y40" s="660"/>
      <c r="Z40" s="660"/>
      <c r="AA40" s="660"/>
      <c r="AB40" s="660"/>
      <c r="AC40" s="661"/>
      <c r="AD40" s="660"/>
      <c r="AE40" s="660"/>
      <c r="AF40" s="660"/>
      <c r="AG40" s="660"/>
      <c r="AH40" s="661"/>
      <c r="AI40" s="660"/>
      <c r="AJ40" s="660"/>
      <c r="AK40" s="660"/>
      <c r="AL40" s="660"/>
      <c r="AM40" s="661"/>
      <c r="AN40" s="660"/>
      <c r="AO40" s="660"/>
      <c r="AP40" s="660"/>
      <c r="AQ40" s="660"/>
      <c r="AR40" s="1010"/>
      <c r="AS40" s="660"/>
      <c r="AT40" s="660"/>
      <c r="AU40" s="660"/>
      <c r="AV40" s="660"/>
      <c r="AW40" s="1010"/>
      <c r="AX40" s="660">
        <f>AX39</f>
        <v>-3.5000000000000003E-2</v>
      </c>
      <c r="AY40" s="660">
        <f t="shared" ref="AY40:BA40" si="36">AY39</f>
        <v>-3.5000000000000003E-2</v>
      </c>
      <c r="AZ40" s="660">
        <f t="shared" si="36"/>
        <v>-5.0000000000000001E-3</v>
      </c>
      <c r="BA40" s="660">
        <f t="shared" si="36"/>
        <v>-5.0000000000000001E-3</v>
      </c>
      <c r="BB40" s="1010"/>
      <c r="BC40" s="660">
        <f>BC39-0.02</f>
        <v>-2.5000000000000001E-2</v>
      </c>
      <c r="BD40" s="660">
        <f t="shared" ref="BD40:BF40" si="37">BD39-0.02</f>
        <v>-2.5000000000000001E-2</v>
      </c>
      <c r="BE40" s="660">
        <f t="shared" si="37"/>
        <v>-2.5000000000000001E-2</v>
      </c>
      <c r="BF40" s="660">
        <f t="shared" si="37"/>
        <v>-2.5000000000000001E-2</v>
      </c>
      <c r="BG40" s="1010"/>
      <c r="BH40" s="660">
        <f>BH39-0.015</f>
        <v>-0.12</v>
      </c>
      <c r="BI40" s="660">
        <f t="shared" ref="BI40" si="38">BI39-0.015</f>
        <v>-0.12</v>
      </c>
      <c r="BJ40" s="660">
        <f t="shared" ref="BJ40" si="39">BJ39-0.015</f>
        <v>-0.12</v>
      </c>
      <c r="BK40" s="660">
        <f t="shared" ref="BK40" si="40">BK39-0.015</f>
        <v>-0.12</v>
      </c>
      <c r="BL40" s="1010"/>
      <c r="BM40" s="660">
        <f>BM39-0.015</f>
        <v>-0.13</v>
      </c>
      <c r="BN40" s="660">
        <f t="shared" ref="BN40" si="41">BN39-0.015</f>
        <v>-0.13</v>
      </c>
      <c r="BO40" s="660">
        <f t="shared" ref="BO40" si="42">BO39-0.015</f>
        <v>-0.13</v>
      </c>
      <c r="BP40" s="660">
        <f t="shared" ref="BP40" si="43">BP39-0.015</f>
        <v>-0.13</v>
      </c>
      <c r="BQ40" s="1010"/>
    </row>
    <row r="41" spans="2:69" ht="13.5" thickBot="1" x14ac:dyDescent="0.25">
      <c r="B41" s="925"/>
      <c r="C41" s="926"/>
      <c r="D41" s="926"/>
      <c r="E41" s="926"/>
      <c r="F41" s="926"/>
      <c r="G41" s="926"/>
      <c r="H41" s="926"/>
      <c r="I41" s="926"/>
      <c r="J41" s="926"/>
      <c r="K41" s="926"/>
      <c r="L41" s="926"/>
      <c r="M41" s="926"/>
      <c r="N41" s="926"/>
      <c r="O41" s="926"/>
      <c r="P41" s="926"/>
      <c r="Q41" s="926"/>
      <c r="R41" s="926"/>
      <c r="S41" s="926"/>
      <c r="T41" s="926"/>
      <c r="U41" s="926"/>
      <c r="V41" s="926"/>
      <c r="W41" s="926"/>
      <c r="X41" s="926"/>
      <c r="Y41" s="926"/>
      <c r="Z41" s="926"/>
      <c r="AA41" s="926"/>
      <c r="AB41" s="926"/>
      <c r="AC41" s="926"/>
      <c r="AD41" s="926"/>
      <c r="AE41" s="926"/>
      <c r="AF41" s="926"/>
      <c r="AG41" s="926"/>
      <c r="AH41" s="926"/>
      <c r="AI41" s="926"/>
      <c r="AJ41" s="926"/>
      <c r="AK41" s="926"/>
      <c r="AL41" s="926"/>
      <c r="AM41" s="926"/>
      <c r="AN41" s="926"/>
      <c r="AO41" s="926"/>
      <c r="AP41" s="926"/>
      <c r="AQ41" s="926"/>
      <c r="AR41" s="927"/>
      <c r="AS41" s="926"/>
      <c r="AT41" s="926"/>
      <c r="AU41" s="926"/>
      <c r="AV41" s="926"/>
      <c r="AW41" s="927"/>
      <c r="AX41" s="926"/>
      <c r="AY41" s="926"/>
      <c r="AZ41" s="926"/>
      <c r="BA41" s="926"/>
      <c r="BB41" s="927"/>
      <c r="BC41" s="926"/>
      <c r="BD41" s="926"/>
      <c r="BE41" s="926"/>
      <c r="BF41" s="926"/>
      <c r="BG41" s="927"/>
      <c r="BH41" s="926"/>
      <c r="BI41" s="926"/>
      <c r="BJ41" s="926"/>
      <c r="BK41" s="926"/>
      <c r="BL41" s="927"/>
      <c r="BM41" s="926"/>
      <c r="BN41" s="926"/>
      <c r="BO41" s="926"/>
      <c r="BP41" s="926"/>
      <c r="BQ41" s="927"/>
    </row>
    <row r="42" spans="2:69" x14ac:dyDescent="0.2">
      <c r="AS42" s="679"/>
      <c r="BC42" s="930"/>
      <c r="BH42" s="930"/>
      <c r="BM42" s="930"/>
    </row>
    <row r="43" spans="2:69" ht="13.5" hidden="1" thickBot="1" x14ac:dyDescent="0.25">
      <c r="B43" s="1369"/>
      <c r="C43" s="1370" t="s">
        <v>417</v>
      </c>
      <c r="D43" s="827"/>
      <c r="E43" s="810" t="str">
        <f t="shared" ref="E43:AW43" si="44">E7</f>
        <v>1QA</v>
      </c>
      <c r="F43" s="810" t="str">
        <f t="shared" si="44"/>
        <v>2QA</v>
      </c>
      <c r="G43" s="810" t="str">
        <f t="shared" si="44"/>
        <v>3QA</v>
      </c>
      <c r="H43" s="810" t="str">
        <f t="shared" si="44"/>
        <v>4QA</v>
      </c>
      <c r="I43" s="828" t="str">
        <f t="shared" si="44"/>
        <v>2009A</v>
      </c>
      <c r="J43" s="810" t="str">
        <f t="shared" si="44"/>
        <v>1QA</v>
      </c>
      <c r="K43" s="810" t="str">
        <f t="shared" si="44"/>
        <v>2QA</v>
      </c>
      <c r="L43" s="810" t="str">
        <f t="shared" si="44"/>
        <v>3QA</v>
      </c>
      <c r="M43" s="810" t="str">
        <f t="shared" si="44"/>
        <v>4QA</v>
      </c>
      <c r="N43" s="828" t="str">
        <f t="shared" si="44"/>
        <v>2010A</v>
      </c>
      <c r="O43" s="810" t="str">
        <f t="shared" si="44"/>
        <v>1QA</v>
      </c>
      <c r="P43" s="810" t="str">
        <f t="shared" si="44"/>
        <v>2QA</v>
      </c>
      <c r="Q43" s="810" t="str">
        <f t="shared" si="44"/>
        <v>3QA</v>
      </c>
      <c r="R43" s="810" t="str">
        <f t="shared" si="44"/>
        <v>4QA</v>
      </c>
      <c r="S43" s="828" t="str">
        <f t="shared" si="44"/>
        <v>2011A</v>
      </c>
      <c r="T43" s="810" t="str">
        <f t="shared" si="44"/>
        <v>1QA</v>
      </c>
      <c r="U43" s="810" t="str">
        <f t="shared" si="44"/>
        <v>2QA</v>
      </c>
      <c r="V43" s="810" t="str">
        <f t="shared" si="44"/>
        <v>3QA</v>
      </c>
      <c r="W43" s="810" t="str">
        <f t="shared" si="44"/>
        <v>4QA</v>
      </c>
      <c r="X43" s="828" t="str">
        <f t="shared" si="44"/>
        <v>2012A</v>
      </c>
      <c r="Y43" s="810" t="str">
        <f t="shared" si="44"/>
        <v>1QA</v>
      </c>
      <c r="Z43" s="810" t="str">
        <f t="shared" si="44"/>
        <v>2QA</v>
      </c>
      <c r="AA43" s="810" t="str">
        <f t="shared" si="44"/>
        <v>3QA</v>
      </c>
      <c r="AB43" s="810" t="str">
        <f t="shared" si="44"/>
        <v>4QA</v>
      </c>
      <c r="AC43" s="828" t="str">
        <f t="shared" si="44"/>
        <v>2013A</v>
      </c>
      <c r="AD43" s="810" t="str">
        <f t="shared" si="44"/>
        <v>1QA</v>
      </c>
      <c r="AE43" s="810" t="str">
        <f t="shared" si="44"/>
        <v>2QA</v>
      </c>
      <c r="AF43" s="810" t="str">
        <f t="shared" si="44"/>
        <v>3QA</v>
      </c>
      <c r="AG43" s="810" t="str">
        <f t="shared" si="44"/>
        <v>4QA</v>
      </c>
      <c r="AH43" s="828" t="str">
        <f t="shared" si="44"/>
        <v>2014A</v>
      </c>
      <c r="AI43" s="810" t="str">
        <f t="shared" si="44"/>
        <v>1QA</v>
      </c>
      <c r="AJ43" s="810" t="str">
        <f t="shared" si="44"/>
        <v>2QA</v>
      </c>
      <c r="AK43" s="810" t="str">
        <f t="shared" si="44"/>
        <v>3QA</v>
      </c>
      <c r="AL43" s="810" t="str">
        <f t="shared" si="44"/>
        <v>4QA</v>
      </c>
      <c r="AM43" s="828" t="str">
        <f t="shared" si="44"/>
        <v>2015A</v>
      </c>
      <c r="AN43" s="810" t="str">
        <f t="shared" si="44"/>
        <v>1QA</v>
      </c>
      <c r="AO43" s="810" t="str">
        <f t="shared" si="44"/>
        <v>2QA</v>
      </c>
      <c r="AP43" s="810" t="str">
        <f t="shared" si="44"/>
        <v>3QA</v>
      </c>
      <c r="AQ43" s="810" t="str">
        <f t="shared" ref="AQ43:AS43" si="45">AQ7</f>
        <v>4QA</v>
      </c>
      <c r="AR43" s="828" t="str">
        <f t="shared" si="44"/>
        <v>2016A</v>
      </c>
      <c r="AS43" s="810" t="str">
        <f t="shared" si="45"/>
        <v>1QA</v>
      </c>
      <c r="AT43" s="810" t="str">
        <f t="shared" ref="AT43:AU43" si="46">AT7</f>
        <v>2QA</v>
      </c>
      <c r="AU43" s="810" t="str">
        <f t="shared" si="46"/>
        <v>3QA</v>
      </c>
      <c r="AV43" s="810" t="str">
        <f t="shared" si="44"/>
        <v>4QA</v>
      </c>
      <c r="AW43" s="828" t="str">
        <f t="shared" si="44"/>
        <v>2017A</v>
      </c>
      <c r="AX43" s="810" t="str">
        <f t="shared" ref="AX43:BG43" si="47">AX7</f>
        <v>1QE</v>
      </c>
      <c r="AY43" s="810" t="str">
        <f t="shared" si="47"/>
        <v>2QE</v>
      </c>
      <c r="AZ43" s="810" t="str">
        <f t="shared" si="47"/>
        <v>3QE</v>
      </c>
      <c r="BA43" s="810" t="str">
        <f t="shared" si="47"/>
        <v>4QE</v>
      </c>
      <c r="BB43" s="828" t="str">
        <f t="shared" si="47"/>
        <v>2018E</v>
      </c>
      <c r="BC43" s="810" t="str">
        <f t="shared" si="47"/>
        <v>1QE</v>
      </c>
      <c r="BD43" s="810" t="str">
        <f t="shared" si="47"/>
        <v>2QE</v>
      </c>
      <c r="BE43" s="810" t="str">
        <f t="shared" si="47"/>
        <v>3QE</v>
      </c>
      <c r="BF43" s="810" t="str">
        <f t="shared" si="47"/>
        <v>4QE</v>
      </c>
      <c r="BG43" s="828" t="str">
        <f t="shared" si="47"/>
        <v>2019E</v>
      </c>
      <c r="BH43" s="810" t="str">
        <f t="shared" ref="BH43:BQ43" si="48">BH7</f>
        <v>1QE</v>
      </c>
      <c r="BI43" s="810" t="str">
        <f t="shared" si="48"/>
        <v>2QE</v>
      </c>
      <c r="BJ43" s="810" t="str">
        <f t="shared" si="48"/>
        <v>3QE</v>
      </c>
      <c r="BK43" s="810" t="str">
        <f t="shared" si="48"/>
        <v>4QE</v>
      </c>
      <c r="BL43" s="828" t="str">
        <f t="shared" si="48"/>
        <v>2020E</v>
      </c>
      <c r="BM43" s="810" t="str">
        <f t="shared" si="48"/>
        <v>1QE</v>
      </c>
      <c r="BN43" s="810" t="str">
        <f t="shared" si="48"/>
        <v>2QE</v>
      </c>
      <c r="BO43" s="810" t="str">
        <f t="shared" si="48"/>
        <v>3QE</v>
      </c>
      <c r="BP43" s="810" t="str">
        <f t="shared" si="48"/>
        <v>4QE</v>
      </c>
      <c r="BQ43" s="828" t="str">
        <f t="shared" si="48"/>
        <v>2021E</v>
      </c>
    </row>
    <row r="44" spans="2:69" hidden="1" x14ac:dyDescent="0.2">
      <c r="B44" s="904"/>
      <c r="C44" s="905"/>
      <c r="D44" s="666"/>
      <c r="E44" s="906"/>
      <c r="F44" s="906"/>
      <c r="G44" s="666"/>
      <c r="H44" s="666"/>
      <c r="I44" s="666"/>
      <c r="J44" s="906"/>
      <c r="K44" s="906"/>
      <c r="L44" s="906"/>
      <c r="M44" s="906"/>
      <c r="N44" s="666"/>
      <c r="O44" s="666"/>
      <c r="P44" s="666"/>
      <c r="Q44" s="666"/>
      <c r="R44" s="666"/>
      <c r="S44" s="666"/>
      <c r="T44" s="666"/>
      <c r="U44" s="666"/>
      <c r="V44" s="666"/>
      <c r="W44" s="666"/>
      <c r="X44" s="666"/>
      <c r="Y44" s="666"/>
      <c r="Z44" s="666"/>
      <c r="AA44" s="666"/>
      <c r="AB44" s="666"/>
      <c r="AC44" s="666"/>
      <c r="AD44" s="666"/>
      <c r="AE44" s="666"/>
      <c r="AF44" s="666"/>
      <c r="AG44" s="666"/>
      <c r="AH44" s="666"/>
      <c r="AI44" s="666"/>
      <c r="AJ44" s="666"/>
      <c r="AK44" s="666"/>
      <c r="AL44" s="666"/>
      <c r="AM44" s="666"/>
      <c r="AN44" s="1146"/>
      <c r="AO44" s="666"/>
      <c r="AP44" s="666"/>
      <c r="AQ44" s="666"/>
      <c r="AR44" s="907"/>
      <c r="AS44" s="666"/>
      <c r="AT44" s="666"/>
      <c r="AU44" s="666"/>
      <c r="AV44" s="666"/>
      <c r="AW44" s="907"/>
      <c r="AX44" s="1146"/>
      <c r="AY44" s="666"/>
      <c r="AZ44" s="666"/>
      <c r="BA44" s="666"/>
      <c r="BB44" s="907"/>
      <c r="BC44" s="1146"/>
      <c r="BD44" s="666"/>
      <c r="BE44" s="666"/>
      <c r="BF44" s="666"/>
      <c r="BG44" s="907"/>
      <c r="BH44" s="1146"/>
      <c r="BI44" s="666"/>
      <c r="BJ44" s="666"/>
      <c r="BK44" s="666"/>
      <c r="BL44" s="907"/>
      <c r="BM44" s="1146"/>
      <c r="BN44" s="666"/>
      <c r="BO44" s="666"/>
      <c r="BP44" s="666"/>
      <c r="BQ44" s="907"/>
    </row>
    <row r="45" spans="2:69" ht="13.5" hidden="1" thickBot="1" x14ac:dyDescent="0.25">
      <c r="B45" s="904"/>
      <c r="C45" s="676">
        <f>C30</f>
        <v>2</v>
      </c>
      <c r="D45" s="666"/>
      <c r="E45" s="908"/>
      <c r="F45" s="908"/>
      <c r="G45" s="908"/>
      <c r="H45" s="1054"/>
      <c r="I45" s="1054"/>
      <c r="J45" s="930"/>
      <c r="K45" s="930"/>
      <c r="L45" s="930"/>
      <c r="M45" s="930"/>
      <c r="N45" s="908"/>
      <c r="O45" s="930"/>
      <c r="P45" s="908"/>
      <c r="Q45" s="1128"/>
      <c r="R45" s="1128"/>
      <c r="S45" s="1128"/>
      <c r="T45" s="1128"/>
      <c r="U45" s="1128"/>
      <c r="V45" s="1128"/>
      <c r="W45" s="1128"/>
      <c r="X45" s="1128"/>
      <c r="Y45" s="1128"/>
      <c r="Z45" s="1128"/>
      <c r="AA45" s="1128"/>
      <c r="AB45" s="1128"/>
      <c r="AC45" s="1131"/>
      <c r="AD45" s="908"/>
      <c r="AE45" s="908"/>
      <c r="AF45" s="908"/>
      <c r="AG45" s="908"/>
      <c r="AH45" s="908"/>
      <c r="AI45" s="908"/>
      <c r="AJ45" s="908"/>
      <c r="AK45" s="908"/>
      <c r="AL45" s="908"/>
      <c r="AM45" s="908"/>
      <c r="AN45" s="908"/>
      <c r="AO45" s="908"/>
      <c r="AP45" s="908"/>
      <c r="AQ45" s="908"/>
      <c r="AR45" s="909"/>
      <c r="AS45" s="908"/>
      <c r="AT45" s="908"/>
      <c r="AU45" s="908"/>
      <c r="AV45" s="908"/>
      <c r="AW45" s="909"/>
      <c r="AX45" s="908"/>
      <c r="AY45" s="908"/>
      <c r="AZ45" s="908"/>
      <c r="BA45" s="908"/>
      <c r="BB45" s="909"/>
      <c r="BC45" s="908"/>
      <c r="BD45" s="908"/>
      <c r="BE45" s="908"/>
      <c r="BF45" s="908"/>
      <c r="BG45" s="909"/>
      <c r="BH45" s="908"/>
      <c r="BI45" s="908"/>
      <c r="BJ45" s="908"/>
      <c r="BK45" s="908"/>
      <c r="BL45" s="909"/>
      <c r="BM45" s="908"/>
      <c r="BN45" s="908"/>
      <c r="BO45" s="908"/>
      <c r="BP45" s="908"/>
      <c r="BQ45" s="909"/>
    </row>
    <row r="46" spans="2:69" hidden="1" x14ac:dyDescent="0.2">
      <c r="B46" s="904"/>
      <c r="C46" s="910"/>
      <c r="D46" s="666"/>
      <c r="E46" s="908"/>
      <c r="F46" s="908"/>
      <c r="G46" s="1054"/>
      <c r="H46" s="1054"/>
      <c r="I46" s="1055"/>
      <c r="J46" s="1054"/>
      <c r="K46" s="1084"/>
      <c r="L46" s="1084"/>
      <c r="M46" s="1084"/>
      <c r="N46" s="908"/>
      <c r="O46" s="1054"/>
      <c r="P46" s="911"/>
      <c r="Q46" s="1129"/>
      <c r="R46" s="1129"/>
      <c r="S46" s="1131"/>
      <c r="T46" s="1129"/>
      <c r="U46" s="1128"/>
      <c r="V46" s="1128"/>
      <c r="W46" s="1128"/>
      <c r="X46" s="1131"/>
      <c r="Y46" s="1128"/>
      <c r="Z46" s="1128"/>
      <c r="AA46" s="1128"/>
      <c r="AB46" s="1128"/>
      <c r="AC46" s="1128"/>
      <c r="AD46" s="908"/>
      <c r="AE46" s="908"/>
      <c r="AF46" s="908"/>
      <c r="AG46" s="908"/>
      <c r="AH46" s="908"/>
      <c r="AI46" s="908"/>
      <c r="AJ46" s="908"/>
      <c r="AK46" s="908"/>
      <c r="AL46" s="908"/>
      <c r="AM46" s="908"/>
      <c r="AN46" s="908"/>
      <c r="AO46" s="908"/>
      <c r="AP46" s="908"/>
      <c r="AQ46" s="908"/>
      <c r="AR46" s="909"/>
      <c r="AS46" s="908"/>
      <c r="AT46" s="908"/>
      <c r="AU46" s="908"/>
      <c r="AV46" s="908"/>
      <c r="AW46" s="909"/>
      <c r="AX46" s="908"/>
      <c r="AY46" s="908"/>
      <c r="AZ46" s="908"/>
      <c r="BA46" s="908"/>
      <c r="BB46" s="909"/>
      <c r="BC46" s="908"/>
      <c r="BD46" s="908"/>
      <c r="BE46" s="908"/>
      <c r="BF46" s="908"/>
      <c r="BG46" s="909"/>
      <c r="BH46" s="908"/>
      <c r="BI46" s="908"/>
      <c r="BJ46" s="908"/>
      <c r="BK46" s="908"/>
      <c r="BL46" s="909"/>
      <c r="BM46" s="908"/>
      <c r="BN46" s="908"/>
      <c r="BO46" s="908"/>
      <c r="BP46" s="908"/>
      <c r="BQ46" s="909"/>
    </row>
    <row r="47" spans="2:69" ht="23.25" hidden="1" customHeight="1" x14ac:dyDescent="0.2">
      <c r="B47" s="2020" t="s">
        <v>416</v>
      </c>
      <c r="C47" s="2021"/>
      <c r="D47" s="2021"/>
      <c r="E47" s="1009"/>
      <c r="F47" s="1009"/>
      <c r="G47" s="1055"/>
      <c r="H47" s="1055"/>
      <c r="I47" s="1085"/>
      <c r="J47" s="1083"/>
      <c r="K47" s="1083"/>
      <c r="L47" s="1083"/>
      <c r="M47" s="1083"/>
      <c r="N47" s="1009"/>
      <c r="O47" s="1083"/>
      <c r="P47" s="1009"/>
      <c r="Q47" s="1130"/>
      <c r="R47" s="1130"/>
      <c r="S47" s="1130"/>
      <c r="T47" s="1130"/>
      <c r="U47" s="1130"/>
      <c r="V47" s="1130"/>
      <c r="W47" s="1130"/>
      <c r="X47" s="1130"/>
      <c r="Y47" s="1130"/>
      <c r="Z47" s="1130"/>
      <c r="AA47" s="1130"/>
      <c r="AB47" s="1130"/>
      <c r="AC47" s="1522"/>
      <c r="AD47" s="1009"/>
      <c r="AE47" s="1009"/>
      <c r="AF47" s="1009"/>
      <c r="AG47" s="1009"/>
      <c r="AH47" s="1009"/>
      <c r="AI47" s="1009"/>
      <c r="AJ47" s="1009"/>
      <c r="AK47" s="1009"/>
      <c r="AL47" s="1009"/>
      <c r="AM47" s="908"/>
      <c r="AN47" s="1009"/>
      <c r="AO47" s="1009"/>
      <c r="AP47" s="1009"/>
      <c r="AQ47" s="1009"/>
      <c r="AR47" s="909"/>
      <c r="AS47" s="1009"/>
      <c r="AT47" s="1009"/>
      <c r="AU47" s="1009"/>
      <c r="AV47" s="1009"/>
      <c r="AW47" s="909"/>
      <c r="AX47" s="1009"/>
      <c r="AY47" s="1009"/>
      <c r="AZ47" s="1009"/>
      <c r="BA47" s="1009"/>
      <c r="BB47" s="909"/>
      <c r="BC47" s="1009"/>
      <c r="BD47" s="1009"/>
      <c r="BE47" s="1009"/>
      <c r="BF47" s="1009"/>
      <c r="BG47" s="909"/>
      <c r="BH47" s="1009"/>
      <c r="BI47" s="1009"/>
      <c r="BJ47" s="1009"/>
      <c r="BK47" s="1009"/>
      <c r="BL47" s="909"/>
      <c r="BM47" s="1009"/>
      <c r="BN47" s="1009"/>
      <c r="BO47" s="1009"/>
      <c r="BP47" s="1009"/>
      <c r="BQ47" s="909"/>
    </row>
    <row r="48" spans="2:69" hidden="1" x14ac:dyDescent="0.2">
      <c r="B48" s="904"/>
      <c r="C48" s="910" t="s">
        <v>340</v>
      </c>
      <c r="D48" s="666"/>
      <c r="E48" s="661"/>
      <c r="F48" s="661"/>
      <c r="G48" s="661"/>
      <c r="H48" s="661"/>
      <c r="I48" s="661"/>
      <c r="J48" s="661"/>
      <c r="K48" s="660"/>
      <c r="L48" s="660"/>
      <c r="M48" s="660"/>
      <c r="N48" s="661"/>
      <c r="O48" s="661"/>
      <c r="P48" s="660"/>
      <c r="Q48" s="660"/>
      <c r="R48" s="660"/>
      <c r="S48" s="661"/>
      <c r="T48" s="660"/>
      <c r="U48" s="660"/>
      <c r="V48" s="660"/>
      <c r="W48" s="660"/>
      <c r="X48" s="661"/>
      <c r="Y48" s="660"/>
      <c r="Z48" s="660"/>
      <c r="AA48" s="660"/>
      <c r="AB48" s="660"/>
      <c r="AC48" s="661"/>
      <c r="AD48" s="660"/>
      <c r="AE48" s="660"/>
      <c r="AF48" s="660"/>
      <c r="AG48" s="660"/>
      <c r="AH48" s="661"/>
      <c r="AI48" s="660"/>
      <c r="AJ48" s="660"/>
      <c r="AK48" s="660"/>
      <c r="AL48" s="660"/>
      <c r="AM48" s="666"/>
      <c r="AN48" s="660"/>
      <c r="AO48" s="660"/>
      <c r="AP48" s="660"/>
      <c r="AQ48" s="660"/>
      <c r="AR48" s="907"/>
      <c r="AS48" s="660"/>
      <c r="AT48" s="660"/>
      <c r="AU48" s="660"/>
      <c r="AV48" s="660"/>
      <c r="AW48" s="907"/>
      <c r="AX48" s="660"/>
      <c r="AY48" s="660"/>
      <c r="AZ48" s="660"/>
      <c r="BA48" s="660"/>
      <c r="BB48" s="907"/>
      <c r="BC48" s="660"/>
      <c r="BD48" s="660"/>
      <c r="BE48" s="660"/>
      <c r="BF48" s="660"/>
      <c r="BG48" s="907"/>
      <c r="BH48" s="660"/>
      <c r="BI48" s="660"/>
      <c r="BJ48" s="660"/>
      <c r="BK48" s="660"/>
      <c r="BL48" s="907"/>
      <c r="BM48" s="660"/>
      <c r="BN48" s="660"/>
      <c r="BO48" s="660"/>
      <c r="BP48" s="660"/>
      <c r="BQ48" s="907"/>
    </row>
    <row r="49" spans="2:69" hidden="1" x14ac:dyDescent="0.2">
      <c r="B49" s="904"/>
      <c r="C49" s="910" t="s">
        <v>341</v>
      </c>
      <c r="D49" s="666"/>
      <c r="E49" s="661"/>
      <c r="F49" s="661"/>
      <c r="G49" s="661"/>
      <c r="H49" s="661"/>
      <c r="I49" s="661"/>
      <c r="J49" s="661"/>
      <c r="K49" s="661"/>
      <c r="L49" s="661"/>
      <c r="M49" s="661"/>
      <c r="N49" s="661"/>
      <c r="O49" s="661"/>
      <c r="P49" s="660"/>
      <c r="Q49" s="660"/>
      <c r="R49" s="660"/>
      <c r="S49" s="661"/>
      <c r="T49" s="660"/>
      <c r="U49" s="660"/>
      <c r="V49" s="660"/>
      <c r="W49" s="660"/>
      <c r="X49" s="661"/>
      <c r="Y49" s="660"/>
      <c r="Z49" s="660"/>
      <c r="AA49" s="660"/>
      <c r="AB49" s="660"/>
      <c r="AC49" s="661"/>
      <c r="AD49" s="660"/>
      <c r="AE49" s="660"/>
      <c r="AF49" s="660"/>
      <c r="AG49" s="660"/>
      <c r="AH49" s="661"/>
      <c r="AI49" s="660"/>
      <c r="AJ49" s="660"/>
      <c r="AK49" s="660"/>
      <c r="AL49" s="660"/>
      <c r="AM49" s="661"/>
      <c r="AN49" s="660"/>
      <c r="AO49" s="660"/>
      <c r="AP49" s="660"/>
      <c r="AQ49" s="660"/>
      <c r="AR49" s="1010"/>
      <c r="AS49" s="660"/>
      <c r="AT49" s="660"/>
      <c r="AU49" s="660"/>
      <c r="AV49" s="660"/>
      <c r="AW49" s="1010"/>
      <c r="AX49" s="660"/>
      <c r="AY49" s="660"/>
      <c r="AZ49" s="660"/>
      <c r="BA49" s="660"/>
      <c r="BB49" s="1010"/>
      <c r="BC49" s="660"/>
      <c r="BD49" s="660"/>
      <c r="BE49" s="660"/>
      <c r="BF49" s="660"/>
      <c r="BG49" s="1010"/>
      <c r="BH49" s="660"/>
      <c r="BI49" s="660"/>
      <c r="BJ49" s="660"/>
      <c r="BK49" s="660"/>
      <c r="BL49" s="1010"/>
      <c r="BM49" s="660"/>
      <c r="BN49" s="660"/>
      <c r="BO49" s="660"/>
      <c r="BP49" s="660"/>
      <c r="BQ49" s="1010"/>
    </row>
    <row r="50" spans="2:69" hidden="1" x14ac:dyDescent="0.2">
      <c r="B50" s="904"/>
      <c r="C50" s="910" t="s">
        <v>342</v>
      </c>
      <c r="D50" s="666"/>
      <c r="E50" s="661"/>
      <c r="F50" s="661"/>
      <c r="G50" s="661"/>
      <c r="H50" s="661"/>
      <c r="I50" s="661"/>
      <c r="J50" s="661"/>
      <c r="K50" s="660"/>
      <c r="L50" s="660"/>
      <c r="M50" s="660"/>
      <c r="N50" s="661"/>
      <c r="O50" s="661"/>
      <c r="P50" s="660"/>
      <c r="Q50" s="660"/>
      <c r="R50" s="660"/>
      <c r="S50" s="661"/>
      <c r="T50" s="660"/>
      <c r="U50" s="660"/>
      <c r="V50" s="660"/>
      <c r="W50" s="660"/>
      <c r="X50" s="661"/>
      <c r="Y50" s="660"/>
      <c r="Z50" s="660"/>
      <c r="AA50" s="660"/>
      <c r="AB50" s="660"/>
      <c r="AC50" s="661"/>
      <c r="AD50" s="660"/>
      <c r="AE50" s="660"/>
      <c r="AF50" s="660"/>
      <c r="AG50" s="660"/>
      <c r="AH50" s="661"/>
      <c r="AI50" s="660"/>
      <c r="AJ50" s="660"/>
      <c r="AK50" s="660"/>
      <c r="AL50" s="660"/>
      <c r="AM50" s="666"/>
      <c r="AN50" s="660"/>
      <c r="AO50" s="660"/>
      <c r="AP50" s="660"/>
      <c r="AQ50" s="660"/>
      <c r="AR50" s="907"/>
      <c r="AS50" s="660"/>
      <c r="AT50" s="660"/>
      <c r="AU50" s="660"/>
      <c r="AV50" s="660"/>
      <c r="AW50" s="907"/>
      <c r="AX50" s="660"/>
      <c r="AY50" s="660"/>
      <c r="AZ50" s="660"/>
      <c r="BA50" s="660"/>
      <c r="BB50" s="907"/>
      <c r="BC50" s="660"/>
      <c r="BD50" s="660"/>
      <c r="BE50" s="660"/>
      <c r="BF50" s="660"/>
      <c r="BG50" s="907"/>
      <c r="BH50" s="660"/>
      <c r="BI50" s="660"/>
      <c r="BJ50" s="660"/>
      <c r="BK50" s="660"/>
      <c r="BL50" s="907"/>
      <c r="BM50" s="660"/>
      <c r="BN50" s="660"/>
      <c r="BO50" s="660"/>
      <c r="BP50" s="660"/>
      <c r="BQ50" s="907"/>
    </row>
    <row r="51" spans="2:69" ht="13.5" hidden="1" thickBot="1" x14ac:dyDescent="0.25">
      <c r="B51" s="913"/>
      <c r="C51" s="914"/>
      <c r="D51" s="915"/>
      <c r="E51" s="915"/>
      <c r="F51" s="915"/>
      <c r="G51" s="915"/>
      <c r="H51" s="915"/>
      <c r="I51" s="915"/>
      <c r="J51" s="915"/>
      <c r="K51" s="915"/>
      <c r="L51" s="915"/>
      <c r="M51" s="915"/>
      <c r="N51" s="915"/>
      <c r="O51" s="915"/>
      <c r="P51" s="915"/>
      <c r="Q51" s="915"/>
      <c r="R51" s="915"/>
      <c r="S51" s="915"/>
      <c r="T51" s="915"/>
      <c r="U51" s="915"/>
      <c r="V51" s="915"/>
      <c r="W51" s="915"/>
      <c r="X51" s="1141"/>
      <c r="Y51" s="915"/>
      <c r="Z51" s="915"/>
      <c r="AA51" s="915"/>
      <c r="AB51" s="915"/>
      <c r="AC51" s="915"/>
      <c r="AD51" s="915"/>
      <c r="AE51" s="915"/>
      <c r="AF51" s="915"/>
      <c r="AG51" s="915"/>
      <c r="AH51" s="915"/>
      <c r="AI51" s="915"/>
      <c r="AJ51" s="915"/>
      <c r="AK51" s="915"/>
      <c r="AL51" s="915"/>
      <c r="AM51" s="915"/>
      <c r="AN51" s="915"/>
      <c r="AO51" s="915"/>
      <c r="AP51" s="915"/>
      <c r="AQ51" s="915"/>
      <c r="AR51" s="916"/>
      <c r="AS51" s="915"/>
      <c r="AT51" s="915"/>
      <c r="AU51" s="915"/>
      <c r="AV51" s="915"/>
      <c r="AW51" s="916"/>
      <c r="AX51" s="915"/>
      <c r="AY51" s="915"/>
      <c r="AZ51" s="915"/>
      <c r="BA51" s="915"/>
      <c r="BB51" s="916"/>
      <c r="BC51" s="915"/>
      <c r="BD51" s="915"/>
      <c r="BE51" s="915"/>
      <c r="BF51" s="915"/>
      <c r="BG51" s="916"/>
      <c r="BH51" s="915"/>
      <c r="BI51" s="915"/>
      <c r="BJ51" s="915"/>
      <c r="BK51" s="915"/>
      <c r="BL51" s="916"/>
      <c r="BM51" s="915"/>
      <c r="BN51" s="915"/>
      <c r="BO51" s="915"/>
      <c r="BP51" s="915"/>
      <c r="BQ51" s="916"/>
    </row>
    <row r="52" spans="2:69" x14ac:dyDescent="0.2">
      <c r="Z52" s="1531"/>
      <c r="AS52" s="679"/>
      <c r="BC52" s="930"/>
      <c r="BH52" s="930"/>
      <c r="BM52" s="930"/>
    </row>
    <row r="53" spans="2:69" ht="13.5" thickBot="1" x14ac:dyDescent="0.25">
      <c r="AS53" s="679"/>
      <c r="BC53" s="930"/>
      <c r="BH53" s="930"/>
      <c r="BM53" s="930"/>
    </row>
    <row r="54" spans="2:69" ht="13.5" thickBot="1" x14ac:dyDescent="0.25">
      <c r="B54" s="1369"/>
      <c r="C54" s="1370" t="s">
        <v>607</v>
      </c>
      <c r="D54" s="827"/>
      <c r="E54" s="810" t="str">
        <f t="shared" ref="E54:O54" si="49">E28</f>
        <v>1QA</v>
      </c>
      <c r="F54" s="810" t="str">
        <f t="shared" si="49"/>
        <v>2QA</v>
      </c>
      <c r="G54" s="810" t="str">
        <f t="shared" si="49"/>
        <v>3QA</v>
      </c>
      <c r="H54" s="810" t="str">
        <f t="shared" si="49"/>
        <v>4QA</v>
      </c>
      <c r="I54" s="828" t="str">
        <f t="shared" si="49"/>
        <v>2009A</v>
      </c>
      <c r="J54" s="810" t="str">
        <f t="shared" si="49"/>
        <v>1QA</v>
      </c>
      <c r="K54" s="810" t="str">
        <f t="shared" si="49"/>
        <v>2QA</v>
      </c>
      <c r="L54" s="810" t="str">
        <f t="shared" si="49"/>
        <v>3QA</v>
      </c>
      <c r="M54" s="810" t="str">
        <f t="shared" si="49"/>
        <v>4QA</v>
      </c>
      <c r="N54" s="828" t="str">
        <f t="shared" si="49"/>
        <v>2010A</v>
      </c>
      <c r="O54" s="810" t="str">
        <f t="shared" si="49"/>
        <v>1QA</v>
      </c>
      <c r="P54" s="810">
        <f>P38</f>
        <v>0</v>
      </c>
      <c r="Q54" s="810" t="str">
        <f>Q28</f>
        <v>3QA</v>
      </c>
      <c r="R54" s="810" t="str">
        <f>R28</f>
        <v>4QA</v>
      </c>
      <c r="S54" s="828" t="str">
        <f>S28</f>
        <v>2011A</v>
      </c>
      <c r="T54" s="810" t="str">
        <f>T28</f>
        <v>1QA</v>
      </c>
      <c r="U54" s="810" t="str">
        <f t="shared" ref="U54:AM54" si="50">U28</f>
        <v>2QA</v>
      </c>
      <c r="V54" s="810" t="str">
        <f>V28</f>
        <v>3QA</v>
      </c>
      <c r="W54" s="810" t="str">
        <f>W28</f>
        <v>4QA</v>
      </c>
      <c r="X54" s="828" t="str">
        <f t="shared" si="50"/>
        <v>2012A</v>
      </c>
      <c r="Y54" s="810" t="str">
        <f t="shared" si="50"/>
        <v>1QA</v>
      </c>
      <c r="Z54" s="810" t="str">
        <f t="shared" si="50"/>
        <v>2QA</v>
      </c>
      <c r="AA54" s="810" t="str">
        <f t="shared" si="50"/>
        <v>3QA</v>
      </c>
      <c r="AB54" s="810" t="str">
        <f t="shared" si="50"/>
        <v>4QA</v>
      </c>
      <c r="AC54" s="828" t="str">
        <f t="shared" si="50"/>
        <v>2013A</v>
      </c>
      <c r="AD54" s="810" t="str">
        <f t="shared" si="50"/>
        <v>1QA</v>
      </c>
      <c r="AE54" s="810" t="str">
        <f t="shared" si="50"/>
        <v>2QA</v>
      </c>
      <c r="AF54" s="810" t="str">
        <f t="shared" si="50"/>
        <v>3QA</v>
      </c>
      <c r="AG54" s="810" t="str">
        <f t="shared" si="50"/>
        <v>4QA</v>
      </c>
      <c r="AH54" s="828" t="str">
        <f t="shared" si="50"/>
        <v>2014A</v>
      </c>
      <c r="AI54" s="810" t="str">
        <f t="shared" si="50"/>
        <v>1QA</v>
      </c>
      <c r="AJ54" s="810" t="str">
        <f t="shared" si="50"/>
        <v>2QA</v>
      </c>
      <c r="AK54" s="810" t="str">
        <f t="shared" si="50"/>
        <v>3QA</v>
      </c>
      <c r="AL54" s="810" t="str">
        <f t="shared" si="50"/>
        <v>4QA</v>
      </c>
      <c r="AM54" s="828" t="str">
        <f t="shared" si="50"/>
        <v>2015A</v>
      </c>
      <c r="AN54" s="810" t="str">
        <f t="shared" ref="AN54:AW54" si="51">AN28</f>
        <v>1QA</v>
      </c>
      <c r="AO54" s="810" t="str">
        <f t="shared" si="51"/>
        <v>2QA</v>
      </c>
      <c r="AP54" s="810" t="str">
        <f t="shared" si="51"/>
        <v>3QA</v>
      </c>
      <c r="AQ54" s="810" t="str">
        <f t="shared" ref="AQ54:AS54" si="52">AQ28</f>
        <v>4QA</v>
      </c>
      <c r="AR54" s="828" t="str">
        <f t="shared" si="51"/>
        <v>2016A</v>
      </c>
      <c r="AS54" s="810" t="str">
        <f t="shared" si="52"/>
        <v>1QA</v>
      </c>
      <c r="AT54" s="810" t="str">
        <f t="shared" ref="AT54:AU54" si="53">AT28</f>
        <v>2QA</v>
      </c>
      <c r="AU54" s="810" t="str">
        <f t="shared" si="53"/>
        <v>3QA</v>
      </c>
      <c r="AV54" s="810" t="str">
        <f t="shared" si="51"/>
        <v>4QA</v>
      </c>
      <c r="AW54" s="828" t="str">
        <f t="shared" si="51"/>
        <v>2017A</v>
      </c>
      <c r="AX54" s="810" t="str">
        <f t="shared" ref="AX54:BG54" si="54">AX28</f>
        <v>1QE</v>
      </c>
      <c r="AY54" s="810" t="str">
        <f t="shared" si="54"/>
        <v>2QE</v>
      </c>
      <c r="AZ54" s="810" t="str">
        <f t="shared" si="54"/>
        <v>3QE</v>
      </c>
      <c r="BA54" s="810" t="str">
        <f t="shared" si="54"/>
        <v>4QE</v>
      </c>
      <c r="BB54" s="828" t="str">
        <f t="shared" si="54"/>
        <v>2018E</v>
      </c>
      <c r="BC54" s="810" t="str">
        <f t="shared" si="54"/>
        <v>1QE</v>
      </c>
      <c r="BD54" s="810" t="str">
        <f t="shared" si="54"/>
        <v>2QE</v>
      </c>
      <c r="BE54" s="810" t="str">
        <f t="shared" si="54"/>
        <v>3QE</v>
      </c>
      <c r="BF54" s="810" t="str">
        <f t="shared" si="54"/>
        <v>4QE</v>
      </c>
      <c r="BG54" s="828" t="str">
        <f t="shared" si="54"/>
        <v>2019E</v>
      </c>
      <c r="BH54" s="810" t="str">
        <f t="shared" ref="BH54:BQ54" si="55">BH28</f>
        <v>1QE</v>
      </c>
      <c r="BI54" s="810" t="str">
        <f t="shared" si="55"/>
        <v>2QE</v>
      </c>
      <c r="BJ54" s="810" t="str">
        <f t="shared" si="55"/>
        <v>3QE</v>
      </c>
      <c r="BK54" s="810" t="str">
        <f t="shared" si="55"/>
        <v>4QE</v>
      </c>
      <c r="BL54" s="828" t="str">
        <f t="shared" si="55"/>
        <v>2020E</v>
      </c>
      <c r="BM54" s="810" t="str">
        <f t="shared" si="55"/>
        <v>1QE</v>
      </c>
      <c r="BN54" s="810" t="str">
        <f t="shared" si="55"/>
        <v>2QE</v>
      </c>
      <c r="BO54" s="810" t="str">
        <f t="shared" si="55"/>
        <v>3QE</v>
      </c>
      <c r="BP54" s="810" t="str">
        <f t="shared" si="55"/>
        <v>4QE</v>
      </c>
      <c r="BQ54" s="828" t="str">
        <f t="shared" si="55"/>
        <v>2021E</v>
      </c>
    </row>
    <row r="55" spans="2:69" ht="13.5" thickBot="1" x14ac:dyDescent="0.25">
      <c r="B55" s="904"/>
      <c r="C55" s="905"/>
      <c r="D55" s="666"/>
      <c r="E55" s="906"/>
      <c r="F55" s="906"/>
      <c r="G55" s="666"/>
      <c r="H55" s="666"/>
      <c r="I55" s="666"/>
      <c r="J55" s="906"/>
      <c r="K55" s="906"/>
      <c r="L55" s="906"/>
      <c r="M55" s="906"/>
      <c r="N55" s="666"/>
      <c r="O55" s="666"/>
      <c r="P55" s="666"/>
      <c r="Q55" s="666"/>
      <c r="R55" s="666"/>
      <c r="S55" s="666"/>
      <c r="T55" s="666"/>
      <c r="U55" s="666"/>
      <c r="V55" s="666"/>
      <c r="W55" s="666"/>
      <c r="X55" s="666"/>
      <c r="Y55" s="666"/>
      <c r="Z55" s="666"/>
      <c r="AA55" s="666"/>
      <c r="AB55" s="666"/>
      <c r="AC55" s="666"/>
      <c r="AD55" s="666"/>
      <c r="AE55" s="666"/>
      <c r="AF55" s="666"/>
      <c r="AG55" s="666"/>
      <c r="AH55" s="666"/>
      <c r="AI55" s="666"/>
      <c r="AJ55" s="666"/>
      <c r="AK55" s="666"/>
      <c r="AL55" s="666"/>
      <c r="AM55" s="907"/>
      <c r="AN55" s="666"/>
      <c r="AO55" s="666"/>
      <c r="AP55" s="666"/>
      <c r="AQ55" s="666"/>
      <c r="AR55" s="907"/>
      <c r="AS55" s="666"/>
      <c r="AT55" s="666"/>
      <c r="AU55" s="666"/>
      <c r="AV55" s="666"/>
      <c r="AW55" s="907"/>
      <c r="AX55" s="666"/>
      <c r="AY55" s="666"/>
      <c r="AZ55" s="666"/>
      <c r="BA55" s="666"/>
      <c r="BB55" s="907"/>
      <c r="BC55" s="666"/>
      <c r="BD55" s="666"/>
      <c r="BE55" s="666"/>
      <c r="BF55" s="666"/>
      <c r="BG55" s="907"/>
      <c r="BH55" s="666"/>
      <c r="BI55" s="666"/>
      <c r="BJ55" s="666"/>
      <c r="BK55" s="666"/>
      <c r="BL55" s="907"/>
      <c r="BM55" s="666"/>
      <c r="BN55" s="666"/>
      <c r="BO55" s="666"/>
      <c r="BP55" s="666"/>
      <c r="BQ55" s="907"/>
    </row>
    <row r="56" spans="2:69" ht="13.5" thickBot="1" x14ac:dyDescent="0.25">
      <c r="B56" s="904"/>
      <c r="C56" s="676">
        <f>C9</f>
        <v>2</v>
      </c>
      <c r="D56" s="666"/>
      <c r="E56" s="908"/>
      <c r="F56" s="908"/>
      <c r="G56" s="908"/>
      <c r="H56" s="1054"/>
      <c r="I56" s="1054"/>
      <c r="J56" s="930"/>
      <c r="K56" s="930"/>
      <c r="L56" s="930"/>
      <c r="M56" s="930"/>
      <c r="N56" s="908"/>
      <c r="O56" s="930"/>
      <c r="P56" s="908"/>
      <c r="Q56" s="1128"/>
      <c r="R56" s="1128"/>
      <c r="S56" s="1128"/>
      <c r="T56" s="1128"/>
      <c r="U56" s="1128"/>
      <c r="V56" s="1128"/>
      <c r="W56" s="1128"/>
      <c r="X56" s="1128"/>
      <c r="Y56" s="1128"/>
      <c r="Z56" s="1128"/>
      <c r="AA56" s="1128"/>
      <c r="AB56" s="1128"/>
      <c r="AC56" s="1131"/>
      <c r="AD56" s="908"/>
      <c r="AE56" s="908"/>
      <c r="AF56" s="908"/>
      <c r="AG56" s="1054"/>
      <c r="AH56" s="1054"/>
      <c r="AI56" s="908"/>
      <c r="AJ56" s="908"/>
      <c r="AK56" s="908"/>
      <c r="AL56" s="908"/>
      <c r="AM56" s="909"/>
      <c r="AN56" s="908"/>
      <c r="AO56" s="908"/>
      <c r="AP56" s="908"/>
      <c r="AQ56" s="908"/>
      <c r="AR56" s="909"/>
      <c r="AS56" s="908"/>
      <c r="AT56" s="908"/>
      <c r="AU56" s="908"/>
      <c r="AV56" s="908"/>
      <c r="AW56" s="909"/>
      <c r="AX56" s="908"/>
      <c r="AY56" s="908"/>
      <c r="AZ56" s="908"/>
      <c r="BA56" s="908"/>
      <c r="BB56" s="909"/>
      <c r="BC56" s="908"/>
      <c r="BD56" s="908"/>
      <c r="BE56" s="908"/>
      <c r="BF56" s="908"/>
      <c r="BG56" s="909"/>
      <c r="BH56" s="908"/>
      <c r="BI56" s="908"/>
      <c r="BJ56" s="908"/>
      <c r="BK56" s="908"/>
      <c r="BL56" s="909"/>
      <c r="BM56" s="908"/>
      <c r="BN56" s="908"/>
      <c r="BO56" s="908"/>
      <c r="BP56" s="908"/>
      <c r="BQ56" s="909"/>
    </row>
    <row r="57" spans="2:69" x14ac:dyDescent="0.2">
      <c r="B57" s="904"/>
      <c r="C57" s="910"/>
      <c r="D57" s="666"/>
      <c r="E57" s="908"/>
      <c r="F57" s="908"/>
      <c r="G57" s="1054"/>
      <c r="H57" s="1054"/>
      <c r="I57" s="1055"/>
      <c r="J57" s="1054"/>
      <c r="K57" s="1084"/>
      <c r="L57" s="1084"/>
      <c r="M57" s="1084"/>
      <c r="N57" s="908"/>
      <c r="O57" s="1054"/>
      <c r="P57" s="911"/>
      <c r="Q57" s="1129"/>
      <c r="R57" s="1129"/>
      <c r="S57" s="1131"/>
      <c r="T57" s="1129"/>
      <c r="U57" s="1128"/>
      <c r="V57" s="1128"/>
      <c r="W57" s="1128"/>
      <c r="X57" s="1131"/>
      <c r="Y57" s="1128"/>
      <c r="Z57" s="1128"/>
      <c r="AA57" s="1128"/>
      <c r="AB57" s="1128"/>
      <c r="AC57" s="1128"/>
      <c r="AD57" s="908"/>
      <c r="AE57" s="908"/>
      <c r="AF57" s="908"/>
      <c r="AG57" s="1054"/>
      <c r="AH57" s="1054"/>
      <c r="AI57" s="908"/>
      <c r="AJ57" s="908"/>
      <c r="AK57" s="908"/>
      <c r="AL57" s="908"/>
      <c r="AM57" s="909"/>
      <c r="AN57" s="908"/>
      <c r="AO57" s="908"/>
      <c r="AP57" s="908"/>
      <c r="AQ57" s="908"/>
      <c r="AR57" s="909"/>
      <c r="AS57" s="908"/>
      <c r="AT57" s="908"/>
      <c r="AU57" s="908"/>
      <c r="AV57" s="908"/>
      <c r="AW57" s="909"/>
      <c r="AX57" s="908"/>
      <c r="AY57" s="908"/>
      <c r="AZ57" s="908"/>
      <c r="BA57" s="908"/>
      <c r="BB57" s="909"/>
      <c r="BC57" s="908"/>
      <c r="BD57" s="908"/>
      <c r="BE57" s="908"/>
      <c r="BF57" s="908"/>
      <c r="BG57" s="909"/>
      <c r="BH57" s="908"/>
      <c r="BI57" s="908"/>
      <c r="BJ57" s="908"/>
      <c r="BK57" s="908"/>
      <c r="BL57" s="909"/>
      <c r="BM57" s="908"/>
      <c r="BN57" s="908"/>
      <c r="BO57" s="908"/>
      <c r="BP57" s="908"/>
      <c r="BQ57" s="909"/>
    </row>
    <row r="58" spans="2:69" ht="23.25" customHeight="1" x14ac:dyDescent="0.2">
      <c r="B58" s="2020" t="s">
        <v>151</v>
      </c>
      <c r="C58" s="2021"/>
      <c r="D58" s="2021"/>
      <c r="E58" s="1009"/>
      <c r="F58" s="1009"/>
      <c r="G58" s="1055"/>
      <c r="H58" s="1055"/>
      <c r="I58" s="1085"/>
      <c r="J58" s="1083"/>
      <c r="K58" s="1083"/>
      <c r="L58" s="1083"/>
      <c r="M58" s="1083"/>
      <c r="N58" s="1009"/>
      <c r="O58" s="1083"/>
      <c r="P58" s="1009"/>
      <c r="Q58" s="1130"/>
      <c r="R58" s="1130"/>
      <c r="S58" s="1130"/>
      <c r="T58" s="1130"/>
      <c r="U58" s="1130"/>
      <c r="V58" s="1130"/>
      <c r="W58" s="1130"/>
      <c r="X58" s="1130"/>
      <c r="Y58" s="1130"/>
      <c r="Z58" s="1130"/>
      <c r="AA58" s="1130"/>
      <c r="AB58" s="1130"/>
      <c r="AC58" s="1130"/>
      <c r="AD58" s="1009"/>
      <c r="AE58" s="1009"/>
      <c r="AF58" s="1009"/>
      <c r="AG58" s="1055"/>
      <c r="AH58" s="1055"/>
      <c r="AI58" s="1009"/>
      <c r="AJ58" s="1009"/>
      <c r="AK58" s="1009"/>
      <c r="AL58" s="1009"/>
      <c r="AM58" s="909"/>
      <c r="AN58" s="1009"/>
      <c r="AO58" s="1009"/>
      <c r="AP58" s="1009"/>
      <c r="AQ58" s="1009"/>
      <c r="AR58" s="909"/>
      <c r="AS58" s="1009"/>
      <c r="AT58" s="1009"/>
      <c r="AU58" s="1009"/>
      <c r="AV58" s="1009"/>
      <c r="AW58" s="909"/>
      <c r="AX58" s="1009"/>
      <c r="AY58" s="1009"/>
      <c r="AZ58" s="1009"/>
      <c r="BA58" s="1009"/>
      <c r="BB58" s="909"/>
      <c r="BC58" s="1009"/>
      <c r="BD58" s="1009"/>
      <c r="BE58" s="1009"/>
      <c r="BF58" s="1009"/>
      <c r="BG58" s="909"/>
      <c r="BH58" s="1009"/>
      <c r="BI58" s="1009"/>
      <c r="BJ58" s="1009"/>
      <c r="BK58" s="1009"/>
      <c r="BL58" s="909"/>
      <c r="BM58" s="1009"/>
      <c r="BN58" s="1009"/>
      <c r="BO58" s="1009"/>
      <c r="BP58" s="1009"/>
      <c r="BQ58" s="909"/>
    </row>
    <row r="59" spans="2:69" x14ac:dyDescent="0.2">
      <c r="B59" s="904"/>
      <c r="C59" s="910" t="s">
        <v>340</v>
      </c>
      <c r="D59" s="666"/>
      <c r="E59" s="661"/>
      <c r="F59" s="661"/>
      <c r="G59" s="661"/>
      <c r="H59" s="661"/>
      <c r="I59" s="661"/>
      <c r="J59" s="661"/>
      <c r="K59" s="660"/>
      <c r="L59" s="660"/>
      <c r="M59" s="660"/>
      <c r="N59" s="661"/>
      <c r="O59" s="661"/>
      <c r="P59" s="660"/>
      <c r="Q59" s="660"/>
      <c r="R59" s="660"/>
      <c r="S59" s="661"/>
      <c r="T59" s="660"/>
      <c r="U59" s="660"/>
      <c r="V59" s="660"/>
      <c r="W59" s="660"/>
      <c r="X59" s="1529"/>
      <c r="Y59" s="1528">
        <v>0</v>
      </c>
      <c r="Z59" s="1528">
        <v>0</v>
      </c>
      <c r="AA59" s="1528">
        <v>1500</v>
      </c>
      <c r="AB59" s="1528"/>
      <c r="AC59" s="1529"/>
      <c r="AD59" s="1528"/>
      <c r="AE59" s="1528"/>
      <c r="AF59" s="1528"/>
      <c r="AG59" s="1528"/>
      <c r="AH59" s="661"/>
      <c r="AI59" s="660"/>
      <c r="AJ59" s="660"/>
      <c r="AK59" s="660"/>
      <c r="AL59" s="660"/>
      <c r="AM59" s="907"/>
      <c r="AN59" s="660"/>
      <c r="AO59" s="660"/>
      <c r="AP59" s="660"/>
      <c r="AQ59" s="660"/>
      <c r="AR59" s="1840"/>
      <c r="AS59" s="660"/>
      <c r="AT59" s="660"/>
      <c r="AU59" s="660"/>
      <c r="AV59" s="660"/>
      <c r="AW59" s="1840"/>
      <c r="AX59" s="660">
        <f>AX60-0.002</f>
        <v>1.8683682512960181E-2</v>
      </c>
      <c r="AY59" s="660">
        <f t="shared" ref="AY59:BA59" si="56">AY60-0.002</f>
        <v>1.46E-2</v>
      </c>
      <c r="AZ59" s="660">
        <f t="shared" si="56"/>
        <v>1.46E-2</v>
      </c>
      <c r="BA59" s="660">
        <f t="shared" si="56"/>
        <v>1.46E-2</v>
      </c>
      <c r="BB59" s="907"/>
      <c r="BC59" s="660">
        <f>BC60-0.002</f>
        <v>1.7483682512960182E-2</v>
      </c>
      <c r="BD59" s="660">
        <f t="shared" ref="BD59" si="57">BD60-0.002</f>
        <v>1.34E-2</v>
      </c>
      <c r="BE59" s="660">
        <f t="shared" ref="BE59" si="58">BE60-0.002</f>
        <v>1.34E-2</v>
      </c>
      <c r="BF59" s="660">
        <f t="shared" ref="BF59" si="59">BF60-0.002</f>
        <v>1.34E-2</v>
      </c>
      <c r="BG59" s="907"/>
      <c r="BH59" s="660">
        <f>BH60-0.002</f>
        <v>1.7483682512960182E-2</v>
      </c>
      <c r="BI59" s="660">
        <f t="shared" ref="BI59" si="60">BI60-0.002</f>
        <v>1.34E-2</v>
      </c>
      <c r="BJ59" s="660">
        <f t="shared" ref="BJ59" si="61">BJ60-0.002</f>
        <v>1.34E-2</v>
      </c>
      <c r="BK59" s="660">
        <f t="shared" ref="BK59" si="62">BK60-0.002</f>
        <v>1.34E-2</v>
      </c>
      <c r="BL59" s="907"/>
      <c r="BM59" s="660">
        <f>BM60-0.002</f>
        <v>1.7483682512960182E-2</v>
      </c>
      <c r="BN59" s="660">
        <f t="shared" ref="BN59" si="63">BN60-0.002</f>
        <v>1.34E-2</v>
      </c>
      <c r="BO59" s="660">
        <f t="shared" ref="BO59" si="64">BO60-0.002</f>
        <v>1.34E-2</v>
      </c>
      <c r="BP59" s="660">
        <f t="shared" ref="BP59" si="65">BP60-0.002</f>
        <v>1.34E-2</v>
      </c>
      <c r="BQ59" s="907"/>
    </row>
    <row r="60" spans="2:69" x14ac:dyDescent="0.2">
      <c r="B60" s="904"/>
      <c r="C60" s="910" t="s">
        <v>341</v>
      </c>
      <c r="D60" s="666"/>
      <c r="E60" s="661"/>
      <c r="F60" s="661"/>
      <c r="G60" s="661"/>
      <c r="H60" s="661"/>
      <c r="I60" s="661"/>
      <c r="J60" s="661"/>
      <c r="K60" s="661"/>
      <c r="L60" s="661"/>
      <c r="M60" s="661"/>
      <c r="N60" s="661"/>
      <c r="O60" s="661"/>
      <c r="P60" s="660"/>
      <c r="Q60" s="660"/>
      <c r="R60" s="660"/>
      <c r="S60" s="661"/>
      <c r="T60" s="660"/>
      <c r="U60" s="660"/>
      <c r="V60" s="660"/>
      <c r="W60" s="660"/>
      <c r="X60" s="1529"/>
      <c r="Y60" s="1528">
        <v>0</v>
      </c>
      <c r="Z60" s="1528">
        <v>0</v>
      </c>
      <c r="AA60" s="1528">
        <v>0</v>
      </c>
      <c r="AB60" s="1528"/>
      <c r="AC60" s="1529"/>
      <c r="AD60" s="1528"/>
      <c r="AE60" s="1528"/>
      <c r="AF60" s="1528"/>
      <c r="AG60" s="1528"/>
      <c r="AH60" s="661"/>
      <c r="AI60" s="661">
        <f>Model!BX73</f>
        <v>1.9961160997295717E-2</v>
      </c>
      <c r="AJ60" s="661">
        <f>Model!BY73</f>
        <v>1.9683648638040663E-2</v>
      </c>
      <c r="AK60" s="661">
        <f>Model!BZ73</f>
        <v>2.0997053045186644E-2</v>
      </c>
      <c r="AL60" s="661">
        <f>Model!CA73</f>
        <v>2.0569408872823873E-2</v>
      </c>
      <c r="AM60" s="1010"/>
      <c r="AN60" s="661">
        <f>Model!CC73</f>
        <v>2.0027309968138372E-2</v>
      </c>
      <c r="AO60" s="661">
        <f>Model!CD73</f>
        <v>1.9645774734251931E-2</v>
      </c>
      <c r="AP60" s="661">
        <f>Model!CE73</f>
        <v>1.7663112838938958E-2</v>
      </c>
      <c r="AQ60" s="661">
        <f>Model!CF73</f>
        <v>1.6678237628768758E-2</v>
      </c>
      <c r="AR60" s="1010"/>
      <c r="AS60" s="661">
        <f>Model!CH73</f>
        <v>2.068368251296018E-2</v>
      </c>
      <c r="AT60" s="661">
        <f>Model!CI73</f>
        <v>1.8655350373382566E-2</v>
      </c>
      <c r="AU60" s="661">
        <f>Model!CJ73</f>
        <v>1.7288631623199182E-2</v>
      </c>
      <c r="AV60" s="661">
        <f>Model!CK73</f>
        <v>1.8998042006432281E-2</v>
      </c>
      <c r="AW60" s="1010"/>
      <c r="AX60" s="660">
        <f>AS60</f>
        <v>2.068368251296018E-2</v>
      </c>
      <c r="AY60" s="660">
        <v>1.66E-2</v>
      </c>
      <c r="AZ60" s="660">
        <v>1.66E-2</v>
      </c>
      <c r="BA60" s="660">
        <v>1.66E-2</v>
      </c>
      <c r="BB60" s="1010"/>
      <c r="BC60" s="660">
        <f>AX60-0.0012</f>
        <v>1.948368251296018E-2</v>
      </c>
      <c r="BD60" s="660">
        <f t="shared" ref="BD60:BF60" si="66">AY60-0.0012</f>
        <v>1.54E-2</v>
      </c>
      <c r="BE60" s="660">
        <f t="shared" si="66"/>
        <v>1.54E-2</v>
      </c>
      <c r="BF60" s="660">
        <f t="shared" si="66"/>
        <v>1.54E-2</v>
      </c>
      <c r="BG60" s="1010"/>
      <c r="BH60" s="660">
        <f>BC60</f>
        <v>1.948368251296018E-2</v>
      </c>
      <c r="BI60" s="660">
        <f t="shared" ref="BI60:BK60" si="67">BD60</f>
        <v>1.54E-2</v>
      </c>
      <c r="BJ60" s="660">
        <f t="shared" si="67"/>
        <v>1.54E-2</v>
      </c>
      <c r="BK60" s="660">
        <f t="shared" si="67"/>
        <v>1.54E-2</v>
      </c>
      <c r="BL60" s="1010"/>
      <c r="BM60" s="660">
        <f>BH60</f>
        <v>1.948368251296018E-2</v>
      </c>
      <c r="BN60" s="660">
        <f t="shared" ref="BN60" si="68">BI60</f>
        <v>1.54E-2</v>
      </c>
      <c r="BO60" s="660">
        <f t="shared" ref="BO60" si="69">BJ60</f>
        <v>1.54E-2</v>
      </c>
      <c r="BP60" s="660">
        <f t="shared" ref="BP60" si="70">BK60</f>
        <v>1.54E-2</v>
      </c>
      <c r="BQ60" s="1010"/>
    </row>
    <row r="61" spans="2:69" x14ac:dyDescent="0.2">
      <c r="B61" s="904"/>
      <c r="C61" s="910" t="s">
        <v>342</v>
      </c>
      <c r="D61" s="666"/>
      <c r="E61" s="661"/>
      <c r="F61" s="661"/>
      <c r="G61" s="661"/>
      <c r="H61" s="661"/>
      <c r="I61" s="661"/>
      <c r="J61" s="661"/>
      <c r="K61" s="660"/>
      <c r="L61" s="660"/>
      <c r="M61" s="660"/>
      <c r="N61" s="661"/>
      <c r="O61" s="661"/>
      <c r="P61" s="660"/>
      <c r="Q61" s="660"/>
      <c r="R61" s="660"/>
      <c r="S61" s="661"/>
      <c r="T61" s="660"/>
      <c r="U61" s="660"/>
      <c r="V61" s="660"/>
      <c r="W61" s="660"/>
      <c r="X61" s="1529"/>
      <c r="Y61" s="1528">
        <v>0</v>
      </c>
      <c r="Z61" s="1528">
        <v>0</v>
      </c>
      <c r="AA61" s="1528">
        <v>0</v>
      </c>
      <c r="AB61" s="1528"/>
      <c r="AC61" s="1529"/>
      <c r="AD61" s="1528"/>
      <c r="AE61" s="1528"/>
      <c r="AF61" s="1528"/>
      <c r="AG61" s="1528"/>
      <c r="AH61" s="661"/>
      <c r="AI61" s="660"/>
      <c r="AJ61" s="660"/>
      <c r="AK61" s="660"/>
      <c r="AL61" s="660"/>
      <c r="AM61" s="907"/>
      <c r="AN61" s="660"/>
      <c r="AO61" s="660"/>
      <c r="AP61" s="660"/>
      <c r="AQ61" s="660"/>
      <c r="AR61" s="907"/>
      <c r="AS61" s="660"/>
      <c r="AT61" s="660"/>
      <c r="AU61" s="660"/>
      <c r="AV61" s="660"/>
      <c r="AW61" s="907"/>
      <c r="AX61" s="660">
        <f>AX60+0.0002</f>
        <v>2.0883682512960178E-2</v>
      </c>
      <c r="AY61" s="660">
        <f t="shared" ref="AY61:BA61" si="71">AY60+0.0002</f>
        <v>1.6799999999999999E-2</v>
      </c>
      <c r="AZ61" s="660">
        <f t="shared" si="71"/>
        <v>1.6799999999999999E-2</v>
      </c>
      <c r="BA61" s="660">
        <f t="shared" si="71"/>
        <v>1.6799999999999999E-2</v>
      </c>
      <c r="BB61" s="907"/>
      <c r="BC61" s="660">
        <f>BC60+0.0002</f>
        <v>1.9683682512960179E-2</v>
      </c>
      <c r="BD61" s="660">
        <f t="shared" ref="BD61:BF61" si="72">BD60+0.0002</f>
        <v>1.5600000000000001E-2</v>
      </c>
      <c r="BE61" s="660">
        <f t="shared" si="72"/>
        <v>1.5600000000000001E-2</v>
      </c>
      <c r="BF61" s="660">
        <f t="shared" si="72"/>
        <v>1.5600000000000001E-2</v>
      </c>
      <c r="BG61" s="907"/>
      <c r="BH61" s="660">
        <f>BH60+0.001</f>
        <v>2.0483682512960181E-2</v>
      </c>
      <c r="BI61" s="660">
        <f t="shared" ref="BI61:BK61" si="73">BI60+0.001</f>
        <v>1.6400000000000001E-2</v>
      </c>
      <c r="BJ61" s="660">
        <f t="shared" si="73"/>
        <v>1.6400000000000001E-2</v>
      </c>
      <c r="BK61" s="660">
        <f t="shared" si="73"/>
        <v>1.6400000000000001E-2</v>
      </c>
      <c r="BL61" s="907"/>
      <c r="BM61" s="660">
        <f>BM60+0.0015</f>
        <v>2.0983682512960181E-2</v>
      </c>
      <c r="BN61" s="660">
        <f t="shared" ref="BN61:BP61" si="74">BN60+0.0015</f>
        <v>1.6900000000000002E-2</v>
      </c>
      <c r="BO61" s="660">
        <f t="shared" si="74"/>
        <v>1.6900000000000002E-2</v>
      </c>
      <c r="BP61" s="660">
        <f t="shared" si="74"/>
        <v>1.6900000000000002E-2</v>
      </c>
      <c r="BQ61" s="907"/>
    </row>
    <row r="62" spans="2:69" ht="13.5" thickBot="1" x14ac:dyDescent="0.25">
      <c r="B62" s="913"/>
      <c r="C62" s="914"/>
      <c r="D62" s="915"/>
      <c r="E62" s="915"/>
      <c r="F62" s="915"/>
      <c r="G62" s="915"/>
      <c r="H62" s="915"/>
      <c r="I62" s="915"/>
      <c r="J62" s="915"/>
      <c r="K62" s="915"/>
      <c r="L62" s="915"/>
      <c r="M62" s="915"/>
      <c r="N62" s="915"/>
      <c r="O62" s="915"/>
      <c r="P62" s="915"/>
      <c r="Q62" s="915"/>
      <c r="R62" s="915"/>
      <c r="S62" s="915"/>
      <c r="T62" s="915"/>
      <c r="U62" s="915"/>
      <c r="V62" s="915"/>
      <c r="W62" s="915"/>
      <c r="X62" s="1141"/>
      <c r="Y62" s="915"/>
      <c r="Z62" s="915"/>
      <c r="AA62" s="915"/>
      <c r="AB62" s="915"/>
      <c r="AC62" s="915"/>
      <c r="AD62" s="915"/>
      <c r="AE62" s="915"/>
      <c r="AF62" s="915"/>
      <c r="AG62" s="915"/>
      <c r="AH62" s="915"/>
      <c r="AI62" s="915"/>
      <c r="AJ62" s="915"/>
      <c r="AK62" s="915"/>
      <c r="AL62" s="915"/>
      <c r="AM62" s="916"/>
      <c r="AN62" s="915"/>
      <c r="AO62" s="915"/>
      <c r="AP62" s="915"/>
      <c r="AQ62" s="915"/>
      <c r="AR62" s="916"/>
      <c r="AS62" s="915"/>
      <c r="AT62" s="915"/>
      <c r="AU62" s="915"/>
      <c r="AV62" s="915"/>
      <c r="AW62" s="916"/>
      <c r="AX62" s="915"/>
      <c r="AY62" s="915"/>
      <c r="AZ62" s="915"/>
      <c r="BA62" s="915"/>
      <c r="BB62" s="916"/>
      <c r="BC62" s="915"/>
      <c r="BD62" s="915"/>
      <c r="BE62" s="915"/>
      <c r="BF62" s="915"/>
      <c r="BG62" s="916"/>
      <c r="BH62" s="915"/>
      <c r="BI62" s="915"/>
      <c r="BJ62" s="915"/>
      <c r="BK62" s="915"/>
      <c r="BL62" s="916"/>
      <c r="BM62" s="915"/>
      <c r="BN62" s="915"/>
      <c r="BO62" s="915"/>
      <c r="BP62" s="915"/>
      <c r="BQ62" s="916"/>
    </row>
    <row r="63" spans="2:69" x14ac:dyDescent="0.2">
      <c r="BC63" s="930"/>
      <c r="BH63" s="930"/>
      <c r="BM63" s="930"/>
    </row>
    <row r="64" spans="2:69" x14ac:dyDescent="0.2">
      <c r="B64" s="902" t="s">
        <v>345</v>
      </c>
      <c r="E64" s="931"/>
      <c r="F64" s="931"/>
      <c r="G64" s="931"/>
      <c r="H64" s="931"/>
      <c r="I64" s="931"/>
      <c r="J64" s="931"/>
      <c r="K64" s="931"/>
      <c r="L64" s="931"/>
      <c r="M64" s="931"/>
      <c r="N64" s="931"/>
      <c r="O64" s="931"/>
      <c r="P64" s="931"/>
      <c r="Q64" s="931"/>
      <c r="R64" s="931"/>
      <c r="S64" s="931"/>
      <c r="T64" s="931"/>
      <c r="U64" s="931"/>
      <c r="V64" s="931"/>
      <c r="W64" s="931"/>
      <c r="X64" s="931"/>
      <c r="Y64" s="931"/>
      <c r="Z64" s="931"/>
      <c r="AA64" s="931"/>
      <c r="AB64" s="931"/>
      <c r="AC64" s="931"/>
      <c r="AD64" s="931"/>
      <c r="AE64" s="931"/>
      <c r="AF64" s="931"/>
      <c r="AG64" s="931"/>
      <c r="AH64" s="931"/>
      <c r="AI64" s="931"/>
      <c r="AJ64" s="931"/>
      <c r="AK64" s="931"/>
      <c r="AL64" s="931"/>
      <c r="AM64" s="931"/>
      <c r="AN64" s="931"/>
      <c r="AO64" s="931"/>
      <c r="AP64" s="931"/>
      <c r="AQ64" s="931"/>
      <c r="AR64" s="931"/>
      <c r="AS64" s="931"/>
      <c r="AT64" s="931"/>
      <c r="AU64" s="931"/>
      <c r="AV64" s="931"/>
      <c r="AW64" s="931"/>
      <c r="AX64" s="931"/>
      <c r="AY64" s="931"/>
      <c r="AZ64" s="931"/>
      <c r="BA64" s="931"/>
      <c r="BB64" s="931"/>
      <c r="BC64" s="931"/>
      <c r="BD64" s="931"/>
      <c r="BE64" s="931"/>
      <c r="BF64" s="931"/>
      <c r="BG64" s="931"/>
      <c r="BH64" s="931"/>
      <c r="BI64" s="931"/>
      <c r="BJ64" s="931"/>
      <c r="BK64" s="931"/>
      <c r="BL64" s="931"/>
      <c r="BM64" s="931"/>
      <c r="BN64" s="931"/>
      <c r="BO64" s="931"/>
      <c r="BP64" s="931"/>
      <c r="BQ64" s="931"/>
    </row>
    <row r="65" spans="2:54" x14ac:dyDescent="0.2">
      <c r="B65" s="679" t="s">
        <v>365</v>
      </c>
      <c r="F65" s="931"/>
      <c r="G65" s="931"/>
      <c r="H65" s="931"/>
      <c r="I65" s="931"/>
      <c r="J65" s="931"/>
      <c r="K65" s="933"/>
      <c r="L65" s="933"/>
      <c r="M65" s="933"/>
      <c r="N65" s="933"/>
      <c r="O65" s="933"/>
      <c r="P65" s="933"/>
      <c r="Q65" s="933"/>
      <c r="R65" s="933"/>
      <c r="S65" s="933"/>
      <c r="T65" s="933"/>
      <c r="U65" s="933"/>
      <c r="V65" s="933"/>
      <c r="W65" s="933"/>
      <c r="X65" s="933"/>
      <c r="Y65" s="933"/>
      <c r="Z65" s="933"/>
      <c r="AA65" s="933"/>
      <c r="AB65" s="933"/>
      <c r="AC65" s="933"/>
      <c r="AD65" s="933"/>
      <c r="AE65" s="933"/>
      <c r="AF65" s="933"/>
      <c r="AG65" s="933"/>
      <c r="AH65" s="933"/>
      <c r="AI65" s="933"/>
      <c r="AJ65" s="933"/>
      <c r="AK65" s="933"/>
      <c r="AL65" s="933"/>
      <c r="AM65" s="933"/>
      <c r="AN65" s="933"/>
      <c r="AO65" s="933"/>
      <c r="AP65" s="933"/>
      <c r="AQ65" s="933"/>
      <c r="AR65" s="933"/>
      <c r="AS65" s="933"/>
      <c r="AT65" s="933"/>
      <c r="AU65" s="933"/>
      <c r="AV65" s="933"/>
      <c r="AW65" s="933"/>
      <c r="AX65" s="933"/>
      <c r="AY65" s="933"/>
      <c r="AZ65" s="933"/>
      <c r="BA65" s="933"/>
      <c r="BB65" s="933"/>
    </row>
    <row r="66" spans="2:54" x14ac:dyDescent="0.2">
      <c r="B66" s="1008" t="s">
        <v>366</v>
      </c>
      <c r="F66" s="931"/>
      <c r="G66" s="931"/>
      <c r="H66" s="931"/>
      <c r="I66" s="931"/>
      <c r="J66" s="931"/>
      <c r="K66" s="931"/>
      <c r="L66" s="931"/>
      <c r="M66" s="931"/>
      <c r="N66" s="931"/>
      <c r="O66" s="931"/>
      <c r="P66" s="931"/>
      <c r="Q66" s="931"/>
      <c r="R66" s="931"/>
      <c r="S66" s="931"/>
    </row>
    <row r="67" spans="2:54" x14ac:dyDescent="0.2">
      <c r="B67" s="679" t="s">
        <v>367</v>
      </c>
      <c r="E67" s="931"/>
      <c r="F67" s="931"/>
      <c r="G67" s="931"/>
      <c r="H67" s="931"/>
      <c r="I67" s="931"/>
      <c r="J67" s="931"/>
      <c r="K67" s="931"/>
      <c r="L67" s="931"/>
      <c r="M67" s="931"/>
      <c r="N67" s="1077"/>
      <c r="O67" s="931"/>
      <c r="P67" s="931"/>
      <c r="Q67" s="931"/>
      <c r="R67" s="931"/>
      <c r="S67" s="1077"/>
      <c r="X67" s="902"/>
      <c r="AC67" s="902"/>
      <c r="AH67" s="902"/>
      <c r="AM67" s="902"/>
      <c r="AR67" s="902"/>
      <c r="AW67" s="902"/>
      <c r="BB67" s="902"/>
    </row>
    <row r="68" spans="2:54" x14ac:dyDescent="0.2">
      <c r="B68" s="679" t="s">
        <v>368</v>
      </c>
      <c r="E68" s="931"/>
      <c r="F68" s="931"/>
      <c r="G68" s="931"/>
      <c r="H68" s="931"/>
      <c r="I68" s="931"/>
      <c r="J68" s="931"/>
      <c r="K68" s="931"/>
      <c r="L68" s="931"/>
      <c r="M68" s="931"/>
      <c r="N68" s="931"/>
      <c r="O68" s="931"/>
      <c r="P68" s="931"/>
      <c r="Q68" s="931"/>
      <c r="R68" s="931"/>
      <c r="S68" s="931"/>
      <c r="T68" s="931"/>
      <c r="U68" s="931"/>
      <c r="V68" s="931"/>
      <c r="W68" s="931"/>
      <c r="X68" s="931"/>
      <c r="Y68" s="931"/>
      <c r="Z68" s="931"/>
      <c r="AA68" s="931"/>
      <c r="AB68" s="931"/>
      <c r="AC68" s="931"/>
      <c r="AD68" s="931"/>
      <c r="AE68" s="931"/>
      <c r="AF68" s="931"/>
      <c r="AG68" s="931"/>
      <c r="AH68" s="931"/>
      <c r="AI68" s="931"/>
      <c r="AJ68" s="931"/>
      <c r="AK68" s="931"/>
      <c r="AL68" s="931"/>
      <c r="AM68" s="931"/>
      <c r="AN68" s="931"/>
      <c r="AO68" s="931"/>
      <c r="AP68" s="931"/>
      <c r="AQ68" s="931"/>
      <c r="AR68" s="931"/>
      <c r="AS68" s="931"/>
      <c r="AT68" s="931"/>
      <c r="AU68" s="931"/>
      <c r="AV68" s="931"/>
      <c r="AW68" s="931"/>
      <c r="AX68" s="931"/>
      <c r="AY68" s="931"/>
      <c r="AZ68" s="931"/>
      <c r="BA68" s="931"/>
      <c r="BB68" s="931"/>
    </row>
    <row r="69" spans="2:54" x14ac:dyDescent="0.2">
      <c r="E69" s="931"/>
      <c r="F69" s="931"/>
      <c r="G69" s="931"/>
      <c r="H69" s="931"/>
      <c r="I69" s="931"/>
      <c r="J69" s="931"/>
      <c r="K69" s="931"/>
      <c r="L69" s="931"/>
      <c r="M69" s="931"/>
      <c r="N69" s="931"/>
      <c r="O69" s="931"/>
      <c r="P69" s="931"/>
      <c r="Q69" s="931"/>
      <c r="R69" s="931"/>
      <c r="S69" s="931"/>
      <c r="T69" s="931"/>
      <c r="U69" s="931"/>
      <c r="V69" s="931"/>
      <c r="W69" s="931"/>
      <c r="X69" s="931"/>
      <c r="Y69" s="931"/>
      <c r="Z69" s="931"/>
      <c r="AA69" s="931"/>
      <c r="AB69" s="931"/>
      <c r="AC69" s="931"/>
      <c r="AD69" s="931"/>
      <c r="AE69" s="931"/>
      <c r="AF69" s="931"/>
      <c r="AG69" s="931"/>
      <c r="AH69" s="931"/>
      <c r="AI69" s="931"/>
      <c r="AJ69" s="931"/>
      <c r="AK69" s="931"/>
      <c r="AL69" s="931"/>
      <c r="AM69" s="931"/>
      <c r="AN69" s="931"/>
      <c r="AO69" s="931"/>
      <c r="AP69" s="931"/>
      <c r="AQ69" s="931"/>
      <c r="AR69" s="931"/>
      <c r="AS69" s="931"/>
      <c r="AT69" s="931"/>
      <c r="AU69" s="931"/>
      <c r="AV69" s="931"/>
      <c r="AW69" s="931"/>
      <c r="AX69" s="931"/>
      <c r="AY69" s="931"/>
      <c r="AZ69" s="931"/>
      <c r="BA69" s="931"/>
      <c r="BB69" s="931"/>
    </row>
    <row r="70" spans="2:54" x14ac:dyDescent="0.2">
      <c r="E70" s="931"/>
      <c r="F70" s="931"/>
      <c r="G70" s="931"/>
      <c r="H70" s="931"/>
      <c r="I70" s="931"/>
      <c r="J70" s="931"/>
      <c r="K70" s="931"/>
      <c r="L70" s="931"/>
      <c r="M70" s="931"/>
      <c r="N70" s="931"/>
      <c r="O70" s="931"/>
      <c r="P70" s="931"/>
      <c r="Q70" s="931"/>
      <c r="R70" s="931"/>
      <c r="S70" s="931"/>
      <c r="T70" s="931"/>
      <c r="U70" s="931"/>
      <c r="V70" s="931"/>
      <c r="W70" s="931"/>
      <c r="X70" s="931"/>
      <c r="Y70" s="931"/>
      <c r="Z70" s="931"/>
      <c r="AA70" s="931"/>
      <c r="AB70" s="931"/>
      <c r="AC70" s="931"/>
      <c r="AD70" s="931"/>
      <c r="AE70" s="931"/>
      <c r="AF70" s="931"/>
      <c r="AG70" s="931"/>
      <c r="AH70" s="931"/>
      <c r="AI70" s="931"/>
      <c r="AJ70" s="931"/>
      <c r="AK70" s="931"/>
      <c r="AL70" s="931"/>
      <c r="AM70" s="931"/>
      <c r="AN70" s="931"/>
      <c r="AO70" s="931"/>
      <c r="AP70" s="931"/>
      <c r="AQ70" s="931"/>
      <c r="AR70" s="931"/>
      <c r="AS70" s="931"/>
      <c r="AT70" s="931"/>
      <c r="AU70" s="931"/>
      <c r="AV70" s="931"/>
      <c r="AW70" s="931"/>
      <c r="AX70" s="931"/>
      <c r="AY70" s="931"/>
      <c r="AZ70" s="931"/>
      <c r="BA70" s="931"/>
      <c r="BB70" s="931"/>
    </row>
    <row r="71" spans="2:54" x14ac:dyDescent="0.2">
      <c r="F71" s="931"/>
      <c r="G71" s="931"/>
      <c r="H71" s="931"/>
      <c r="I71" s="1077"/>
      <c r="J71" s="931"/>
      <c r="K71" s="931"/>
      <c r="L71" s="931"/>
      <c r="M71" s="931"/>
      <c r="N71" s="1077"/>
      <c r="O71" s="931"/>
      <c r="P71" s="931"/>
      <c r="Q71" s="931"/>
      <c r="R71" s="931"/>
      <c r="S71" s="1077"/>
      <c r="T71" s="933"/>
      <c r="U71" s="933"/>
      <c r="V71" s="933"/>
      <c r="W71" s="933"/>
      <c r="X71" s="934"/>
      <c r="Y71" s="933"/>
      <c r="Z71" s="933"/>
      <c r="AA71" s="933"/>
      <c r="AB71" s="933"/>
      <c r="AC71" s="934"/>
      <c r="AD71" s="933"/>
      <c r="AE71" s="933"/>
      <c r="AF71" s="933"/>
      <c r="AG71" s="933"/>
      <c r="AH71" s="934"/>
      <c r="AI71" s="997"/>
      <c r="AJ71" s="933"/>
      <c r="AK71" s="933"/>
      <c r="AL71" s="933"/>
      <c r="AM71" s="934"/>
      <c r="AN71" s="997"/>
      <c r="AO71" s="933"/>
      <c r="AP71" s="933"/>
      <c r="AQ71" s="933"/>
      <c r="AR71" s="934"/>
      <c r="AS71" s="997"/>
      <c r="AT71" s="933"/>
      <c r="AU71" s="933"/>
      <c r="AV71" s="933"/>
      <c r="AW71" s="934"/>
      <c r="AX71" s="997"/>
      <c r="AY71" s="933"/>
      <c r="AZ71" s="933"/>
      <c r="BA71" s="933"/>
      <c r="BB71" s="934"/>
    </row>
    <row r="72" spans="2:54" x14ac:dyDescent="0.2">
      <c r="E72" s="931"/>
      <c r="F72" s="931"/>
      <c r="G72" s="931"/>
      <c r="H72" s="931"/>
      <c r="I72" s="931"/>
      <c r="J72" s="931"/>
      <c r="K72" s="931"/>
      <c r="L72" s="931"/>
      <c r="M72" s="931"/>
      <c r="N72" s="931"/>
      <c r="O72" s="931"/>
      <c r="P72" s="931"/>
      <c r="Q72" s="931"/>
      <c r="R72" s="931"/>
      <c r="S72" s="931"/>
      <c r="T72" s="931"/>
      <c r="U72" s="931"/>
      <c r="V72" s="931"/>
      <c r="W72" s="931"/>
      <c r="X72" s="931"/>
      <c r="Y72" s="931"/>
      <c r="Z72" s="931"/>
      <c r="AA72" s="931"/>
      <c r="AB72" s="931"/>
      <c r="AC72" s="931"/>
      <c r="AD72" s="931"/>
      <c r="AE72" s="931"/>
      <c r="AF72" s="931"/>
      <c r="AG72" s="931"/>
      <c r="AH72" s="931"/>
      <c r="AI72" s="931"/>
      <c r="AJ72" s="931"/>
      <c r="AK72" s="931"/>
      <c r="AL72" s="931"/>
      <c r="AM72" s="931"/>
      <c r="AN72" s="931"/>
      <c r="AO72" s="931"/>
      <c r="AP72" s="931"/>
      <c r="AQ72" s="931"/>
      <c r="AR72" s="931"/>
      <c r="AS72" s="931"/>
      <c r="AT72" s="931"/>
      <c r="AU72" s="931"/>
      <c r="AV72" s="931"/>
      <c r="AW72" s="931"/>
      <c r="AX72" s="931"/>
      <c r="AY72" s="931"/>
      <c r="AZ72" s="931"/>
      <c r="BA72" s="931"/>
      <c r="BB72" s="931"/>
    </row>
    <row r="73" spans="2:54" ht="13.5" outlineLevel="1" thickBot="1" x14ac:dyDescent="0.25">
      <c r="B73" s="932" t="s">
        <v>251</v>
      </c>
      <c r="D73" s="931"/>
      <c r="E73" s="931"/>
      <c r="F73" s="931"/>
      <c r="G73" s="931"/>
      <c r="H73" s="931"/>
      <c r="I73" s="931"/>
      <c r="J73" s="931"/>
      <c r="K73" s="931"/>
      <c r="L73" s="931"/>
      <c r="M73" s="931"/>
      <c r="N73" s="931"/>
      <c r="O73" s="931"/>
      <c r="P73" s="931"/>
      <c r="Q73" s="931"/>
      <c r="R73" s="931"/>
      <c r="S73" s="931"/>
      <c r="T73" s="931"/>
      <c r="U73" s="931"/>
      <c r="V73" s="931"/>
      <c r="W73" s="931"/>
      <c r="X73" s="931"/>
      <c r="Y73" s="931"/>
      <c r="Z73" s="931"/>
      <c r="AA73" s="931"/>
      <c r="AB73" s="931"/>
      <c r="AC73" s="931"/>
      <c r="AD73" s="931"/>
      <c r="AE73" s="931"/>
      <c r="AF73" s="931"/>
      <c r="AG73" s="931"/>
      <c r="AH73" s="931"/>
      <c r="AI73" s="931"/>
      <c r="AJ73" s="931"/>
      <c r="AK73" s="931"/>
      <c r="AL73" s="931"/>
      <c r="AM73" s="931"/>
      <c r="AN73" s="931"/>
      <c r="AO73" s="931"/>
      <c r="AP73" s="931"/>
      <c r="AQ73" s="931"/>
      <c r="AR73" s="931"/>
      <c r="AS73" s="931"/>
      <c r="AT73" s="931"/>
      <c r="AU73" s="931"/>
      <c r="AV73" s="931"/>
      <c r="AW73" s="931"/>
      <c r="AX73" s="931"/>
      <c r="AY73" s="931"/>
      <c r="AZ73" s="931"/>
      <c r="BA73" s="931"/>
      <c r="BB73" s="931"/>
    </row>
    <row r="74" spans="2:54" s="1095" customFormat="1" ht="13.5" outlineLevel="1" thickBot="1" x14ac:dyDescent="0.25">
      <c r="B74" s="1094" t="s">
        <v>758</v>
      </c>
      <c r="D74" s="933"/>
      <c r="E74" s="933"/>
      <c r="F74" s="933"/>
      <c r="G74" s="933"/>
      <c r="H74" s="933"/>
      <c r="I74" s="1096"/>
      <c r="J74" s="933"/>
    </row>
    <row r="75" spans="2:54" s="1095" customFormat="1" x14ac:dyDescent="0.2">
      <c r="F75" s="933"/>
      <c r="G75" s="933"/>
      <c r="H75" s="933"/>
      <c r="I75" s="1096"/>
      <c r="J75" s="933"/>
      <c r="K75" s="933"/>
      <c r="L75" s="933"/>
      <c r="M75" s="933"/>
      <c r="N75" s="933"/>
      <c r="O75" s="933"/>
      <c r="P75" s="933"/>
      <c r="Q75" s="933"/>
      <c r="R75" s="933"/>
      <c r="S75" s="933"/>
      <c r="T75" s="933"/>
      <c r="U75" s="933"/>
      <c r="V75" s="933"/>
      <c r="W75" s="933"/>
      <c r="X75" s="933"/>
      <c r="Y75" s="933"/>
      <c r="Z75" s="933"/>
      <c r="AA75" s="933"/>
      <c r="AB75" s="933"/>
      <c r="AC75" s="933"/>
      <c r="AD75" s="933"/>
      <c r="AE75" s="933"/>
      <c r="AF75" s="933"/>
      <c r="AG75" s="933"/>
      <c r="AH75" s="933"/>
      <c r="AI75" s="933"/>
      <c r="AJ75" s="933"/>
      <c r="AK75" s="933"/>
      <c r="AL75" s="933"/>
      <c r="AM75" s="933"/>
      <c r="AN75" s="933"/>
      <c r="AO75" s="933"/>
      <c r="AP75" s="933"/>
      <c r="AQ75" s="933"/>
      <c r="AR75" s="933"/>
      <c r="AS75" s="933"/>
      <c r="AT75" s="933"/>
      <c r="AU75" s="933"/>
      <c r="AV75" s="933"/>
      <c r="AW75" s="933"/>
      <c r="AX75" s="933"/>
      <c r="AY75" s="933"/>
      <c r="AZ75" s="933"/>
      <c r="BA75" s="933"/>
      <c r="BB75" s="933"/>
    </row>
    <row r="76" spans="2:54" s="1095" customFormat="1" x14ac:dyDescent="0.2">
      <c r="E76" s="1097"/>
      <c r="F76" s="1098"/>
      <c r="G76" s="1098"/>
      <c r="H76" s="933"/>
      <c r="I76" s="1096"/>
      <c r="J76" s="933"/>
      <c r="K76" s="933"/>
      <c r="L76" s="933"/>
      <c r="M76" s="933"/>
      <c r="N76" s="933"/>
      <c r="O76" s="933"/>
      <c r="P76" s="933"/>
      <c r="Q76" s="933"/>
      <c r="R76" s="933"/>
      <c r="S76" s="933"/>
      <c r="T76" s="933"/>
      <c r="U76" s="933"/>
      <c r="V76" s="933"/>
      <c r="W76" s="933"/>
      <c r="X76" s="933"/>
      <c r="Y76" s="933"/>
      <c r="Z76" s="933"/>
      <c r="AA76" s="933"/>
      <c r="AB76" s="933"/>
      <c r="AC76" s="933"/>
      <c r="AD76" s="933"/>
      <c r="AE76" s="933"/>
      <c r="AF76" s="933"/>
      <c r="AG76" s="933"/>
      <c r="AH76" s="933"/>
      <c r="AI76" s="933"/>
      <c r="AJ76" s="933"/>
      <c r="AK76" s="933"/>
      <c r="AL76" s="933"/>
      <c r="AM76" s="933"/>
      <c r="AN76" s="933"/>
      <c r="AO76" s="933"/>
      <c r="AP76" s="933"/>
      <c r="AQ76" s="933"/>
      <c r="AR76" s="933"/>
      <c r="AS76" s="933"/>
      <c r="AT76" s="933"/>
      <c r="AU76" s="933"/>
      <c r="AV76" s="933"/>
      <c r="AW76" s="933"/>
      <c r="AX76" s="933"/>
      <c r="AY76" s="933"/>
      <c r="AZ76" s="933"/>
      <c r="BA76" s="933"/>
      <c r="BB76" s="933"/>
    </row>
    <row r="77" spans="2:54" x14ac:dyDescent="0.2">
      <c r="E77" s="1072"/>
      <c r="F77" s="1082"/>
      <c r="G77" s="1082"/>
      <c r="H77" s="1082"/>
      <c r="I77" s="1081"/>
      <c r="J77" s="1078"/>
      <c r="K77" s="1078"/>
      <c r="L77" s="1078"/>
      <c r="M77" s="1078"/>
      <c r="N77" s="1079"/>
      <c r="O77" s="1080"/>
      <c r="P77" s="1080"/>
      <c r="Q77" s="1080"/>
      <c r="R77" s="1080"/>
      <c r="S77" s="1081"/>
      <c r="T77" s="938"/>
      <c r="U77" s="938"/>
      <c r="V77" s="938"/>
      <c r="W77" s="938"/>
      <c r="X77" s="939"/>
      <c r="Y77" s="938"/>
      <c r="Z77" s="938"/>
      <c r="AA77" s="938"/>
      <c r="AB77" s="938"/>
      <c r="AC77" s="939"/>
      <c r="AD77" s="940"/>
      <c r="AE77" s="938"/>
      <c r="AF77" s="938"/>
      <c r="AG77" s="938"/>
      <c r="AH77" s="939"/>
      <c r="AI77" s="940"/>
      <c r="AJ77" s="938"/>
      <c r="AK77" s="938"/>
      <c r="AL77" s="938"/>
      <c r="AM77" s="939"/>
      <c r="AN77" s="940"/>
      <c r="AO77" s="938"/>
      <c r="AP77" s="938"/>
      <c r="AQ77" s="938"/>
      <c r="AR77" s="939"/>
      <c r="AS77" s="940"/>
      <c r="AT77" s="938"/>
      <c r="AU77" s="938"/>
      <c r="AV77" s="938"/>
      <c r="AW77" s="939"/>
      <c r="AX77" s="940"/>
      <c r="AY77" s="938"/>
      <c r="AZ77" s="938"/>
      <c r="BA77" s="938"/>
      <c r="BB77" s="939"/>
    </row>
    <row r="78" spans="2:54" x14ac:dyDescent="0.2">
      <c r="E78" s="1072"/>
      <c r="F78" s="1078"/>
      <c r="G78" s="1078"/>
      <c r="H78" s="931"/>
      <c r="I78" s="1077"/>
      <c r="J78" s="931"/>
      <c r="K78" s="934"/>
      <c r="L78" s="934"/>
      <c r="M78" s="934"/>
      <c r="N78" s="934"/>
      <c r="O78" s="934"/>
      <c r="P78" s="934"/>
      <c r="Q78" s="934"/>
      <c r="R78" s="934"/>
      <c r="S78" s="934"/>
      <c r="T78" s="934"/>
      <c r="U78" s="934"/>
      <c r="V78" s="934"/>
      <c r="W78" s="934"/>
      <c r="X78" s="934"/>
      <c r="Y78" s="934"/>
      <c r="Z78" s="934"/>
      <c r="AA78" s="934"/>
      <c r="AB78" s="934"/>
      <c r="AC78" s="934"/>
      <c r="AD78" s="934"/>
      <c r="AE78" s="934"/>
      <c r="AF78" s="934"/>
      <c r="AG78" s="934"/>
      <c r="AH78" s="934"/>
      <c r="AI78" s="934"/>
      <c r="AJ78" s="934"/>
      <c r="AK78" s="934"/>
      <c r="AL78" s="934"/>
      <c r="AM78" s="934"/>
      <c r="AN78" s="934"/>
      <c r="AO78" s="934"/>
      <c r="AP78" s="934"/>
      <c r="AQ78" s="934"/>
      <c r="AR78" s="934"/>
      <c r="AS78" s="934"/>
      <c r="AT78" s="934"/>
      <c r="AU78" s="934"/>
      <c r="AV78" s="934"/>
      <c r="AW78" s="934"/>
      <c r="AX78" s="934"/>
      <c r="AY78" s="934"/>
      <c r="AZ78" s="934"/>
      <c r="BA78" s="934"/>
      <c r="BB78" s="934"/>
    </row>
    <row r="79" spans="2:54" x14ac:dyDescent="0.2">
      <c r="E79" s="1072"/>
      <c r="F79" s="1072"/>
      <c r="G79" s="1072"/>
      <c r="H79" s="1073"/>
      <c r="I79" s="1074"/>
      <c r="J79" s="1073"/>
      <c r="K79" s="1073"/>
      <c r="L79" s="1073"/>
      <c r="M79" s="1073"/>
      <c r="N79" s="1074"/>
      <c r="O79" s="1073"/>
      <c r="P79" s="1073"/>
      <c r="Q79" s="1073"/>
      <c r="R79" s="1073"/>
      <c r="S79" s="1074"/>
      <c r="T79" s="941"/>
      <c r="U79" s="941"/>
      <c r="V79" s="941"/>
      <c r="W79" s="941"/>
      <c r="X79" s="935"/>
      <c r="Y79" s="941"/>
      <c r="Z79" s="941"/>
      <c r="AA79" s="941"/>
      <c r="AB79" s="941"/>
      <c r="AC79" s="935"/>
      <c r="AD79" s="941"/>
      <c r="AE79" s="941"/>
      <c r="AF79" s="941"/>
      <c r="AG79" s="941"/>
      <c r="AH79" s="935"/>
      <c r="AI79" s="999"/>
      <c r="AJ79" s="941"/>
      <c r="AK79" s="941"/>
      <c r="AL79" s="941"/>
      <c r="AM79" s="935"/>
      <c r="AN79" s="999"/>
      <c r="AO79" s="941"/>
      <c r="AP79" s="941"/>
      <c r="AQ79" s="941"/>
      <c r="AR79" s="935"/>
      <c r="AS79" s="999"/>
      <c r="AT79" s="941"/>
      <c r="AU79" s="941"/>
      <c r="AV79" s="941"/>
      <c r="AW79" s="935"/>
      <c r="AX79" s="999"/>
      <c r="AY79" s="941"/>
      <c r="AZ79" s="941"/>
      <c r="BA79" s="941"/>
      <c r="BB79" s="935"/>
    </row>
    <row r="80" spans="2:54" x14ac:dyDescent="0.2">
      <c r="E80" s="1072"/>
      <c r="F80" s="1072"/>
      <c r="G80" s="1072"/>
      <c r="H80" s="1073"/>
      <c r="I80" s="1074"/>
      <c r="J80" s="1073"/>
      <c r="K80" s="1073"/>
      <c r="L80" s="1073"/>
      <c r="M80" s="1073"/>
      <c r="N80" s="1074"/>
      <c r="O80" s="1073"/>
      <c r="P80" s="1073"/>
      <c r="Q80" s="1073"/>
      <c r="R80" s="1073"/>
      <c r="S80" s="1074"/>
      <c r="T80" s="936"/>
      <c r="U80" s="936"/>
      <c r="V80" s="936"/>
      <c r="W80" s="936"/>
      <c r="X80" s="937"/>
      <c r="Y80" s="936"/>
      <c r="Z80" s="936"/>
      <c r="AA80" s="936"/>
      <c r="AB80" s="936"/>
      <c r="AC80" s="937"/>
      <c r="AD80" s="936"/>
      <c r="AE80" s="936"/>
      <c r="AF80" s="936"/>
      <c r="AG80" s="936"/>
      <c r="AH80" s="937"/>
      <c r="AI80" s="998"/>
      <c r="AJ80" s="936"/>
      <c r="AK80" s="936"/>
      <c r="AL80" s="936"/>
      <c r="AM80" s="937"/>
      <c r="AN80" s="998"/>
      <c r="AO80" s="936"/>
      <c r="AP80" s="936"/>
      <c r="AQ80" s="936"/>
      <c r="AR80" s="937"/>
      <c r="AS80" s="998"/>
      <c r="AT80" s="936"/>
      <c r="AU80" s="936"/>
      <c r="AV80" s="936"/>
      <c r="AW80" s="937"/>
      <c r="AX80" s="998"/>
      <c r="AY80" s="936"/>
      <c r="AZ80" s="936"/>
      <c r="BA80" s="936"/>
      <c r="BB80" s="937"/>
    </row>
    <row r="81" spans="5:54" x14ac:dyDescent="0.2">
      <c r="E81" s="1072"/>
      <c r="F81" s="1072"/>
      <c r="G81" s="1072"/>
      <c r="H81" s="1072"/>
      <c r="I81" s="1072"/>
      <c r="J81" s="1072"/>
      <c r="K81" s="1072"/>
      <c r="L81" s="1072"/>
      <c r="M81" s="1072"/>
      <c r="N81" s="1072"/>
      <c r="O81" s="1072"/>
      <c r="P81" s="1072"/>
      <c r="Q81" s="1072"/>
      <c r="R81" s="1072"/>
      <c r="S81" s="1072"/>
      <c r="T81" s="928"/>
      <c r="U81" s="928"/>
      <c r="V81" s="928"/>
      <c r="W81" s="928"/>
      <c r="X81" s="928"/>
      <c r="Y81" s="928"/>
      <c r="Z81" s="928"/>
      <c r="AA81" s="928"/>
      <c r="AB81" s="928"/>
      <c r="AC81" s="928"/>
      <c r="AD81" s="928"/>
      <c r="AE81" s="928"/>
      <c r="AF81" s="928"/>
      <c r="AG81" s="928"/>
      <c r="AH81" s="928"/>
      <c r="AI81" s="1000"/>
      <c r="AJ81" s="928"/>
      <c r="AK81" s="928"/>
      <c r="AL81" s="928"/>
      <c r="AM81" s="928"/>
      <c r="AN81" s="1000"/>
      <c r="AO81" s="928"/>
      <c r="AP81" s="928"/>
      <c r="AQ81" s="928"/>
      <c r="AR81" s="928"/>
      <c r="AS81" s="1000"/>
      <c r="AT81" s="928"/>
      <c r="AU81" s="928"/>
      <c r="AV81" s="928"/>
      <c r="AW81" s="928"/>
      <c r="AX81" s="1000"/>
      <c r="AY81" s="928"/>
      <c r="AZ81" s="928"/>
      <c r="BA81" s="928"/>
      <c r="BB81" s="928"/>
    </row>
    <row r="82" spans="5:54" x14ac:dyDescent="0.2">
      <c r="E82" s="1072"/>
      <c r="F82" s="1072"/>
      <c r="G82" s="1072"/>
      <c r="H82" s="1072"/>
      <c r="I82" s="1072"/>
      <c r="J82" s="1075"/>
      <c r="K82" s="1075"/>
      <c r="L82" s="1075"/>
      <c r="M82" s="1075"/>
      <c r="N82" s="1075"/>
      <c r="O82" s="1075"/>
      <c r="P82" s="1075"/>
      <c r="Q82" s="1075"/>
      <c r="R82" s="1075"/>
      <c r="S82" s="1075"/>
      <c r="T82" s="903"/>
      <c r="U82" s="903"/>
      <c r="V82" s="903"/>
      <c r="W82" s="903"/>
      <c r="X82" s="903"/>
      <c r="Y82" s="903"/>
      <c r="Z82" s="903"/>
      <c r="AA82" s="903"/>
      <c r="AB82" s="903"/>
      <c r="AC82" s="903"/>
      <c r="AD82" s="903"/>
      <c r="AE82" s="903"/>
      <c r="AF82" s="903"/>
      <c r="AG82" s="903"/>
      <c r="AH82" s="903"/>
      <c r="AI82" s="1001"/>
      <c r="AJ82" s="903"/>
      <c r="AK82" s="903"/>
      <c r="AL82" s="903"/>
      <c r="AM82" s="903"/>
      <c r="AN82" s="1001"/>
      <c r="AO82" s="903"/>
      <c r="AP82" s="903"/>
      <c r="AQ82" s="903"/>
      <c r="AR82" s="903"/>
      <c r="AS82" s="1001"/>
      <c r="AT82" s="903"/>
      <c r="AU82" s="903"/>
      <c r="AV82" s="903"/>
      <c r="AW82" s="903"/>
      <c r="AX82" s="1001"/>
      <c r="AY82" s="903"/>
      <c r="AZ82" s="903"/>
      <c r="BA82" s="903"/>
      <c r="BB82" s="903"/>
    </row>
    <row r="83" spans="5:54" x14ac:dyDescent="0.2">
      <c r="E83" s="1072"/>
      <c r="F83" s="1072"/>
      <c r="G83" s="1072"/>
      <c r="H83" s="1072"/>
      <c r="I83" s="1072"/>
      <c r="J83" s="1072"/>
      <c r="K83" s="1072"/>
      <c r="L83" s="1072"/>
      <c r="M83" s="1072"/>
      <c r="N83" s="1072"/>
      <c r="O83" s="1072"/>
      <c r="P83" s="1072"/>
      <c r="Q83" s="1072"/>
      <c r="R83" s="1072"/>
      <c r="S83" s="1072"/>
      <c r="T83" s="680"/>
    </row>
    <row r="84" spans="5:54" x14ac:dyDescent="0.2">
      <c r="E84" s="1072"/>
      <c r="F84" s="1072"/>
      <c r="G84" s="1072"/>
      <c r="H84" s="1072"/>
      <c r="I84" s="1072"/>
      <c r="J84" s="1072"/>
      <c r="K84" s="1072"/>
      <c r="L84" s="1072"/>
      <c r="M84" s="1072"/>
      <c r="N84" s="1072"/>
      <c r="O84" s="1072"/>
      <c r="P84" s="1072"/>
      <c r="Q84" s="1072"/>
      <c r="R84" s="1072"/>
      <c r="S84" s="1072"/>
    </row>
    <row r="85" spans="5:54" x14ac:dyDescent="0.2">
      <c r="E85" s="1072"/>
      <c r="F85" s="1072"/>
      <c r="G85" s="1072"/>
      <c r="H85" s="1072"/>
      <c r="I85" s="1072"/>
      <c r="J85" s="1076"/>
      <c r="K85" s="1076"/>
      <c r="L85" s="1076"/>
      <c r="M85" s="1076"/>
      <c r="N85" s="1072"/>
      <c r="O85" s="1072"/>
      <c r="P85" s="1072"/>
      <c r="Q85" s="1072"/>
      <c r="R85" s="1072"/>
      <c r="S85" s="1072"/>
    </row>
    <row r="86" spans="5:54" x14ac:dyDescent="0.2">
      <c r="E86" s="1072"/>
      <c r="F86" s="1072"/>
      <c r="G86" s="1072"/>
      <c r="H86" s="1072"/>
      <c r="I86" s="1072"/>
      <c r="J86" s="1072"/>
      <c r="K86" s="1072"/>
      <c r="L86" s="1072"/>
      <c r="M86" s="1072"/>
      <c r="N86" s="1072"/>
      <c r="O86" s="1072"/>
      <c r="P86" s="1072"/>
      <c r="Q86" s="1072"/>
      <c r="R86" s="1072"/>
      <c r="S86" s="1072"/>
    </row>
    <row r="87" spans="5:54" x14ac:dyDescent="0.2">
      <c r="E87" s="1072"/>
      <c r="F87" s="1072"/>
      <c r="G87" s="1072"/>
      <c r="H87" s="1072"/>
      <c r="I87" s="1072"/>
      <c r="J87" s="1072"/>
      <c r="K87" s="1072"/>
      <c r="L87" s="1072"/>
      <c r="M87" s="1072"/>
      <c r="N87" s="1072"/>
      <c r="O87" s="1072"/>
      <c r="P87" s="1072"/>
      <c r="Q87" s="1072"/>
      <c r="R87" s="1072"/>
      <c r="S87" s="1072"/>
    </row>
    <row r="88" spans="5:54" x14ac:dyDescent="0.2">
      <c r="E88" s="1072"/>
      <c r="F88" s="1072"/>
      <c r="G88" s="1072"/>
      <c r="H88" s="1072"/>
      <c r="I88" s="1072"/>
      <c r="J88" s="1072"/>
      <c r="K88" s="1072"/>
      <c r="L88" s="1072"/>
      <c r="M88" s="1072"/>
      <c r="N88" s="1072"/>
      <c r="O88" s="1072"/>
      <c r="P88" s="1072"/>
      <c r="Q88" s="1072"/>
      <c r="R88" s="1072"/>
      <c r="S88" s="1072"/>
    </row>
    <row r="89" spans="5:54" x14ac:dyDescent="0.2">
      <c r="E89" s="1072"/>
      <c r="F89" s="1072"/>
      <c r="G89" s="1072"/>
      <c r="H89" s="1072"/>
      <c r="I89" s="1072"/>
      <c r="J89" s="1072"/>
      <c r="K89" s="1072"/>
      <c r="L89" s="1072"/>
      <c r="M89" s="1072"/>
      <c r="N89" s="1072"/>
      <c r="O89" s="1072"/>
      <c r="P89" s="1072"/>
      <c r="Q89" s="1072"/>
      <c r="R89" s="1072"/>
      <c r="S89" s="1072"/>
    </row>
    <row r="90" spans="5:54" x14ac:dyDescent="0.2">
      <c r="E90" s="1072"/>
      <c r="F90" s="1072"/>
      <c r="G90" s="1072"/>
      <c r="H90" s="1072"/>
      <c r="I90" s="1072"/>
      <c r="J90" s="1072"/>
      <c r="K90" s="1072"/>
      <c r="L90" s="1072"/>
      <c r="M90" s="1072"/>
      <c r="N90" s="1072"/>
      <c r="O90" s="1072"/>
      <c r="P90" s="1072"/>
      <c r="Q90" s="1072"/>
      <c r="R90" s="1072"/>
      <c r="S90" s="1072"/>
    </row>
    <row r="91" spans="5:54" x14ac:dyDescent="0.2">
      <c r="E91" s="1072"/>
      <c r="F91" s="1072"/>
      <c r="G91" s="1072"/>
      <c r="H91" s="1072"/>
      <c r="I91" s="1072"/>
      <c r="J91" s="1072"/>
      <c r="K91" s="1072"/>
      <c r="L91" s="1072"/>
      <c r="M91" s="1072"/>
      <c r="N91" s="1072"/>
      <c r="O91" s="1072"/>
      <c r="P91" s="1072"/>
      <c r="Q91" s="1072"/>
      <c r="R91" s="1072"/>
      <c r="S91" s="1072"/>
    </row>
    <row r="92" spans="5:54" x14ac:dyDescent="0.2">
      <c r="E92" s="1072"/>
      <c r="F92" s="1072"/>
      <c r="G92" s="1072"/>
      <c r="H92" s="1072"/>
      <c r="I92" s="1072"/>
      <c r="J92" s="1072"/>
      <c r="K92" s="1072"/>
      <c r="L92" s="1072"/>
      <c r="M92" s="1072"/>
      <c r="N92" s="1072"/>
      <c r="O92" s="1072"/>
      <c r="P92" s="1072"/>
      <c r="Q92" s="1072"/>
      <c r="R92" s="1072"/>
      <c r="S92" s="1072"/>
    </row>
  </sheetData>
  <mergeCells count="6">
    <mergeCell ref="B58:D58"/>
    <mergeCell ref="B4:C4"/>
    <mergeCell ref="B11:D11"/>
    <mergeCell ref="B47:D47"/>
    <mergeCell ref="B16:D16"/>
    <mergeCell ref="B22:D22"/>
  </mergeCells>
  <phoneticPr fontId="15" type="noConversion"/>
  <dataValidations count="1">
    <dataValidation type="list" allowBlank="1" showInputMessage="1" showErrorMessage="1" sqref="C45 C9 C30 C56">
      <formula1>"1, 2, 3"</formula1>
    </dataValidation>
  </dataValidations>
  <pageMargins left="0.25" right="0.25" top="0.5" bottom="0.5" header="0" footer="0"/>
  <pageSetup paperSize="5" orientation="landscape" r:id="rId1"/>
  <headerFooter alignWithMargins="0"/>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B3:EG83"/>
  <sheetViews>
    <sheetView showGridLines="0" topLeftCell="A35" zoomScaleNormal="100" zoomScaleSheetLayoutView="100" workbookViewId="0">
      <pane xSplit="58" ySplit="6" topLeftCell="CL41" activePane="bottomRight" state="frozen"/>
      <selection activeCell="A35" sqref="A35"/>
      <selection pane="topRight" activeCell="BG35" sqref="BG35"/>
      <selection pane="bottomLeft" activeCell="A41" sqref="A41"/>
      <selection pane="bottomRight" activeCell="CT44" sqref="CT44"/>
    </sheetView>
  </sheetViews>
  <sheetFormatPr defaultRowHeight="12.75" outlineLevelRow="3" outlineLevelCol="2" x14ac:dyDescent="0.2"/>
  <cols>
    <col min="1" max="1" width="0.7109375" style="1598" customWidth="1"/>
    <col min="2" max="2" width="23.42578125" style="1598" customWidth="1"/>
    <col min="3" max="6" width="14" style="1598" hidden="1" customWidth="1" outlineLevel="1"/>
    <col min="7" max="7" width="1.42578125" style="1599" hidden="1" customWidth="1" outlineLevel="1"/>
    <col min="8" max="8" width="14" style="1598" hidden="1" customWidth="1" outlineLevel="1" collapsed="1"/>
    <col min="9" max="10" width="14" style="1598" hidden="1" customWidth="1" outlineLevel="1"/>
    <col min="11" max="11" width="18.5703125" style="1598" hidden="1" customWidth="1" outlineLevel="1"/>
    <col min="12" max="12" width="1.42578125" style="1599" hidden="1" customWidth="1"/>
    <col min="13" max="13" width="19" style="1598" hidden="1" customWidth="1" collapsed="1"/>
    <col min="14" max="16" width="16" style="1598" hidden="1" customWidth="1"/>
    <col min="17" max="17" width="11.7109375" style="1598" hidden="1" customWidth="1" outlineLevel="1"/>
    <col min="18" max="18" width="1.42578125" style="1599" hidden="1" customWidth="1"/>
    <col min="19" max="19" width="18.5703125" style="1598" hidden="1" customWidth="1" collapsed="1"/>
    <col min="20" max="21" width="18.5703125" style="1598" hidden="1" customWidth="1"/>
    <col min="22" max="22" width="0.7109375" style="1598" hidden="1" customWidth="1"/>
    <col min="23" max="23" width="18.5703125" style="1598" hidden="1" customWidth="1" collapsed="1"/>
    <col min="24" max="24" width="18.5703125" style="1598" hidden="1" customWidth="1"/>
    <col min="25" max="25" width="18.5703125" style="1598" hidden="1" customWidth="1" collapsed="1"/>
    <col min="26" max="26" width="11.7109375" style="1598" hidden="1" customWidth="1" outlineLevel="2"/>
    <col min="27" max="27" width="4.140625" style="1598" hidden="1" customWidth="1" outlineLevel="1"/>
    <col min="28" max="31" width="13.140625" style="1598" hidden="1" customWidth="1" outlineLevel="1"/>
    <col min="32" max="32" width="9.140625" style="1598" hidden="1" customWidth="1" outlineLevel="1"/>
    <col min="33" max="33" width="18" style="1598" hidden="1" customWidth="1" outlineLevel="1" collapsed="1"/>
    <col min="34" max="36" width="13.140625" style="1598" hidden="1" customWidth="1" outlineLevel="1"/>
    <col min="37" max="37" width="9.140625" style="1598" hidden="1" customWidth="1" outlineLevel="1"/>
    <col min="38" max="40" width="15" style="1598" hidden="1" customWidth="1" outlineLevel="1"/>
    <col min="41" max="41" width="11.7109375" style="1598" hidden="1" customWidth="1" outlineLevel="1"/>
    <col min="42" max="42" width="8.85546875" style="1598" hidden="1" customWidth="1" outlineLevel="1"/>
    <col min="43" max="43" width="1.42578125" style="1598" hidden="1" customWidth="1" outlineLevel="1"/>
    <col min="44" max="44" width="13.140625" style="1598" hidden="1" customWidth="1" outlineLevel="1"/>
    <col min="45" max="45" width="7" style="1598" hidden="1" customWidth="1" outlineLevel="1"/>
    <col min="46" max="46" width="6" style="1598" hidden="1" customWidth="1" outlineLevel="1"/>
    <col min="47" max="47" width="4" style="1599" hidden="1" customWidth="1" outlineLevel="1"/>
    <col min="48" max="48" width="18" style="1598" hidden="1" customWidth="1" outlineLevel="1"/>
    <col min="49" max="49" width="4" style="1598" hidden="1" customWidth="1" outlineLevel="1"/>
    <col min="50" max="50" width="17" style="1598" hidden="1" customWidth="1" outlineLevel="1"/>
    <col min="51" max="51" width="16.85546875" style="1598" hidden="1" customWidth="1" outlineLevel="1"/>
    <col min="52" max="58" width="14.7109375" style="1598" hidden="1" customWidth="1" outlineLevel="1"/>
    <col min="59" max="59" width="14.7109375" style="1598" hidden="1" customWidth="1" collapsed="1"/>
    <col min="60" max="62" width="14.7109375" style="1598" hidden="1" customWidth="1"/>
    <col min="63" max="63" width="11" style="1598" hidden="1" customWidth="1"/>
    <col min="64" max="64" width="10.7109375" style="1598" hidden="1" customWidth="1"/>
    <col min="65" max="68" width="14.7109375" style="1598" hidden="1" customWidth="1"/>
    <col min="69" max="69" width="11" style="1598" hidden="1" customWidth="1"/>
    <col min="70" max="70" width="10.7109375" style="1598" hidden="1" customWidth="1"/>
    <col min="71" max="74" width="14.7109375" style="1598" hidden="1" customWidth="1"/>
    <col min="75" max="75" width="11" style="1598" hidden="1" customWidth="1"/>
    <col min="76" max="76" width="10.7109375" style="1598" hidden="1" customWidth="1"/>
    <col min="77" max="77" width="1.85546875" hidden="1" customWidth="1"/>
    <col min="78" max="81" width="14.7109375" style="1598" customWidth="1"/>
    <col min="82" max="82" width="11" style="1598" customWidth="1"/>
    <col min="83" max="83" width="10.7109375" style="1598" customWidth="1"/>
    <col min="84" max="84" width="2.85546875" customWidth="1"/>
    <col min="85" max="87" width="14.7109375" style="1598" customWidth="1"/>
    <col min="88" max="88" width="15.5703125" style="1598" customWidth="1"/>
    <col min="89" max="91" width="14.7109375" style="1598" customWidth="1"/>
    <col min="92" max="92" width="11" style="1598" customWidth="1"/>
    <col min="93" max="93" width="10.7109375" style="1598" customWidth="1"/>
    <col min="94" max="94" width="3.5703125" style="1598" customWidth="1"/>
    <col min="95" max="95" width="19.7109375" style="1598" bestFit="1" customWidth="1"/>
    <col min="96" max="99" width="14.7109375" style="1598" customWidth="1"/>
    <col min="100" max="100" width="7.7109375" style="1598" customWidth="1"/>
    <col min="101" max="102" width="9.140625" style="1598" customWidth="1"/>
    <col min="103" max="103" width="1.7109375" style="1598" customWidth="1"/>
    <col min="104" max="106" width="9.140625" style="1598" customWidth="1"/>
    <col min="107" max="107" width="1.7109375" style="1598" customWidth="1"/>
    <col min="108" max="108" width="9.140625" style="1598" customWidth="1"/>
    <col min="109" max="109" width="1.7109375" style="1598" customWidth="1"/>
    <col min="110" max="110" width="9.7109375" style="1598" customWidth="1"/>
    <col min="111" max="111" width="1.7109375" style="1598" customWidth="1"/>
    <col min="112" max="112" width="9.7109375" style="1598" customWidth="1"/>
    <col min="113" max="127" width="9.140625" style="1598" customWidth="1"/>
    <col min="128" max="128" width="9.140625" style="1598"/>
    <col min="129" max="129" width="12.5703125" style="1598" bestFit="1" customWidth="1"/>
    <col min="130" max="16384" width="9.140625" style="1598"/>
  </cols>
  <sheetData>
    <row r="3" spans="2:131" hidden="1" outlineLevel="1" x14ac:dyDescent="0.2">
      <c r="B3" s="1600" t="s">
        <v>22</v>
      </c>
      <c r="C3" s="1601" t="s">
        <v>449</v>
      </c>
      <c r="D3" s="1601"/>
      <c r="E3" s="1601"/>
      <c r="F3" s="1602"/>
      <c r="G3" s="1603"/>
      <c r="H3" s="1604" t="s">
        <v>450</v>
      </c>
      <c r="I3" s="1601"/>
      <c r="J3" s="1605"/>
      <c r="K3" s="1606"/>
      <c r="L3" s="1603"/>
      <c r="M3" s="1604" t="s">
        <v>451</v>
      </c>
      <c r="N3" s="1601"/>
      <c r="O3" s="1601"/>
      <c r="P3" s="1602"/>
      <c r="Q3" s="1602"/>
      <c r="R3" s="1603"/>
      <c r="S3" s="1607" t="s">
        <v>452</v>
      </c>
      <c r="T3" s="1601"/>
      <c r="U3" s="1601"/>
      <c r="V3" s="1608"/>
      <c r="W3" s="1607" t="s">
        <v>497</v>
      </c>
      <c r="X3" s="1607"/>
      <c r="Y3" s="1607"/>
      <c r="Z3" s="1601"/>
      <c r="AA3" s="1608"/>
      <c r="AB3" s="1607" t="s">
        <v>522</v>
      </c>
      <c r="AC3" s="1607"/>
      <c r="AD3" s="1607"/>
      <c r="AE3" s="1607"/>
      <c r="AF3" s="1609"/>
      <c r="AG3" s="2026" t="s">
        <v>563</v>
      </c>
      <c r="AH3" s="2027"/>
      <c r="AI3" s="2027"/>
      <c r="AJ3" s="2027"/>
      <c r="AK3" s="2027"/>
      <c r="AL3" s="2027"/>
      <c r="AM3" s="2027"/>
      <c r="AN3" s="2028"/>
      <c r="AO3" s="1607"/>
      <c r="AP3" s="1607"/>
      <c r="AQ3" s="1609"/>
      <c r="AR3" s="1607" t="s">
        <v>603</v>
      </c>
      <c r="AS3" s="1607"/>
      <c r="AT3" s="1607"/>
      <c r="AU3" s="1886"/>
      <c r="AV3" s="1601"/>
      <c r="AW3" s="1609"/>
      <c r="AX3" s="2029" t="s">
        <v>608</v>
      </c>
      <c r="AY3" s="2030"/>
      <c r="AZ3" s="2030"/>
      <c r="BA3" s="1862"/>
      <c r="BB3" s="1862"/>
      <c r="BC3" s="1862"/>
      <c r="BD3" s="1873"/>
      <c r="BE3" s="1873"/>
      <c r="BF3" s="1873"/>
      <c r="BG3" s="1876"/>
      <c r="BH3" s="1876"/>
      <c r="BI3" s="1876"/>
      <c r="BJ3" s="1775"/>
      <c r="BK3" s="1721"/>
      <c r="BL3" s="1721"/>
      <c r="BM3" s="1721"/>
      <c r="BN3" s="1721"/>
      <c r="BO3" s="1721"/>
      <c r="BP3" s="1721"/>
      <c r="BQ3" s="1721"/>
      <c r="BR3" s="1721"/>
      <c r="BS3" s="1721"/>
      <c r="BT3" s="1721"/>
      <c r="BU3" s="1721"/>
      <c r="BV3" s="1721"/>
      <c r="BW3" s="1721"/>
      <c r="BX3" s="1721"/>
      <c r="BZ3" s="1721"/>
      <c r="CA3" s="1721"/>
      <c r="CB3" s="1721"/>
      <c r="CC3" s="1721"/>
      <c r="CD3" s="1721"/>
      <c r="CE3" s="1721"/>
      <c r="CG3" s="1721"/>
      <c r="CH3" s="1721"/>
      <c r="CI3" s="1721"/>
      <c r="CJ3" s="1721"/>
      <c r="CK3" s="1721"/>
      <c r="CL3" s="1721"/>
      <c r="CM3" s="1721"/>
      <c r="CN3" s="1721"/>
      <c r="CO3" s="1721"/>
      <c r="CP3" s="1607"/>
      <c r="CQ3" s="1600" t="s">
        <v>22</v>
      </c>
      <c r="CR3" s="1607" t="s">
        <v>634</v>
      </c>
      <c r="CS3" s="1607"/>
      <c r="CT3" s="1607"/>
      <c r="CU3" s="1607"/>
      <c r="CV3" s="1607" t="s">
        <v>550</v>
      </c>
    </row>
    <row r="4" spans="2:131" hidden="1" outlineLevel="1" x14ac:dyDescent="0.2">
      <c r="B4" s="1610" t="s">
        <v>610</v>
      </c>
      <c r="C4" s="1611" t="s">
        <v>453</v>
      </c>
      <c r="D4" s="1612" t="s">
        <v>454</v>
      </c>
      <c r="E4" s="1612" t="s">
        <v>455</v>
      </c>
      <c r="F4" s="1613" t="s">
        <v>456</v>
      </c>
      <c r="G4" s="1614"/>
      <c r="H4" s="1615" t="s">
        <v>457</v>
      </c>
      <c r="I4" s="1612" t="s">
        <v>458</v>
      </c>
      <c r="J4" s="1612" t="s">
        <v>459</v>
      </c>
      <c r="K4" s="1613" t="s">
        <v>460</v>
      </c>
      <c r="L4" s="1614"/>
      <c r="M4" s="1615" t="s">
        <v>461</v>
      </c>
      <c r="N4" s="1612" t="s">
        <v>462</v>
      </c>
      <c r="O4" s="1612" t="s">
        <v>463</v>
      </c>
      <c r="P4" s="1616" t="s">
        <v>464</v>
      </c>
      <c r="Q4" s="1613" t="s">
        <v>465</v>
      </c>
      <c r="R4" s="1614"/>
      <c r="S4" s="1617" t="s">
        <v>466</v>
      </c>
      <c r="T4" s="1611" t="s">
        <v>448</v>
      </c>
      <c r="U4" s="1618">
        <v>40822</v>
      </c>
      <c r="V4" s="1619"/>
      <c r="W4" s="1618" t="s">
        <v>500</v>
      </c>
      <c r="X4" s="1618" t="s">
        <v>502</v>
      </c>
      <c r="Y4" s="1618" t="s">
        <v>518</v>
      </c>
      <c r="Z4" s="1620" t="s">
        <v>465</v>
      </c>
      <c r="AA4" s="1619"/>
      <c r="AB4" s="1621" t="s">
        <v>523</v>
      </c>
      <c r="AC4" s="1618" t="s">
        <v>542</v>
      </c>
      <c r="AD4" s="1618" t="s">
        <v>551</v>
      </c>
      <c r="AE4" s="1622" t="s">
        <v>558</v>
      </c>
      <c r="AF4" s="1599"/>
      <c r="AG4" s="1623" t="s">
        <v>564</v>
      </c>
      <c r="AH4" s="1618"/>
      <c r="AI4" s="1618"/>
      <c r="AJ4" s="1622"/>
      <c r="AK4" s="1599"/>
      <c r="AL4" s="1623" t="s">
        <v>584</v>
      </c>
      <c r="AM4" s="1623" t="s">
        <v>590</v>
      </c>
      <c r="AN4" s="1623" t="s">
        <v>597</v>
      </c>
      <c r="AO4" s="1623" t="s">
        <v>565</v>
      </c>
      <c r="AP4" s="1623" t="s">
        <v>543</v>
      </c>
      <c r="AQ4" s="1599"/>
      <c r="AR4" s="1623" t="s">
        <v>590</v>
      </c>
      <c r="AS4" s="1623" t="s">
        <v>565</v>
      </c>
      <c r="AT4" s="1623" t="s">
        <v>543</v>
      </c>
      <c r="AU4" s="1883"/>
      <c r="AV4" s="1883"/>
      <c r="AW4" s="1599"/>
      <c r="AX4" s="1623" t="s">
        <v>609</v>
      </c>
      <c r="AY4" s="1618" t="s">
        <v>623</v>
      </c>
      <c r="AZ4" s="1618" t="s">
        <v>625</v>
      </c>
      <c r="BA4" s="1618"/>
      <c r="BB4" s="1618"/>
      <c r="BC4" s="1618"/>
      <c r="BD4" s="1618"/>
      <c r="BE4" s="1618"/>
      <c r="BF4" s="1618"/>
      <c r="BG4" s="1618"/>
      <c r="BH4" s="1618"/>
      <c r="BI4" s="1618"/>
      <c r="BJ4" s="1618" t="s">
        <v>633</v>
      </c>
      <c r="BK4" s="1623" t="s">
        <v>620</v>
      </c>
      <c r="BL4" s="1623" t="s">
        <v>516</v>
      </c>
      <c r="BM4" s="1623"/>
      <c r="BN4" s="1623"/>
      <c r="BO4" s="1623"/>
      <c r="BP4" s="1623"/>
      <c r="BQ4" s="1623"/>
      <c r="BR4" s="1623"/>
      <c r="BS4" s="1623"/>
      <c r="BT4" s="1623"/>
      <c r="BU4" s="1623"/>
      <c r="BV4" s="1623"/>
      <c r="BW4" s="1623"/>
      <c r="BX4" s="1623"/>
      <c r="BZ4" s="1623"/>
      <c r="CA4" s="1623"/>
      <c r="CB4" s="1623"/>
      <c r="CC4" s="1623"/>
      <c r="CD4" s="1623"/>
      <c r="CE4" s="1623"/>
      <c r="CG4" s="1623"/>
      <c r="CH4" s="1623"/>
      <c r="CI4" s="1623"/>
      <c r="CJ4" s="1623"/>
      <c r="CK4" s="1623"/>
      <c r="CL4" s="1623"/>
      <c r="CM4" s="1623"/>
      <c r="CN4" s="1623"/>
      <c r="CO4" s="1623"/>
      <c r="CP4" s="1623" t="s">
        <v>543</v>
      </c>
      <c r="CQ4" s="1610" t="s">
        <v>610</v>
      </c>
      <c r="CR4" s="1623" t="s">
        <v>633</v>
      </c>
      <c r="CS4" s="1623" t="s">
        <v>620</v>
      </c>
      <c r="CT4" s="1623" t="s">
        <v>565</v>
      </c>
      <c r="CU4" s="1623" t="s">
        <v>543</v>
      </c>
      <c r="CV4" s="1623" t="s">
        <v>551</v>
      </c>
    </row>
    <row r="5" spans="2:131" hidden="1" outlineLevel="2" x14ac:dyDescent="0.2">
      <c r="B5" s="1624" t="s">
        <v>467</v>
      </c>
      <c r="C5" s="1599"/>
      <c r="D5" s="1625"/>
      <c r="E5" s="1625"/>
      <c r="F5" s="1626"/>
      <c r="G5" s="1627"/>
      <c r="H5" s="1619"/>
      <c r="I5" s="1625"/>
      <c r="J5" s="1625"/>
      <c r="K5" s="1628"/>
      <c r="L5" s="1627"/>
      <c r="M5" s="1471" t="s">
        <v>468</v>
      </c>
      <c r="N5" s="1472"/>
      <c r="O5" s="1472"/>
      <c r="P5" s="1473"/>
      <c r="Q5" s="1543">
        <v>45.0627</v>
      </c>
      <c r="R5" s="1627"/>
      <c r="S5" s="1629"/>
      <c r="T5" s="1599"/>
      <c r="U5" s="1599"/>
      <c r="V5" s="1619"/>
      <c r="W5" s="1599"/>
      <c r="X5" s="1599"/>
      <c r="Y5" s="1599"/>
      <c r="Z5" s="1474"/>
      <c r="AA5" s="1619"/>
      <c r="AB5" s="1630"/>
      <c r="AC5" s="1599"/>
      <c r="AD5" s="1599"/>
      <c r="AE5" s="1626"/>
      <c r="AF5" s="1599"/>
      <c r="AG5" s="1631"/>
      <c r="AH5" s="1599"/>
      <c r="AI5" s="1599"/>
      <c r="AJ5" s="1626"/>
      <c r="AK5" s="1599"/>
      <c r="AL5" s="1631"/>
      <c r="AM5" s="1631"/>
      <c r="AN5" s="1631"/>
      <c r="AO5" s="1629"/>
      <c r="AP5" s="1629"/>
      <c r="AQ5" s="1599"/>
      <c r="AR5" s="1629"/>
      <c r="AS5" s="1629"/>
      <c r="AT5" s="1629"/>
      <c r="AV5" s="1599"/>
      <c r="AW5" s="1599"/>
      <c r="AX5" s="1631"/>
      <c r="AY5" s="1599"/>
      <c r="AZ5" s="1599"/>
      <c r="BA5" s="1599"/>
      <c r="BB5" s="1599"/>
      <c r="BC5" s="1599"/>
      <c r="BD5" s="1599"/>
      <c r="BE5" s="1599"/>
      <c r="BF5" s="1599"/>
      <c r="BG5" s="1599"/>
      <c r="BH5" s="1599"/>
      <c r="BI5" s="1599"/>
      <c r="BJ5" s="1599"/>
      <c r="BK5" s="1631"/>
      <c r="BL5" s="1631"/>
      <c r="BM5" s="1631"/>
      <c r="BN5" s="1631"/>
      <c r="BO5" s="1631"/>
      <c r="BP5" s="1631"/>
      <c r="BQ5" s="1631"/>
      <c r="BR5" s="1631"/>
      <c r="BS5" s="1631"/>
      <c r="BT5" s="1631"/>
      <c r="BU5" s="1631"/>
      <c r="BV5" s="1631"/>
      <c r="BW5" s="1631"/>
      <c r="BX5" s="1631"/>
      <c r="BZ5" s="1631"/>
      <c r="CA5" s="1631"/>
      <c r="CB5" s="1631"/>
      <c r="CC5" s="1631"/>
      <c r="CD5" s="1631"/>
      <c r="CE5" s="1631"/>
      <c r="CG5" s="1631"/>
      <c r="CH5" s="1631"/>
      <c r="CI5" s="1631"/>
      <c r="CJ5" s="1631"/>
      <c r="CK5" s="1631"/>
      <c r="CL5" s="1631"/>
      <c r="CM5" s="1631"/>
      <c r="CN5" s="1631"/>
      <c r="CO5" s="1631"/>
      <c r="CP5" s="1629"/>
      <c r="CQ5" s="1624" t="s">
        <v>467</v>
      </c>
      <c r="CR5" s="1629"/>
      <c r="CS5" s="1629"/>
      <c r="CT5" s="1629"/>
      <c r="CU5" s="1629"/>
      <c r="CV5" s="1629"/>
    </row>
    <row r="6" spans="2:131" hidden="1" outlineLevel="3" x14ac:dyDescent="0.2">
      <c r="B6" s="1624" t="s">
        <v>151</v>
      </c>
      <c r="C6" s="1599"/>
      <c r="D6" s="1625"/>
      <c r="E6" s="1625"/>
      <c r="F6" s="1626"/>
      <c r="G6" s="1627"/>
      <c r="H6" s="1619"/>
      <c r="I6" s="1625"/>
      <c r="J6" s="1625"/>
      <c r="K6" s="1628"/>
      <c r="L6" s="1627"/>
      <c r="M6" s="1471" t="s">
        <v>469</v>
      </c>
      <c r="N6" s="1472"/>
      <c r="O6" s="1472"/>
      <c r="P6" s="1473"/>
      <c r="Q6" s="1543">
        <v>820.8</v>
      </c>
      <c r="R6" s="1627"/>
      <c r="S6" s="1629"/>
      <c r="T6" s="1599"/>
      <c r="U6" s="1599"/>
      <c r="V6" s="1619"/>
      <c r="W6" s="1599"/>
      <c r="X6" s="1599"/>
      <c r="Y6" s="1599"/>
      <c r="Z6" s="1474"/>
      <c r="AA6" s="1619"/>
      <c r="AB6" s="1630"/>
      <c r="AC6" s="1599"/>
      <c r="AD6" s="1599"/>
      <c r="AE6" s="1626"/>
      <c r="AF6" s="1599"/>
      <c r="AG6" s="1631"/>
      <c r="AH6" s="1599"/>
      <c r="AI6" s="1599"/>
      <c r="AJ6" s="1626"/>
      <c r="AK6" s="1599"/>
      <c r="AL6" s="1631"/>
      <c r="AM6" s="1631"/>
      <c r="AN6" s="1631"/>
      <c r="AO6" s="1629"/>
      <c r="AP6" s="1629"/>
      <c r="AQ6" s="1599"/>
      <c r="AR6" s="1629"/>
      <c r="AS6" s="1629"/>
      <c r="AT6" s="1629"/>
      <c r="AV6" s="1599"/>
      <c r="AW6" s="1599"/>
      <c r="AX6" s="1631"/>
      <c r="AY6" s="1599"/>
      <c r="AZ6" s="1599"/>
      <c r="BA6" s="1599"/>
      <c r="BB6" s="1599"/>
      <c r="BC6" s="1599"/>
      <c r="BD6" s="1599"/>
      <c r="BE6" s="1599"/>
      <c r="BF6" s="1599"/>
      <c r="BG6" s="1599"/>
      <c r="BH6" s="1599"/>
      <c r="BI6" s="1599"/>
      <c r="BJ6" s="1599"/>
      <c r="BK6" s="1631"/>
      <c r="BL6" s="1631"/>
      <c r="BM6" s="1631"/>
      <c r="BN6" s="1631"/>
      <c r="BO6" s="1631"/>
      <c r="BP6" s="1631"/>
      <c r="BQ6" s="1631"/>
      <c r="BR6" s="1631"/>
      <c r="BS6" s="1631"/>
      <c r="BT6" s="1631"/>
      <c r="BU6" s="1631"/>
      <c r="BV6" s="1631"/>
      <c r="BW6" s="1631"/>
      <c r="BX6" s="1631"/>
      <c r="BZ6" s="1631"/>
      <c r="CA6" s="1631"/>
      <c r="CB6" s="1631"/>
      <c r="CC6" s="1631"/>
      <c r="CD6" s="1631"/>
      <c r="CE6" s="1631"/>
      <c r="CG6" s="1631"/>
      <c r="CH6" s="1631"/>
      <c r="CI6" s="1631"/>
      <c r="CJ6" s="1631"/>
      <c r="CK6" s="1631"/>
      <c r="CL6" s="1631"/>
      <c r="CM6" s="1631"/>
      <c r="CN6" s="1631"/>
      <c r="CO6" s="1631"/>
      <c r="CP6" s="1629"/>
      <c r="CQ6" s="1624" t="s">
        <v>151</v>
      </c>
      <c r="CR6" s="1629"/>
      <c r="CS6" s="1629"/>
      <c r="CT6" s="1629"/>
      <c r="CU6" s="1629"/>
      <c r="CV6" s="1629"/>
    </row>
    <row r="7" spans="2:131" hidden="1" outlineLevel="2" x14ac:dyDescent="0.2">
      <c r="B7" s="1624" t="s">
        <v>151</v>
      </c>
      <c r="C7" s="1599"/>
      <c r="D7" s="1625"/>
      <c r="E7" s="1625"/>
      <c r="F7" s="1626"/>
      <c r="H7" s="1619"/>
      <c r="I7" s="1625"/>
      <c r="J7" s="1625"/>
      <c r="K7" s="1628"/>
      <c r="M7" s="1471" t="s">
        <v>470</v>
      </c>
      <c r="N7" s="1475"/>
      <c r="O7" s="1475"/>
      <c r="P7" s="1476"/>
      <c r="Q7" s="1544">
        <v>6.2522986392055113E-3</v>
      </c>
      <c r="S7" s="1629"/>
      <c r="T7" s="1599"/>
      <c r="U7" s="1599"/>
      <c r="V7" s="1619"/>
      <c r="W7" s="1608"/>
      <c r="X7" s="1632"/>
      <c r="Y7" s="1633"/>
      <c r="Z7" s="1477"/>
      <c r="AA7" s="1619"/>
      <c r="AB7" s="1634" t="s">
        <v>526</v>
      </c>
      <c r="AC7" s="1634" t="s">
        <v>526</v>
      </c>
      <c r="AD7" s="1634" t="s">
        <v>548</v>
      </c>
      <c r="AE7" s="1635" t="s">
        <v>548</v>
      </c>
      <c r="AF7" s="1599"/>
      <c r="AG7" s="1636" t="s">
        <v>526</v>
      </c>
      <c r="AH7" s="1635"/>
      <c r="AI7" s="1637"/>
      <c r="AJ7" s="1638"/>
      <c r="AK7" s="1599"/>
      <c r="AL7" s="1636" t="s">
        <v>526</v>
      </c>
      <c r="AM7" s="1636"/>
      <c r="AN7" s="1636"/>
      <c r="AO7" s="1632"/>
      <c r="AP7" s="1632"/>
      <c r="AQ7" s="1599"/>
      <c r="AR7" s="1632"/>
      <c r="AS7" s="1632"/>
      <c r="AT7" s="1632"/>
      <c r="AV7" s="1599"/>
      <c r="AW7" s="1599"/>
      <c r="AX7" s="1636" t="s">
        <v>526</v>
      </c>
      <c r="AY7" s="1635"/>
      <c r="AZ7" s="1637"/>
      <c r="BA7" s="1637"/>
      <c r="BB7" s="1637"/>
      <c r="BC7" s="1637"/>
      <c r="BD7" s="1637"/>
      <c r="BE7" s="1637"/>
      <c r="BF7" s="1637"/>
      <c r="BG7" s="1637"/>
      <c r="BH7" s="1637"/>
      <c r="BI7" s="1637"/>
      <c r="BJ7" s="1637"/>
      <c r="BK7" s="1636"/>
      <c r="BL7" s="1636"/>
      <c r="BM7" s="1636"/>
      <c r="BN7" s="1636"/>
      <c r="BO7" s="1636"/>
      <c r="BP7" s="1636"/>
      <c r="BQ7" s="1636"/>
      <c r="BR7" s="1636"/>
      <c r="BS7" s="1636"/>
      <c r="BT7" s="1636"/>
      <c r="BU7" s="1636"/>
      <c r="BV7" s="1636"/>
      <c r="BW7" s="1636"/>
      <c r="BX7" s="1636"/>
      <c r="BZ7" s="1636"/>
      <c r="CA7" s="1636"/>
      <c r="CB7" s="1636"/>
      <c r="CC7" s="1636"/>
      <c r="CD7" s="1636"/>
      <c r="CE7" s="1636"/>
      <c r="CG7" s="1636"/>
      <c r="CH7" s="1636"/>
      <c r="CI7" s="1636"/>
      <c r="CJ7" s="1636"/>
      <c r="CK7" s="1636"/>
      <c r="CL7" s="1636"/>
      <c r="CM7" s="1636"/>
      <c r="CN7" s="1636"/>
      <c r="CO7" s="1636"/>
      <c r="CP7" s="1632"/>
      <c r="CQ7" s="1624" t="s">
        <v>151</v>
      </c>
      <c r="CR7" s="1632"/>
      <c r="CS7" s="1632"/>
      <c r="CT7" s="1632"/>
      <c r="CU7" s="1632"/>
      <c r="CV7" s="1632"/>
    </row>
    <row r="8" spans="2:131" ht="13.5" hidden="1" outlineLevel="1" collapsed="1" thickBot="1" x14ac:dyDescent="0.25">
      <c r="B8" s="1624" t="s">
        <v>471</v>
      </c>
      <c r="C8" s="1599"/>
      <c r="D8" s="1625"/>
      <c r="E8" s="1625"/>
      <c r="F8" s="1626"/>
      <c r="H8" s="1619"/>
      <c r="I8" s="1625"/>
      <c r="J8" s="1625"/>
      <c r="K8" s="1628"/>
      <c r="M8" s="1471" t="s">
        <v>472</v>
      </c>
      <c r="N8" s="1478"/>
      <c r="O8" s="1478"/>
      <c r="P8" s="1479"/>
      <c r="Q8" s="1545">
        <v>0.36896311760612382</v>
      </c>
      <c r="S8" s="1629"/>
      <c r="T8" s="1599"/>
      <c r="U8" s="1599"/>
      <c r="V8" s="1619"/>
      <c r="W8" s="1639">
        <v>0.39</v>
      </c>
      <c r="X8" s="1640">
        <v>0.39</v>
      </c>
      <c r="Y8" s="1641"/>
      <c r="Z8" s="1501">
        <v>0.39330861467074357</v>
      </c>
      <c r="AA8" s="1619"/>
      <c r="AB8" s="1642">
        <v>0.39</v>
      </c>
      <c r="AC8" s="1643">
        <v>0.39</v>
      </c>
      <c r="AD8" s="1644">
        <v>0.38800000000000001</v>
      </c>
      <c r="AE8" s="1645">
        <v>0.38500000000000001</v>
      </c>
      <c r="AF8" s="1599"/>
      <c r="AG8" s="1646">
        <v>0.39</v>
      </c>
      <c r="AH8" s="1647"/>
      <c r="AI8" s="1644"/>
      <c r="AJ8" s="1648"/>
      <c r="AK8" s="1599"/>
      <c r="AL8" s="1646">
        <v>0.39</v>
      </c>
      <c r="AM8" s="1646"/>
      <c r="AN8" s="1646"/>
      <c r="AO8" s="1649"/>
      <c r="AP8" s="1649"/>
      <c r="AQ8" s="1599"/>
      <c r="AR8" s="1649"/>
      <c r="AS8" s="1649"/>
      <c r="AT8" s="1649"/>
      <c r="AU8" s="1643"/>
      <c r="AV8" s="1643"/>
      <c r="AW8" s="1599"/>
      <c r="AX8" s="1646">
        <v>0.39</v>
      </c>
      <c r="AY8" s="1647"/>
      <c r="AZ8" s="1644"/>
      <c r="BA8" s="1644"/>
      <c r="BB8" s="1644"/>
      <c r="BC8" s="1644"/>
      <c r="BD8" s="1644"/>
      <c r="BE8" s="1644"/>
      <c r="BF8" s="1644"/>
      <c r="BG8" s="1644"/>
      <c r="BH8" s="1644"/>
      <c r="BI8" s="1644"/>
      <c r="BJ8" s="1644"/>
      <c r="BK8" s="1646"/>
      <c r="BL8" s="1646"/>
      <c r="BM8" s="1646"/>
      <c r="BN8" s="1646"/>
      <c r="BO8" s="1646"/>
      <c r="BP8" s="1646"/>
      <c r="BQ8" s="1646"/>
      <c r="BR8" s="1646"/>
      <c r="BS8" s="1646"/>
      <c r="BT8" s="1646"/>
      <c r="BU8" s="1646"/>
      <c r="BV8" s="1646"/>
      <c r="BW8" s="1646"/>
      <c r="BX8" s="1646"/>
      <c r="BZ8" s="1646"/>
      <c r="CA8" s="1646"/>
      <c r="CB8" s="1646"/>
      <c r="CC8" s="1646"/>
      <c r="CD8" s="1646"/>
      <c r="CE8" s="1646"/>
      <c r="CG8" s="1646"/>
      <c r="CH8" s="1646"/>
      <c r="CI8" s="1646"/>
      <c r="CJ8" s="1646"/>
      <c r="CK8" s="1646"/>
      <c r="CL8" s="1646"/>
      <c r="CM8" s="1646"/>
      <c r="CN8" s="1646"/>
      <c r="CO8" s="1646"/>
      <c r="CP8" s="1649"/>
      <c r="CQ8" s="1624" t="s">
        <v>471</v>
      </c>
      <c r="CR8" s="1649"/>
      <c r="CS8" s="1649"/>
      <c r="CT8" s="1649"/>
      <c r="CU8" s="1649"/>
      <c r="CV8" s="1649"/>
    </row>
    <row r="9" spans="2:131" s="1660" customFormat="1" ht="13.5" hidden="1" outlineLevel="1" thickBot="1" x14ac:dyDescent="0.25">
      <c r="B9" s="1650" t="s">
        <v>445</v>
      </c>
      <c r="C9" s="1651"/>
      <c r="D9" s="1652"/>
      <c r="E9" s="1652"/>
      <c r="F9" s="1653"/>
      <c r="G9" s="1654"/>
      <c r="H9" s="1655"/>
      <c r="I9" s="1656" t="s">
        <v>473</v>
      </c>
      <c r="J9" s="1657" t="s">
        <v>474</v>
      </c>
      <c r="K9" s="1658" t="s">
        <v>475</v>
      </c>
      <c r="L9" s="1654"/>
      <c r="M9" s="1480" t="s">
        <v>476</v>
      </c>
      <c r="N9" s="1480" t="s">
        <v>477</v>
      </c>
      <c r="O9" s="1480" t="s">
        <v>478</v>
      </c>
      <c r="P9" s="1481" t="s">
        <v>479</v>
      </c>
      <c r="Q9" s="1546">
        <v>2.5005974813861567</v>
      </c>
      <c r="R9" s="1654"/>
      <c r="S9" s="1481" t="s">
        <v>480</v>
      </c>
      <c r="T9" s="1481" t="s">
        <v>480</v>
      </c>
      <c r="U9" s="1481" t="s">
        <v>481</v>
      </c>
      <c r="V9" s="1659"/>
      <c r="W9" s="1499" t="s">
        <v>521</v>
      </c>
      <c r="X9" s="1481" t="s">
        <v>520</v>
      </c>
      <c r="Y9" s="1499" t="s">
        <v>519</v>
      </c>
      <c r="Z9" s="1482">
        <v>3.7441455907935253</v>
      </c>
      <c r="AA9" s="1659"/>
      <c r="AB9" s="1480" t="s">
        <v>524</v>
      </c>
      <c r="AC9" s="1499" t="s">
        <v>541</v>
      </c>
      <c r="AD9" s="1499" t="s">
        <v>547</v>
      </c>
      <c r="AE9" s="1546" t="s">
        <v>557</v>
      </c>
      <c r="AF9" s="1654"/>
      <c r="AG9" s="1592" t="s">
        <v>562</v>
      </c>
      <c r="AH9" s="1546"/>
      <c r="AI9" s="1499"/>
      <c r="AJ9" s="1481"/>
      <c r="AK9" s="1654"/>
      <c r="AL9" s="1592" t="s">
        <v>580</v>
      </c>
      <c r="AM9" s="1592" t="s">
        <v>591</v>
      </c>
      <c r="AN9" s="1592" t="s">
        <v>598</v>
      </c>
      <c r="AO9" s="1481">
        <v>4.8790832455216027</v>
      </c>
      <c r="AP9" s="1481">
        <v>4.88</v>
      </c>
      <c r="AQ9" s="1654"/>
      <c r="AR9" s="1481" t="s">
        <v>596</v>
      </c>
      <c r="AS9" s="1481">
        <f>Model!BV28</f>
        <v>1.3865022360753494</v>
      </c>
      <c r="AT9" s="1481">
        <v>1.38</v>
      </c>
      <c r="AU9" s="1884"/>
      <c r="AV9" s="1884"/>
      <c r="AW9" s="1654"/>
      <c r="AX9" s="1592" t="s">
        <v>618</v>
      </c>
      <c r="AY9" s="1546" t="s">
        <v>624</v>
      </c>
      <c r="AZ9" s="1749" t="s">
        <v>626</v>
      </c>
      <c r="BA9" s="1749"/>
      <c r="BB9" s="1749"/>
      <c r="BC9" s="1749"/>
      <c r="BD9" s="1749"/>
      <c r="BE9" s="1749"/>
      <c r="BF9" s="1749"/>
      <c r="BG9" s="1749"/>
      <c r="BH9" s="1749"/>
      <c r="BI9" s="1749"/>
      <c r="BJ9" s="1592" t="s">
        <v>639</v>
      </c>
      <c r="BK9" s="1592" t="s">
        <v>640</v>
      </c>
      <c r="BL9" s="1592">
        <f>(5.51+5.55)/2</f>
        <v>5.5299999999999994</v>
      </c>
      <c r="BM9" s="1592"/>
      <c r="BN9" s="1592"/>
      <c r="BO9" s="1592"/>
      <c r="BP9" s="1592"/>
      <c r="BQ9" s="1592"/>
      <c r="BR9" s="1592"/>
      <c r="BS9" s="1592"/>
      <c r="BT9" s="1592"/>
      <c r="BU9" s="1592"/>
      <c r="BV9" s="1592"/>
      <c r="BW9" s="1592"/>
      <c r="BX9" s="1592"/>
      <c r="BY9"/>
      <c r="BZ9" s="1592"/>
      <c r="CA9" s="1592"/>
      <c r="CB9" s="1592"/>
      <c r="CC9" s="1592"/>
      <c r="CD9" s="1592"/>
      <c r="CE9" s="1592"/>
      <c r="CF9"/>
      <c r="CG9" s="1592"/>
      <c r="CH9" s="1592"/>
      <c r="CI9" s="1592"/>
      <c r="CJ9" s="1592"/>
      <c r="CK9" s="1592"/>
      <c r="CL9" s="1592"/>
      <c r="CM9" s="1592"/>
      <c r="CN9" s="1592"/>
      <c r="CO9" s="1592"/>
      <c r="CP9" s="1481" t="e">
        <f>#REF!</f>
        <v>#REF!</v>
      </c>
      <c r="CQ9" s="1650" t="s">
        <v>445</v>
      </c>
      <c r="CR9" s="1592" t="s">
        <v>638</v>
      </c>
      <c r="CS9" s="1592" t="s">
        <v>635</v>
      </c>
      <c r="CT9" s="1481">
        <f>Model!CA28</f>
        <v>1.5574923099458033</v>
      </c>
      <c r="CU9" s="1481" t="e">
        <f>#REF!</f>
        <v>#REF!</v>
      </c>
      <c r="CV9" s="1481" t="s">
        <v>552</v>
      </c>
    </row>
    <row r="10" spans="2:131" s="1660" customFormat="1" ht="13.5" hidden="1" outlineLevel="1" thickBot="1" x14ac:dyDescent="0.25">
      <c r="B10" s="1650" t="s">
        <v>482</v>
      </c>
      <c r="C10" s="1651"/>
      <c r="D10" s="1652"/>
      <c r="E10" s="1652"/>
      <c r="F10" s="1653"/>
      <c r="G10" s="1654"/>
      <c r="H10" s="1655"/>
      <c r="I10" s="1656" t="s">
        <v>473</v>
      </c>
      <c r="J10" s="1657" t="s">
        <v>474</v>
      </c>
      <c r="K10" s="1658" t="s">
        <v>475</v>
      </c>
      <c r="L10" s="1654"/>
      <c r="M10" s="1480" t="s">
        <v>483</v>
      </c>
      <c r="N10" s="1483"/>
      <c r="O10" s="1483"/>
      <c r="P10" s="1484"/>
      <c r="Q10" s="1546">
        <v>2.4609842987634862</v>
      </c>
      <c r="R10" s="1654"/>
      <c r="S10" s="1655"/>
      <c r="T10" s="1655"/>
      <c r="U10" s="1655"/>
      <c r="V10" s="1659"/>
      <c r="W10" s="1655"/>
      <c r="X10" s="1655"/>
      <c r="Y10" s="1655"/>
      <c r="Z10" s="1481">
        <v>2.9349964895148402</v>
      </c>
      <c r="AA10" s="1659"/>
      <c r="AB10" s="1661"/>
      <c r="AC10" s="1662"/>
      <c r="AD10" s="1662"/>
      <c r="AE10" s="1663"/>
      <c r="AF10" s="1654"/>
      <c r="AG10" s="1664"/>
      <c r="AH10" s="1663"/>
      <c r="AI10" s="1662"/>
      <c r="AJ10" s="1665"/>
      <c r="AK10" s="1654"/>
      <c r="AL10" s="1664"/>
      <c r="AM10" s="1664"/>
      <c r="AN10" s="1664"/>
      <c r="AO10" s="1665"/>
      <c r="AP10" s="1665"/>
      <c r="AQ10" s="1654"/>
      <c r="AR10" s="1665"/>
      <c r="AS10" s="1665"/>
      <c r="AT10" s="1665"/>
      <c r="AU10" s="1662"/>
      <c r="AV10" s="1662"/>
      <c r="AW10" s="1654"/>
      <c r="AX10" s="1664"/>
      <c r="AY10" s="1663"/>
      <c r="AZ10" s="1733"/>
      <c r="BA10" s="1733"/>
      <c r="BB10" s="1733"/>
      <c r="BC10" s="1733"/>
      <c r="BD10" s="1733"/>
      <c r="BE10" s="1733"/>
      <c r="BF10" s="1733"/>
      <c r="BG10" s="1733"/>
      <c r="BH10" s="1733"/>
      <c r="BI10" s="1733"/>
      <c r="BJ10" s="1734"/>
      <c r="BK10" s="1734"/>
      <c r="BL10" s="1734"/>
      <c r="BM10" s="1734"/>
      <c r="BN10" s="1734"/>
      <c r="BO10" s="1734"/>
      <c r="BP10" s="1734"/>
      <c r="BQ10" s="1734"/>
      <c r="BR10" s="1734"/>
      <c r="BS10" s="1734"/>
      <c r="BT10" s="1734"/>
      <c r="BU10" s="1734"/>
      <c r="BV10" s="1734"/>
      <c r="BW10" s="1734"/>
      <c r="BX10" s="1734"/>
      <c r="BY10"/>
      <c r="BZ10" s="1734"/>
      <c r="CA10" s="1734"/>
      <c r="CB10" s="1734"/>
      <c r="CC10" s="1734"/>
      <c r="CD10" s="1734"/>
      <c r="CE10" s="1734"/>
      <c r="CF10"/>
      <c r="CG10" s="1734"/>
      <c r="CH10" s="1734"/>
      <c r="CI10" s="1734"/>
      <c r="CJ10" s="1734"/>
      <c r="CK10" s="1734"/>
      <c r="CL10" s="1734"/>
      <c r="CM10" s="1734"/>
      <c r="CN10" s="1734"/>
      <c r="CO10" s="1734"/>
      <c r="CP10" s="1665"/>
      <c r="CQ10" s="1650" t="s">
        <v>482</v>
      </c>
      <c r="CR10" s="1664"/>
      <c r="CS10" s="1664"/>
      <c r="CT10" s="1665"/>
      <c r="CU10" s="1665"/>
      <c r="CV10" s="1665"/>
    </row>
    <row r="11" spans="2:131" ht="13.5" hidden="1" outlineLevel="1" thickBot="1" x14ac:dyDescent="0.25">
      <c r="B11" s="1678" t="s">
        <v>574</v>
      </c>
      <c r="C11" s="1679"/>
      <c r="D11" s="1680"/>
      <c r="E11" s="1680"/>
      <c r="F11" s="1681"/>
      <c r="G11" s="1679"/>
      <c r="H11" s="1687" t="s">
        <v>484</v>
      </c>
      <c r="I11" s="1694"/>
      <c r="J11" s="1695"/>
      <c r="K11" s="1692" t="s">
        <v>485</v>
      </c>
      <c r="L11" s="1679"/>
      <c r="M11" s="1722" t="s">
        <v>486</v>
      </c>
      <c r="N11" s="1723"/>
      <c r="O11" s="1723"/>
      <c r="P11" s="1724"/>
      <c r="Q11" s="1725">
        <v>753.71814575393705</v>
      </c>
      <c r="R11" s="1679"/>
      <c r="S11" s="1722" t="s">
        <v>487</v>
      </c>
      <c r="T11" s="1722" t="s">
        <v>487</v>
      </c>
      <c r="U11" s="1722" t="s">
        <v>488</v>
      </c>
      <c r="V11" s="1682"/>
      <c r="W11" s="1722" t="s">
        <v>498</v>
      </c>
      <c r="X11" s="1726" t="s">
        <v>498</v>
      </c>
      <c r="Y11" s="1727" t="s">
        <v>498</v>
      </c>
      <c r="Z11" s="1728"/>
      <c r="AA11" s="1682"/>
      <c r="AB11" s="1722" t="s">
        <v>525</v>
      </c>
      <c r="AC11" s="1722" t="s">
        <v>525</v>
      </c>
      <c r="AD11" s="1727" t="s">
        <v>549</v>
      </c>
      <c r="AE11" s="1727" t="s">
        <v>549</v>
      </c>
      <c r="AF11" s="1679"/>
      <c r="AG11" s="1729" t="s">
        <v>566</v>
      </c>
      <c r="AH11" s="1730"/>
      <c r="AI11" s="1727"/>
      <c r="AJ11" s="1731"/>
      <c r="AK11" s="1679"/>
      <c r="AL11" s="1729" t="s">
        <v>581</v>
      </c>
      <c r="AM11" s="1729" t="s">
        <v>592</v>
      </c>
      <c r="AN11" s="1729" t="s">
        <v>599</v>
      </c>
      <c r="AO11" s="1728">
        <v>1307.2537610199142</v>
      </c>
      <c r="AP11" s="1731"/>
      <c r="AQ11" s="1679"/>
      <c r="AR11" s="1728" t="s">
        <v>604</v>
      </c>
      <c r="AS11" s="1728">
        <f>Revenue!BV77</f>
        <v>373.163578511906</v>
      </c>
      <c r="AT11" s="1731"/>
      <c r="AU11" s="1535"/>
      <c r="AV11" s="1727"/>
      <c r="AW11" s="1679"/>
      <c r="AX11" s="1729" t="s">
        <v>613</v>
      </c>
      <c r="AY11" s="1730" t="str">
        <f>AX11</f>
        <v>1,280 to 1,320</v>
      </c>
      <c r="AZ11" s="1743" t="str">
        <f>AY11</f>
        <v>1,280 to 1,320</v>
      </c>
      <c r="BA11" s="1743"/>
      <c r="BB11" s="1743"/>
      <c r="BC11" s="1743"/>
      <c r="BD11" s="1743"/>
      <c r="BE11" s="1743"/>
      <c r="BF11" s="1743"/>
      <c r="BG11" s="1743"/>
      <c r="BH11" s="1743"/>
      <c r="BI11" s="1743"/>
      <c r="BJ11" s="1729" t="s">
        <v>599</v>
      </c>
      <c r="BK11" s="1744" t="s">
        <v>621</v>
      </c>
      <c r="BL11" s="1745">
        <f>(1290+1310)/2</f>
        <v>1300</v>
      </c>
      <c r="BM11" s="1745"/>
      <c r="BN11" s="1745"/>
      <c r="BO11" s="1745"/>
      <c r="BP11" s="1745"/>
      <c r="BQ11" s="1745"/>
      <c r="BR11" s="1745"/>
      <c r="BS11" s="1745"/>
      <c r="BT11" s="1745"/>
      <c r="BU11" s="1745"/>
      <c r="BV11" s="1745"/>
      <c r="BW11" s="1745"/>
      <c r="BX11" s="1745"/>
      <c r="BZ11" s="1745"/>
      <c r="CA11" s="1745"/>
      <c r="CB11" s="1745"/>
      <c r="CC11" s="1745"/>
      <c r="CD11" s="1745"/>
      <c r="CE11" s="1745"/>
      <c r="CG11" s="1745"/>
      <c r="CH11" s="1745"/>
      <c r="CI11" s="1745"/>
      <c r="CJ11" s="1745"/>
      <c r="CK11" s="1745"/>
      <c r="CL11" s="1745"/>
      <c r="CM11" s="1745"/>
      <c r="CN11" s="1745"/>
      <c r="CO11" s="1745"/>
      <c r="CP11" s="1731"/>
      <c r="CQ11" s="1678" t="s">
        <v>574</v>
      </c>
      <c r="CR11" s="1745" t="s">
        <v>636</v>
      </c>
      <c r="CS11" s="1746" t="s">
        <v>637</v>
      </c>
      <c r="CT11" s="1728">
        <f>Revenue!CA77</f>
        <v>379</v>
      </c>
      <c r="CU11" s="1731"/>
      <c r="CV11" s="1550"/>
      <c r="DX11" s="1707"/>
      <c r="DY11" s="1707"/>
      <c r="DZ11" s="1707"/>
      <c r="EA11" s="1707"/>
    </row>
    <row r="12" spans="2:131" hidden="1" outlineLevel="1" x14ac:dyDescent="0.2">
      <c r="B12" s="1624" t="s">
        <v>575</v>
      </c>
      <c r="C12" s="1599"/>
      <c r="D12" s="1625"/>
      <c r="E12" s="1625"/>
      <c r="F12" s="1626"/>
      <c r="H12" s="1630"/>
      <c r="I12" s="1666"/>
      <c r="J12" s="1667"/>
      <c r="K12" s="1668"/>
      <c r="M12" s="1485"/>
      <c r="N12" s="1486"/>
      <c r="O12" s="1486"/>
      <c r="P12" s="1487"/>
      <c r="Q12" s="1547"/>
      <c r="S12" s="1485"/>
      <c r="T12" s="1485"/>
      <c r="U12" s="1485"/>
      <c r="V12" s="1619"/>
      <c r="W12" s="1485"/>
      <c r="X12" s="1550"/>
      <c r="Y12" s="1535"/>
      <c r="Z12" s="1488"/>
      <c r="AA12" s="1619"/>
      <c r="AB12" s="1485"/>
      <c r="AC12" s="1485"/>
      <c r="AD12" s="1535"/>
      <c r="AE12" s="1535"/>
      <c r="AF12" s="1599"/>
      <c r="AG12" s="1593" t="s">
        <v>567</v>
      </c>
      <c r="AH12" s="1540"/>
      <c r="AI12" s="1535"/>
      <c r="AJ12" s="1550"/>
      <c r="AK12" s="1599"/>
      <c r="AL12" s="1593" t="s">
        <v>582</v>
      </c>
      <c r="AM12" s="1593" t="s">
        <v>582</v>
      </c>
      <c r="AN12" s="1593" t="s">
        <v>600</v>
      </c>
      <c r="AO12" s="1594">
        <v>2067.2000000000003</v>
      </c>
      <c r="AP12" s="1550"/>
      <c r="AR12" s="1594"/>
      <c r="AS12" s="1594"/>
      <c r="AT12" s="1550"/>
      <c r="AU12" s="1535"/>
      <c r="AV12" s="1535"/>
      <c r="AX12" s="1593" t="s">
        <v>611</v>
      </c>
      <c r="AY12" s="1540" t="str">
        <f>AX12</f>
        <v>$1,925 to $2,000</v>
      </c>
      <c r="AZ12" s="1735" t="s">
        <v>582</v>
      </c>
      <c r="BA12" s="1735"/>
      <c r="BB12" s="1735"/>
      <c r="BC12" s="1735"/>
      <c r="BD12" s="1735"/>
      <c r="BE12" s="1735"/>
      <c r="BF12" s="1735"/>
      <c r="BG12" s="1735"/>
      <c r="BH12" s="1735"/>
      <c r="BI12" s="1735"/>
      <c r="BJ12" s="1593" t="s">
        <v>567</v>
      </c>
      <c r="BK12" s="1777" t="s">
        <v>645</v>
      </c>
      <c r="BL12" s="1736">
        <f>(2000+2075)/2</f>
        <v>2037.5</v>
      </c>
      <c r="BM12" s="1736"/>
      <c r="BN12" s="1736"/>
      <c r="BO12" s="1736"/>
      <c r="BP12" s="1736"/>
      <c r="BQ12" s="1736"/>
      <c r="BR12" s="1736"/>
      <c r="BS12" s="1736"/>
      <c r="BT12" s="1736"/>
      <c r="BU12" s="1736"/>
      <c r="BV12" s="1736"/>
      <c r="BW12" s="1736"/>
      <c r="BX12" s="1736"/>
      <c r="BZ12" s="1736"/>
      <c r="CA12" s="1736"/>
      <c r="CB12" s="1736"/>
      <c r="CC12" s="1736"/>
      <c r="CD12" s="1736"/>
      <c r="CE12" s="1736"/>
      <c r="CG12" s="1736"/>
      <c r="CH12" s="1736"/>
      <c r="CI12" s="1736"/>
      <c r="CJ12" s="1736"/>
      <c r="CK12" s="1736"/>
      <c r="CL12" s="1736"/>
      <c r="CM12" s="1736"/>
      <c r="CN12" s="1736"/>
      <c r="CO12" s="1736"/>
      <c r="CP12" s="1550"/>
      <c r="CR12" s="1594"/>
      <c r="CS12" s="1594"/>
      <c r="CT12" s="1594"/>
      <c r="CU12" s="1550"/>
      <c r="CV12" s="1550"/>
      <c r="DW12" s="1750"/>
      <c r="DX12" s="1751"/>
      <c r="DY12" s="1751"/>
      <c r="DZ12" s="1753"/>
      <c r="EA12" s="1753"/>
    </row>
    <row r="13" spans="2:131" hidden="1" outlineLevel="1" x14ac:dyDescent="0.2">
      <c r="B13" s="1624" t="s">
        <v>576</v>
      </c>
      <c r="C13" s="1599"/>
      <c r="D13" s="1625"/>
      <c r="E13" s="1625"/>
      <c r="F13" s="1626"/>
      <c r="H13" s="1630"/>
      <c r="I13" s="1666"/>
      <c r="J13" s="1667"/>
      <c r="K13" s="1668"/>
      <c r="M13" s="1485"/>
      <c r="N13" s="1486"/>
      <c r="O13" s="1486"/>
      <c r="P13" s="1487"/>
      <c r="Q13" s="1547"/>
      <c r="S13" s="1485"/>
      <c r="T13" s="1485"/>
      <c r="U13" s="1485"/>
      <c r="V13" s="1619"/>
      <c r="W13" s="1485"/>
      <c r="X13" s="1550"/>
      <c r="Y13" s="1535"/>
      <c r="Z13" s="1488"/>
      <c r="AA13" s="1619"/>
      <c r="AB13" s="1485"/>
      <c r="AC13" s="1485"/>
      <c r="AD13" s="1535"/>
      <c r="AE13" s="1535"/>
      <c r="AF13" s="1599"/>
      <c r="AG13" s="1593" t="s">
        <v>568</v>
      </c>
      <c r="AH13" s="1540"/>
      <c r="AI13" s="1535"/>
      <c r="AJ13" s="1550"/>
      <c r="AK13" s="1599"/>
      <c r="AL13" s="1593" t="s">
        <v>583</v>
      </c>
      <c r="AM13" s="1593" t="s">
        <v>593</v>
      </c>
      <c r="AN13" s="1593" t="s">
        <v>601</v>
      </c>
      <c r="AO13" s="1594">
        <v>6802.5000000000018</v>
      </c>
      <c r="AP13" s="1594">
        <v>6854</v>
      </c>
      <c r="AR13" s="1594"/>
      <c r="AS13" s="1594"/>
      <c r="AT13" s="1594"/>
      <c r="AU13" s="1885"/>
      <c r="AV13" s="1885"/>
      <c r="AX13" s="1593" t="s">
        <v>612</v>
      </c>
      <c r="AY13" s="1540" t="str">
        <f>AX13</f>
        <v>$6,925 to $7,125</v>
      </c>
      <c r="AZ13" s="1735" t="s">
        <v>627</v>
      </c>
      <c r="BA13" s="1735"/>
      <c r="BB13" s="1735"/>
      <c r="BC13" s="1735"/>
      <c r="BD13" s="1735"/>
      <c r="BE13" s="1735"/>
      <c r="BF13" s="1735"/>
      <c r="BG13" s="1735"/>
      <c r="BH13" s="1735"/>
      <c r="BI13" s="1735"/>
      <c r="BJ13" s="1593" t="s">
        <v>641</v>
      </c>
      <c r="BK13" s="1593" t="s">
        <v>647</v>
      </c>
      <c r="BL13" s="1736">
        <f>(7000+7100)/2</f>
        <v>7050</v>
      </c>
      <c r="BM13" s="1736"/>
      <c r="BN13" s="1736"/>
      <c r="BO13" s="1736"/>
      <c r="BP13" s="1736"/>
      <c r="BQ13" s="1736"/>
      <c r="BR13" s="1736"/>
      <c r="BS13" s="1736"/>
      <c r="BT13" s="1736"/>
      <c r="BU13" s="1736"/>
      <c r="BV13" s="1736"/>
      <c r="BW13" s="1736"/>
      <c r="BX13" s="1736"/>
      <c r="BZ13" s="1736"/>
      <c r="CA13" s="1736"/>
      <c r="CB13" s="1736"/>
      <c r="CC13" s="1736"/>
      <c r="CD13" s="1736"/>
      <c r="CE13" s="1736"/>
      <c r="CG13" s="1736"/>
      <c r="CH13" s="1736"/>
      <c r="CI13" s="1736"/>
      <c r="CJ13" s="1736"/>
      <c r="CK13" s="1736"/>
      <c r="CL13" s="1736"/>
      <c r="CM13" s="1736"/>
      <c r="CN13" s="1736"/>
      <c r="CO13" s="1736"/>
      <c r="CP13" s="1594" t="e">
        <f>#REF!</f>
        <v>#REF!</v>
      </c>
      <c r="CR13" s="1594"/>
      <c r="CS13" s="1594"/>
      <c r="CT13" s="1594"/>
      <c r="CU13" s="1594"/>
      <c r="CV13" s="1550"/>
      <c r="DW13" s="1750"/>
      <c r="DX13" s="1751"/>
      <c r="DY13" s="1751"/>
      <c r="DZ13" s="1753"/>
      <c r="EA13" s="1753"/>
    </row>
    <row r="14" spans="2:131" hidden="1" outlineLevel="1" x14ac:dyDescent="0.2">
      <c r="B14" s="1624" t="s">
        <v>446</v>
      </c>
      <c r="C14" s="1599"/>
      <c r="D14" s="1625"/>
      <c r="E14" s="1625"/>
      <c r="F14" s="1626"/>
      <c r="H14" s="1630"/>
      <c r="I14" s="1666"/>
      <c r="J14" s="1667"/>
      <c r="K14" s="1668"/>
      <c r="M14" s="1485" t="s">
        <v>480</v>
      </c>
      <c r="N14" s="1472"/>
      <c r="O14" s="1472"/>
      <c r="P14" s="1473"/>
      <c r="Q14" s="1548">
        <v>3.1945296972935755</v>
      </c>
      <c r="S14" s="1485" t="s">
        <v>489</v>
      </c>
      <c r="T14" s="1485" t="s">
        <v>489</v>
      </c>
      <c r="U14" s="1485" t="s">
        <v>490</v>
      </c>
      <c r="V14" s="1619"/>
      <c r="W14" s="1485"/>
      <c r="X14" s="1550"/>
      <c r="Y14" s="1535"/>
      <c r="Z14" s="1489"/>
      <c r="AA14" s="1619"/>
      <c r="AB14" s="1485" t="s">
        <v>527</v>
      </c>
      <c r="AC14" s="1485" t="s">
        <v>527</v>
      </c>
      <c r="AD14" s="1485" t="s">
        <v>527</v>
      </c>
      <c r="AE14" s="1485" t="s">
        <v>527</v>
      </c>
      <c r="AF14" s="1599"/>
      <c r="AG14" s="1593" t="s">
        <v>569</v>
      </c>
      <c r="AH14" s="1540"/>
      <c r="AI14" s="1535"/>
      <c r="AJ14" s="1550"/>
      <c r="AK14" s="1599"/>
      <c r="AL14" s="1593" t="s">
        <v>585</v>
      </c>
      <c r="AM14" s="1593" t="s">
        <v>585</v>
      </c>
      <c r="AN14" s="1593" t="s">
        <v>585</v>
      </c>
      <c r="AO14" s="1595">
        <v>5.1943341478314009</v>
      </c>
      <c r="AP14" s="1550"/>
      <c r="AR14" s="1595"/>
      <c r="AS14" s="1595"/>
      <c r="AT14" s="1550"/>
      <c r="AU14" s="1535"/>
      <c r="AV14" s="1535"/>
      <c r="AX14" s="1593" t="s">
        <v>614</v>
      </c>
      <c r="AY14" s="1540" t="str">
        <f>AX14</f>
        <v>$5.25 to $5.45</v>
      </c>
      <c r="AZ14" s="1735" t="s">
        <v>631</v>
      </c>
      <c r="BA14" s="1735"/>
      <c r="BB14" s="1735"/>
      <c r="BC14" s="1735"/>
      <c r="BD14" s="1735"/>
      <c r="BE14" s="1735"/>
      <c r="BF14" s="1735"/>
      <c r="BG14" s="1735"/>
      <c r="BH14" s="1735"/>
      <c r="BI14" s="1735"/>
      <c r="BJ14" s="1593" t="s">
        <v>624</v>
      </c>
      <c r="BK14" s="1593" t="s">
        <v>646</v>
      </c>
      <c r="BL14" s="1737">
        <f>(5.37+5.47)/2</f>
        <v>5.42</v>
      </c>
      <c r="BM14" s="1737"/>
      <c r="BN14" s="1737"/>
      <c r="BO14" s="1737"/>
      <c r="BP14" s="1737"/>
      <c r="BQ14" s="1737"/>
      <c r="BR14" s="1737"/>
      <c r="BS14" s="1737"/>
      <c r="BT14" s="1737"/>
      <c r="BU14" s="1737"/>
      <c r="BV14" s="1737"/>
      <c r="BW14" s="1737"/>
      <c r="BX14" s="1737"/>
      <c r="BZ14" s="1737"/>
      <c r="CA14" s="1737"/>
      <c r="CB14" s="1737"/>
      <c r="CC14" s="1737"/>
      <c r="CD14" s="1737"/>
      <c r="CE14" s="1737"/>
      <c r="CG14" s="1737"/>
      <c r="CH14" s="1737"/>
      <c r="CI14" s="1737"/>
      <c r="CJ14" s="1737"/>
      <c r="CK14" s="1737"/>
      <c r="CL14" s="1737"/>
      <c r="CM14" s="1737"/>
      <c r="CN14" s="1737"/>
      <c r="CO14" s="1737"/>
      <c r="CP14" s="1550"/>
      <c r="CR14" s="1595"/>
      <c r="CS14" s="1595"/>
      <c r="CT14" s="1595"/>
      <c r="CU14" s="1550"/>
      <c r="CV14" s="1550"/>
      <c r="DW14" s="1674"/>
      <c r="DX14" s="1752"/>
      <c r="DY14" s="1752"/>
      <c r="DZ14" s="1753"/>
      <c r="EA14" s="1753"/>
    </row>
    <row r="15" spans="2:131" hidden="1" outlineLevel="2" x14ac:dyDescent="0.2">
      <c r="B15" s="1624" t="s">
        <v>447</v>
      </c>
      <c r="C15" s="1599"/>
      <c r="D15" s="1625"/>
      <c r="E15" s="1625"/>
      <c r="F15" s="1626"/>
      <c r="H15" s="1630"/>
      <c r="I15" s="1666"/>
      <c r="J15" s="1667"/>
      <c r="K15" s="1668"/>
      <c r="M15" s="1485" t="s">
        <v>491</v>
      </c>
      <c r="N15" s="1490"/>
      <c r="O15" s="1490"/>
      <c r="P15" s="1491"/>
      <c r="Q15" s="1543">
        <v>2.4077749999999996</v>
      </c>
      <c r="S15" s="1485" t="s">
        <v>492</v>
      </c>
      <c r="T15" s="1485" t="s">
        <v>492</v>
      </c>
      <c r="U15" s="1485" t="s">
        <v>492</v>
      </c>
      <c r="V15" s="1619"/>
      <c r="W15" s="1485"/>
      <c r="X15" s="1550"/>
      <c r="Y15" s="1535"/>
      <c r="Z15" s="1492">
        <v>5.3939999999999948</v>
      </c>
      <c r="AA15" s="1619"/>
      <c r="AB15" s="1485"/>
      <c r="AC15" s="1535"/>
      <c r="AD15" s="1535"/>
      <c r="AE15" s="1540"/>
      <c r="AF15" s="1599"/>
      <c r="AG15" s="1593"/>
      <c r="AH15" s="1540"/>
      <c r="AI15" s="1535"/>
      <c r="AJ15" s="1550"/>
      <c r="AK15" s="1599"/>
      <c r="AL15" s="1593"/>
      <c r="AM15" s="1593"/>
      <c r="AN15" s="1593"/>
      <c r="AO15" s="1550"/>
      <c r="AP15" s="1550"/>
      <c r="AR15" s="1550"/>
      <c r="AS15" s="1550"/>
      <c r="AT15" s="1550"/>
      <c r="AU15" s="1535"/>
      <c r="AV15" s="1535"/>
      <c r="AX15" s="1593"/>
      <c r="AY15" s="1540"/>
      <c r="AZ15" s="1735">
        <f>AY15</f>
        <v>0</v>
      </c>
      <c r="BA15" s="1735"/>
      <c r="BB15" s="1735"/>
      <c r="BC15" s="1735"/>
      <c r="BD15" s="1735"/>
      <c r="BE15" s="1735"/>
      <c r="BF15" s="1735"/>
      <c r="BG15" s="1735"/>
      <c r="BH15" s="1735"/>
      <c r="BI15" s="1735"/>
      <c r="BJ15" s="1593"/>
      <c r="BK15" s="1593"/>
      <c r="BL15" s="1593"/>
      <c r="BM15" s="1593"/>
      <c r="BN15" s="1593"/>
      <c r="BO15" s="1593"/>
      <c r="BP15" s="1593"/>
      <c r="BQ15" s="1593"/>
      <c r="BR15" s="1593"/>
      <c r="BS15" s="1593"/>
      <c r="BT15" s="1593"/>
      <c r="BU15" s="1593"/>
      <c r="BV15" s="1593"/>
      <c r="BW15" s="1593"/>
      <c r="BX15" s="1593"/>
      <c r="BZ15" s="1593"/>
      <c r="CA15" s="1593"/>
      <c r="CB15" s="1593"/>
      <c r="CC15" s="1593"/>
      <c r="CD15" s="1593"/>
      <c r="CE15" s="1593"/>
      <c r="CG15" s="1593"/>
      <c r="CH15" s="1593"/>
      <c r="CI15" s="1593"/>
      <c r="CJ15" s="1593"/>
      <c r="CK15" s="1593"/>
      <c r="CL15" s="1593"/>
      <c r="CM15" s="1593"/>
      <c r="CN15" s="1593"/>
      <c r="CO15" s="1593"/>
      <c r="CP15" s="1550"/>
      <c r="CR15" s="1550"/>
      <c r="CS15" s="1550"/>
      <c r="CT15" s="1550"/>
      <c r="CU15" s="1550"/>
      <c r="CV15" s="1550"/>
    </row>
    <row r="16" spans="2:131" hidden="1" outlineLevel="2" x14ac:dyDescent="0.2">
      <c r="B16" s="1624" t="s">
        <v>493</v>
      </c>
      <c r="C16" s="1599"/>
      <c r="D16" s="1625"/>
      <c r="E16" s="1625"/>
      <c r="F16" s="1626"/>
      <c r="H16" s="1630"/>
      <c r="I16" s="1666"/>
      <c r="J16" s="1667"/>
      <c r="K16" s="1668"/>
      <c r="M16" s="1493">
        <f>0.27/2</f>
        <v>0.13500000000000001</v>
      </c>
      <c r="N16" s="1472"/>
      <c r="O16" s="1472"/>
      <c r="P16" s="1473"/>
      <c r="Q16" s="1548">
        <f>M16</f>
        <v>0.13500000000000001</v>
      </c>
      <c r="S16" s="1630"/>
      <c r="T16" s="1630"/>
      <c r="U16" s="1630"/>
      <c r="V16" s="1619"/>
      <c r="W16" s="1630"/>
      <c r="X16" s="1631"/>
      <c r="Y16" s="1669"/>
      <c r="Z16" s="1494"/>
      <c r="AA16" s="1619"/>
      <c r="AB16" s="1630"/>
      <c r="AC16" s="1669"/>
      <c r="AD16" s="1669"/>
      <c r="AE16" s="1668"/>
      <c r="AF16" s="1599"/>
      <c r="AG16" s="1670"/>
      <c r="AH16" s="1668"/>
      <c r="AI16" s="1669"/>
      <c r="AJ16" s="1631"/>
      <c r="AK16" s="1599"/>
      <c r="AL16" s="1670"/>
      <c r="AM16" s="1670"/>
      <c r="AN16" s="1670"/>
      <c r="AO16" s="1631"/>
      <c r="AP16" s="1631"/>
      <c r="AR16" s="1631"/>
      <c r="AS16" s="1631"/>
      <c r="AT16" s="1631"/>
      <c r="AU16" s="1669"/>
      <c r="AV16" s="1669"/>
      <c r="AX16" s="1670"/>
      <c r="AY16" s="1668"/>
      <c r="AZ16" s="1738">
        <f>AY16</f>
        <v>0</v>
      </c>
      <c r="BA16" s="1738"/>
      <c r="BB16" s="1738"/>
      <c r="BC16" s="1738"/>
      <c r="BD16" s="1738"/>
      <c r="BE16" s="1738"/>
      <c r="BF16" s="1738"/>
      <c r="BG16" s="1738"/>
      <c r="BH16" s="1738"/>
      <c r="BI16" s="1738"/>
      <c r="BJ16" s="1670"/>
      <c r="BK16" s="1670"/>
      <c r="BL16" s="1670"/>
      <c r="BM16" s="1670"/>
      <c r="BN16" s="1670"/>
      <c r="BO16" s="1670"/>
      <c r="BP16" s="1670"/>
      <c r="BQ16" s="1670"/>
      <c r="BR16" s="1670"/>
      <c r="BS16" s="1670"/>
      <c r="BT16" s="1670"/>
      <c r="BU16" s="1670"/>
      <c r="BV16" s="1670"/>
      <c r="BW16" s="1670"/>
      <c r="BX16" s="1670"/>
      <c r="BZ16" s="1670"/>
      <c r="CA16" s="1670"/>
      <c r="CB16" s="1670"/>
      <c r="CC16" s="1670"/>
      <c r="CD16" s="1670"/>
      <c r="CE16" s="1670"/>
      <c r="CG16" s="1670"/>
      <c r="CH16" s="1670"/>
      <c r="CI16" s="1670"/>
      <c r="CJ16" s="1670"/>
      <c r="CK16" s="1670"/>
      <c r="CL16" s="1670"/>
      <c r="CM16" s="1670"/>
      <c r="CN16" s="1670"/>
      <c r="CO16" s="1670"/>
      <c r="CP16" s="1631"/>
      <c r="CR16" s="1631"/>
      <c r="CS16" s="1631"/>
      <c r="CT16" s="1631"/>
      <c r="CU16" s="1631"/>
      <c r="CV16" s="1631"/>
    </row>
    <row r="17" spans="2:100" hidden="1" outlineLevel="1" collapsed="1" x14ac:dyDescent="0.2">
      <c r="B17" s="1624" t="s">
        <v>494</v>
      </c>
      <c r="C17" s="1599"/>
      <c r="D17" s="1625"/>
      <c r="E17" s="1625"/>
      <c r="F17" s="1626"/>
      <c r="H17" s="1619"/>
      <c r="I17" s="1625"/>
      <c r="J17" s="1625"/>
      <c r="K17" s="1626"/>
      <c r="M17" s="1471" t="s">
        <v>495</v>
      </c>
      <c r="N17" s="1490"/>
      <c r="O17" s="1490"/>
      <c r="P17" s="1491"/>
      <c r="Q17" s="1543">
        <v>2.1173999999999999</v>
      </c>
      <c r="S17" s="1630" t="s">
        <v>496</v>
      </c>
      <c r="T17" s="1630" t="s">
        <v>496</v>
      </c>
      <c r="U17" s="1630" t="s">
        <v>496</v>
      </c>
      <c r="V17" s="1619"/>
      <c r="W17" s="1630"/>
      <c r="X17" s="1631"/>
      <c r="Y17" s="1669"/>
      <c r="Z17" s="1492">
        <v>4.7815999999999992</v>
      </c>
      <c r="AA17" s="1619"/>
      <c r="AB17" s="1630" t="s">
        <v>539</v>
      </c>
      <c r="AC17" s="1630" t="s">
        <v>539</v>
      </c>
      <c r="AD17" s="1630" t="s">
        <v>539</v>
      </c>
      <c r="AE17" s="1671" t="s">
        <v>559</v>
      </c>
      <c r="AF17" s="1599"/>
      <c r="AG17" s="1670" t="s">
        <v>539</v>
      </c>
      <c r="AH17" s="1668"/>
      <c r="AI17" s="1669"/>
      <c r="AJ17" s="1672"/>
      <c r="AK17" s="1599"/>
      <c r="AL17" s="1670" t="s">
        <v>539</v>
      </c>
      <c r="AM17" s="1670" t="s">
        <v>539</v>
      </c>
      <c r="AN17" s="1670"/>
      <c r="AO17" s="1673">
        <v>5.3602010723684765</v>
      </c>
      <c r="AP17" s="1631"/>
      <c r="AR17" s="1673"/>
      <c r="AS17" s="1673"/>
      <c r="AT17" s="1631"/>
      <c r="AU17" s="1669"/>
      <c r="AV17" s="1669"/>
      <c r="AX17" s="1670" t="s">
        <v>539</v>
      </c>
      <c r="AY17" s="1668"/>
      <c r="AZ17" s="1738">
        <f>AY17</f>
        <v>0</v>
      </c>
      <c r="BA17" s="1738"/>
      <c r="BB17" s="1738"/>
      <c r="BC17" s="1738"/>
      <c r="BD17" s="1738"/>
      <c r="BE17" s="1738"/>
      <c r="BF17" s="1738"/>
      <c r="BG17" s="1738"/>
      <c r="BH17" s="1738"/>
      <c r="BI17" s="1738"/>
      <c r="BJ17" s="1670"/>
      <c r="BK17" s="1670"/>
      <c r="BL17" s="1739"/>
      <c r="BM17" s="1739"/>
      <c r="BN17" s="1739"/>
      <c r="BO17" s="1739"/>
      <c r="BP17" s="1739"/>
      <c r="BQ17" s="1739"/>
      <c r="BR17" s="1739"/>
      <c r="BS17" s="1739"/>
      <c r="BT17" s="1739"/>
      <c r="BU17" s="1739"/>
      <c r="BV17" s="1739"/>
      <c r="BW17" s="1739"/>
      <c r="BX17" s="1739"/>
      <c r="BZ17" s="1739"/>
      <c r="CA17" s="1739"/>
      <c r="CB17" s="1739"/>
      <c r="CC17" s="1739"/>
      <c r="CD17" s="1739"/>
      <c r="CE17" s="1739"/>
      <c r="CG17" s="1739"/>
      <c r="CH17" s="1739"/>
      <c r="CI17" s="1739"/>
      <c r="CJ17" s="1739"/>
      <c r="CK17" s="1739"/>
      <c r="CL17" s="1739"/>
      <c r="CM17" s="1739"/>
      <c r="CN17" s="1739"/>
      <c r="CO17" s="1739"/>
      <c r="CP17" s="1631"/>
      <c r="CR17" s="1673"/>
      <c r="CS17" s="1673"/>
      <c r="CT17" s="1673"/>
      <c r="CU17" s="1631"/>
      <c r="CV17" s="1631"/>
    </row>
    <row r="18" spans="2:100" hidden="1" outlineLevel="1" x14ac:dyDescent="0.2">
      <c r="B18" s="1624" t="s">
        <v>577</v>
      </c>
      <c r="C18" s="1599"/>
      <c r="D18" s="1625"/>
      <c r="E18" s="1625"/>
      <c r="F18" s="1626"/>
      <c r="H18" s="1619"/>
      <c r="I18" s="1625"/>
      <c r="J18" s="1675"/>
      <c r="K18" s="1626"/>
      <c r="M18" s="1471"/>
      <c r="N18" s="1490"/>
      <c r="O18" s="1490"/>
      <c r="P18" s="1491"/>
      <c r="Q18" s="1543"/>
      <c r="S18" s="1630"/>
      <c r="T18" s="1630"/>
      <c r="U18" s="1630"/>
      <c r="V18" s="1619"/>
      <c r="W18" s="1669"/>
      <c r="X18" s="1631"/>
      <c r="Y18" s="1669"/>
      <c r="Z18" s="1500"/>
      <c r="AA18" s="1619"/>
      <c r="AB18" s="1630"/>
      <c r="AC18" s="1630"/>
      <c r="AD18" s="1630"/>
      <c r="AE18" s="1676"/>
      <c r="AF18" s="1599"/>
      <c r="AG18" s="1670" t="s">
        <v>570</v>
      </c>
      <c r="AH18" s="1668"/>
      <c r="AI18" s="1669"/>
      <c r="AJ18" s="1672"/>
      <c r="AK18" s="1599"/>
      <c r="AL18" s="1670" t="s">
        <v>570</v>
      </c>
      <c r="AM18" s="1670" t="s">
        <v>594</v>
      </c>
      <c r="AN18" s="1670" t="s">
        <v>602</v>
      </c>
      <c r="AO18" s="1596">
        <v>0.37691130212450996</v>
      </c>
      <c r="AP18" s="1631"/>
      <c r="AR18" s="1596"/>
      <c r="AS18" s="1596"/>
      <c r="AT18" s="1631"/>
      <c r="AU18" s="1669"/>
      <c r="AV18" s="1669"/>
      <c r="AX18" s="1670" t="s">
        <v>615</v>
      </c>
      <c r="AY18" s="1668" t="str">
        <f>AX18</f>
        <v>37.3% to 37.7%</v>
      </c>
      <c r="AZ18" s="1738" t="s">
        <v>628</v>
      </c>
      <c r="BA18" s="1738"/>
      <c r="BB18" s="1738"/>
      <c r="BC18" s="1738"/>
      <c r="BD18" s="1738"/>
      <c r="BE18" s="1738"/>
      <c r="BF18" s="1738"/>
      <c r="BG18" s="1738"/>
      <c r="BH18" s="1738"/>
      <c r="BI18" s="1738"/>
      <c r="BJ18" s="1670" t="s">
        <v>628</v>
      </c>
      <c r="BK18" s="1670" t="s">
        <v>644</v>
      </c>
      <c r="BL18" s="1740">
        <f>(37.5%+37.7%)/2</f>
        <v>0.376</v>
      </c>
      <c r="BM18" s="1740"/>
      <c r="BN18" s="1740"/>
      <c r="BO18" s="1740"/>
      <c r="BP18" s="1740"/>
      <c r="BQ18" s="1740"/>
      <c r="BR18" s="1740"/>
      <c r="BS18" s="1740"/>
      <c r="BT18" s="1740"/>
      <c r="BU18" s="1740"/>
      <c r="BV18" s="1740"/>
      <c r="BW18" s="1740"/>
      <c r="BX18" s="1740"/>
      <c r="BZ18" s="1740"/>
      <c r="CA18" s="1740"/>
      <c r="CB18" s="1740"/>
      <c r="CC18" s="1740"/>
      <c r="CD18" s="1740"/>
      <c r="CE18" s="1740"/>
      <c r="CG18" s="1740"/>
      <c r="CH18" s="1740"/>
      <c r="CI18" s="1740"/>
      <c r="CJ18" s="1740"/>
      <c r="CK18" s="1740"/>
      <c r="CL18" s="1740"/>
      <c r="CM18" s="1740"/>
      <c r="CN18" s="1740"/>
      <c r="CO18" s="1740"/>
      <c r="CP18" s="1631"/>
      <c r="CR18" s="1596"/>
      <c r="CS18" s="1596"/>
      <c r="CT18" s="1596"/>
      <c r="CU18" s="1631"/>
      <c r="CV18" s="1631"/>
    </row>
    <row r="19" spans="2:100" hidden="1" outlineLevel="1" x14ac:dyDescent="0.2">
      <c r="B19" s="1624" t="s">
        <v>499</v>
      </c>
      <c r="C19" s="1599"/>
      <c r="D19" s="1625"/>
      <c r="E19" s="1625"/>
      <c r="F19" s="1626"/>
      <c r="H19" s="1619"/>
      <c r="I19" s="1625"/>
      <c r="J19" s="1675"/>
      <c r="K19" s="1626"/>
      <c r="M19" s="1471"/>
      <c r="N19" s="1490"/>
      <c r="O19" s="1490"/>
      <c r="P19" s="1491"/>
      <c r="Q19" s="1543"/>
      <c r="S19" s="1630"/>
      <c r="T19" s="1630"/>
      <c r="U19" s="1630"/>
      <c r="V19" s="1619"/>
      <c r="W19" s="1669" t="s">
        <v>503</v>
      </c>
      <c r="X19" s="1631" t="s">
        <v>503</v>
      </c>
      <c r="Y19" s="1669" t="s">
        <v>503</v>
      </c>
      <c r="Z19" s="1500"/>
      <c r="AA19" s="1619"/>
      <c r="AB19" s="1630" t="s">
        <v>528</v>
      </c>
      <c r="AC19" s="1630" t="s">
        <v>528</v>
      </c>
      <c r="AD19" s="1630" t="s">
        <v>528</v>
      </c>
      <c r="AE19" s="1630" t="s">
        <v>528</v>
      </c>
      <c r="AF19" s="1599"/>
      <c r="AG19" s="1670" t="s">
        <v>571</v>
      </c>
      <c r="AH19" s="1668"/>
      <c r="AI19" s="1669"/>
      <c r="AJ19" s="1631"/>
      <c r="AK19" s="1599"/>
      <c r="AL19" s="1670" t="s">
        <v>571</v>
      </c>
      <c r="AM19" s="1670" t="s">
        <v>595</v>
      </c>
      <c r="AN19" s="1670" t="s">
        <v>595</v>
      </c>
      <c r="AO19" s="1677">
        <v>759.2</v>
      </c>
      <c r="AP19" s="1631"/>
      <c r="AR19" s="1677"/>
      <c r="AS19" s="1677"/>
      <c r="AT19" s="1631"/>
      <c r="AU19" s="1669"/>
      <c r="AV19" s="1669"/>
      <c r="AX19" s="1670" t="s">
        <v>616</v>
      </c>
      <c r="AY19" s="1668" t="str">
        <f>AX19</f>
        <v>695 to 715 million</v>
      </c>
      <c r="AZ19" s="1738" t="s">
        <v>629</v>
      </c>
      <c r="BA19" s="1738"/>
      <c r="BB19" s="1738"/>
      <c r="BC19" s="1738"/>
      <c r="BD19" s="1738"/>
      <c r="BE19" s="1738"/>
      <c r="BF19" s="1738"/>
      <c r="BG19" s="1738"/>
      <c r="BH19" s="1738"/>
      <c r="BI19" s="1738"/>
      <c r="BJ19" s="1670" t="s">
        <v>642</v>
      </c>
      <c r="BK19" s="1670"/>
      <c r="BL19" s="1741">
        <f>(693+703)/2</f>
        <v>698</v>
      </c>
      <c r="BM19" s="1741"/>
      <c r="BN19" s="1741"/>
      <c r="BO19" s="1741"/>
      <c r="BP19" s="1741"/>
      <c r="BQ19" s="1741"/>
      <c r="BR19" s="1741"/>
      <c r="BS19" s="1741"/>
      <c r="BT19" s="1741"/>
      <c r="BU19" s="1741"/>
      <c r="BV19" s="1741"/>
      <c r="BW19" s="1741"/>
      <c r="BX19" s="1741"/>
      <c r="BZ19" s="1741"/>
      <c r="CA19" s="1741"/>
      <c r="CB19" s="1741"/>
      <c r="CC19" s="1741"/>
      <c r="CD19" s="1741"/>
      <c r="CE19" s="1741"/>
      <c r="CG19" s="1741"/>
      <c r="CH19" s="1741"/>
      <c r="CI19" s="1741"/>
      <c r="CJ19" s="1741"/>
      <c r="CK19" s="1741"/>
      <c r="CL19" s="1741"/>
      <c r="CM19" s="1741"/>
      <c r="CN19" s="1741"/>
      <c r="CO19" s="1741"/>
      <c r="CP19" s="1631"/>
      <c r="CR19" s="1677"/>
      <c r="CS19" s="1677"/>
      <c r="CT19" s="1677"/>
      <c r="CU19" s="1631"/>
      <c r="CV19" s="1631"/>
    </row>
    <row r="20" spans="2:100" hidden="1" outlineLevel="1" x14ac:dyDescent="0.2">
      <c r="B20" s="1624"/>
      <c r="C20" s="1599"/>
      <c r="D20" s="1625"/>
      <c r="E20" s="1625"/>
      <c r="F20" s="1626"/>
      <c r="H20" s="1619"/>
      <c r="I20" s="1625"/>
      <c r="J20" s="1675"/>
      <c r="K20" s="1626"/>
      <c r="M20" s="1471"/>
      <c r="N20" s="1490"/>
      <c r="O20" s="1490"/>
      <c r="P20" s="1491"/>
      <c r="Q20" s="1543"/>
      <c r="S20" s="1630"/>
      <c r="T20" s="1630"/>
      <c r="U20" s="1630"/>
      <c r="V20" s="1619"/>
      <c r="W20" s="1669"/>
      <c r="X20" s="1631"/>
      <c r="Y20" s="1669"/>
      <c r="Z20" s="1500"/>
      <c r="AA20" s="1619"/>
      <c r="AB20" s="1630"/>
      <c r="AC20" s="1669"/>
      <c r="AD20" s="1669"/>
      <c r="AE20" s="1669"/>
      <c r="AF20" s="1599"/>
      <c r="AG20" s="1670"/>
      <c r="AH20" s="1668"/>
      <c r="AI20" s="1669"/>
      <c r="AJ20" s="1631"/>
      <c r="AK20" s="1599"/>
      <c r="AL20" s="1670"/>
      <c r="AM20" s="1670"/>
      <c r="AN20" s="1670"/>
      <c r="AO20" s="1677"/>
      <c r="AP20" s="1631"/>
      <c r="AR20" s="1677"/>
      <c r="AS20" s="1677"/>
      <c r="AT20" s="1631"/>
      <c r="AU20" s="1669"/>
      <c r="AV20" s="1669"/>
      <c r="AX20" s="1670"/>
      <c r="AY20" s="1668"/>
      <c r="AZ20" s="1738">
        <f>AY20</f>
        <v>0</v>
      </c>
      <c r="BA20" s="1738"/>
      <c r="BB20" s="1738"/>
      <c r="BC20" s="1738"/>
      <c r="BD20" s="1738"/>
      <c r="BE20" s="1738"/>
      <c r="BF20" s="1738"/>
      <c r="BG20" s="1738"/>
      <c r="BH20" s="1738"/>
      <c r="BI20" s="1738"/>
      <c r="BJ20" s="1670"/>
      <c r="BK20" s="1670"/>
      <c r="BL20" s="1741"/>
      <c r="BM20" s="1741"/>
      <c r="BN20" s="1741"/>
      <c r="BO20" s="1741"/>
      <c r="BP20" s="1741"/>
      <c r="BQ20" s="1741"/>
      <c r="BR20" s="1741"/>
      <c r="BS20" s="1741"/>
      <c r="BT20" s="1741"/>
      <c r="BU20" s="1741"/>
      <c r="BV20" s="1741"/>
      <c r="BW20" s="1741"/>
      <c r="BX20" s="1741"/>
      <c r="BZ20" s="1741"/>
      <c r="CA20" s="1741"/>
      <c r="CB20" s="1741"/>
      <c r="CC20" s="1741"/>
      <c r="CD20" s="1741"/>
      <c r="CE20" s="1741"/>
      <c r="CG20" s="1741"/>
      <c r="CH20" s="1741"/>
      <c r="CI20" s="1741"/>
      <c r="CJ20" s="1741"/>
      <c r="CK20" s="1741"/>
      <c r="CL20" s="1741"/>
      <c r="CM20" s="1741"/>
      <c r="CN20" s="1741"/>
      <c r="CO20" s="1741"/>
      <c r="CP20" s="1631"/>
      <c r="CR20" s="1677"/>
      <c r="CS20" s="1677"/>
      <c r="CT20" s="1677"/>
      <c r="CU20" s="1631"/>
      <c r="CV20" s="1631"/>
    </row>
    <row r="21" spans="2:100" hidden="1" outlineLevel="1" x14ac:dyDescent="0.2">
      <c r="B21" s="1624" t="s">
        <v>578</v>
      </c>
      <c r="C21" s="1599"/>
      <c r="D21" s="1625"/>
      <c r="E21" s="1625"/>
      <c r="F21" s="1626"/>
      <c r="H21" s="1619"/>
      <c r="I21" s="1625"/>
      <c r="J21" s="1675"/>
      <c r="K21" s="1626"/>
      <c r="M21" s="1471"/>
      <c r="N21" s="1490"/>
      <c r="O21" s="1490"/>
      <c r="P21" s="1491"/>
      <c r="Q21" s="1543"/>
      <c r="S21" s="1630"/>
      <c r="T21" s="1630"/>
      <c r="U21" s="1630"/>
      <c r="V21" s="1619"/>
      <c r="W21" s="1669"/>
      <c r="X21" s="1631"/>
      <c r="Y21" s="1669"/>
      <c r="Z21" s="1500"/>
      <c r="AA21" s="1619"/>
      <c r="AB21" s="1630"/>
      <c r="AC21" s="1669"/>
      <c r="AD21" s="1669"/>
      <c r="AE21" s="1669"/>
      <c r="AF21" s="1599"/>
      <c r="AG21" s="1670" t="s">
        <v>572</v>
      </c>
      <c r="AH21" s="1668"/>
      <c r="AI21" s="1669"/>
      <c r="AJ21" s="1631"/>
      <c r="AK21" s="1599"/>
      <c r="AL21" s="1670" t="s">
        <v>586</v>
      </c>
      <c r="AM21" s="1670" t="s">
        <v>586</v>
      </c>
      <c r="AN21" s="1670" t="s">
        <v>586</v>
      </c>
      <c r="AO21" s="1594">
        <v>4548.9999999999991</v>
      </c>
      <c r="AP21" s="1631"/>
      <c r="AR21" s="1594"/>
      <c r="AS21" s="1594"/>
      <c r="AT21" s="1631"/>
      <c r="AU21" s="1669"/>
      <c r="AV21" s="1669"/>
      <c r="AX21" s="1670" t="s">
        <v>617</v>
      </c>
      <c r="AY21" s="1668" t="str">
        <f>AX21</f>
        <v>$4,500 to $5,000</v>
      </c>
      <c r="AZ21" s="1738" t="str">
        <f>AY21</f>
        <v>$4,500 to $5,000</v>
      </c>
      <c r="BA21" s="1738"/>
      <c r="BB21" s="1738"/>
      <c r="BC21" s="1738"/>
      <c r="BD21" s="1738"/>
      <c r="BE21" s="1738"/>
      <c r="BF21" s="1738"/>
      <c r="BG21" s="1738"/>
      <c r="BH21" s="1738"/>
      <c r="BI21" s="1738"/>
      <c r="BJ21" s="1670" t="str">
        <f>AZ21</f>
        <v>$4,500 to $5,000</v>
      </c>
      <c r="BK21" s="1670" t="s">
        <v>644</v>
      </c>
      <c r="BL21" s="1736">
        <f>(4500+5000)/2</f>
        <v>4750</v>
      </c>
      <c r="BM21" s="1736"/>
      <c r="BN21" s="1736"/>
      <c r="BO21" s="1736"/>
      <c r="BP21" s="1736"/>
      <c r="BQ21" s="1736"/>
      <c r="BR21" s="1736"/>
      <c r="BS21" s="1736"/>
      <c r="BT21" s="1736"/>
      <c r="BU21" s="1736"/>
      <c r="BV21" s="1736"/>
      <c r="BW21" s="1736"/>
      <c r="BX21" s="1736"/>
      <c r="BZ21" s="1736"/>
      <c r="CA21" s="1736"/>
      <c r="CB21" s="1736"/>
      <c r="CC21" s="1736"/>
      <c r="CD21" s="1736"/>
      <c r="CE21" s="1736"/>
      <c r="CG21" s="1736"/>
      <c r="CH21" s="1736"/>
      <c r="CI21" s="1736"/>
      <c r="CJ21" s="1736"/>
      <c r="CK21" s="1736"/>
      <c r="CL21" s="1736"/>
      <c r="CM21" s="1736"/>
      <c r="CN21" s="1736"/>
      <c r="CO21" s="1736"/>
      <c r="CP21" s="1631"/>
      <c r="CR21" s="1594"/>
      <c r="CS21" s="1594"/>
      <c r="CT21" s="1594"/>
      <c r="CU21" s="1631"/>
      <c r="CV21" s="1631"/>
    </row>
    <row r="22" spans="2:100" ht="13.5" hidden="1" outlineLevel="1" thickBot="1" x14ac:dyDescent="0.25">
      <c r="B22" s="1678" t="s">
        <v>579</v>
      </c>
      <c r="C22" s="1679"/>
      <c r="D22" s="1680"/>
      <c r="E22" s="1680"/>
      <c r="F22" s="1681"/>
      <c r="G22" s="1679"/>
      <c r="H22" s="1682"/>
      <c r="I22" s="1680"/>
      <c r="J22" s="1683"/>
      <c r="K22" s="1681"/>
      <c r="L22" s="1679"/>
      <c r="M22" s="1495"/>
      <c r="N22" s="1684"/>
      <c r="O22" s="1684"/>
      <c r="P22" s="1685"/>
      <c r="Q22" s="1686"/>
      <c r="R22" s="1679"/>
      <c r="S22" s="1687"/>
      <c r="T22" s="1687"/>
      <c r="U22" s="1687"/>
      <c r="V22" s="1682"/>
      <c r="W22" s="1688"/>
      <c r="X22" s="1689"/>
      <c r="Y22" s="1688"/>
      <c r="Z22" s="1690"/>
      <c r="AA22" s="1682"/>
      <c r="AB22" s="1687"/>
      <c r="AC22" s="1688"/>
      <c r="AD22" s="1688"/>
      <c r="AE22" s="1688"/>
      <c r="AF22" s="1679"/>
      <c r="AG22" s="1691" t="s">
        <v>573</v>
      </c>
      <c r="AH22" s="1692"/>
      <c r="AI22" s="1688"/>
      <c r="AJ22" s="1689"/>
      <c r="AK22" s="1679"/>
      <c r="AL22" s="1691" t="s">
        <v>573</v>
      </c>
      <c r="AM22" s="1691" t="s">
        <v>573</v>
      </c>
      <c r="AN22" s="1691" t="s">
        <v>573</v>
      </c>
      <c r="AO22" s="1597">
        <v>-436.6</v>
      </c>
      <c r="AP22" s="1689"/>
      <c r="AR22" s="1597"/>
      <c r="AS22" s="1597"/>
      <c r="AT22" s="1689"/>
      <c r="AU22" s="1669"/>
      <c r="AV22" s="1669"/>
      <c r="AX22" s="1691" t="s">
        <v>619</v>
      </c>
      <c r="AY22" s="1692" t="str">
        <f>AX22</f>
        <v>-$300 to -$400</v>
      </c>
      <c r="AZ22" s="1748" t="s">
        <v>630</v>
      </c>
      <c r="BA22" s="1748"/>
      <c r="BB22" s="1748"/>
      <c r="BC22" s="1748"/>
      <c r="BD22" s="1748"/>
      <c r="BE22" s="1748"/>
      <c r="BF22" s="1748"/>
      <c r="BG22" s="1748"/>
      <c r="BH22" s="1748"/>
      <c r="BI22" s="1748"/>
      <c r="BJ22" s="1691" t="s">
        <v>643</v>
      </c>
      <c r="BK22" s="1776" t="s">
        <v>644</v>
      </c>
      <c r="BL22" s="1742">
        <f>(-300-350)/2</f>
        <v>-325</v>
      </c>
      <c r="BM22" s="1742"/>
      <c r="BN22" s="1742"/>
      <c r="BO22" s="1742"/>
      <c r="BP22" s="1742"/>
      <c r="BQ22" s="1742"/>
      <c r="BR22" s="1742"/>
      <c r="BS22" s="1742"/>
      <c r="BT22" s="1742"/>
      <c r="BU22" s="1742"/>
      <c r="BV22" s="1742"/>
      <c r="BW22" s="1742"/>
      <c r="BX22" s="1742"/>
      <c r="BZ22" s="1742"/>
      <c r="CA22" s="1742"/>
      <c r="CB22" s="1742"/>
      <c r="CC22" s="1742"/>
      <c r="CD22" s="1742"/>
      <c r="CE22" s="1742"/>
      <c r="CG22" s="1742"/>
      <c r="CH22" s="1742"/>
      <c r="CI22" s="1742"/>
      <c r="CJ22" s="1742"/>
      <c r="CK22" s="1742"/>
      <c r="CL22" s="1742"/>
      <c r="CM22" s="1742"/>
      <c r="CN22" s="1742"/>
      <c r="CO22" s="1742"/>
      <c r="CP22" s="1689"/>
      <c r="CR22" s="1597"/>
      <c r="CS22" s="1597"/>
      <c r="CT22" s="1597"/>
      <c r="CU22" s="1689"/>
      <c r="CV22" s="1689"/>
    </row>
    <row r="23" spans="2:100" hidden="1" outlineLevel="1" x14ac:dyDescent="0.2">
      <c r="B23" s="1624"/>
      <c r="C23" s="1599"/>
      <c r="D23" s="1625"/>
      <c r="E23" s="1625"/>
      <c r="F23" s="1626"/>
      <c r="H23" s="1619"/>
      <c r="I23" s="1625"/>
      <c r="J23" s="1675"/>
      <c r="K23" s="1626"/>
      <c r="M23" s="1471"/>
      <c r="N23" s="1490"/>
      <c r="O23" s="1490"/>
      <c r="P23" s="1491"/>
      <c r="Q23" s="1543"/>
      <c r="S23" s="1630"/>
      <c r="T23" s="1630"/>
      <c r="U23" s="1630"/>
      <c r="V23" s="1619"/>
      <c r="W23" s="1669"/>
      <c r="X23" s="1631"/>
      <c r="Y23" s="1669"/>
      <c r="Z23" s="1500"/>
      <c r="AA23" s="1619"/>
      <c r="AB23" s="1630"/>
      <c r="AC23" s="1669"/>
      <c r="AD23" s="1669"/>
      <c r="AE23" s="1669"/>
      <c r="AG23" s="1693"/>
      <c r="AH23" s="1668"/>
      <c r="AI23" s="1669"/>
      <c r="AJ23" s="1631"/>
      <c r="AO23" s="1677"/>
      <c r="AP23" s="1631"/>
      <c r="AS23" s="1677"/>
      <c r="AT23" s="1631"/>
      <c r="AU23" s="1669"/>
      <c r="AV23" s="1669"/>
      <c r="AX23" s="1693"/>
      <c r="AY23" s="1668"/>
      <c r="AZ23" s="1669"/>
      <c r="BA23" s="1669"/>
      <c r="BB23" s="1669"/>
      <c r="BC23" s="1669"/>
      <c r="BD23" s="1669"/>
      <c r="BE23" s="1669"/>
      <c r="BF23" s="1669"/>
      <c r="BG23" s="1669"/>
      <c r="BH23" s="1669"/>
      <c r="BI23" s="1669"/>
      <c r="BL23" s="1677"/>
      <c r="BM23" s="1922"/>
      <c r="BN23" s="1922"/>
      <c r="BO23" s="1922"/>
      <c r="BP23" s="1922"/>
      <c r="BQ23" s="1922"/>
      <c r="BR23" s="1922"/>
      <c r="BS23" s="1922"/>
      <c r="BT23" s="1922"/>
      <c r="BU23" s="1922"/>
      <c r="BV23" s="1922"/>
      <c r="BW23" s="1922"/>
      <c r="BX23" s="1922"/>
      <c r="BZ23" s="1922"/>
      <c r="CA23" s="1922"/>
      <c r="CB23" s="1922"/>
      <c r="CC23" s="1922"/>
      <c r="CD23" s="1922"/>
      <c r="CE23" s="1922"/>
      <c r="CG23" s="1922"/>
      <c r="CH23" s="1922"/>
      <c r="CI23" s="1922"/>
      <c r="CJ23" s="1922"/>
      <c r="CK23" s="1922"/>
      <c r="CL23" s="1922"/>
      <c r="CM23" s="1922"/>
      <c r="CN23" s="1922"/>
      <c r="CO23" s="1922"/>
      <c r="CS23" s="1677"/>
      <c r="CT23" s="1631"/>
      <c r="CV23" s="1674"/>
    </row>
    <row r="24" spans="2:100" hidden="1" outlineLevel="1" x14ac:dyDescent="0.2">
      <c r="B24" s="1624"/>
      <c r="C24" s="1599"/>
      <c r="D24" s="1625"/>
      <c r="E24" s="1625"/>
      <c r="F24" s="1626"/>
      <c r="H24" s="1619"/>
      <c r="I24" s="1625"/>
      <c r="J24" s="1675"/>
      <c r="K24" s="1626"/>
      <c r="M24" s="1471"/>
      <c r="N24" s="1490"/>
      <c r="O24" s="1490"/>
      <c r="P24" s="1491"/>
      <c r="Q24" s="1543"/>
      <c r="S24" s="1630"/>
      <c r="T24" s="1630"/>
      <c r="U24" s="1630"/>
      <c r="V24" s="1619"/>
      <c r="W24" s="1669"/>
      <c r="X24" s="1631"/>
      <c r="Y24" s="1669"/>
      <c r="Z24" s="1500"/>
      <c r="AA24" s="1619"/>
      <c r="AB24" s="1630"/>
      <c r="AC24" s="1669"/>
      <c r="AD24" s="1669"/>
      <c r="AE24" s="1669"/>
      <c r="AG24" s="1693"/>
      <c r="AH24" s="1668"/>
      <c r="AI24" s="1669"/>
      <c r="AJ24" s="1631"/>
      <c r="AO24" s="1677"/>
      <c r="AP24" s="1631"/>
      <c r="AS24" s="1677"/>
      <c r="AT24" s="1631"/>
      <c r="AU24" s="1669"/>
      <c r="AV24" s="1669"/>
      <c r="AX24" s="1693"/>
      <c r="AY24" s="1668"/>
      <c r="AZ24" s="1669"/>
      <c r="BA24" s="1669"/>
      <c r="BB24" s="1669"/>
      <c r="BC24" s="1669"/>
      <c r="BD24" s="1669"/>
      <c r="BE24" s="1669"/>
      <c r="BF24" s="1669"/>
      <c r="BG24" s="1669"/>
      <c r="BH24" s="1669"/>
      <c r="BI24" s="1669"/>
      <c r="BL24" s="1677"/>
      <c r="BM24" s="1922"/>
      <c r="BN24" s="1922"/>
      <c r="BO24" s="1922"/>
      <c r="BP24" s="1922"/>
      <c r="BQ24" s="1922"/>
      <c r="BR24" s="1922"/>
      <c r="BS24" s="1922"/>
      <c r="BT24" s="1922"/>
      <c r="BU24" s="1922"/>
      <c r="BV24" s="1922"/>
      <c r="BW24" s="1922"/>
      <c r="BX24" s="1922"/>
      <c r="BZ24" s="1922"/>
      <c r="CA24" s="1922"/>
      <c r="CB24" s="1922"/>
      <c r="CC24" s="1922"/>
      <c r="CD24" s="1922"/>
      <c r="CE24" s="1922"/>
      <c r="CG24" s="1922"/>
      <c r="CH24" s="1922"/>
      <c r="CI24" s="1922"/>
      <c r="CJ24" s="1922"/>
      <c r="CK24" s="1922"/>
      <c r="CL24" s="1922"/>
      <c r="CM24" s="1922"/>
      <c r="CN24" s="1922"/>
      <c r="CO24" s="1922"/>
      <c r="CS24" s="1677"/>
      <c r="CT24" s="1631"/>
      <c r="CV24" s="1674"/>
    </row>
    <row r="25" spans="2:100" hidden="1" outlineLevel="1" x14ac:dyDescent="0.2">
      <c r="B25" s="1624"/>
      <c r="C25" s="1599"/>
      <c r="D25" s="1625"/>
      <c r="E25" s="1625"/>
      <c r="F25" s="1626"/>
      <c r="H25" s="1619"/>
      <c r="I25" s="1625"/>
      <c r="J25" s="1675"/>
      <c r="K25" s="1626"/>
      <c r="M25" s="1471"/>
      <c r="N25" s="1490"/>
      <c r="O25" s="1490"/>
      <c r="P25" s="1491"/>
      <c r="Q25" s="1543"/>
      <c r="S25" s="1630"/>
      <c r="T25" s="1630"/>
      <c r="U25" s="1630"/>
      <c r="V25" s="1619"/>
      <c r="W25" s="1669"/>
      <c r="X25" s="1631"/>
      <c r="Y25" s="1669"/>
      <c r="Z25" s="1500"/>
      <c r="AA25" s="1619"/>
      <c r="AB25" s="1630"/>
      <c r="AC25" s="1669"/>
      <c r="AD25" s="1669"/>
      <c r="AE25" s="1669"/>
      <c r="AG25" s="1693"/>
      <c r="AH25" s="1668"/>
      <c r="AI25" s="1669"/>
      <c r="AJ25" s="1631"/>
      <c r="AO25" s="1677"/>
      <c r="AP25" s="1631"/>
      <c r="AS25" s="1677"/>
      <c r="AT25" s="1631"/>
      <c r="AU25" s="1669"/>
      <c r="AV25" s="1669"/>
      <c r="AX25" s="1693"/>
      <c r="AY25" s="1668"/>
      <c r="AZ25" s="1669"/>
      <c r="BA25" s="1669"/>
      <c r="BB25" s="1669"/>
      <c r="BC25" s="1669"/>
      <c r="BD25" s="1669"/>
      <c r="BE25" s="1669"/>
      <c r="BF25" s="1669"/>
      <c r="BG25" s="1669"/>
      <c r="BH25" s="1669"/>
      <c r="BI25" s="1669"/>
      <c r="BL25" s="1677"/>
      <c r="BM25" s="1922"/>
      <c r="BN25" s="1922"/>
      <c r="BO25" s="1922"/>
      <c r="BP25" s="1922"/>
      <c r="BQ25" s="1922"/>
      <c r="BR25" s="1922"/>
      <c r="BS25" s="1922"/>
      <c r="BT25" s="1922"/>
      <c r="BU25" s="1922"/>
      <c r="BV25" s="1922"/>
      <c r="BW25" s="1922"/>
      <c r="BX25" s="1922"/>
      <c r="BZ25" s="1922"/>
      <c r="CA25" s="1922"/>
      <c r="CB25" s="1922"/>
      <c r="CC25" s="1922"/>
      <c r="CD25" s="1922"/>
      <c r="CE25" s="1922"/>
      <c r="CG25" s="1922"/>
      <c r="CH25" s="1922"/>
      <c r="CI25" s="1922"/>
      <c r="CJ25" s="1922"/>
      <c r="CK25" s="1922"/>
      <c r="CL25" s="1922"/>
      <c r="CM25" s="1922"/>
      <c r="CN25" s="1922"/>
      <c r="CO25" s="1922"/>
      <c r="CS25" s="1677"/>
      <c r="CT25" s="1631"/>
      <c r="CV25" s="1674"/>
    </row>
    <row r="26" spans="2:100" hidden="1" outlineLevel="1" x14ac:dyDescent="0.2">
      <c r="B26" s="1624"/>
      <c r="C26" s="1599"/>
      <c r="D26" s="1625"/>
      <c r="E26" s="1625"/>
      <c r="F26" s="1626"/>
      <c r="H26" s="1619"/>
      <c r="I26" s="1625"/>
      <c r="J26" s="1675"/>
      <c r="K26" s="1626"/>
      <c r="M26" s="1471"/>
      <c r="N26" s="1490"/>
      <c r="O26" s="1490"/>
      <c r="P26" s="1491"/>
      <c r="Q26" s="1543"/>
      <c r="S26" s="1630"/>
      <c r="T26" s="1630"/>
      <c r="U26" s="1630"/>
      <c r="V26" s="1619"/>
      <c r="W26" s="1669"/>
      <c r="X26" s="1631"/>
      <c r="Y26" s="1669"/>
      <c r="Z26" s="1500"/>
      <c r="AA26" s="1619"/>
      <c r="AB26" s="1630"/>
      <c r="AC26" s="1669"/>
      <c r="AD26" s="1669"/>
      <c r="AE26" s="1669"/>
      <c r="AG26" s="1693"/>
      <c r="AH26" s="1668"/>
      <c r="AI26" s="1669"/>
      <c r="AJ26" s="1631"/>
      <c r="AO26" s="1677"/>
      <c r="AP26" s="1631"/>
      <c r="AS26" s="1677"/>
      <c r="AT26" s="1631"/>
      <c r="AU26" s="1669"/>
      <c r="AV26" s="1669"/>
      <c r="AX26" s="1693"/>
      <c r="AY26" s="1668"/>
      <c r="AZ26" s="1669"/>
      <c r="BA26" s="1669"/>
      <c r="BB26" s="1669"/>
      <c r="BC26" s="1669"/>
      <c r="BD26" s="1669"/>
      <c r="BE26" s="1669"/>
      <c r="BF26" s="1669"/>
      <c r="BG26" s="1669"/>
      <c r="BH26" s="1669"/>
      <c r="BI26" s="1669"/>
      <c r="BL26" s="1677"/>
      <c r="BM26" s="1922"/>
      <c r="BN26" s="1922"/>
      <c r="BO26" s="1922"/>
      <c r="BP26" s="1922"/>
      <c r="BQ26" s="1922"/>
      <c r="BR26" s="1922"/>
      <c r="BS26" s="1922"/>
      <c r="BT26" s="1922"/>
      <c r="BU26" s="1922"/>
      <c r="BV26" s="1922"/>
      <c r="BW26" s="1922"/>
      <c r="BX26" s="1922"/>
      <c r="BZ26" s="1922"/>
      <c r="CA26" s="1922"/>
      <c r="CB26" s="1922"/>
      <c r="CC26" s="1922"/>
      <c r="CD26" s="1922"/>
      <c r="CE26" s="1922"/>
      <c r="CG26" s="1922"/>
      <c r="CH26" s="1922"/>
      <c r="CI26" s="1922"/>
      <c r="CJ26" s="1922"/>
      <c r="CK26" s="1922"/>
      <c r="CL26" s="1922"/>
      <c r="CM26" s="1922"/>
      <c r="CN26" s="1922"/>
      <c r="CO26" s="1922"/>
      <c r="CS26" s="1677"/>
      <c r="CT26" s="1631"/>
      <c r="CV26" s="1674"/>
    </row>
    <row r="27" spans="2:100" ht="6.75" hidden="1" customHeight="1" outlineLevel="1" thickBot="1" x14ac:dyDescent="0.25">
      <c r="B27" s="1678"/>
      <c r="C27" s="1679"/>
      <c r="D27" s="1680"/>
      <c r="E27" s="1680"/>
      <c r="F27" s="1681"/>
      <c r="H27" s="1687"/>
      <c r="I27" s="1694"/>
      <c r="J27" s="1695"/>
      <c r="K27" s="1692"/>
      <c r="M27" s="1495"/>
      <c r="N27" s="1496"/>
      <c r="O27" s="1496"/>
      <c r="P27" s="1497"/>
      <c r="Q27" s="1549"/>
      <c r="S27" s="1689"/>
      <c r="T27" s="1689"/>
      <c r="U27" s="1689"/>
      <c r="V27" s="1619"/>
      <c r="W27" s="1688"/>
      <c r="X27" s="1689"/>
      <c r="Y27" s="1688"/>
      <c r="Z27" s="1498"/>
      <c r="AA27" s="1619"/>
      <c r="AB27" s="1687"/>
      <c r="AC27" s="1688"/>
      <c r="AD27" s="1688"/>
      <c r="AE27" s="1692"/>
      <c r="AG27" s="1689"/>
      <c r="AH27" s="1692"/>
      <c r="AI27" s="1688"/>
      <c r="AJ27" s="1689"/>
      <c r="AO27" s="1689"/>
      <c r="AP27" s="1689"/>
      <c r="AS27" s="1689"/>
      <c r="AT27" s="1689"/>
      <c r="AU27" s="1669"/>
      <c r="AV27" s="1669"/>
      <c r="AX27" s="1689"/>
      <c r="AY27" s="1692"/>
      <c r="AZ27" s="1688"/>
      <c r="BA27" s="1669"/>
      <c r="BB27" s="1669"/>
      <c r="BC27" s="1669"/>
      <c r="BD27" s="1669"/>
      <c r="BE27" s="1669"/>
      <c r="BF27" s="1669"/>
      <c r="BG27" s="1669"/>
      <c r="BH27" s="1669"/>
      <c r="BI27" s="1669"/>
      <c r="BL27" s="1689"/>
      <c r="BM27" s="1669"/>
      <c r="BN27" s="1669"/>
      <c r="BO27" s="1669"/>
      <c r="BP27" s="1669"/>
      <c r="BQ27" s="1669"/>
      <c r="BR27" s="1669"/>
      <c r="BS27" s="1669"/>
      <c r="BT27" s="1669"/>
      <c r="BU27" s="1669"/>
      <c r="BV27" s="1669"/>
      <c r="BW27" s="1669"/>
      <c r="BX27" s="1669"/>
      <c r="BZ27" s="1669"/>
      <c r="CA27" s="1669"/>
      <c r="CB27" s="1669"/>
      <c r="CC27" s="1669"/>
      <c r="CD27" s="1669"/>
      <c r="CE27" s="1669"/>
      <c r="CG27" s="1669"/>
      <c r="CH27" s="1669"/>
      <c r="CI27" s="1669"/>
      <c r="CJ27" s="1669"/>
      <c r="CK27" s="1669"/>
      <c r="CL27" s="1669"/>
      <c r="CM27" s="1669"/>
      <c r="CN27" s="1669"/>
      <c r="CO27" s="1669"/>
      <c r="CS27" s="1689"/>
      <c r="CT27" s="1689"/>
    </row>
    <row r="28" spans="2:100" ht="11.25" hidden="1" customHeight="1" outlineLevel="1" x14ac:dyDescent="0.2">
      <c r="B28" s="1696" t="s">
        <v>533</v>
      </c>
      <c r="D28" s="1697"/>
      <c r="E28" s="1698"/>
      <c r="F28" s="1698"/>
      <c r="G28" s="1698"/>
      <c r="H28" s="1698"/>
      <c r="I28" s="1698"/>
      <c r="J28" s="1698"/>
      <c r="K28" s="1698"/>
      <c r="L28" s="1698"/>
      <c r="M28" s="1698"/>
      <c r="N28" s="1698"/>
      <c r="O28" s="1698"/>
      <c r="P28" s="1698"/>
      <c r="Q28" s="1699"/>
      <c r="R28" s="1698"/>
      <c r="S28" s="1599"/>
      <c r="T28" s="1599"/>
      <c r="U28" s="1599"/>
      <c r="V28" s="1599"/>
      <c r="W28" s="1599"/>
      <c r="X28" s="1599"/>
      <c r="Y28" s="1599"/>
      <c r="Z28" s="1599"/>
      <c r="AA28" s="1599"/>
      <c r="AB28" s="1630"/>
      <c r="AC28" s="1599"/>
      <c r="AD28" s="1599"/>
      <c r="AE28" s="1626"/>
      <c r="AG28" s="1630"/>
      <c r="AH28" s="1599"/>
      <c r="AI28" s="1599"/>
      <c r="AJ28" s="1626"/>
      <c r="AX28" s="1630"/>
      <c r="AY28" s="1599"/>
      <c r="AZ28" s="1599"/>
      <c r="BA28" s="1599"/>
      <c r="BB28" s="1599"/>
      <c r="BC28" s="1599"/>
      <c r="BD28" s="1599"/>
      <c r="BE28" s="1599"/>
      <c r="BF28" s="1599"/>
      <c r="BG28" s="1599"/>
      <c r="BH28" s="1599"/>
      <c r="BI28" s="1599"/>
    </row>
    <row r="29" spans="2:100" hidden="1" outlineLevel="1" x14ac:dyDescent="0.2">
      <c r="B29" s="1696" t="s">
        <v>529</v>
      </c>
      <c r="D29" s="1697"/>
      <c r="E29" s="1700"/>
      <c r="F29" s="1700"/>
      <c r="G29" s="1700"/>
      <c r="H29" s="1700"/>
      <c r="I29" s="1700"/>
      <c r="J29" s="1700"/>
      <c r="K29" s="1700"/>
      <c r="L29" s="1700"/>
      <c r="M29" s="1700"/>
      <c r="N29" s="1700"/>
      <c r="O29" s="1700"/>
      <c r="P29" s="1700"/>
      <c r="Q29" s="1701"/>
      <c r="R29" s="1627"/>
      <c r="S29" s="1599"/>
      <c r="T29" s="1599"/>
      <c r="U29" s="1599"/>
      <c r="V29" s="1599"/>
      <c r="W29" s="1599"/>
      <c r="X29" s="1599"/>
      <c r="Y29" s="1599"/>
      <c r="Z29" s="1599"/>
      <c r="AA29" s="1599"/>
      <c r="AB29" s="1702">
        <v>0.11</v>
      </c>
      <c r="AC29" s="1599"/>
      <c r="AD29" s="1599"/>
      <c r="AE29" s="1626"/>
      <c r="AF29" s="1599"/>
      <c r="AG29" s="1702">
        <v>0.11</v>
      </c>
      <c r="AH29" s="1599"/>
      <c r="AI29" s="1599"/>
      <c r="AJ29" s="1626"/>
      <c r="AK29" s="1599"/>
      <c r="AL29" s="1599"/>
      <c r="AM29" s="1599"/>
      <c r="AN29" s="1599"/>
      <c r="AO29" s="1599"/>
      <c r="AP29" s="1599"/>
      <c r="AQ29" s="1599"/>
      <c r="AR29" s="1599"/>
      <c r="AS29" s="1599"/>
      <c r="AT29" s="1599"/>
      <c r="AV29" s="1599"/>
      <c r="AW29" s="1599"/>
      <c r="AX29" s="1702">
        <v>0.11</v>
      </c>
      <c r="AY29" s="1599"/>
      <c r="AZ29" s="1599"/>
      <c r="BA29" s="1599"/>
      <c r="BB29" s="1599"/>
      <c r="BC29" s="1599"/>
      <c r="BD29" s="1599"/>
      <c r="BE29" s="1599"/>
      <c r="BF29" s="1599"/>
      <c r="BG29" s="1599"/>
      <c r="BH29" s="1599"/>
      <c r="BI29" s="1599"/>
      <c r="BJ29" s="1599"/>
      <c r="BK29" s="1599"/>
      <c r="BL29" s="1599"/>
      <c r="BM29" s="1599"/>
      <c r="BN29" s="1599"/>
      <c r="BO29" s="1599"/>
      <c r="BP29" s="1599"/>
      <c r="BQ29" s="1599"/>
      <c r="BR29" s="1599"/>
      <c r="BS29" s="1599"/>
      <c r="BT29" s="1599"/>
      <c r="BU29" s="1599"/>
      <c r="BV29" s="1599"/>
      <c r="BW29" s="1599"/>
      <c r="BX29" s="1599"/>
      <c r="BZ29" s="1599"/>
      <c r="CA29" s="1599"/>
      <c r="CB29" s="1599"/>
      <c r="CC29" s="1599"/>
      <c r="CD29" s="1599"/>
      <c r="CE29" s="1599"/>
      <c r="CG29" s="1599"/>
      <c r="CH29" s="1599"/>
      <c r="CI29" s="1599"/>
      <c r="CJ29" s="1599"/>
      <c r="CK29" s="1599"/>
      <c r="CL29" s="1599"/>
      <c r="CM29" s="1599"/>
      <c r="CN29" s="1599"/>
      <c r="CO29" s="1599"/>
      <c r="CP29" s="1599"/>
      <c r="CQ29" s="1599"/>
      <c r="CR29" s="1599"/>
      <c r="CS29" s="1599"/>
      <c r="CT29" s="1599"/>
      <c r="CU29" s="1599"/>
      <c r="CV29" s="1599"/>
    </row>
    <row r="30" spans="2:100" hidden="1" outlineLevel="1" x14ac:dyDescent="0.2">
      <c r="B30" s="1696" t="s">
        <v>530</v>
      </c>
      <c r="D30" s="1697"/>
      <c r="E30" s="1700"/>
      <c r="F30" s="1700"/>
      <c r="G30" s="1700"/>
      <c r="H30" s="1700"/>
      <c r="I30" s="1700"/>
      <c r="J30" s="1700"/>
      <c r="K30" s="1700"/>
      <c r="L30" s="1700"/>
      <c r="M30" s="1700"/>
      <c r="N30" s="1700"/>
      <c r="O30" s="1700"/>
      <c r="P30" s="1700"/>
      <c r="Q30" s="1701"/>
      <c r="R30" s="1627"/>
      <c r="S30" s="1599"/>
      <c r="T30" s="1599"/>
      <c r="U30" s="1599"/>
      <c r="V30" s="1599"/>
      <c r="W30" s="1599"/>
      <c r="X30" s="1599"/>
      <c r="Y30" s="1599"/>
      <c r="Z30" s="1599"/>
      <c r="AA30" s="1599"/>
      <c r="AB30" s="1702">
        <v>1.38</v>
      </c>
      <c r="AC30" s="1702">
        <v>1.49</v>
      </c>
      <c r="AD30" s="1702">
        <v>1.5</v>
      </c>
      <c r="AE30" s="1626"/>
      <c r="AF30" s="1599"/>
      <c r="AG30" s="1702">
        <v>1.38</v>
      </c>
      <c r="AH30" s="1702">
        <v>1.49</v>
      </c>
      <c r="AI30" s="1702">
        <v>1.5</v>
      </c>
      <c r="AJ30" s="1626"/>
      <c r="AK30" s="1599"/>
      <c r="AL30" s="1599"/>
      <c r="AM30" s="1599"/>
      <c r="AN30" s="1599"/>
      <c r="AO30" s="1599"/>
      <c r="AP30" s="1599"/>
      <c r="AQ30" s="1599"/>
      <c r="AR30" s="1599"/>
      <c r="AS30" s="1599"/>
      <c r="AT30" s="1599"/>
      <c r="AV30" s="1599"/>
      <c r="AW30" s="1599"/>
      <c r="AX30" s="1702">
        <v>1.38</v>
      </c>
      <c r="AY30" s="1702">
        <v>1.49</v>
      </c>
      <c r="AZ30" s="1702">
        <v>1.5</v>
      </c>
      <c r="BA30" s="1863"/>
      <c r="BB30" s="1863"/>
      <c r="BC30" s="1863"/>
      <c r="BD30" s="1863"/>
      <c r="BE30" s="1863"/>
      <c r="BF30" s="1863"/>
      <c r="BG30" s="1863"/>
      <c r="BH30" s="1863"/>
      <c r="BI30" s="1863"/>
      <c r="BJ30" s="1599"/>
      <c r="BK30" s="1599"/>
      <c r="BL30" s="1599"/>
      <c r="BM30" s="1599"/>
      <c r="BN30" s="1599"/>
      <c r="BO30" s="1599"/>
      <c r="BP30" s="1599"/>
      <c r="BQ30" s="1599"/>
      <c r="BR30" s="1599"/>
      <c r="BS30" s="1599"/>
      <c r="BT30" s="1599"/>
      <c r="BU30" s="1599"/>
      <c r="BV30" s="1599"/>
      <c r="BW30" s="1599"/>
      <c r="BX30" s="1599"/>
      <c r="BZ30" s="1599"/>
      <c r="CA30" s="1599"/>
      <c r="CB30" s="1599"/>
      <c r="CC30" s="1599"/>
      <c r="CD30" s="1599"/>
      <c r="CE30" s="1599"/>
      <c r="CG30" s="1599"/>
      <c r="CH30" s="1599"/>
      <c r="CI30" s="1599"/>
      <c r="CJ30" s="1599"/>
      <c r="CK30" s="1599"/>
      <c r="CL30" s="1599"/>
      <c r="CM30" s="1599"/>
      <c r="CN30" s="1599"/>
      <c r="CO30" s="1599"/>
      <c r="CP30" s="1599"/>
      <c r="CQ30" s="1599"/>
      <c r="CR30" s="1599"/>
      <c r="CS30" s="1599"/>
      <c r="CT30" s="1599"/>
      <c r="CU30" s="1599"/>
      <c r="CV30" s="1599"/>
    </row>
    <row r="31" spans="2:100" hidden="1" outlineLevel="1" x14ac:dyDescent="0.2">
      <c r="B31" s="1696" t="s">
        <v>531</v>
      </c>
      <c r="D31" s="1697"/>
      <c r="E31" s="1700"/>
      <c r="F31" s="1700"/>
      <c r="G31" s="1700"/>
      <c r="H31" s="1700"/>
      <c r="I31" s="1700"/>
      <c r="J31" s="1700"/>
      <c r="K31" s="1700"/>
      <c r="L31" s="1700"/>
      <c r="M31" s="1700"/>
      <c r="N31" s="1700"/>
      <c r="O31" s="1700"/>
      <c r="P31" s="1700"/>
      <c r="Q31" s="1701"/>
      <c r="R31" s="1627"/>
      <c r="S31" s="1599"/>
      <c r="T31" s="1599"/>
      <c r="U31" s="1599"/>
      <c r="V31" s="1599"/>
      <c r="W31" s="1599"/>
      <c r="X31" s="1599"/>
      <c r="Y31" s="1599"/>
      <c r="Z31" s="1599"/>
      <c r="AA31" s="1599"/>
      <c r="AB31" s="1541" t="s">
        <v>532</v>
      </c>
      <c r="AC31" s="1599" t="s">
        <v>532</v>
      </c>
      <c r="AD31" s="1599" t="s">
        <v>532</v>
      </c>
      <c r="AE31" s="1626"/>
      <c r="AF31" s="1599"/>
      <c r="AG31" s="1541" t="s">
        <v>532</v>
      </c>
      <c r="AH31" s="1599" t="s">
        <v>532</v>
      </c>
      <c r="AI31" s="1599" t="s">
        <v>532</v>
      </c>
      <c r="AJ31" s="1626"/>
      <c r="AK31" s="1599"/>
      <c r="AL31" s="1599"/>
      <c r="AM31" s="1599"/>
      <c r="AN31" s="1599"/>
      <c r="AO31" s="1599"/>
      <c r="AP31" s="1599"/>
      <c r="AQ31" s="1599"/>
      <c r="AR31" s="1599"/>
      <c r="AS31" s="1599"/>
      <c r="AT31" s="1599"/>
      <c r="AV31" s="1599"/>
      <c r="AW31" s="1599"/>
      <c r="AX31" s="1541" t="s">
        <v>532</v>
      </c>
      <c r="AY31" s="1599" t="s">
        <v>532</v>
      </c>
      <c r="AZ31" s="1599" t="s">
        <v>532</v>
      </c>
      <c r="BA31" s="1599"/>
      <c r="BB31" s="1599"/>
      <c r="BC31" s="1599"/>
      <c r="BD31" s="1599"/>
      <c r="BE31" s="1599"/>
      <c r="BF31" s="1599"/>
      <c r="BG31" s="1599"/>
      <c r="BH31" s="1599"/>
      <c r="BI31" s="1599"/>
      <c r="BJ31" s="1599"/>
      <c r="BK31" s="1599"/>
      <c r="BL31" s="1599"/>
      <c r="BM31" s="1599"/>
      <c r="BN31" s="1599"/>
      <c r="BO31" s="1599"/>
      <c r="BP31" s="1599"/>
      <c r="BQ31" s="1599"/>
      <c r="BR31" s="1599"/>
      <c r="BS31" s="1599"/>
      <c r="BT31" s="1599"/>
      <c r="BU31" s="1599"/>
      <c r="BV31" s="1599"/>
      <c r="BW31" s="1599"/>
      <c r="BX31" s="1599"/>
      <c r="BZ31" s="1599"/>
      <c r="CA31" s="1599"/>
      <c r="CB31" s="1599"/>
      <c r="CC31" s="1599"/>
      <c r="CD31" s="1599"/>
      <c r="CE31" s="1599"/>
      <c r="CG31" s="1599"/>
      <c r="CH31" s="1599"/>
      <c r="CI31" s="1599"/>
      <c r="CJ31" s="1599"/>
      <c r="CK31" s="1599"/>
      <c r="CL31" s="1599"/>
      <c r="CM31" s="1599"/>
      <c r="CN31" s="1599"/>
      <c r="CO31" s="1599"/>
      <c r="CP31" s="1599"/>
      <c r="CQ31" s="1599"/>
      <c r="CR31" s="1599"/>
      <c r="CS31" s="1599"/>
      <c r="CT31" s="1599"/>
      <c r="CU31" s="1599"/>
      <c r="CV31" s="1599"/>
    </row>
    <row r="32" spans="2:100" ht="13.5" hidden="1" outlineLevel="1" thickBot="1" x14ac:dyDescent="0.25">
      <c r="B32" s="1703"/>
      <c r="C32" s="1704"/>
      <c r="D32" s="1704"/>
      <c r="E32" s="1704"/>
      <c r="F32" s="1704"/>
      <c r="G32" s="1704"/>
      <c r="H32" s="1704"/>
      <c r="I32" s="1704"/>
      <c r="J32" s="1704"/>
      <c r="K32" s="1704"/>
      <c r="L32" s="1704"/>
      <c r="M32" s="1704"/>
      <c r="N32" s="1704"/>
      <c r="O32" s="1704"/>
      <c r="P32" s="1704"/>
      <c r="Q32" s="1705"/>
      <c r="R32" s="1706"/>
      <c r="S32" s="1679"/>
      <c r="T32" s="1679"/>
      <c r="U32" s="1679"/>
      <c r="V32" s="1679"/>
      <c r="W32" s="1679"/>
      <c r="X32" s="1679"/>
      <c r="Y32" s="1679"/>
      <c r="Z32" s="1679"/>
      <c r="AA32" s="1679"/>
      <c r="AB32" s="1542"/>
      <c r="AC32" s="1679"/>
      <c r="AD32" s="1679"/>
      <c r="AE32" s="1681"/>
      <c r="AF32" s="1599"/>
      <c r="AG32" s="1542"/>
      <c r="AH32" s="1679"/>
      <c r="AI32" s="1679"/>
      <c r="AJ32" s="1681"/>
      <c r="AK32" s="1599"/>
      <c r="AL32" s="1599"/>
      <c r="AM32" s="1599"/>
      <c r="AN32" s="1599"/>
      <c r="AO32" s="1599"/>
      <c r="AP32" s="1599"/>
      <c r="AQ32" s="1599"/>
      <c r="AR32" s="1599"/>
      <c r="AS32" s="1599"/>
      <c r="AT32" s="1599"/>
      <c r="AV32" s="1599"/>
      <c r="AW32" s="1599"/>
      <c r="AX32" s="1542"/>
      <c r="AY32" s="1679"/>
      <c r="AZ32" s="1679"/>
      <c r="BA32" s="1599"/>
      <c r="BB32" s="1599"/>
      <c r="BC32" s="1599"/>
      <c r="BD32" s="1599"/>
      <c r="BE32" s="1599"/>
      <c r="BF32" s="1599"/>
      <c r="BG32" s="1599"/>
      <c r="BH32" s="1599"/>
      <c r="BI32" s="1599"/>
      <c r="BJ32" s="1599"/>
      <c r="BK32" s="1599"/>
      <c r="BL32" s="1599"/>
      <c r="BM32" s="1599"/>
      <c r="BN32" s="1599"/>
      <c r="BO32" s="1599"/>
      <c r="BP32" s="1599"/>
      <c r="BQ32" s="1599"/>
      <c r="BR32" s="1599"/>
      <c r="BS32" s="1599"/>
      <c r="BT32" s="1599"/>
      <c r="BU32" s="1599"/>
      <c r="BV32" s="1599"/>
      <c r="BW32" s="1599"/>
      <c r="BX32" s="1599"/>
      <c r="BZ32" s="1599"/>
      <c r="CA32" s="1599"/>
      <c r="CB32" s="1599"/>
      <c r="CC32" s="1599"/>
      <c r="CD32" s="1599"/>
      <c r="CE32" s="1599"/>
      <c r="CG32" s="1599"/>
      <c r="CH32" s="1599"/>
      <c r="CI32" s="1599"/>
      <c r="CJ32" s="1599"/>
      <c r="CK32" s="1599"/>
      <c r="CL32" s="1599"/>
      <c r="CM32" s="1599"/>
      <c r="CN32" s="1599"/>
      <c r="CO32" s="1599"/>
      <c r="CP32" s="1599"/>
      <c r="CQ32" s="1599"/>
      <c r="CR32" s="1599"/>
      <c r="CS32" s="1599"/>
      <c r="CT32" s="1599"/>
      <c r="CU32" s="1599"/>
      <c r="CV32" s="1599"/>
    </row>
    <row r="33" spans="2:128" hidden="1" outlineLevel="1" x14ac:dyDescent="0.2">
      <c r="D33" s="1697"/>
      <c r="E33" s="1697"/>
      <c r="F33" s="1697"/>
      <c r="G33" s="1627"/>
      <c r="H33" s="1697"/>
      <c r="I33" s="1697"/>
      <c r="J33" s="1697"/>
      <c r="K33" s="1697"/>
      <c r="L33" s="1627"/>
      <c r="M33" s="1697"/>
      <c r="N33" s="1697"/>
      <c r="O33" s="1697"/>
      <c r="P33" s="1697"/>
      <c r="Q33" s="1697"/>
      <c r="R33" s="1627"/>
      <c r="Z33" s="1470"/>
      <c r="AB33" s="1539"/>
      <c r="AC33" s="1599"/>
      <c r="AD33" s="1599"/>
      <c r="AE33" s="1599"/>
      <c r="AF33" s="1599"/>
      <c r="AG33" s="1539"/>
      <c r="AH33" s="1599"/>
      <c r="AI33" s="1599"/>
      <c r="AJ33" s="1599"/>
      <c r="AK33" s="1599"/>
      <c r="AL33" s="1599"/>
      <c r="AM33" s="1599"/>
      <c r="AN33" s="1599"/>
      <c r="AO33" s="1599"/>
      <c r="AP33" s="1599"/>
      <c r="AQ33" s="1599"/>
      <c r="AR33" s="1599"/>
      <c r="AS33" s="1599"/>
      <c r="AT33" s="1599"/>
      <c r="AV33" s="1599"/>
      <c r="AW33" s="1599"/>
      <c r="AX33" s="1539"/>
      <c r="AY33" s="1599"/>
      <c r="AZ33" s="1599"/>
      <c r="BA33" s="1599"/>
      <c r="BB33" s="1599"/>
      <c r="BC33" s="1599"/>
      <c r="BD33" s="1599"/>
      <c r="BE33" s="1599"/>
      <c r="BF33" s="1599"/>
      <c r="BG33" s="1599"/>
      <c r="BH33" s="1599"/>
      <c r="BI33" s="1599"/>
      <c r="BJ33" s="1599"/>
      <c r="BK33" s="1599"/>
      <c r="BL33" s="1599"/>
      <c r="BM33" s="1599"/>
      <c r="BN33" s="1599"/>
      <c r="BO33" s="1599"/>
      <c r="BP33" s="1599"/>
      <c r="BQ33" s="1599"/>
      <c r="BR33" s="1599"/>
      <c r="BS33" s="1599"/>
      <c r="BT33" s="1599"/>
      <c r="BU33" s="1599"/>
      <c r="BV33" s="1599"/>
      <c r="BW33" s="1599"/>
      <c r="BX33" s="1599"/>
      <c r="BZ33" s="1599"/>
      <c r="CA33" s="1599"/>
      <c r="CB33" s="1599"/>
      <c r="CC33" s="1599"/>
      <c r="CD33" s="1599"/>
      <c r="CE33" s="1599"/>
      <c r="CG33" s="1599"/>
      <c r="CH33" s="1599"/>
      <c r="CI33" s="1599"/>
      <c r="CJ33" s="1599"/>
      <c r="CK33" s="1599"/>
      <c r="CL33" s="1599"/>
      <c r="CM33" s="1599"/>
      <c r="CN33" s="1599"/>
      <c r="CO33" s="1599"/>
      <c r="CP33" s="1599"/>
      <c r="CQ33" s="1599"/>
      <c r="CR33" s="1599"/>
      <c r="CS33" s="1599"/>
      <c r="CT33" s="1599"/>
      <c r="CU33" s="1599"/>
      <c r="CV33" s="1599"/>
    </row>
    <row r="34" spans="2:128" hidden="1" outlineLevel="1" x14ac:dyDescent="0.2">
      <c r="D34" s="1697"/>
      <c r="E34" s="1697"/>
      <c r="F34" s="1697"/>
      <c r="G34" s="1627"/>
      <c r="H34" s="1697"/>
      <c r="I34" s="1697"/>
      <c r="J34" s="1697"/>
      <c r="K34" s="1697"/>
      <c r="L34" s="1627"/>
      <c r="M34" s="1697"/>
      <c r="N34" s="1697"/>
      <c r="O34" s="1697"/>
      <c r="P34" s="1697"/>
      <c r="Q34" s="1697"/>
      <c r="R34" s="1627"/>
      <c r="Z34" s="1470"/>
      <c r="AB34" s="1539"/>
      <c r="AC34" s="1599"/>
      <c r="AD34" s="1599"/>
      <c r="AE34" s="1599"/>
      <c r="AF34" s="1599"/>
      <c r="AG34" s="1539"/>
      <c r="AH34" s="1599"/>
      <c r="AI34" s="1599"/>
      <c r="AJ34" s="1599"/>
      <c r="AK34" s="1599"/>
      <c r="AL34" s="1599"/>
      <c r="AM34" s="1599"/>
      <c r="AN34" s="1599"/>
      <c r="AO34" s="1599"/>
      <c r="AP34" s="1599"/>
      <c r="AQ34" s="1599"/>
      <c r="AR34" s="1599"/>
      <c r="AS34" s="1599"/>
      <c r="AT34" s="1599"/>
      <c r="AV34" s="1599"/>
      <c r="AW34" s="1599"/>
      <c r="AX34" s="1539"/>
      <c r="AY34" s="1599"/>
      <c r="AZ34" s="1599"/>
      <c r="BA34" s="1599"/>
      <c r="BB34" s="1599"/>
      <c r="BC34" s="1599"/>
      <c r="BD34" s="1599"/>
      <c r="BE34" s="1599"/>
      <c r="BF34" s="1599"/>
      <c r="BG34" s="1599"/>
      <c r="BH34" s="1599"/>
      <c r="BI34" s="1599"/>
      <c r="BJ34" s="1599"/>
      <c r="BK34" s="1599"/>
      <c r="BL34" s="1599"/>
      <c r="BM34" s="1599"/>
      <c r="BN34" s="1599"/>
      <c r="BO34" s="1599"/>
      <c r="BP34" s="1599"/>
      <c r="BQ34" s="1599"/>
      <c r="BR34" s="1599"/>
      <c r="BS34" s="1599"/>
      <c r="BT34" s="1599"/>
      <c r="BU34" s="1599"/>
      <c r="BV34" s="1599"/>
      <c r="BW34" s="1599"/>
      <c r="BX34" s="1599"/>
      <c r="BZ34" s="1599"/>
      <c r="CA34" s="1599"/>
      <c r="CB34" s="1599"/>
      <c r="CC34" s="1599"/>
      <c r="CD34" s="1599"/>
      <c r="CE34" s="1599"/>
      <c r="CG34" s="1599"/>
      <c r="CH34" s="1599"/>
      <c r="CI34" s="1599"/>
      <c r="CJ34" s="1599"/>
      <c r="CK34" s="1599"/>
      <c r="CL34" s="1599"/>
      <c r="CM34" s="1599"/>
      <c r="CN34" s="1599"/>
      <c r="CO34" s="1599"/>
      <c r="CP34" s="1599"/>
      <c r="CQ34" s="1599"/>
      <c r="CR34" s="1599"/>
      <c r="CS34" s="1599"/>
      <c r="CT34" s="1599"/>
      <c r="CU34" s="1599"/>
      <c r="CV34" s="1599"/>
    </row>
    <row r="35" spans="2:128" ht="13.5" collapsed="1" thickBot="1" x14ac:dyDescent="0.25">
      <c r="D35" s="1697"/>
      <c r="E35" s="1697"/>
      <c r="F35" s="1697"/>
      <c r="G35" s="1627"/>
      <c r="H35" s="1697"/>
      <c r="I35" s="1697"/>
      <c r="J35" s="1697"/>
      <c r="K35" s="1697"/>
      <c r="L35" s="1627"/>
      <c r="M35" s="1697"/>
      <c r="N35" s="1697"/>
      <c r="O35" s="1697"/>
      <c r="P35" s="1697"/>
      <c r="Q35" s="1697"/>
      <c r="R35" s="1627"/>
      <c r="Z35" s="1470"/>
      <c r="AB35" s="1539"/>
      <c r="AC35" s="1599"/>
      <c r="AD35" s="1599"/>
      <c r="AE35" s="1599"/>
      <c r="AF35" s="1599"/>
      <c r="AG35" s="1539"/>
      <c r="AH35" s="1599"/>
      <c r="AI35" s="1599"/>
      <c r="AJ35" s="1599"/>
      <c r="AK35" s="1599"/>
      <c r="AL35" s="1599"/>
      <c r="AM35" s="1599"/>
      <c r="AN35" s="1599"/>
      <c r="AO35" s="1599"/>
      <c r="AP35" s="1599"/>
      <c r="AQ35" s="1599"/>
      <c r="AR35" s="1599"/>
      <c r="AS35" s="1599"/>
      <c r="AT35" s="1599"/>
      <c r="AV35" s="1599"/>
      <c r="AW35" s="1599"/>
      <c r="AX35" s="1539"/>
      <c r="AY35" s="1599"/>
      <c r="AZ35" s="1599"/>
      <c r="BA35" s="1599"/>
      <c r="BB35" s="1599"/>
      <c r="BC35" s="1599"/>
      <c r="BD35" s="1599"/>
      <c r="BE35" s="1599"/>
      <c r="BF35" s="1599"/>
      <c r="BG35" s="1599"/>
      <c r="BH35" s="1599"/>
      <c r="BI35" s="1599"/>
      <c r="BJ35" s="1599"/>
      <c r="BK35" s="1599"/>
      <c r="BL35" s="1599"/>
      <c r="BM35" s="1599"/>
      <c r="BN35" s="1599"/>
      <c r="BO35" s="1599"/>
      <c r="BP35" s="1599"/>
      <c r="BQ35" s="1599"/>
      <c r="BR35" s="1599"/>
      <c r="BS35" s="1599"/>
      <c r="BT35" s="1599"/>
      <c r="BU35" s="1599"/>
      <c r="BV35" s="1599"/>
      <c r="BW35" s="1599"/>
      <c r="BX35" s="1599"/>
      <c r="BZ35" s="1599"/>
      <c r="CA35" s="1599"/>
      <c r="CB35" s="1599"/>
      <c r="CC35" s="1599"/>
      <c r="CD35" s="1599"/>
      <c r="CE35" s="1599"/>
      <c r="CG35" s="1599"/>
      <c r="CH35" s="1599"/>
      <c r="CI35" s="1599"/>
      <c r="CJ35" s="1599"/>
      <c r="CK35" s="1599"/>
      <c r="CL35" s="1599"/>
      <c r="CM35" s="1599"/>
      <c r="CN35" s="1599"/>
      <c r="CO35" s="1599"/>
      <c r="CP35" s="1599"/>
      <c r="CQ35" s="1599"/>
      <c r="CR35"/>
      <c r="CS35"/>
      <c r="CT35"/>
      <c r="CU35"/>
      <c r="CV35" s="1599"/>
    </row>
    <row r="36" spans="2:128" x14ac:dyDescent="0.2">
      <c r="B36" s="1600" t="s">
        <v>22</v>
      </c>
      <c r="C36" s="1601" t="s">
        <v>449</v>
      </c>
      <c r="D36" s="1601"/>
      <c r="E36" s="1601"/>
      <c r="F36" s="1602"/>
      <c r="G36" s="1603"/>
      <c r="H36" s="1604" t="s">
        <v>450</v>
      </c>
      <c r="I36" s="1601"/>
      <c r="J36" s="1605"/>
      <c r="K36" s="1606"/>
      <c r="L36" s="1603"/>
      <c r="M36" s="1604" t="s">
        <v>451</v>
      </c>
      <c r="N36" s="1601"/>
      <c r="O36" s="1601"/>
      <c r="P36" s="1602"/>
      <c r="Q36" s="1602"/>
      <c r="R36" s="1603"/>
      <c r="S36" s="1607" t="s">
        <v>452</v>
      </c>
      <c r="T36" s="1601"/>
      <c r="U36" s="1601"/>
      <c r="V36" s="1608"/>
      <c r="W36" s="1607" t="s">
        <v>497</v>
      </c>
      <c r="X36" s="1607"/>
      <c r="Y36" s="1607"/>
      <c r="Z36" s="1601"/>
      <c r="AA36" s="1608"/>
      <c r="AB36" s="1607" t="s">
        <v>522</v>
      </c>
      <c r="AC36" s="1607"/>
      <c r="AD36" s="1607"/>
      <c r="AE36" s="1607"/>
      <c r="AF36" s="1609"/>
      <c r="AG36" s="2026" t="s">
        <v>563</v>
      </c>
      <c r="AH36" s="2027"/>
      <c r="AI36" s="2027"/>
      <c r="AJ36" s="2027"/>
      <c r="AK36" s="2027"/>
      <c r="AL36" s="2027"/>
      <c r="AM36" s="2027"/>
      <c r="AN36" s="2028"/>
      <c r="AO36" s="1607"/>
      <c r="AP36" s="1607"/>
      <c r="AQ36" s="1609"/>
      <c r="AR36" s="1607" t="s">
        <v>603</v>
      </c>
      <c r="AS36" s="1607"/>
      <c r="AT36" s="1607"/>
      <c r="AU36" s="1609"/>
      <c r="AV36" s="1601" t="s">
        <v>712</v>
      </c>
      <c r="AW36" s="1609"/>
      <c r="AX36" s="1805" t="s">
        <v>653</v>
      </c>
      <c r="AY36" s="1806"/>
      <c r="AZ36" s="1807"/>
      <c r="BA36" s="1807"/>
      <c r="BB36" s="1807"/>
      <c r="BC36" s="1807"/>
      <c r="BD36" s="1807"/>
      <c r="BE36" s="1807"/>
      <c r="BF36" s="1807"/>
      <c r="BG36" s="1807"/>
      <c r="BH36" s="1807"/>
      <c r="BI36" s="1807"/>
      <c r="BJ36" s="1607"/>
      <c r="BK36" s="1607"/>
      <c r="BM36" s="1807"/>
      <c r="BN36" s="1807"/>
      <c r="BO36" s="1807"/>
      <c r="BP36" s="1607"/>
      <c r="BQ36" s="1607"/>
      <c r="BS36" s="1807"/>
      <c r="BT36" s="1807"/>
      <c r="BU36" s="1807"/>
      <c r="BV36" s="1607"/>
      <c r="BW36" s="1607"/>
      <c r="BZ36" s="1972" t="s">
        <v>763</v>
      </c>
      <c r="CA36" s="1972"/>
      <c r="CB36" s="1972"/>
      <c r="CC36" s="1607"/>
      <c r="CD36" s="1607"/>
      <c r="CG36" s="1971" t="s">
        <v>771</v>
      </c>
      <c r="CH36" s="1807"/>
      <c r="CI36" s="1807"/>
      <c r="CJ36" s="1807"/>
      <c r="CK36" s="1807"/>
      <c r="CL36" s="1807"/>
      <c r="CM36" s="1607"/>
      <c r="CN36" s="1607"/>
      <c r="CQ36" s="1600"/>
      <c r="CR36" s="1607" t="s">
        <v>772</v>
      </c>
      <c r="CS36" s="1607"/>
      <c r="CT36" s="1607"/>
      <c r="CU36" s="1607"/>
    </row>
    <row r="37" spans="2:128" ht="38.25" x14ac:dyDescent="0.2">
      <c r="B37" s="1610" t="s">
        <v>610</v>
      </c>
      <c r="C37" s="1611" t="s">
        <v>453</v>
      </c>
      <c r="D37" s="1612" t="s">
        <v>454</v>
      </c>
      <c r="E37" s="1612" t="s">
        <v>455</v>
      </c>
      <c r="F37" s="1613" t="s">
        <v>456</v>
      </c>
      <c r="G37" s="1614"/>
      <c r="H37" s="1615" t="s">
        <v>457</v>
      </c>
      <c r="I37" s="1612" t="s">
        <v>458</v>
      </c>
      <c r="J37" s="1612" t="s">
        <v>459</v>
      </c>
      <c r="K37" s="1613" t="s">
        <v>460</v>
      </c>
      <c r="L37" s="1614"/>
      <c r="M37" s="1615" t="s">
        <v>461</v>
      </c>
      <c r="N37" s="1612" t="s">
        <v>462</v>
      </c>
      <c r="O37" s="1612" t="s">
        <v>463</v>
      </c>
      <c r="P37" s="1616" t="s">
        <v>464</v>
      </c>
      <c r="Q37" s="1613" t="s">
        <v>465</v>
      </c>
      <c r="R37" s="1614"/>
      <c r="S37" s="1617" t="s">
        <v>466</v>
      </c>
      <c r="T37" s="1611" t="s">
        <v>448</v>
      </c>
      <c r="U37" s="1618">
        <v>40822</v>
      </c>
      <c r="V37" s="1619"/>
      <c r="W37" s="1618" t="s">
        <v>500</v>
      </c>
      <c r="X37" s="1618" t="s">
        <v>502</v>
      </c>
      <c r="Y37" s="1618" t="s">
        <v>518</v>
      </c>
      <c r="Z37" s="1620" t="s">
        <v>465</v>
      </c>
      <c r="AA37" s="1619"/>
      <c r="AB37" s="1621" t="s">
        <v>523</v>
      </c>
      <c r="AC37" s="1618" t="s">
        <v>542</v>
      </c>
      <c r="AD37" s="1618" t="s">
        <v>551</v>
      </c>
      <c r="AE37" s="1622" t="s">
        <v>558</v>
      </c>
      <c r="AF37" s="1599"/>
      <c r="AG37" s="1623" t="s">
        <v>711</v>
      </c>
      <c r="AH37" s="1618"/>
      <c r="AI37" s="1618"/>
      <c r="AJ37" s="1622"/>
      <c r="AK37" s="1599"/>
      <c r="AL37" s="1623" t="s">
        <v>584</v>
      </c>
      <c r="AM37" s="1623" t="s">
        <v>590</v>
      </c>
      <c r="AN37" s="1623" t="s">
        <v>597</v>
      </c>
      <c r="AO37" s="1623" t="s">
        <v>565</v>
      </c>
      <c r="AP37" s="1623" t="s">
        <v>543</v>
      </c>
      <c r="AQ37" s="1599"/>
      <c r="AR37" s="1623" t="s">
        <v>590</v>
      </c>
      <c r="AS37" s="1623" t="s">
        <v>565</v>
      </c>
      <c r="AT37" s="1623" t="s">
        <v>543</v>
      </c>
      <c r="AU37" s="1883"/>
      <c r="AV37" s="1623" t="s">
        <v>713</v>
      </c>
      <c r="AW37" s="1599"/>
      <c r="AX37" s="1623">
        <v>42360</v>
      </c>
      <c r="AY37" s="1798" t="s">
        <v>660</v>
      </c>
      <c r="AZ37" s="1623" t="s">
        <v>516</v>
      </c>
      <c r="BA37" s="1623">
        <v>42485</v>
      </c>
      <c r="BB37" s="1798" t="s">
        <v>660</v>
      </c>
      <c r="BC37" s="1623" t="s">
        <v>516</v>
      </c>
      <c r="BD37" s="1623">
        <v>42576</v>
      </c>
      <c r="BE37" s="1798" t="s">
        <v>660</v>
      </c>
      <c r="BF37" s="1623" t="s">
        <v>516</v>
      </c>
      <c r="BG37" s="1623">
        <v>42668</v>
      </c>
      <c r="BH37" s="1798" t="s">
        <v>731</v>
      </c>
      <c r="BI37" s="1623" t="s">
        <v>516</v>
      </c>
      <c r="BJ37" s="1623" t="s">
        <v>565</v>
      </c>
      <c r="BK37" s="1623" t="s">
        <v>543</v>
      </c>
      <c r="BM37" s="1623">
        <v>42849</v>
      </c>
      <c r="BN37" s="1798" t="s">
        <v>731</v>
      </c>
      <c r="BO37" s="1623" t="s">
        <v>516</v>
      </c>
      <c r="BP37" s="1623" t="s">
        <v>565</v>
      </c>
      <c r="BQ37" s="1623" t="s">
        <v>543</v>
      </c>
      <c r="BS37" s="1623">
        <v>42941</v>
      </c>
      <c r="BT37" s="1798" t="s">
        <v>731</v>
      </c>
      <c r="BU37" s="1623" t="s">
        <v>516</v>
      </c>
      <c r="BV37" s="1623" t="s">
        <v>565</v>
      </c>
      <c r="BW37" s="1623" t="s">
        <v>543</v>
      </c>
      <c r="BZ37" s="1623">
        <v>43083</v>
      </c>
      <c r="CA37" s="1798" t="s">
        <v>731</v>
      </c>
      <c r="CB37" s="1623" t="s">
        <v>516</v>
      </c>
      <c r="CC37" s="1623" t="s">
        <v>565</v>
      </c>
      <c r="CD37" s="1623" t="s">
        <v>543</v>
      </c>
      <c r="CG37" s="1623" t="s">
        <v>752</v>
      </c>
      <c r="CH37" s="1798" t="s">
        <v>731</v>
      </c>
      <c r="CI37" s="1623" t="s">
        <v>516</v>
      </c>
      <c r="CJ37" s="1623" t="s">
        <v>770</v>
      </c>
      <c r="CK37" s="1798" t="s">
        <v>731</v>
      </c>
      <c r="CL37" s="1623" t="s">
        <v>516</v>
      </c>
      <c r="CM37" s="1623" t="s">
        <v>565</v>
      </c>
      <c r="CN37" s="1623" t="s">
        <v>543</v>
      </c>
      <c r="CQ37" s="1610" t="s">
        <v>610</v>
      </c>
      <c r="CR37" s="1623" t="s">
        <v>785</v>
      </c>
      <c r="CS37" s="1623" t="s">
        <v>620</v>
      </c>
      <c r="CT37" s="1623" t="s">
        <v>565</v>
      </c>
      <c r="CU37" s="1623" t="s">
        <v>543</v>
      </c>
    </row>
    <row r="38" spans="2:128" hidden="1" outlineLevel="1" x14ac:dyDescent="0.2">
      <c r="B38" s="1624" t="s">
        <v>467</v>
      </c>
      <c r="C38" s="1599"/>
      <c r="D38" s="1625"/>
      <c r="E38" s="1625"/>
      <c r="F38" s="1626"/>
      <c r="G38" s="1627"/>
      <c r="H38" s="1619"/>
      <c r="I38" s="1625"/>
      <c r="J38" s="1625"/>
      <c r="K38" s="1628"/>
      <c r="L38" s="1627"/>
      <c r="M38" s="1471" t="s">
        <v>468</v>
      </c>
      <c r="N38" s="1472"/>
      <c r="O38" s="1472"/>
      <c r="P38" s="1473"/>
      <c r="Q38" s="1543">
        <v>1.3386524093123986</v>
      </c>
      <c r="R38" s="1627"/>
      <c r="S38" s="1629"/>
      <c r="T38" s="1599"/>
      <c r="U38" s="1599"/>
      <c r="V38" s="1619"/>
      <c r="W38" s="1599"/>
      <c r="X38" s="1599"/>
      <c r="Y38" s="1599"/>
      <c r="Z38" s="1474"/>
      <c r="AA38" s="1619"/>
      <c r="AB38" s="1630"/>
      <c r="AC38" s="1599"/>
      <c r="AD38" s="1599"/>
      <c r="AE38" s="1626"/>
      <c r="AF38" s="1599"/>
      <c r="AG38" s="1631"/>
      <c r="AH38" s="1599"/>
      <c r="AI38" s="1599"/>
      <c r="AJ38" s="1626"/>
      <c r="AK38" s="1599"/>
      <c r="AL38" s="1631"/>
      <c r="AM38" s="1631"/>
      <c r="AN38" s="1631"/>
      <c r="AO38" s="1629"/>
      <c r="AP38" s="1629"/>
      <c r="AQ38" s="1599"/>
      <c r="AR38" s="1629"/>
      <c r="AS38" s="1629"/>
      <c r="AT38" s="1629"/>
      <c r="AV38" s="1631"/>
      <c r="AW38" s="1599"/>
      <c r="AX38" s="1631"/>
      <c r="AY38" s="1631"/>
      <c r="AZ38" s="1631"/>
      <c r="BA38" s="1631"/>
      <c r="BB38" s="1631"/>
      <c r="BC38" s="1631"/>
      <c r="BD38" s="1631"/>
      <c r="BE38" s="1631"/>
      <c r="BF38" s="1631"/>
      <c r="BG38" s="1631"/>
      <c r="BH38" s="1631"/>
      <c r="BI38" s="1631"/>
      <c r="BJ38" s="1629"/>
      <c r="BK38" s="1629"/>
      <c r="BM38" s="1631"/>
      <c r="BN38" s="1631"/>
      <c r="BO38" s="1631"/>
      <c r="BP38" s="1629"/>
      <c r="BQ38" s="1629"/>
      <c r="BS38" s="1631"/>
      <c r="BT38" s="1631"/>
      <c r="BU38" s="1631"/>
      <c r="BV38" s="1629"/>
      <c r="BW38" s="1629"/>
      <c r="BZ38" s="1631"/>
      <c r="CA38" s="1631"/>
      <c r="CB38" s="1631"/>
      <c r="CC38" s="1629"/>
      <c r="CD38" s="1629"/>
      <c r="CG38" s="1631"/>
      <c r="CH38" s="1631"/>
      <c r="CI38" s="1631"/>
      <c r="CJ38" s="1631"/>
      <c r="CK38" s="1631"/>
      <c r="CL38" s="1631"/>
      <c r="CM38" s="1629"/>
      <c r="CN38" s="1629"/>
      <c r="CQ38" s="1624" t="s">
        <v>467</v>
      </c>
      <c r="CR38" s="1629"/>
      <c r="CS38" s="1629"/>
      <c r="CT38" s="1629"/>
      <c r="CU38" s="1629"/>
    </row>
    <row r="39" spans="2:128" ht="13.5" hidden="1" outlineLevel="2" thickBot="1" x14ac:dyDescent="0.25">
      <c r="B39" s="1624" t="s">
        <v>151</v>
      </c>
      <c r="C39" s="1599"/>
      <c r="D39" s="1625"/>
      <c r="E39" s="1625"/>
      <c r="F39" s="1626"/>
      <c r="G39" s="1627"/>
      <c r="H39" s="1619"/>
      <c r="I39" s="1625"/>
      <c r="J39" s="1625"/>
      <c r="K39" s="1628"/>
      <c r="L39" s="1627"/>
      <c r="M39" s="1471" t="s">
        <v>469</v>
      </c>
      <c r="N39" s="1472"/>
      <c r="O39" s="1472"/>
      <c r="P39" s="1473"/>
      <c r="Q39" s="1543">
        <v>0</v>
      </c>
      <c r="R39" s="1627"/>
      <c r="S39" s="1629"/>
      <c r="T39" s="1599"/>
      <c r="U39" s="1599"/>
      <c r="V39" s="1619"/>
      <c r="W39" s="1599"/>
      <c r="X39" s="1599"/>
      <c r="Y39" s="1599"/>
      <c r="Z39" s="1474"/>
      <c r="AA39" s="1619"/>
      <c r="AB39" s="1630"/>
      <c r="AC39" s="1599"/>
      <c r="AD39" s="1599"/>
      <c r="AE39" s="1626"/>
      <c r="AF39" s="1599"/>
      <c r="AG39" s="1631"/>
      <c r="AH39" s="1599"/>
      <c r="AI39" s="1599"/>
      <c r="AJ39" s="1626"/>
      <c r="AK39" s="1599"/>
      <c r="AL39" s="1631"/>
      <c r="AM39" s="1631"/>
      <c r="AN39" s="1631"/>
      <c r="AO39" s="1629"/>
      <c r="AP39" s="1629"/>
      <c r="AQ39" s="1599"/>
      <c r="AR39" s="1629"/>
      <c r="AS39" s="1629"/>
      <c r="AT39" s="1629"/>
      <c r="AV39" s="1631"/>
      <c r="AW39" s="1599"/>
      <c r="AX39" s="1631"/>
      <c r="AY39" s="1631"/>
      <c r="AZ39" s="1631"/>
      <c r="BA39" s="1631"/>
      <c r="BB39" s="1631"/>
      <c r="BC39" s="1631"/>
      <c r="BD39" s="1631"/>
      <c r="BE39" s="1631"/>
      <c r="BF39" s="1631"/>
      <c r="BG39" s="1631"/>
      <c r="BH39" s="1631"/>
      <c r="BI39" s="1631"/>
      <c r="BJ39" s="1629"/>
      <c r="BK39" s="1629"/>
      <c r="BM39" s="1631"/>
      <c r="BN39" s="1631"/>
      <c r="BO39" s="1631"/>
      <c r="BP39" s="1629"/>
      <c r="BQ39" s="1629"/>
      <c r="BS39" s="1631"/>
      <c r="BT39" s="1631"/>
      <c r="BU39" s="1631"/>
      <c r="BV39" s="1629"/>
      <c r="BW39" s="1629"/>
      <c r="BZ39" s="1631"/>
      <c r="CA39" s="1631"/>
      <c r="CB39" s="1631"/>
      <c r="CC39" s="1629"/>
      <c r="CD39" s="1629"/>
      <c r="CG39" s="1631"/>
      <c r="CH39" s="1631"/>
      <c r="CI39" s="1631"/>
      <c r="CJ39" s="1631"/>
      <c r="CK39" s="1631"/>
      <c r="CL39" s="1631"/>
      <c r="CM39" s="1629"/>
      <c r="CN39" s="1629"/>
      <c r="CQ39" s="1624" t="s">
        <v>151</v>
      </c>
      <c r="CR39" s="1629"/>
      <c r="CS39" s="1629"/>
      <c r="CT39" s="1629"/>
      <c r="CU39" s="1629"/>
    </row>
    <row r="40" spans="2:128" hidden="1" outlineLevel="1" x14ac:dyDescent="0.2">
      <c r="B40" s="1624" t="s">
        <v>151</v>
      </c>
      <c r="C40" s="1599"/>
      <c r="D40" s="1625"/>
      <c r="E40" s="1625"/>
      <c r="F40" s="1626"/>
      <c r="H40" s="1619"/>
      <c r="I40" s="1625"/>
      <c r="J40" s="1625"/>
      <c r="K40" s="1628"/>
      <c r="M40" s="1471" t="s">
        <v>470</v>
      </c>
      <c r="N40" s="1475"/>
      <c r="O40" s="1475"/>
      <c r="P40" s="1476"/>
      <c r="Q40" s="1544" t="e">
        <v>#DIV/0!</v>
      </c>
      <c r="S40" s="1629"/>
      <c r="T40" s="1599"/>
      <c r="U40" s="1599"/>
      <c r="V40" s="1619"/>
      <c r="W40" s="1608"/>
      <c r="X40" s="1632"/>
      <c r="Y40" s="1633"/>
      <c r="Z40" s="1477"/>
      <c r="AA40" s="1619"/>
      <c r="AB40" s="1634" t="s">
        <v>526</v>
      </c>
      <c r="AC40" s="1634" t="s">
        <v>526</v>
      </c>
      <c r="AD40" s="1634" t="s">
        <v>548</v>
      </c>
      <c r="AE40" s="1635" t="s">
        <v>548</v>
      </c>
      <c r="AF40" s="1599"/>
      <c r="AG40" s="1636" t="s">
        <v>526</v>
      </c>
      <c r="AH40" s="1635"/>
      <c r="AI40" s="1637"/>
      <c r="AJ40" s="1638"/>
      <c r="AK40" s="1599"/>
      <c r="AL40" s="1636" t="s">
        <v>526</v>
      </c>
      <c r="AM40" s="1636"/>
      <c r="AN40" s="1636"/>
      <c r="AO40" s="1632"/>
      <c r="AP40" s="1632"/>
      <c r="AQ40" s="1599"/>
      <c r="AR40" s="1632"/>
      <c r="AS40" s="1632"/>
      <c r="AT40" s="1632"/>
      <c r="AV40" s="1636" t="s">
        <v>526</v>
      </c>
      <c r="AW40" s="1599"/>
      <c r="AX40" s="1636" t="s">
        <v>526</v>
      </c>
      <c r="AY40" s="1636"/>
      <c r="AZ40" s="1636"/>
      <c r="BA40" s="1636" t="s">
        <v>526</v>
      </c>
      <c r="BB40" s="1636"/>
      <c r="BC40" s="1636"/>
      <c r="BD40" s="1636" t="s">
        <v>526</v>
      </c>
      <c r="BE40" s="1636"/>
      <c r="BF40" s="1636"/>
      <c r="BG40" s="1636" t="s">
        <v>526</v>
      </c>
      <c r="BH40" s="1636"/>
      <c r="BI40" s="1636"/>
      <c r="BJ40" s="1632"/>
      <c r="BK40" s="1632"/>
      <c r="BM40" s="1636" t="s">
        <v>526</v>
      </c>
      <c r="BN40" s="1636"/>
      <c r="BO40" s="1636"/>
      <c r="BP40" s="1632"/>
      <c r="BQ40" s="1632"/>
      <c r="BS40" s="1636" t="s">
        <v>526</v>
      </c>
      <c r="BT40" s="1636"/>
      <c r="BU40" s="1636"/>
      <c r="BV40" s="1632"/>
      <c r="BW40" s="1632"/>
      <c r="BZ40" s="1636" t="s">
        <v>526</v>
      </c>
      <c r="CA40" s="1636"/>
      <c r="CB40" s="1636"/>
      <c r="CC40" s="1632"/>
      <c r="CD40" s="1632"/>
      <c r="CG40" s="1636" t="s">
        <v>526</v>
      </c>
      <c r="CH40" s="1636"/>
      <c r="CI40" s="1636"/>
      <c r="CJ40" s="1636"/>
      <c r="CK40" s="1636"/>
      <c r="CL40" s="1636"/>
      <c r="CM40" s="1632"/>
      <c r="CN40" s="1632"/>
      <c r="CQ40" s="1624" t="s">
        <v>151</v>
      </c>
      <c r="CR40" s="1632"/>
      <c r="CS40" s="1632"/>
      <c r="CT40" s="1632"/>
      <c r="CU40" s="1632"/>
    </row>
    <row r="41" spans="2:128" ht="13.5" collapsed="1" thickBot="1" x14ac:dyDescent="0.25">
      <c r="B41" s="1624" t="s">
        <v>471</v>
      </c>
      <c r="C41" s="1599"/>
      <c r="D41" s="1625"/>
      <c r="E41" s="1625"/>
      <c r="F41" s="1626"/>
      <c r="H41" s="1619"/>
      <c r="I41" s="1625"/>
      <c r="J41" s="1625"/>
      <c r="K41" s="1628"/>
      <c r="M41" s="1471" t="s">
        <v>472</v>
      </c>
      <c r="N41" s="1478"/>
      <c r="O41" s="1478"/>
      <c r="P41" s="1479"/>
      <c r="Q41" s="1545">
        <v>0</v>
      </c>
      <c r="S41" s="1629"/>
      <c r="T41" s="1599"/>
      <c r="U41" s="1599"/>
      <c r="V41" s="1619"/>
      <c r="W41" s="1639">
        <v>0.39</v>
      </c>
      <c r="X41" s="1640">
        <v>0.39</v>
      </c>
      <c r="Y41" s="1641"/>
      <c r="Z41" s="1501" t="e">
        <v>#REF!</v>
      </c>
      <c r="AA41" s="1619"/>
      <c r="AB41" s="1642">
        <v>0.39</v>
      </c>
      <c r="AC41" s="1643">
        <v>0.39</v>
      </c>
      <c r="AD41" s="1644">
        <v>0.38800000000000001</v>
      </c>
      <c r="AE41" s="1645">
        <v>0.38500000000000001</v>
      </c>
      <c r="AF41" s="1599"/>
      <c r="AG41" s="1646">
        <v>0.39</v>
      </c>
      <c r="AH41" s="1647"/>
      <c r="AI41" s="1644"/>
      <c r="AJ41" s="1648"/>
      <c r="AK41" s="1599"/>
      <c r="AL41" s="1646">
        <v>0.39</v>
      </c>
      <c r="AM41" s="1646"/>
      <c r="AN41" s="1646"/>
      <c r="AO41" s="1649"/>
      <c r="AP41" s="1649"/>
      <c r="AQ41" s="1599"/>
      <c r="AR41" s="1649"/>
      <c r="AS41" s="1649"/>
      <c r="AT41" s="1649"/>
      <c r="AU41" s="1643"/>
      <c r="AV41" s="1646">
        <v>0.39</v>
      </c>
      <c r="AW41" s="1599"/>
      <c r="AX41" s="1646">
        <v>0.39</v>
      </c>
      <c r="AY41" s="1646"/>
      <c r="AZ41" s="1646"/>
      <c r="BA41" s="1646">
        <v>0.39</v>
      </c>
      <c r="BB41" s="1646"/>
      <c r="BC41" s="1646"/>
      <c r="BD41" s="1646">
        <v>0.39</v>
      </c>
      <c r="BE41" s="1646"/>
      <c r="BF41" s="1646"/>
      <c r="BG41" s="1646">
        <v>0.39</v>
      </c>
      <c r="BH41" s="1646"/>
      <c r="BI41" s="1646"/>
      <c r="BJ41" s="1649"/>
      <c r="BK41" s="1649"/>
      <c r="BM41" s="1923"/>
      <c r="BN41" s="1923"/>
      <c r="BO41" s="1923"/>
      <c r="BP41" s="1649"/>
      <c r="BQ41" s="1649"/>
      <c r="BS41" s="1923"/>
      <c r="BT41" s="1923"/>
      <c r="BU41" s="1923"/>
      <c r="BV41" s="1649"/>
      <c r="BW41" s="1649"/>
      <c r="BZ41" s="1923"/>
      <c r="CA41" s="1923"/>
      <c r="CB41" s="1923"/>
      <c r="CC41" s="1649"/>
      <c r="CD41" s="1649"/>
      <c r="CG41" s="1923"/>
      <c r="CH41" s="1923"/>
      <c r="CI41" s="1923"/>
      <c r="CJ41" s="1923"/>
      <c r="CK41" s="1923"/>
      <c r="CL41" s="1923"/>
      <c r="CM41" s="1649"/>
      <c r="CN41" s="1649"/>
      <c r="CQ41" s="1624" t="s">
        <v>471</v>
      </c>
      <c r="CR41" s="1649"/>
      <c r="CS41" s="1649"/>
      <c r="CT41" s="1649"/>
      <c r="CU41" s="1649"/>
    </row>
    <row r="42" spans="2:128" s="1660" customFormat="1" ht="13.5" thickBot="1" x14ac:dyDescent="0.25">
      <c r="B42" s="1650" t="s">
        <v>445</v>
      </c>
      <c r="C42" s="1651"/>
      <c r="D42" s="1652"/>
      <c r="E42" s="1652"/>
      <c r="F42" s="1653"/>
      <c r="G42" s="1654"/>
      <c r="H42" s="1655"/>
      <c r="I42" s="1656" t="s">
        <v>473</v>
      </c>
      <c r="J42" s="1657" t="s">
        <v>474</v>
      </c>
      <c r="K42" s="1658" t="s">
        <v>475</v>
      </c>
      <c r="L42" s="1654"/>
      <c r="M42" s="1480" t="s">
        <v>476</v>
      </c>
      <c r="N42" s="1480" t="s">
        <v>477</v>
      </c>
      <c r="O42" s="1480" t="s">
        <v>478</v>
      </c>
      <c r="P42" s="1481" t="s">
        <v>479</v>
      </c>
      <c r="Q42" s="1546">
        <v>0</v>
      </c>
      <c r="R42" s="1654"/>
      <c r="S42" s="1481" t="s">
        <v>480</v>
      </c>
      <c r="T42" s="1481" t="s">
        <v>480</v>
      </c>
      <c r="U42" s="1481" t="s">
        <v>481</v>
      </c>
      <c r="V42" s="1659"/>
      <c r="W42" s="1499" t="s">
        <v>521</v>
      </c>
      <c r="X42" s="1481" t="s">
        <v>520</v>
      </c>
      <c r="Y42" s="1499" t="s">
        <v>519</v>
      </c>
      <c r="Z42" s="1482"/>
      <c r="AA42" s="1659"/>
      <c r="AB42" s="1480" t="s">
        <v>524</v>
      </c>
      <c r="AC42" s="1499" t="s">
        <v>541</v>
      </c>
      <c r="AD42" s="1499" t="s">
        <v>547</v>
      </c>
      <c r="AE42" s="1546" t="s">
        <v>557</v>
      </c>
      <c r="AF42" s="1654"/>
      <c r="AG42" s="1592" t="s">
        <v>562</v>
      </c>
      <c r="AH42" s="1546"/>
      <c r="AI42" s="1499"/>
      <c r="AJ42" s="1481"/>
      <c r="AK42" s="1654"/>
      <c r="AL42" s="1592" t="s">
        <v>580</v>
      </c>
      <c r="AM42" s="1592" t="s">
        <v>591</v>
      </c>
      <c r="AN42" s="1592" t="s">
        <v>598</v>
      </c>
      <c r="AO42" s="1481">
        <v>4.8790832455216027</v>
      </c>
      <c r="AP42" s="1481">
        <v>4.88</v>
      </c>
      <c r="AQ42" s="1654"/>
      <c r="AR42" s="1481" t="s">
        <v>596</v>
      </c>
      <c r="AS42" s="1481">
        <f>Model!BV61</f>
        <v>102.79999999999973</v>
      </c>
      <c r="AT42" s="1481">
        <v>1.38</v>
      </c>
      <c r="AU42" s="1884"/>
      <c r="AV42" s="1592" t="s">
        <v>714</v>
      </c>
      <c r="AW42" s="1654"/>
      <c r="AX42" s="1592" t="s">
        <v>654</v>
      </c>
      <c r="AY42" s="1592" t="s">
        <v>661</v>
      </c>
      <c r="AZ42" s="1592">
        <f>(6.08+6.28)/2</f>
        <v>6.18</v>
      </c>
      <c r="BA42" s="1592" t="s">
        <v>679</v>
      </c>
      <c r="BB42" s="1592" t="s">
        <v>680</v>
      </c>
      <c r="BC42" s="1592">
        <f>(6.31+6.43)/2</f>
        <v>6.3699999999999992</v>
      </c>
      <c r="BD42" s="1592" t="s">
        <v>691</v>
      </c>
      <c r="BE42" s="1592" t="s">
        <v>680</v>
      </c>
      <c r="BF42" s="1592">
        <f>(6.33+6.43)/2</f>
        <v>6.38</v>
      </c>
      <c r="BG42" s="1592" t="s">
        <v>699</v>
      </c>
      <c r="BH42" s="1592" t="s">
        <v>700</v>
      </c>
      <c r="BI42" s="1592">
        <f>(6.36+6.42)/2</f>
        <v>6.3900000000000006</v>
      </c>
      <c r="BJ42" s="1481">
        <f>Model!CG28</f>
        <v>6.3942865755533873</v>
      </c>
      <c r="BK42" s="1481" t="e">
        <f>#REF!</f>
        <v>#REF!</v>
      </c>
      <c r="BM42" s="1592" t="s">
        <v>732</v>
      </c>
      <c r="BN42" s="1592" t="s">
        <v>734</v>
      </c>
      <c r="BO42" s="1592">
        <f>(6.9+7.04)/2</f>
        <v>6.9700000000000006</v>
      </c>
      <c r="BP42" s="1481">
        <f>Model!CL28</f>
        <v>7.1258142033193153</v>
      </c>
      <c r="BQ42" s="1481"/>
      <c r="BS42" s="1592" t="s">
        <v>742</v>
      </c>
      <c r="BT42" s="1592" t="s">
        <v>734</v>
      </c>
      <c r="BU42" s="1592">
        <f>BU65</f>
        <v>7</v>
      </c>
      <c r="BV42" s="1481">
        <f>Model!CL28</f>
        <v>7.1258142033193153</v>
      </c>
      <c r="BW42" s="1481"/>
      <c r="BY42"/>
      <c r="BZ42" s="1592" t="s">
        <v>765</v>
      </c>
      <c r="CA42" s="1592" t="s">
        <v>769</v>
      </c>
      <c r="CB42" s="1592">
        <f>CB65</f>
        <v>7.04</v>
      </c>
      <c r="CC42" s="1481">
        <f>BV42</f>
        <v>7.1258142033193153</v>
      </c>
      <c r="CD42" s="1481"/>
      <c r="CF42"/>
      <c r="CG42" s="1592"/>
      <c r="CH42" s="1592"/>
      <c r="CI42" s="1592"/>
      <c r="CJ42" s="1872" t="s">
        <v>780</v>
      </c>
      <c r="CK42" s="1592"/>
      <c r="CL42" s="1592">
        <f>CL65</f>
        <v>9.370000000000001</v>
      </c>
      <c r="CM42" s="1481">
        <f ca="1">Model!CQ28</f>
        <v>9.0719220104372731</v>
      </c>
      <c r="CN42" s="1481"/>
      <c r="CQ42" s="1650" t="s">
        <v>445</v>
      </c>
      <c r="CR42" s="1592" t="s">
        <v>787</v>
      </c>
      <c r="CS42" s="1872" t="s">
        <v>786</v>
      </c>
      <c r="CT42" s="1481">
        <f ca="1">Model!CM28</f>
        <v>1.7585269261523324</v>
      </c>
      <c r="CU42" s="1481">
        <v>1.75</v>
      </c>
    </row>
    <row r="43" spans="2:128" s="1660" customFormat="1" ht="13.5" hidden="1" outlineLevel="1" thickBot="1" x14ac:dyDescent="0.25">
      <c r="B43" s="1650" t="s">
        <v>482</v>
      </c>
      <c r="C43" s="1651"/>
      <c r="D43" s="1652"/>
      <c r="E43" s="1652"/>
      <c r="F43" s="1653"/>
      <c r="G43" s="1654"/>
      <c r="H43" s="1655"/>
      <c r="I43" s="1656" t="s">
        <v>473</v>
      </c>
      <c r="J43" s="1657" t="s">
        <v>474</v>
      </c>
      <c r="K43" s="1658" t="s">
        <v>475</v>
      </c>
      <c r="L43" s="1654"/>
      <c r="M43" s="1480" t="s">
        <v>483</v>
      </c>
      <c r="N43" s="1483"/>
      <c r="O43" s="1483"/>
      <c r="P43" s="1484"/>
      <c r="Q43" s="1546">
        <v>0</v>
      </c>
      <c r="R43" s="1654"/>
      <c r="S43" s="1655"/>
      <c r="T43" s="1655"/>
      <c r="U43" s="1655"/>
      <c r="V43" s="1659"/>
      <c r="W43" s="1655"/>
      <c r="X43" s="1655"/>
      <c r="Y43" s="1655"/>
      <c r="Z43" s="1481">
        <v>0</v>
      </c>
      <c r="AA43" s="1659"/>
      <c r="AB43" s="1661"/>
      <c r="AC43" s="1662"/>
      <c r="AD43" s="1662"/>
      <c r="AE43" s="1663"/>
      <c r="AF43" s="1654"/>
      <c r="AG43" s="1664"/>
      <c r="AH43" s="1663"/>
      <c r="AI43" s="1662"/>
      <c r="AJ43" s="1665"/>
      <c r="AK43" s="1654"/>
      <c r="AL43" s="1664"/>
      <c r="AM43" s="1664"/>
      <c r="AN43" s="1664"/>
      <c r="AO43" s="1665"/>
      <c r="AP43" s="1665"/>
      <c r="AQ43" s="1654"/>
      <c r="AR43" s="1665"/>
      <c r="AS43" s="1665"/>
      <c r="AT43" s="1665"/>
      <c r="AU43" s="1662"/>
      <c r="AV43" s="1664"/>
      <c r="AW43" s="1654"/>
      <c r="AX43" s="1664"/>
      <c r="AY43" s="1664"/>
      <c r="AZ43" s="1664"/>
      <c r="BA43" s="1664"/>
      <c r="BB43" s="1664"/>
      <c r="BC43" s="1664"/>
      <c r="BD43" s="1664"/>
      <c r="BE43" s="1664"/>
      <c r="BF43" s="1664"/>
      <c r="BG43" s="1664"/>
      <c r="BH43" s="1664"/>
      <c r="BI43" s="1664"/>
      <c r="BJ43" s="1665"/>
      <c r="BK43" s="1665"/>
      <c r="BM43" s="1664"/>
      <c r="BN43" s="1664"/>
      <c r="BO43" s="1664"/>
      <c r="BP43" s="1665"/>
      <c r="BQ43" s="1665"/>
      <c r="BS43" s="1664"/>
      <c r="BT43" s="1664"/>
      <c r="BU43" s="1664"/>
      <c r="BV43" s="1665"/>
      <c r="BW43" s="1665"/>
      <c r="BY43"/>
      <c r="BZ43" s="1664"/>
      <c r="CA43" s="1664"/>
      <c r="CB43" s="1664"/>
      <c r="CC43" s="1665"/>
      <c r="CD43" s="1665"/>
      <c r="CF43"/>
      <c r="CG43" s="1664"/>
      <c r="CH43" s="1664"/>
      <c r="CI43" s="1664"/>
      <c r="CJ43" s="1664"/>
      <c r="CK43" s="1664"/>
      <c r="CL43" s="1664"/>
      <c r="CM43" s="1665"/>
      <c r="CN43" s="1665"/>
      <c r="CQ43" s="1650" t="s">
        <v>482</v>
      </c>
      <c r="CR43" s="1664"/>
      <c r="CS43" s="1664"/>
      <c r="CT43" s="1665"/>
      <c r="CU43" s="1665"/>
    </row>
    <row r="44" spans="2:128" ht="13.5" collapsed="1" thickBot="1" x14ac:dyDescent="0.25">
      <c r="B44" s="1678" t="s">
        <v>574</v>
      </c>
      <c r="C44" s="1679"/>
      <c r="D44" s="1680"/>
      <c r="E44" s="1680"/>
      <c r="F44" s="1681"/>
      <c r="G44" s="1679"/>
      <c r="H44" s="1687" t="s">
        <v>484</v>
      </c>
      <c r="I44" s="1694"/>
      <c r="J44" s="1695"/>
      <c r="K44" s="1692" t="s">
        <v>485</v>
      </c>
      <c r="L44" s="1679"/>
      <c r="M44" s="1722" t="s">
        <v>486</v>
      </c>
      <c r="N44" s="1723"/>
      <c r="O44" s="1723"/>
      <c r="P44" s="1724"/>
      <c r="Q44" s="1725">
        <v>0.60202938324372923</v>
      </c>
      <c r="R44" s="1679"/>
      <c r="S44" s="1722" t="s">
        <v>487</v>
      </c>
      <c r="T44" s="1722" t="s">
        <v>487</v>
      </c>
      <c r="U44" s="1722" t="s">
        <v>488</v>
      </c>
      <c r="V44" s="1682"/>
      <c r="W44" s="1722" t="s">
        <v>498</v>
      </c>
      <c r="X44" s="1726" t="s">
        <v>498</v>
      </c>
      <c r="Y44" s="1727" t="s">
        <v>498</v>
      </c>
      <c r="Z44" s="1728"/>
      <c r="AA44" s="1682"/>
      <c r="AB44" s="1722" t="s">
        <v>525</v>
      </c>
      <c r="AC44" s="1722" t="s">
        <v>525</v>
      </c>
      <c r="AD44" s="1727" t="s">
        <v>549</v>
      </c>
      <c r="AE44" s="1727" t="s">
        <v>549</v>
      </c>
      <c r="AF44" s="1679"/>
      <c r="AG44" s="1729" t="s">
        <v>566</v>
      </c>
      <c r="AH44" s="1730"/>
      <c r="AI44" s="1727"/>
      <c r="AJ44" s="1731"/>
      <c r="AK44" s="1679"/>
      <c r="AL44" s="1729" t="s">
        <v>581</v>
      </c>
      <c r="AM44" s="1729" t="s">
        <v>592</v>
      </c>
      <c r="AN44" s="1729" t="s">
        <v>599</v>
      </c>
      <c r="AO44" s="1728">
        <v>0.77217852700961753</v>
      </c>
      <c r="AP44" s="1731"/>
      <c r="AQ44" s="1679"/>
      <c r="AR44" s="1728" t="s">
        <v>604</v>
      </c>
      <c r="AS44" s="1728">
        <f>Revenue!BV124</f>
        <v>0.78</v>
      </c>
      <c r="AT44" s="1731"/>
      <c r="AU44" s="1535"/>
      <c r="AV44" s="1729" t="s">
        <v>566</v>
      </c>
      <c r="AW44" s="1679"/>
      <c r="AX44" s="1729" t="s">
        <v>655</v>
      </c>
      <c r="AY44" s="1744" t="s">
        <v>662</v>
      </c>
      <c r="AZ44" s="1745">
        <f>(1255+1295)/2</f>
        <v>1275</v>
      </c>
      <c r="BA44" s="1729" t="s">
        <v>655</v>
      </c>
      <c r="BB44" s="1744" t="s">
        <v>662</v>
      </c>
      <c r="BC44" s="1745">
        <f>(1255+1295)/2</f>
        <v>1275</v>
      </c>
      <c r="BD44" s="1729" t="s">
        <v>692</v>
      </c>
      <c r="BE44" s="1744" t="s">
        <v>694</v>
      </c>
      <c r="BF44" s="1745">
        <f>(1260+1290)/2</f>
        <v>1275</v>
      </c>
      <c r="BG44" s="1729" t="s">
        <v>701</v>
      </c>
      <c r="BH44" s="1744" t="s">
        <v>694</v>
      </c>
      <c r="BI44" s="1745">
        <f>(1265+1280)/2</f>
        <v>1272.5</v>
      </c>
      <c r="BJ44" s="1728">
        <f>Revenue!CG77</f>
        <v>1407.6</v>
      </c>
      <c r="BK44" s="1731"/>
      <c r="BM44" s="1729" t="s">
        <v>733</v>
      </c>
      <c r="BN44" s="1744" t="s">
        <v>740</v>
      </c>
      <c r="BO44" s="1745">
        <f>BO66</f>
        <v>1400</v>
      </c>
      <c r="BP44" s="1728">
        <f>Revenue!CL77</f>
        <v>1400.8999999999999</v>
      </c>
      <c r="BQ44" s="1731"/>
      <c r="BS44" s="1729" t="s">
        <v>743</v>
      </c>
      <c r="BT44" s="1744" t="s">
        <v>744</v>
      </c>
      <c r="BU44" s="1745">
        <f>BU66</f>
        <v>1400</v>
      </c>
      <c r="BV44" s="1728">
        <f>Revenue!CL77</f>
        <v>1400.8999999999999</v>
      </c>
      <c r="BW44" s="1731"/>
      <c r="BZ44" s="1729" t="s">
        <v>743</v>
      </c>
      <c r="CA44" s="1744" t="s">
        <v>744</v>
      </c>
      <c r="CB44" s="1745">
        <f>CB66</f>
        <v>1400</v>
      </c>
      <c r="CC44" s="1728">
        <f>BV44</f>
        <v>1400.8999999999999</v>
      </c>
      <c r="CD44" s="1731"/>
      <c r="CG44" s="1729" t="s">
        <v>773</v>
      </c>
      <c r="CH44" s="1744" t="s">
        <v>744</v>
      </c>
      <c r="CI44" s="1745">
        <f>CI66</f>
        <v>1145</v>
      </c>
      <c r="CJ44" s="1729" t="s">
        <v>776</v>
      </c>
      <c r="CK44" s="1744" t="s">
        <v>662</v>
      </c>
      <c r="CL44" s="1745">
        <f>CL66</f>
        <v>1370</v>
      </c>
      <c r="CM44" s="1728">
        <f>Revenue!CQ77</f>
        <v>1365.5426499999999</v>
      </c>
      <c r="CN44" s="1731"/>
      <c r="CQ44" s="1678" t="s">
        <v>574</v>
      </c>
      <c r="CR44" s="1745" t="s">
        <v>788</v>
      </c>
      <c r="CS44" s="1746"/>
      <c r="CT44" s="1728">
        <f>Revenue!CM77</f>
        <v>337.57249999999999</v>
      </c>
      <c r="CU44" s="1731"/>
      <c r="DU44" s="1707"/>
      <c r="DV44" s="1707"/>
      <c r="DW44" s="1707"/>
      <c r="DX44" s="1707"/>
    </row>
    <row r="45" spans="2:128" ht="13.5" thickBot="1" x14ac:dyDescent="0.25">
      <c r="B45" s="1624" t="s">
        <v>467</v>
      </c>
      <c r="C45" s="1599"/>
      <c r="D45" s="1625"/>
      <c r="E45" s="1625"/>
      <c r="F45" s="1626"/>
      <c r="H45" s="1630"/>
      <c r="I45" s="1666"/>
      <c r="J45" s="1667"/>
      <c r="K45" s="1668"/>
      <c r="M45" s="1485"/>
      <c r="N45" s="1486"/>
      <c r="O45" s="1486"/>
      <c r="P45" s="1487"/>
      <c r="Q45" s="1547"/>
      <c r="S45" s="1485"/>
      <c r="T45" s="1485"/>
      <c r="U45" s="1485"/>
      <c r="V45" s="1619"/>
      <c r="W45" s="1485"/>
      <c r="X45" s="1791"/>
      <c r="Y45" s="1535"/>
      <c r="Z45" s="1488"/>
      <c r="AA45" s="1619"/>
      <c r="AB45" s="1485"/>
      <c r="AC45" s="1485"/>
      <c r="AD45" s="1535"/>
      <c r="AE45" s="1535"/>
      <c r="AF45" s="1599"/>
      <c r="AG45" s="1593"/>
      <c r="AH45" s="1540"/>
      <c r="AI45" s="1535"/>
      <c r="AJ45" s="1550"/>
      <c r="AK45" s="1599"/>
      <c r="AL45" s="1593"/>
      <c r="AM45" s="1593"/>
      <c r="AN45" s="1593"/>
      <c r="AO45" s="1488"/>
      <c r="AP45" s="1550"/>
      <c r="AQ45" s="1599"/>
      <c r="AR45" s="1488"/>
      <c r="AS45" s="1488"/>
      <c r="AT45" s="1550"/>
      <c r="AU45" s="1535"/>
      <c r="AV45" s="1593"/>
      <c r="AW45" s="1599"/>
      <c r="AX45" s="1593"/>
      <c r="AY45" s="1801"/>
      <c r="AZ45" s="1973"/>
      <c r="BA45" s="1593"/>
      <c r="BB45" s="1801"/>
      <c r="BC45" s="1973"/>
      <c r="BD45" s="1593"/>
      <c r="BE45" s="1801"/>
      <c r="BF45" s="1973"/>
      <c r="BG45" s="1593"/>
      <c r="BH45" s="1801"/>
      <c r="BI45" s="1973"/>
      <c r="BJ45" s="1488"/>
      <c r="BK45" s="1550"/>
      <c r="BM45" s="1593"/>
      <c r="BN45" s="1801"/>
      <c r="BO45" s="1973"/>
      <c r="BP45" s="1488"/>
      <c r="BQ45" s="1550"/>
      <c r="BS45" s="1593"/>
      <c r="BT45" s="1801"/>
      <c r="BU45" s="1973"/>
      <c r="BV45" s="1488"/>
      <c r="BW45" s="1550"/>
      <c r="BZ45" s="1593"/>
      <c r="CA45" s="1801"/>
      <c r="CB45" s="1973"/>
      <c r="CC45" s="1488"/>
      <c r="CD45" s="1550"/>
      <c r="CG45" s="1801" t="s">
        <v>775</v>
      </c>
      <c r="CH45" s="1801"/>
      <c r="CI45" s="1973"/>
      <c r="CJ45" s="1801" t="s">
        <v>777</v>
      </c>
      <c r="CK45" s="1801"/>
      <c r="CL45" s="1973"/>
      <c r="CM45" s="1488"/>
      <c r="CN45" s="1550"/>
      <c r="CQ45" s="1627"/>
      <c r="CR45" s="1974">
        <f>AVERAGE(347,363)</f>
        <v>355</v>
      </c>
      <c r="CS45" s="1975"/>
      <c r="CT45" s="1976"/>
      <c r="CU45" s="1792"/>
      <c r="DU45" s="1707"/>
      <c r="DV45" s="1707"/>
      <c r="DW45" s="1707"/>
      <c r="DX45" s="1707"/>
    </row>
    <row r="46" spans="2:128" x14ac:dyDescent="0.2">
      <c r="B46" s="1783" t="s">
        <v>575</v>
      </c>
      <c r="C46" s="1609"/>
      <c r="D46" s="1784"/>
      <c r="E46" s="1784"/>
      <c r="F46" s="1633"/>
      <c r="G46" s="1609"/>
      <c r="H46" s="1634"/>
      <c r="I46" s="1785"/>
      <c r="J46" s="1786"/>
      <c r="K46" s="1635"/>
      <c r="L46" s="1609"/>
      <c r="M46" s="1787"/>
      <c r="N46" s="1788"/>
      <c r="O46" s="1788"/>
      <c r="P46" s="1789"/>
      <c r="Q46" s="1790"/>
      <c r="R46" s="1609"/>
      <c r="S46" s="1787"/>
      <c r="T46" s="1787"/>
      <c r="U46" s="1787"/>
      <c r="V46" s="1608"/>
      <c r="W46" s="1787"/>
      <c r="X46" s="1791"/>
      <c r="Y46" s="1792"/>
      <c r="Z46" s="1793"/>
      <c r="AA46" s="1608"/>
      <c r="AB46" s="1787"/>
      <c r="AC46" s="1787"/>
      <c r="AD46" s="1792"/>
      <c r="AE46" s="1792"/>
      <c r="AF46" s="1609"/>
      <c r="AG46" s="1794" t="s">
        <v>567</v>
      </c>
      <c r="AH46" s="1795"/>
      <c r="AI46" s="1792"/>
      <c r="AJ46" s="1791"/>
      <c r="AK46" s="1609"/>
      <c r="AL46" s="1794" t="s">
        <v>582</v>
      </c>
      <c r="AM46" s="1794" t="s">
        <v>582</v>
      </c>
      <c r="AN46" s="1794" t="s">
        <v>600</v>
      </c>
      <c r="AO46" s="1796">
        <v>2067.2000000000003</v>
      </c>
      <c r="AP46" s="1791"/>
      <c r="AQ46" s="1609"/>
      <c r="AR46" s="1796"/>
      <c r="AS46" s="1796"/>
      <c r="AT46" s="1791"/>
      <c r="AU46" s="1535"/>
      <c r="AV46" s="1794" t="s">
        <v>567</v>
      </c>
      <c r="AW46" s="1609"/>
      <c r="AX46" s="1794" t="s">
        <v>656</v>
      </c>
      <c r="AY46" s="1777" t="s">
        <v>663</v>
      </c>
      <c r="AZ46" s="1797">
        <f>(1905+1985)/2</f>
        <v>1945</v>
      </c>
      <c r="BA46" s="1794" t="s">
        <v>656</v>
      </c>
      <c r="BB46" s="1777" t="s">
        <v>688</v>
      </c>
      <c r="BC46" s="1797">
        <f>(1905+1985)/2</f>
        <v>1945</v>
      </c>
      <c r="BD46" s="1794" t="s">
        <v>656</v>
      </c>
      <c r="BE46" s="1777" t="s">
        <v>688</v>
      </c>
      <c r="BF46" s="1797">
        <f>(1905+1985)/2</f>
        <v>1945</v>
      </c>
      <c r="BG46" s="1794" t="s">
        <v>702</v>
      </c>
      <c r="BH46" s="1777" t="s">
        <v>705</v>
      </c>
      <c r="BI46" s="1797">
        <f>(1905+1965)/2</f>
        <v>1935</v>
      </c>
      <c r="BJ46" s="1796">
        <f>Model!CG15</f>
        <v>1859.1999999999998</v>
      </c>
      <c r="BK46" s="1791"/>
      <c r="BM46" s="1794"/>
      <c r="BN46" s="1777"/>
      <c r="BO46" s="1797"/>
      <c r="BP46" s="1796"/>
      <c r="BQ46" s="1791"/>
      <c r="BS46" s="1794"/>
      <c r="BT46" s="1777"/>
      <c r="BU46" s="1797"/>
      <c r="BV46" s="1796"/>
      <c r="BW46" s="1791"/>
      <c r="BZ46" s="1794"/>
      <c r="CA46" s="1777"/>
      <c r="CB46" s="1797"/>
      <c r="CC46" s="1796"/>
      <c r="CD46" s="1791"/>
      <c r="CG46" s="1794"/>
      <c r="CH46" s="1777"/>
      <c r="CI46" s="1797"/>
      <c r="CJ46" s="1794"/>
      <c r="CK46" s="1777"/>
      <c r="CL46" s="1797"/>
      <c r="CM46" s="1796"/>
      <c r="CN46" s="1791"/>
      <c r="CR46" s="1885"/>
      <c r="CS46" s="1885"/>
      <c r="CT46" s="1885"/>
      <c r="CU46" s="1535"/>
      <c r="DT46" s="1750"/>
      <c r="DU46" s="1751"/>
      <c r="DV46" s="1751"/>
      <c r="DW46" s="1753"/>
      <c r="DX46" s="1753"/>
    </row>
    <row r="47" spans="2:128" x14ac:dyDescent="0.2">
      <c r="B47" s="1624" t="s">
        <v>576</v>
      </c>
      <c r="C47" s="1599"/>
      <c r="D47" s="1625"/>
      <c r="E47" s="1625"/>
      <c r="F47" s="1626"/>
      <c r="H47" s="1630"/>
      <c r="I47" s="1666"/>
      <c r="J47" s="1667"/>
      <c r="K47" s="1668"/>
      <c r="M47" s="1485"/>
      <c r="N47" s="1486"/>
      <c r="O47" s="1486"/>
      <c r="P47" s="1487"/>
      <c r="Q47" s="1547"/>
      <c r="S47" s="1485"/>
      <c r="T47" s="1485"/>
      <c r="U47" s="1485"/>
      <c r="V47" s="1619"/>
      <c r="W47" s="1485"/>
      <c r="X47" s="1550"/>
      <c r="Y47" s="1535"/>
      <c r="Z47" s="1488"/>
      <c r="AA47" s="1619"/>
      <c r="AB47" s="1485"/>
      <c r="AC47" s="1485"/>
      <c r="AD47" s="1535"/>
      <c r="AE47" s="1535"/>
      <c r="AF47" s="1599"/>
      <c r="AG47" s="1593" t="s">
        <v>568</v>
      </c>
      <c r="AH47" s="1540"/>
      <c r="AI47" s="1535"/>
      <c r="AJ47" s="1550"/>
      <c r="AK47" s="1599"/>
      <c r="AL47" s="1593" t="s">
        <v>583</v>
      </c>
      <c r="AM47" s="1593" t="s">
        <v>593</v>
      </c>
      <c r="AN47" s="1593" t="s">
        <v>601</v>
      </c>
      <c r="AO47" s="1594">
        <v>6802.5000000000018</v>
      </c>
      <c r="AP47" s="1594">
        <v>6854</v>
      </c>
      <c r="AQ47" s="1599"/>
      <c r="AR47" s="1594"/>
      <c r="AS47" s="1594"/>
      <c r="AT47" s="1594"/>
      <c r="AU47" s="1885"/>
      <c r="AV47" s="1593" t="s">
        <v>568</v>
      </c>
      <c r="AW47" s="1599"/>
      <c r="AX47" s="1593" t="s">
        <v>657</v>
      </c>
      <c r="AY47" s="1801" t="s">
        <v>664</v>
      </c>
      <c r="AZ47" s="1736">
        <f>(7230+7430)/2</f>
        <v>7330</v>
      </c>
      <c r="BA47" s="1593" t="s">
        <v>657</v>
      </c>
      <c r="BB47" s="1801" t="s">
        <v>664</v>
      </c>
      <c r="BC47" s="1736">
        <f>(7230+7430)/2</f>
        <v>7330</v>
      </c>
      <c r="BD47" s="1593" t="s">
        <v>657</v>
      </c>
      <c r="BE47" s="1801" t="s">
        <v>664</v>
      </c>
      <c r="BF47" s="1736">
        <f>(7230+7430)/2</f>
        <v>7330</v>
      </c>
      <c r="BG47" s="1593" t="s">
        <v>703</v>
      </c>
      <c r="BH47" s="1801" t="s">
        <v>647</v>
      </c>
      <c r="BI47" s="1736">
        <f>(7230+7330)/2</f>
        <v>7280</v>
      </c>
      <c r="BJ47" s="1594">
        <f>Model!CG62</f>
        <v>7260.4</v>
      </c>
      <c r="BK47" s="1594">
        <v>7271.63</v>
      </c>
      <c r="BL47" s="1841"/>
      <c r="BM47" s="1593" t="s">
        <v>739</v>
      </c>
      <c r="BN47" s="1801" t="s">
        <v>735</v>
      </c>
      <c r="BO47" s="1736">
        <f>BO68</f>
        <v>7410</v>
      </c>
      <c r="BP47" s="1594">
        <f>Model!CL62</f>
        <v>7415.5999999999749</v>
      </c>
      <c r="BQ47" s="1594"/>
      <c r="BR47" s="1841"/>
      <c r="BS47" s="1593" t="s">
        <v>766</v>
      </c>
      <c r="BT47" s="1801" t="s">
        <v>735</v>
      </c>
      <c r="BU47" s="1736">
        <f>BU68</f>
        <v>7410</v>
      </c>
      <c r="BV47" s="1594">
        <f>Model!CL62</f>
        <v>7415.5999999999749</v>
      </c>
      <c r="BW47" s="1594"/>
      <c r="BX47" s="1841"/>
      <c r="BZ47" s="1593" t="s">
        <v>767</v>
      </c>
      <c r="CA47" s="1801" t="s">
        <v>768</v>
      </c>
      <c r="CB47" s="1736">
        <f>CB68</f>
        <v>7410</v>
      </c>
      <c r="CC47" s="1594">
        <f t="shared" ref="CC47:CC55" si="0">BV47</f>
        <v>7415.5999999999749</v>
      </c>
      <c r="CD47" s="1594"/>
      <c r="CE47" s="1841"/>
      <c r="CG47" s="1593" t="s">
        <v>774</v>
      </c>
      <c r="CH47" s="1801" t="s">
        <v>735</v>
      </c>
      <c r="CI47" s="1736">
        <f>CI68</f>
        <v>5325</v>
      </c>
      <c r="CJ47" s="1593" t="s">
        <v>778</v>
      </c>
      <c r="CK47" s="1801" t="s">
        <v>768</v>
      </c>
      <c r="CL47" s="1736">
        <f>CL68</f>
        <v>7700</v>
      </c>
      <c r="CM47" s="1594">
        <f ca="1">Model!CQ62</f>
        <v>7672.1617227966308</v>
      </c>
      <c r="CN47" s="1594"/>
      <c r="CO47" s="1841"/>
      <c r="CR47" s="1885"/>
      <c r="CS47" s="1885"/>
      <c r="CT47" s="1885"/>
      <c r="CU47" s="1885"/>
      <c r="DT47" s="1750"/>
      <c r="DU47" s="1751"/>
      <c r="DV47" s="1751"/>
      <c r="DW47" s="1753"/>
      <c r="DX47" s="1753"/>
    </row>
    <row r="48" spans="2:128" hidden="1" x14ac:dyDescent="0.2">
      <c r="B48" s="1624" t="s">
        <v>446</v>
      </c>
      <c r="C48" s="1599"/>
      <c r="D48" s="1625"/>
      <c r="E48" s="1625"/>
      <c r="F48" s="1626"/>
      <c r="H48" s="1630"/>
      <c r="I48" s="1666"/>
      <c r="J48" s="1667"/>
      <c r="K48" s="1668"/>
      <c r="M48" s="1485" t="s">
        <v>480</v>
      </c>
      <c r="N48" s="1472"/>
      <c r="O48" s="1472"/>
      <c r="P48" s="1473"/>
      <c r="Q48" s="1548">
        <v>0</v>
      </c>
      <c r="S48" s="1485" t="s">
        <v>489</v>
      </c>
      <c r="T48" s="1485" t="s">
        <v>489</v>
      </c>
      <c r="U48" s="1485" t="s">
        <v>490</v>
      </c>
      <c r="V48" s="1619"/>
      <c r="W48" s="1485"/>
      <c r="X48" s="1550"/>
      <c r="Y48" s="1535"/>
      <c r="Z48" s="1489"/>
      <c r="AA48" s="1619"/>
      <c r="AB48" s="1485" t="s">
        <v>527</v>
      </c>
      <c r="AC48" s="1485" t="s">
        <v>527</v>
      </c>
      <c r="AD48" s="1485" t="s">
        <v>527</v>
      </c>
      <c r="AE48" s="1485" t="s">
        <v>527</v>
      </c>
      <c r="AF48" s="1599"/>
      <c r="AG48" s="1593" t="s">
        <v>569</v>
      </c>
      <c r="AH48" s="1540"/>
      <c r="AI48" s="1535"/>
      <c r="AJ48" s="1550"/>
      <c r="AK48" s="1599"/>
      <c r="AL48" s="1593" t="s">
        <v>585</v>
      </c>
      <c r="AM48" s="1593" t="s">
        <v>585</v>
      </c>
      <c r="AN48" s="1593" t="s">
        <v>585</v>
      </c>
      <c r="AO48" s="1595">
        <v>5.1943341478314009</v>
      </c>
      <c r="AP48" s="1550"/>
      <c r="AQ48" s="1599"/>
      <c r="AR48" s="1595"/>
      <c r="AS48" s="1595"/>
      <c r="AT48" s="1550"/>
      <c r="AU48" s="1535"/>
      <c r="AV48" s="1593" t="s">
        <v>569</v>
      </c>
      <c r="AW48" s="1599"/>
      <c r="AX48" s="1593" t="s">
        <v>614</v>
      </c>
      <c r="AY48" s="1593"/>
      <c r="AZ48" s="1737">
        <f>(5.37+5.47)/2</f>
        <v>5.42</v>
      </c>
      <c r="BA48" s="1593" t="s">
        <v>614</v>
      </c>
      <c r="BB48" s="1593"/>
      <c r="BC48" s="1737">
        <f>(5.37+5.47)/2</f>
        <v>5.42</v>
      </c>
      <c r="BD48" s="1593" t="s">
        <v>614</v>
      </c>
      <c r="BE48" s="1593"/>
      <c r="BF48" s="1737">
        <f>(5.37+5.47)/2</f>
        <v>5.42</v>
      </c>
      <c r="BG48" s="1593" t="s">
        <v>614</v>
      </c>
      <c r="BH48" s="1593"/>
      <c r="BI48" s="1737">
        <f>(5.37+5.47)/2</f>
        <v>5.42</v>
      </c>
      <c r="BJ48" s="1595">
        <f>'Per claim analysis'!CG13</f>
        <v>5.1579994316567204</v>
      </c>
      <c r="BK48" s="1550"/>
      <c r="BM48" s="1593" t="s">
        <v>614</v>
      </c>
      <c r="BN48" s="1593"/>
      <c r="BO48" s="1737">
        <f>(5.37+5.47)/2</f>
        <v>5.42</v>
      </c>
      <c r="BP48" s="1595">
        <f>'Per claim analysis'!CL13</f>
        <v>5.2934542080091198</v>
      </c>
      <c r="BQ48" s="1550"/>
      <c r="BS48" s="1593" t="s">
        <v>614</v>
      </c>
      <c r="BT48" s="1593"/>
      <c r="BU48" s="1737">
        <f>(5.37+5.47)/2</f>
        <v>5.42</v>
      </c>
      <c r="BV48" s="1595">
        <f>'Per claim analysis'!CL13</f>
        <v>5.2934542080091198</v>
      </c>
      <c r="BW48" s="1550"/>
      <c r="BZ48" s="1593" t="s">
        <v>614</v>
      </c>
      <c r="CA48" s="1593"/>
      <c r="CB48" s="1737">
        <f>(5.37+5.47)/2</f>
        <v>5.42</v>
      </c>
      <c r="CC48" s="1595">
        <f t="shared" si="0"/>
        <v>5.2934542080091198</v>
      </c>
      <c r="CD48" s="1550"/>
      <c r="CG48" s="1593" t="s">
        <v>614</v>
      </c>
      <c r="CH48" s="1593"/>
      <c r="CI48" s="1737">
        <f>(5.37+5.47)/2</f>
        <v>5.42</v>
      </c>
      <c r="CJ48" s="1593" t="s">
        <v>614</v>
      </c>
      <c r="CK48" s="1593"/>
      <c r="CL48" s="1737">
        <f>(5.37+5.47)/2</f>
        <v>5.42</v>
      </c>
      <c r="CM48" s="1595">
        <f ca="1">'Per claim analysis'!CQ13</f>
        <v>5.618397728402428</v>
      </c>
      <c r="CN48" s="1550"/>
      <c r="CR48" s="1977"/>
      <c r="CS48" s="1977"/>
      <c r="CT48" s="1977"/>
      <c r="CU48" s="1535"/>
      <c r="DT48" s="1674"/>
      <c r="DU48" s="1752"/>
      <c r="DV48" s="1752"/>
      <c r="DW48" s="1753"/>
      <c r="DX48" s="1753"/>
    </row>
    <row r="49" spans="2:137" hidden="1" outlineLevel="1" x14ac:dyDescent="0.2">
      <c r="B49" s="1624" t="s">
        <v>447</v>
      </c>
      <c r="C49" s="1599"/>
      <c r="D49" s="1625"/>
      <c r="E49" s="1625"/>
      <c r="F49" s="1626"/>
      <c r="H49" s="1630"/>
      <c r="I49" s="1666"/>
      <c r="J49" s="1667"/>
      <c r="K49" s="1668"/>
      <c r="M49" s="1485" t="s">
        <v>491</v>
      </c>
      <c r="N49" s="1490"/>
      <c r="O49" s="1490"/>
      <c r="P49" s="1491"/>
      <c r="Q49" s="1543">
        <v>0.52370000000000005</v>
      </c>
      <c r="S49" s="1485" t="s">
        <v>492</v>
      </c>
      <c r="T49" s="1485" t="s">
        <v>492</v>
      </c>
      <c r="U49" s="1485" t="s">
        <v>492</v>
      </c>
      <c r="V49" s="1619"/>
      <c r="W49" s="1485"/>
      <c r="X49" s="1550"/>
      <c r="Y49" s="1535"/>
      <c r="Z49" s="1492" t="e">
        <v>#REF!</v>
      </c>
      <c r="AA49" s="1619"/>
      <c r="AB49" s="1485"/>
      <c r="AC49" s="1535"/>
      <c r="AD49" s="1535"/>
      <c r="AE49" s="1540"/>
      <c r="AF49" s="1599"/>
      <c r="AG49" s="1593"/>
      <c r="AH49" s="1540"/>
      <c r="AI49" s="1535"/>
      <c r="AJ49" s="1550"/>
      <c r="AK49" s="1599"/>
      <c r="AL49" s="1593"/>
      <c r="AM49" s="1593"/>
      <c r="AN49" s="1593"/>
      <c r="AO49" s="1550"/>
      <c r="AP49" s="1550"/>
      <c r="AQ49" s="1599"/>
      <c r="AR49" s="1550"/>
      <c r="AS49" s="1550"/>
      <c r="AT49" s="1550"/>
      <c r="AU49" s="1535"/>
      <c r="AV49" s="1593"/>
      <c r="AW49" s="1599"/>
      <c r="AX49" s="1593"/>
      <c r="AY49" s="1593"/>
      <c r="AZ49" s="1593"/>
      <c r="BA49" s="1593"/>
      <c r="BB49" s="1593"/>
      <c r="BC49" s="1593"/>
      <c r="BD49" s="1593"/>
      <c r="BE49" s="1593"/>
      <c r="BF49" s="1593"/>
      <c r="BG49" s="1593"/>
      <c r="BH49" s="1593"/>
      <c r="BI49" s="1593"/>
      <c r="BJ49" s="1550"/>
      <c r="BK49" s="1550"/>
      <c r="BM49" s="1593"/>
      <c r="BN49" s="1593"/>
      <c r="BO49" s="1593"/>
      <c r="BP49" s="1550"/>
      <c r="BQ49" s="1550"/>
      <c r="BS49" s="1593"/>
      <c r="BT49" s="1593"/>
      <c r="BU49" s="1593"/>
      <c r="BV49" s="1550"/>
      <c r="BW49" s="1550"/>
      <c r="BZ49" s="1593"/>
      <c r="CA49" s="1593"/>
      <c r="CB49" s="1593"/>
      <c r="CC49" s="1550">
        <f t="shared" si="0"/>
        <v>0</v>
      </c>
      <c r="CD49" s="1550"/>
      <c r="CG49" s="1593"/>
      <c r="CH49" s="1593"/>
      <c r="CI49" s="1593"/>
      <c r="CJ49" s="1593"/>
      <c r="CK49" s="1593"/>
      <c r="CL49" s="1593"/>
      <c r="CM49" s="1550"/>
      <c r="CN49" s="1550"/>
      <c r="CR49" s="1535"/>
      <c r="CS49" s="1535"/>
      <c r="CT49" s="1535"/>
      <c r="CU49" s="1535"/>
    </row>
    <row r="50" spans="2:137" hidden="1" outlineLevel="1" x14ac:dyDescent="0.2">
      <c r="B50" s="1624" t="s">
        <v>493</v>
      </c>
      <c r="C50" s="1599"/>
      <c r="D50" s="1625"/>
      <c r="E50" s="1625"/>
      <c r="F50" s="1626"/>
      <c r="H50" s="1630"/>
      <c r="I50" s="1666"/>
      <c r="J50" s="1667"/>
      <c r="K50" s="1668"/>
      <c r="M50" s="1493">
        <f>0.27/2</f>
        <v>0.13500000000000001</v>
      </c>
      <c r="N50" s="1472"/>
      <c r="O50" s="1472"/>
      <c r="P50" s="1473"/>
      <c r="Q50" s="1548">
        <f>M50</f>
        <v>0.13500000000000001</v>
      </c>
      <c r="S50" s="1630"/>
      <c r="T50" s="1630"/>
      <c r="U50" s="1630"/>
      <c r="V50" s="1619"/>
      <c r="W50" s="1630"/>
      <c r="X50" s="1631"/>
      <c r="Y50" s="1669"/>
      <c r="Z50" s="1494"/>
      <c r="AA50" s="1619"/>
      <c r="AB50" s="1630"/>
      <c r="AC50" s="1669"/>
      <c r="AD50" s="1669"/>
      <c r="AE50" s="1668"/>
      <c r="AF50" s="1599"/>
      <c r="AG50" s="1670"/>
      <c r="AH50" s="1668"/>
      <c r="AI50" s="1669"/>
      <c r="AJ50" s="1631"/>
      <c r="AK50" s="1599"/>
      <c r="AL50" s="1670"/>
      <c r="AM50" s="1670"/>
      <c r="AN50" s="1670"/>
      <c r="AO50" s="1631"/>
      <c r="AP50" s="1631"/>
      <c r="AQ50" s="1599"/>
      <c r="AR50" s="1631"/>
      <c r="AS50" s="1631"/>
      <c r="AT50" s="1631"/>
      <c r="AU50" s="1669"/>
      <c r="AV50" s="1670"/>
      <c r="AW50" s="1599"/>
      <c r="AX50" s="1670"/>
      <c r="AY50" s="1670"/>
      <c r="AZ50" s="1670"/>
      <c r="BA50" s="1670"/>
      <c r="BB50" s="1670"/>
      <c r="BC50" s="1670"/>
      <c r="BD50" s="1670"/>
      <c r="BE50" s="1670"/>
      <c r="BF50" s="1670"/>
      <c r="BG50" s="1670"/>
      <c r="BH50" s="1670"/>
      <c r="BI50" s="1670"/>
      <c r="BJ50" s="1631"/>
      <c r="BK50" s="1631"/>
      <c r="BM50" s="1670"/>
      <c r="BN50" s="1670"/>
      <c r="BO50" s="1670"/>
      <c r="BP50" s="1631"/>
      <c r="BQ50" s="1631"/>
      <c r="BS50" s="1670"/>
      <c r="BT50" s="1670"/>
      <c r="BU50" s="1670"/>
      <c r="BV50" s="1631"/>
      <c r="BW50" s="1631"/>
      <c r="BZ50" s="1670"/>
      <c r="CA50" s="1670"/>
      <c r="CB50" s="1670"/>
      <c r="CC50" s="1631">
        <f t="shared" si="0"/>
        <v>0</v>
      </c>
      <c r="CD50" s="1631"/>
      <c r="CG50" s="1670"/>
      <c r="CH50" s="1670"/>
      <c r="CI50" s="1670"/>
      <c r="CJ50" s="1670"/>
      <c r="CK50" s="1670"/>
      <c r="CL50" s="1670"/>
      <c r="CM50" s="1631"/>
      <c r="CN50" s="1631"/>
      <c r="CR50" s="1669"/>
      <c r="CS50" s="1669"/>
      <c r="CT50" s="1669"/>
      <c r="CU50" s="1669"/>
    </row>
    <row r="51" spans="2:137" hidden="1" collapsed="1" x14ac:dyDescent="0.2">
      <c r="B51" s="1624" t="s">
        <v>494</v>
      </c>
      <c r="C51" s="1599"/>
      <c r="D51" s="1625"/>
      <c r="E51" s="1625"/>
      <c r="F51" s="1626"/>
      <c r="H51" s="1619"/>
      <c r="I51" s="1625"/>
      <c r="J51" s="1625"/>
      <c r="K51" s="1626"/>
      <c r="M51" s="1471" t="s">
        <v>495</v>
      </c>
      <c r="N51" s="1490"/>
      <c r="O51" s="1490"/>
      <c r="P51" s="1491"/>
      <c r="Q51" s="1543">
        <v>7.5523766584727054E-5</v>
      </c>
      <c r="S51" s="1630" t="s">
        <v>496</v>
      </c>
      <c r="T51" s="1630" t="s">
        <v>496</v>
      </c>
      <c r="U51" s="1630" t="s">
        <v>496</v>
      </c>
      <c r="V51" s="1619"/>
      <c r="W51" s="1630"/>
      <c r="X51" s="1631"/>
      <c r="Y51" s="1669"/>
      <c r="Z51" s="1492" t="e">
        <v>#REF!</v>
      </c>
      <c r="AA51" s="1619"/>
      <c r="AB51" s="1630" t="s">
        <v>539</v>
      </c>
      <c r="AC51" s="1630" t="s">
        <v>539</v>
      </c>
      <c r="AD51" s="1630" t="s">
        <v>539</v>
      </c>
      <c r="AE51" s="1671" t="s">
        <v>559</v>
      </c>
      <c r="AF51" s="1599"/>
      <c r="AG51" s="1670" t="s">
        <v>539</v>
      </c>
      <c r="AH51" s="1668"/>
      <c r="AI51" s="1669"/>
      <c r="AJ51" s="1672"/>
      <c r="AK51" s="1599"/>
      <c r="AL51" s="1670" t="s">
        <v>539</v>
      </c>
      <c r="AM51" s="1670" t="s">
        <v>539</v>
      </c>
      <c r="AN51" s="1670"/>
      <c r="AO51" s="1673" t="e">
        <v>#REF!</v>
      </c>
      <c r="AP51" s="1631"/>
      <c r="AQ51" s="1599"/>
      <c r="AR51" s="1673"/>
      <c r="AS51" s="1673"/>
      <c r="AT51" s="1631"/>
      <c r="AU51" s="1669"/>
      <c r="AV51" s="1670" t="s">
        <v>539</v>
      </c>
      <c r="AW51" s="1599"/>
      <c r="AX51" s="1670" t="s">
        <v>539</v>
      </c>
      <c r="AY51" s="1670"/>
      <c r="AZ51" s="1739"/>
      <c r="BA51" s="1670" t="s">
        <v>539</v>
      </c>
      <c r="BB51" s="1670"/>
      <c r="BC51" s="1739"/>
      <c r="BD51" s="1670" t="s">
        <v>539</v>
      </c>
      <c r="BE51" s="1670"/>
      <c r="BF51" s="1739"/>
      <c r="BG51" s="1670" t="s">
        <v>539</v>
      </c>
      <c r="BH51" s="1670"/>
      <c r="BI51" s="1739"/>
      <c r="BJ51" s="1673" t="e">
        <v>#REF!</v>
      </c>
      <c r="BK51" s="1631"/>
      <c r="BM51" s="1670" t="s">
        <v>539</v>
      </c>
      <c r="BN51" s="1670"/>
      <c r="BO51" s="1739"/>
      <c r="BP51" s="1673" t="e">
        <v>#REF!</v>
      </c>
      <c r="BQ51" s="1631"/>
      <c r="BS51" s="1670" t="s">
        <v>539</v>
      </c>
      <c r="BT51" s="1670"/>
      <c r="BU51" s="1739"/>
      <c r="BV51" s="1673" t="e">
        <v>#REF!</v>
      </c>
      <c r="BW51" s="1631"/>
      <c r="BZ51" s="1670" t="s">
        <v>539</v>
      </c>
      <c r="CA51" s="1670"/>
      <c r="CB51" s="1739"/>
      <c r="CC51" s="1673" t="e">
        <f t="shared" si="0"/>
        <v>#REF!</v>
      </c>
      <c r="CD51" s="1631"/>
      <c r="CG51" s="1670" t="s">
        <v>539</v>
      </c>
      <c r="CH51" s="1670"/>
      <c r="CI51" s="1739"/>
      <c r="CJ51" s="1670" t="s">
        <v>539</v>
      </c>
      <c r="CK51" s="1670"/>
      <c r="CL51" s="1739"/>
      <c r="CM51" s="1673" t="e">
        <v>#REF!</v>
      </c>
      <c r="CN51" s="1631"/>
      <c r="CR51" s="1978"/>
      <c r="CS51" s="1978"/>
      <c r="CT51" s="1978"/>
      <c r="CU51" s="1669"/>
    </row>
    <row r="52" spans="2:137" hidden="1" x14ac:dyDescent="0.2">
      <c r="B52" s="1624" t="s">
        <v>577</v>
      </c>
      <c r="C52" s="1599"/>
      <c r="D52" s="1625"/>
      <c r="E52" s="1625"/>
      <c r="F52" s="1626"/>
      <c r="H52" s="1619"/>
      <c r="I52" s="1625"/>
      <c r="J52" s="1675"/>
      <c r="K52" s="1626"/>
      <c r="M52" s="1471"/>
      <c r="N52" s="1490"/>
      <c r="O52" s="1490"/>
      <c r="P52" s="1491"/>
      <c r="Q52" s="1543"/>
      <c r="S52" s="1630"/>
      <c r="T52" s="1630"/>
      <c r="U52" s="1630"/>
      <c r="V52" s="1619"/>
      <c r="W52" s="1669"/>
      <c r="X52" s="1631"/>
      <c r="Y52" s="1669"/>
      <c r="Z52" s="1500"/>
      <c r="AA52" s="1619"/>
      <c r="AB52" s="1630"/>
      <c r="AC52" s="1630"/>
      <c r="AD52" s="1630"/>
      <c r="AE52" s="1676"/>
      <c r="AF52" s="1599"/>
      <c r="AG52" s="1670" t="s">
        <v>570</v>
      </c>
      <c r="AH52" s="1668"/>
      <c r="AI52" s="1669"/>
      <c r="AJ52" s="1672"/>
      <c r="AK52" s="1599"/>
      <c r="AL52" s="1670" t="s">
        <v>570</v>
      </c>
      <c r="AM52" s="1670" t="s">
        <v>594</v>
      </c>
      <c r="AN52" s="1670" t="s">
        <v>602</v>
      </c>
      <c r="AO52" s="1596">
        <v>0</v>
      </c>
      <c r="AP52" s="1631"/>
      <c r="AQ52" s="1599"/>
      <c r="AR52" s="1596"/>
      <c r="AS52" s="1596"/>
      <c r="AT52" s="1631"/>
      <c r="AU52" s="1669"/>
      <c r="AV52" s="1670" t="s">
        <v>570</v>
      </c>
      <c r="AW52" s="1599"/>
      <c r="AX52" s="1670" t="s">
        <v>615</v>
      </c>
      <c r="AY52" s="1802" t="s">
        <v>665</v>
      </c>
      <c r="AZ52" s="1740">
        <f>(37.5%+37.7%)/2</f>
        <v>0.376</v>
      </c>
      <c r="BA52" s="1670" t="s">
        <v>615</v>
      </c>
      <c r="BB52" s="1802" t="s">
        <v>665</v>
      </c>
      <c r="BC52" s="1740">
        <f>(37.5%+37.7%)/2</f>
        <v>0.376</v>
      </c>
      <c r="BD52" s="1670" t="s">
        <v>615</v>
      </c>
      <c r="BE52" s="1802" t="s">
        <v>665</v>
      </c>
      <c r="BF52" s="1740">
        <f>(37.5%+37.7%)/2</f>
        <v>0.376</v>
      </c>
      <c r="BG52" s="1670" t="s">
        <v>615</v>
      </c>
      <c r="BH52" s="1802" t="s">
        <v>665</v>
      </c>
      <c r="BI52" s="1740">
        <f>(37.5%+37.7%)/2</f>
        <v>0.376</v>
      </c>
      <c r="BJ52" s="1596">
        <f>Model!CG76</f>
        <v>0.37146694150348225</v>
      </c>
      <c r="BK52" s="1631"/>
      <c r="BM52" s="1670" t="s">
        <v>615</v>
      </c>
      <c r="BN52" s="1802" t="s">
        <v>665</v>
      </c>
      <c r="BO52" s="1740">
        <f>(37.5%+37.7%)/2</f>
        <v>0.376</v>
      </c>
      <c r="BP52" s="1596">
        <f>Model!CL76</f>
        <v>0.36599145652473614</v>
      </c>
      <c r="BQ52" s="1631"/>
      <c r="BS52" s="1670" t="s">
        <v>615</v>
      </c>
      <c r="BT52" s="1802" t="s">
        <v>665</v>
      </c>
      <c r="BU52" s="1740">
        <f>(37.5%+37.7%)/2</f>
        <v>0.376</v>
      </c>
      <c r="BV52" s="1596">
        <f>Model!CL76</f>
        <v>0.36599145652473614</v>
      </c>
      <c r="BW52" s="1631"/>
      <c r="BZ52" s="1670" t="s">
        <v>615</v>
      </c>
      <c r="CA52" s="1802" t="s">
        <v>665</v>
      </c>
      <c r="CB52" s="1740">
        <f>(37.5%+37.7%)/2</f>
        <v>0.376</v>
      </c>
      <c r="CC52" s="1596">
        <f t="shared" si="0"/>
        <v>0.36599145652473614</v>
      </c>
      <c r="CD52" s="1631"/>
      <c r="CG52" s="1670" t="s">
        <v>615</v>
      </c>
      <c r="CH52" s="1802" t="s">
        <v>665</v>
      </c>
      <c r="CI52" s="1740">
        <f>(37.5%+37.7%)/2</f>
        <v>0.376</v>
      </c>
      <c r="CJ52" s="1670" t="s">
        <v>615</v>
      </c>
      <c r="CK52" s="1802" t="s">
        <v>665</v>
      </c>
      <c r="CL52" s="1740">
        <f>(37.5%+37.7%)/2</f>
        <v>0.376</v>
      </c>
      <c r="CM52" s="1596">
        <f ca="1">Model!CQ76</f>
        <v>0.25</v>
      </c>
      <c r="CN52" s="1631"/>
      <c r="CR52" s="1979"/>
      <c r="CS52" s="1979"/>
      <c r="CT52" s="1979"/>
      <c r="CU52" s="1669"/>
    </row>
    <row r="53" spans="2:137" x14ac:dyDescent="0.2">
      <c r="B53" s="1624" t="s">
        <v>499</v>
      </c>
      <c r="C53" s="1599"/>
      <c r="D53" s="1625"/>
      <c r="E53" s="1625"/>
      <c r="F53" s="1626"/>
      <c r="H53" s="1619"/>
      <c r="I53" s="1625"/>
      <c r="J53" s="1675"/>
      <c r="K53" s="1626"/>
      <c r="M53" s="1471"/>
      <c r="N53" s="1490"/>
      <c r="O53" s="1490"/>
      <c r="P53" s="1491"/>
      <c r="Q53" s="1543"/>
      <c r="S53" s="1630"/>
      <c r="T53" s="1630"/>
      <c r="U53" s="1630"/>
      <c r="V53" s="1619"/>
      <c r="W53" s="1669" t="s">
        <v>503</v>
      </c>
      <c r="X53" s="1631" t="s">
        <v>503</v>
      </c>
      <c r="Y53" s="1669" t="s">
        <v>503</v>
      </c>
      <c r="Z53" s="1500"/>
      <c r="AA53" s="1619"/>
      <c r="AB53" s="1630" t="s">
        <v>528</v>
      </c>
      <c r="AC53" s="1630" t="s">
        <v>528</v>
      </c>
      <c r="AD53" s="1630" t="s">
        <v>528</v>
      </c>
      <c r="AE53" s="1630" t="s">
        <v>528</v>
      </c>
      <c r="AF53" s="1599"/>
      <c r="AG53" s="1670" t="s">
        <v>571</v>
      </c>
      <c r="AH53" s="1668"/>
      <c r="AI53" s="1669"/>
      <c r="AJ53" s="1631"/>
      <c r="AK53" s="1599"/>
      <c r="AL53" s="1670" t="s">
        <v>571</v>
      </c>
      <c r="AM53" s="1670" t="s">
        <v>595</v>
      </c>
      <c r="AN53" s="1670" t="s">
        <v>595</v>
      </c>
      <c r="AO53" s="1677">
        <v>759.2</v>
      </c>
      <c r="AP53" s="1631"/>
      <c r="AQ53" s="1599"/>
      <c r="AR53" s="1677"/>
      <c r="AS53" s="1677"/>
      <c r="AT53" s="1631"/>
      <c r="AU53" s="1669"/>
      <c r="AV53" s="1670" t="s">
        <v>571</v>
      </c>
      <c r="AW53" s="1599"/>
      <c r="AX53" s="1670" t="s">
        <v>658</v>
      </c>
      <c r="AY53" s="1802" t="s">
        <v>666</v>
      </c>
      <c r="AZ53" s="1741">
        <f>(645+665)/2</f>
        <v>655</v>
      </c>
      <c r="BA53" s="1670" t="s">
        <v>681</v>
      </c>
      <c r="BB53" s="1802" t="s">
        <v>682</v>
      </c>
      <c r="BC53" s="1741">
        <f>(635+645)/2</f>
        <v>640</v>
      </c>
      <c r="BD53" s="1670" t="s">
        <v>693</v>
      </c>
      <c r="BE53" s="1802" t="s">
        <v>695</v>
      </c>
      <c r="BF53" s="1741">
        <f>(632+640)/2</f>
        <v>636</v>
      </c>
      <c r="BG53" s="1670" t="s">
        <v>704</v>
      </c>
      <c r="BH53" s="1802" t="s">
        <v>706</v>
      </c>
      <c r="BI53" s="1741">
        <f>(630+635)/2</f>
        <v>632.5</v>
      </c>
      <c r="BJ53" s="1677">
        <f>Model!CG47</f>
        <v>631.5</v>
      </c>
      <c r="BK53" s="1631"/>
      <c r="BM53" s="1670" t="s">
        <v>736</v>
      </c>
      <c r="BN53" s="1802" t="s">
        <v>737</v>
      </c>
      <c r="BO53" s="1741">
        <f>BO69</f>
        <v>585</v>
      </c>
      <c r="BP53" s="1677">
        <f>Model!CL47</f>
        <v>583.45000000000005</v>
      </c>
      <c r="BQ53" s="1631"/>
      <c r="BS53" s="1670" t="s">
        <v>745</v>
      </c>
      <c r="BT53" s="1802" t="s">
        <v>746</v>
      </c>
      <c r="BU53" s="1741">
        <f>BU69</f>
        <v>585</v>
      </c>
      <c r="BV53" s="1677">
        <f>Model!CL47</f>
        <v>583.45000000000005</v>
      </c>
      <c r="BW53" s="1631"/>
      <c r="BZ53" s="1670" t="s">
        <v>745</v>
      </c>
      <c r="CA53" s="1802" t="s">
        <v>746</v>
      </c>
      <c r="CB53" s="1741">
        <f>CB69</f>
        <v>585</v>
      </c>
      <c r="CC53" s="1677">
        <f t="shared" si="0"/>
        <v>583.45000000000005</v>
      </c>
      <c r="CD53" s="1631"/>
      <c r="CG53" s="1670"/>
      <c r="CH53" s="1802"/>
      <c r="CI53" s="1741"/>
      <c r="CJ53" s="1670" t="s">
        <v>779</v>
      </c>
      <c r="CK53" s="1802" t="s">
        <v>746</v>
      </c>
      <c r="CL53" s="1741">
        <f>CL69</f>
        <v>550</v>
      </c>
      <c r="CM53" s="1677">
        <f>Model!CQ47</f>
        <v>565.45666658085281</v>
      </c>
      <c r="CN53" s="1631"/>
      <c r="CR53" s="1922"/>
      <c r="CS53" s="1922"/>
      <c r="CT53" s="1922"/>
      <c r="CU53" s="1669"/>
    </row>
    <row r="54" spans="2:137" hidden="1" x14ac:dyDescent="0.2">
      <c r="B54" s="1624"/>
      <c r="C54" s="1599"/>
      <c r="D54" s="1625"/>
      <c r="E54" s="1625"/>
      <c r="F54" s="1626"/>
      <c r="H54" s="1619"/>
      <c r="I54" s="1625"/>
      <c r="J54" s="1675"/>
      <c r="K54" s="1626"/>
      <c r="M54" s="1471"/>
      <c r="N54" s="1490"/>
      <c r="O54" s="1490"/>
      <c r="P54" s="1491"/>
      <c r="Q54" s="1543"/>
      <c r="S54" s="1630"/>
      <c r="T54" s="1630"/>
      <c r="U54" s="1630"/>
      <c r="V54" s="1619"/>
      <c r="W54" s="1669"/>
      <c r="X54" s="1631"/>
      <c r="Y54" s="1669"/>
      <c r="Z54" s="1500"/>
      <c r="AA54" s="1619"/>
      <c r="AB54" s="1630"/>
      <c r="AC54" s="1669"/>
      <c r="AD54" s="1669"/>
      <c r="AE54" s="1669"/>
      <c r="AF54" s="1599"/>
      <c r="AG54" s="1670"/>
      <c r="AH54" s="1668"/>
      <c r="AI54" s="1669"/>
      <c r="AJ54" s="1631"/>
      <c r="AK54" s="1599"/>
      <c r="AL54" s="1670"/>
      <c r="AM54" s="1670"/>
      <c r="AN54" s="1670"/>
      <c r="AO54" s="1677"/>
      <c r="AP54" s="1631"/>
      <c r="AQ54" s="1599"/>
      <c r="AR54" s="1677"/>
      <c r="AS54" s="1677"/>
      <c r="AT54" s="1631"/>
      <c r="AU54" s="1669"/>
      <c r="AV54" s="1670"/>
      <c r="AW54" s="1599"/>
      <c r="AX54" s="1670"/>
      <c r="AY54" s="1670"/>
      <c r="AZ54" s="1741"/>
      <c r="BA54" s="1670"/>
      <c r="BB54" s="1670"/>
      <c r="BC54" s="1741"/>
      <c r="BD54" s="1670"/>
      <c r="BE54" s="1670"/>
      <c r="BF54" s="1741"/>
      <c r="BG54" s="1670"/>
      <c r="BH54" s="1670"/>
      <c r="BI54" s="1741"/>
      <c r="BJ54" s="1677"/>
      <c r="BK54" s="1631"/>
      <c r="BM54" s="1670"/>
      <c r="BN54" s="1670"/>
      <c r="BO54" s="1741"/>
      <c r="BP54" s="1677"/>
      <c r="BQ54" s="1631"/>
      <c r="BS54" s="1670"/>
      <c r="BT54" s="1670"/>
      <c r="BU54" s="1741"/>
      <c r="BV54" s="1677"/>
      <c r="BW54" s="1631"/>
      <c r="BZ54" s="1670"/>
      <c r="CA54" s="1670"/>
      <c r="CB54" s="1741"/>
      <c r="CC54" s="1677">
        <f t="shared" si="0"/>
        <v>0</v>
      </c>
      <c r="CD54" s="1631"/>
      <c r="CG54" s="1670"/>
      <c r="CH54" s="1670"/>
      <c r="CI54" s="1741"/>
      <c r="CJ54" s="1670"/>
      <c r="CK54" s="1670"/>
      <c r="CL54" s="1741"/>
      <c r="CM54" s="1677"/>
      <c r="CN54" s="1631"/>
      <c r="CR54" s="1922"/>
      <c r="CS54" s="1922"/>
      <c r="CT54" s="1922"/>
      <c r="CU54" s="1669"/>
    </row>
    <row r="55" spans="2:137" ht="13.5" thickBot="1" x14ac:dyDescent="0.25">
      <c r="B55" s="1678" t="s">
        <v>578</v>
      </c>
      <c r="C55" s="1679"/>
      <c r="D55" s="1680"/>
      <c r="E55" s="1680"/>
      <c r="F55" s="1681"/>
      <c r="G55" s="1679"/>
      <c r="H55" s="1682"/>
      <c r="I55" s="1680"/>
      <c r="J55" s="1683"/>
      <c r="K55" s="1681"/>
      <c r="L55" s="1679"/>
      <c r="M55" s="1495"/>
      <c r="N55" s="1684"/>
      <c r="O55" s="1684"/>
      <c r="P55" s="1685"/>
      <c r="Q55" s="1686"/>
      <c r="R55" s="1679"/>
      <c r="S55" s="1687"/>
      <c r="T55" s="1687"/>
      <c r="U55" s="1687"/>
      <c r="V55" s="1682"/>
      <c r="W55" s="1688"/>
      <c r="X55" s="1689"/>
      <c r="Y55" s="1688"/>
      <c r="Z55" s="1690"/>
      <c r="AA55" s="1682"/>
      <c r="AB55" s="1687"/>
      <c r="AC55" s="1688"/>
      <c r="AD55" s="1688"/>
      <c r="AE55" s="1688"/>
      <c r="AF55" s="1679"/>
      <c r="AG55" s="1776" t="s">
        <v>572</v>
      </c>
      <c r="AH55" s="1692"/>
      <c r="AI55" s="1688"/>
      <c r="AJ55" s="1689"/>
      <c r="AK55" s="1679"/>
      <c r="AL55" s="1776" t="s">
        <v>586</v>
      </c>
      <c r="AM55" s="1776" t="s">
        <v>586</v>
      </c>
      <c r="AN55" s="1776" t="s">
        <v>586</v>
      </c>
      <c r="AO55" s="1597">
        <v>4548.9999999999991</v>
      </c>
      <c r="AP55" s="1689"/>
      <c r="AQ55" s="1679"/>
      <c r="AR55" s="1597"/>
      <c r="AS55" s="1597"/>
      <c r="AT55" s="1689"/>
      <c r="AU55" s="1669"/>
      <c r="AV55" s="1776" t="s">
        <v>572</v>
      </c>
      <c r="AW55" s="1679"/>
      <c r="AX55" s="1776" t="s">
        <v>659</v>
      </c>
      <c r="AY55" s="1691" t="s">
        <v>667</v>
      </c>
      <c r="AZ55" s="1742">
        <f>(4600+5100)/2</f>
        <v>4850</v>
      </c>
      <c r="BA55" s="1776" t="s">
        <v>659</v>
      </c>
      <c r="BB55" s="1691" t="s">
        <v>667</v>
      </c>
      <c r="BC55" s="1742">
        <f>(4600+5100)/2</f>
        <v>4850</v>
      </c>
      <c r="BD55" s="1776" t="s">
        <v>659</v>
      </c>
      <c r="BE55" s="1691" t="s">
        <v>667</v>
      </c>
      <c r="BF55" s="1742">
        <f>(4600+5100)/2</f>
        <v>4850</v>
      </c>
      <c r="BG55" s="1776" t="s">
        <v>659</v>
      </c>
      <c r="BH55" s="1691" t="s">
        <v>667</v>
      </c>
      <c r="BI55" s="1742">
        <f>(4600+5100)/2</f>
        <v>4850</v>
      </c>
      <c r="BJ55" s="1597">
        <f>Model!CG143</f>
        <v>4919.3999999999996</v>
      </c>
      <c r="BK55" s="1689"/>
      <c r="BM55" s="1776" t="s">
        <v>738</v>
      </c>
      <c r="BN55" s="1802" t="s">
        <v>741</v>
      </c>
      <c r="BO55" s="1742">
        <f>BO70</f>
        <v>4950</v>
      </c>
      <c r="BP55" s="1597">
        <f>Model!CL143</f>
        <v>5351.3</v>
      </c>
      <c r="BQ55" s="1689"/>
      <c r="BS55" s="1776" t="s">
        <v>738</v>
      </c>
      <c r="BT55" s="1802" t="s">
        <v>741</v>
      </c>
      <c r="BU55" s="1742">
        <f>BU70</f>
        <v>4950</v>
      </c>
      <c r="BV55" s="1597">
        <f>Model!CL143</f>
        <v>5351.3</v>
      </c>
      <c r="BW55" s="1689"/>
      <c r="BZ55" s="1776" t="s">
        <v>738</v>
      </c>
      <c r="CA55" s="1802" t="s">
        <v>741</v>
      </c>
      <c r="CB55" s="1742">
        <f>CB70</f>
        <v>4950</v>
      </c>
      <c r="CC55" s="1597">
        <f t="shared" si="0"/>
        <v>5351.3</v>
      </c>
      <c r="CD55" s="1689"/>
      <c r="CG55" s="1776"/>
      <c r="CH55" s="1802"/>
      <c r="CI55" s="1742"/>
      <c r="CJ55" s="1776" t="s">
        <v>781</v>
      </c>
      <c r="CK55" s="1802" t="s">
        <v>741</v>
      </c>
      <c r="CL55" s="1742">
        <f>CL70</f>
        <v>6050</v>
      </c>
      <c r="CM55" s="1597">
        <f ca="1">Model!CQ143</f>
        <v>5359.4245196585307</v>
      </c>
      <c r="CN55" s="1689"/>
      <c r="CR55" s="1885"/>
      <c r="CS55" s="1885"/>
      <c r="CT55" s="1885"/>
      <c r="CU55" s="1669"/>
    </row>
    <row r="56" spans="2:137" ht="13.5" thickBot="1" x14ac:dyDescent="0.25">
      <c r="B56" s="1821" t="s">
        <v>671</v>
      </c>
      <c r="C56" s="1809"/>
      <c r="D56" s="1809"/>
      <c r="E56" s="1809"/>
      <c r="F56" s="1809"/>
      <c r="G56" s="1809"/>
      <c r="H56" s="1809"/>
      <c r="I56" s="1809"/>
      <c r="J56" s="1809"/>
      <c r="K56" s="1809"/>
      <c r="L56" s="1809"/>
      <c r="M56" s="1816"/>
      <c r="N56" s="1811"/>
      <c r="O56" s="1811"/>
      <c r="P56" s="1811"/>
      <c r="Q56" s="1811"/>
      <c r="R56" s="1809"/>
      <c r="S56" s="1810"/>
      <c r="T56" s="1810"/>
      <c r="U56" s="1810"/>
      <c r="V56" s="1809"/>
      <c r="W56" s="1810"/>
      <c r="X56" s="1810"/>
      <c r="Y56" s="1810"/>
      <c r="Z56" s="1811"/>
      <c r="AA56" s="1809"/>
      <c r="AB56" s="1810"/>
      <c r="AC56" s="1810"/>
      <c r="AD56" s="1810"/>
      <c r="AE56" s="1810"/>
      <c r="AF56" s="1809"/>
      <c r="AG56" s="1817" t="s">
        <v>573</v>
      </c>
      <c r="AH56" s="1810"/>
      <c r="AI56" s="1810"/>
      <c r="AJ56" s="1810"/>
      <c r="AK56" s="1809"/>
      <c r="AL56" s="1817" t="s">
        <v>573</v>
      </c>
      <c r="AM56" s="1817" t="s">
        <v>573</v>
      </c>
      <c r="AN56" s="1817" t="s">
        <v>573</v>
      </c>
      <c r="AO56" s="1818">
        <v>-436.6</v>
      </c>
      <c r="AP56" s="1810"/>
      <c r="AQ56" s="1809"/>
      <c r="AR56" s="1818"/>
      <c r="AS56" s="1818"/>
      <c r="AT56" s="1810"/>
      <c r="AU56" s="1669"/>
      <c r="AV56" s="1817" t="s">
        <v>573</v>
      </c>
      <c r="AW56" s="1809"/>
      <c r="AX56" s="1819"/>
      <c r="AY56" s="1819"/>
      <c r="AZ56" s="1819"/>
      <c r="BA56" s="1819"/>
      <c r="BB56" s="1819"/>
      <c r="BC56" s="1819"/>
      <c r="BD56" s="1819"/>
      <c r="BE56" s="1819"/>
      <c r="BF56" s="1819"/>
      <c r="BG56" s="1819"/>
      <c r="BH56" s="1819"/>
      <c r="BI56" s="1819"/>
      <c r="BJ56" s="1819"/>
      <c r="BK56" s="1820"/>
      <c r="BM56" s="1819"/>
      <c r="BN56" s="1819"/>
      <c r="BO56" s="1819"/>
      <c r="BP56" s="1819"/>
      <c r="BQ56" s="1820"/>
      <c r="BS56" s="1819"/>
      <c r="BT56" s="1819"/>
      <c r="BU56" s="1819"/>
      <c r="BV56" s="1819"/>
      <c r="BW56" s="1820"/>
      <c r="BZ56" s="1819"/>
      <c r="CA56" s="1819"/>
      <c r="CB56" s="1819"/>
      <c r="CC56" s="1819"/>
      <c r="CD56" s="1820"/>
      <c r="CG56" s="1819"/>
      <c r="CH56" s="1819"/>
      <c r="CI56" s="1819"/>
      <c r="CJ56" s="1819"/>
      <c r="CK56" s="1819"/>
      <c r="CL56" s="1819"/>
      <c r="CM56" s="1819"/>
      <c r="CN56" s="1820"/>
      <c r="CR56" s="1885"/>
      <c r="CS56" s="1885"/>
      <c r="CT56" s="1885"/>
      <c r="CU56" s="1669"/>
    </row>
    <row r="57" spans="2:137" x14ac:dyDescent="0.2">
      <c r="B57" s="1812"/>
      <c r="C57" s="1599"/>
      <c r="D57" s="1627"/>
      <c r="E57" s="1627"/>
      <c r="F57" s="1627"/>
      <c r="G57" s="1627"/>
      <c r="H57" s="1627"/>
      <c r="I57" s="1627"/>
      <c r="J57" s="1627"/>
      <c r="K57" s="1627"/>
      <c r="L57" s="1627"/>
      <c r="M57" s="1627"/>
      <c r="N57" s="1627"/>
      <c r="O57" s="1627"/>
      <c r="P57" s="1627"/>
      <c r="Q57" s="1627"/>
      <c r="R57" s="1627"/>
      <c r="S57" s="1599"/>
      <c r="T57" s="1599"/>
      <c r="U57" s="1599"/>
      <c r="V57" s="1599"/>
      <c r="W57" s="1599"/>
      <c r="X57" s="1599"/>
      <c r="Y57" s="1599"/>
      <c r="Z57" s="1813"/>
      <c r="AA57" s="1599"/>
      <c r="AB57" s="1814"/>
      <c r="AC57" s="1599"/>
      <c r="AD57" s="1599"/>
      <c r="AE57" s="1599"/>
      <c r="AF57" s="1599"/>
      <c r="AG57" s="1814"/>
      <c r="AH57" s="1599"/>
      <c r="AI57" s="1599"/>
      <c r="AJ57" s="1599"/>
      <c r="AK57" s="1599"/>
      <c r="AL57" s="1599"/>
      <c r="AM57" s="1599"/>
      <c r="AN57" s="1599"/>
      <c r="AO57" s="1599"/>
      <c r="AP57" s="1599"/>
      <c r="AQ57" s="1599"/>
      <c r="AR57" s="1599"/>
      <c r="AS57" s="1599"/>
      <c r="AT57" s="1599"/>
      <c r="AV57" s="1599"/>
      <c r="AW57" s="1599"/>
      <c r="AX57" s="1822"/>
      <c r="AY57" s="1632"/>
      <c r="AZ57" s="1632"/>
      <c r="BA57" s="1822"/>
      <c r="BB57" s="1632"/>
      <c r="BC57" s="1632"/>
      <c r="BD57" s="1822"/>
      <c r="BE57" s="1632"/>
      <c r="BF57" s="1632"/>
      <c r="BG57" s="1822"/>
      <c r="BH57" s="1632"/>
      <c r="BI57" s="1632"/>
      <c r="BJ57" s="1832"/>
      <c r="BK57" s="1626"/>
      <c r="BL57" s="1599"/>
      <c r="BM57" s="1822"/>
      <c r="BN57" s="1632"/>
      <c r="BO57" s="1632"/>
      <c r="BP57" s="1832"/>
      <c r="BQ57" s="1626"/>
      <c r="BR57" s="1599"/>
      <c r="BS57" s="1822"/>
      <c r="BT57" s="1632"/>
      <c r="BU57" s="1632"/>
      <c r="BV57" s="1832"/>
      <c r="BW57" s="1626"/>
      <c r="BX57" s="1599"/>
      <c r="BZ57" s="1822"/>
      <c r="CA57" s="1632"/>
      <c r="CB57" s="1632"/>
      <c r="CC57" s="1832"/>
      <c r="CD57" s="1626"/>
      <c r="CE57" s="1599"/>
      <c r="CG57" s="1822"/>
      <c r="CH57" s="1632"/>
      <c r="CI57" s="1632"/>
      <c r="CJ57" s="1632"/>
      <c r="CK57" s="1632"/>
      <c r="CL57" s="1632"/>
      <c r="CM57" s="1832"/>
      <c r="CN57" s="1626"/>
      <c r="CO57" s="1599"/>
      <c r="CP57" s="1599"/>
      <c r="CQ57" s="1599"/>
      <c r="CR57" s="1599"/>
      <c r="CS57" s="1599"/>
      <c r="CT57" s="1599"/>
      <c r="CU57" s="1599"/>
      <c r="CV57" s="1599"/>
    </row>
    <row r="58" spans="2:137" x14ac:dyDescent="0.2">
      <c r="B58" s="1812" t="s">
        <v>151</v>
      </c>
      <c r="C58" s="1599"/>
      <c r="D58" s="1627"/>
      <c r="E58" s="1627"/>
      <c r="F58" s="1627"/>
      <c r="G58" s="1627"/>
      <c r="H58" s="1627"/>
      <c r="I58" s="1627"/>
      <c r="J58" s="1627"/>
      <c r="K58" s="1627"/>
      <c r="L58" s="1627"/>
      <c r="M58" s="1627"/>
      <c r="N58" s="1627"/>
      <c r="O58" s="1627"/>
      <c r="P58" s="1627"/>
      <c r="Q58" s="1627"/>
      <c r="R58" s="1627"/>
      <c r="S58" s="1599"/>
      <c r="T58" s="1599"/>
      <c r="U58" s="1599"/>
      <c r="V58" s="1599"/>
      <c r="W58" s="1599"/>
      <c r="X58" s="1599"/>
      <c r="Y58" s="1599"/>
      <c r="Z58" s="1599"/>
      <c r="AA58" s="1599"/>
      <c r="AB58" s="1669"/>
      <c r="AC58" s="1599"/>
      <c r="AD58" s="1599"/>
      <c r="AE58" s="1599"/>
      <c r="AF58" s="1599"/>
      <c r="AG58" s="1669"/>
      <c r="AH58" s="1599"/>
      <c r="AI58" s="1599"/>
      <c r="AJ58" s="1599"/>
      <c r="AK58" s="1599"/>
      <c r="AL58" s="1599"/>
      <c r="AM58" s="1599"/>
      <c r="AN58" s="1599"/>
      <c r="AO58" s="1599"/>
      <c r="AP58" s="1599"/>
      <c r="AQ58" s="1599"/>
      <c r="AR58" s="1599"/>
      <c r="AS58" s="1599"/>
      <c r="AT58" s="1599"/>
      <c r="AV58" s="1599"/>
      <c r="AW58" s="1599"/>
      <c r="AX58" s="1631" t="s">
        <v>668</v>
      </c>
      <c r="AY58" s="1830" t="s">
        <v>670</v>
      </c>
      <c r="AZ58" s="1826" t="e">
        <f>#REF!</f>
        <v>#REF!</v>
      </c>
      <c r="BA58" s="1631" t="s">
        <v>668</v>
      </c>
      <c r="BB58" s="1830" t="s">
        <v>670</v>
      </c>
      <c r="BC58" s="1826" t="e">
        <f>#REF!</f>
        <v>#REF!</v>
      </c>
      <c r="BD58" s="1631" t="s">
        <v>668</v>
      </c>
      <c r="BE58" s="1830" t="s">
        <v>670</v>
      </c>
      <c r="BF58" s="1826" t="e">
        <f>#REF!</f>
        <v>#REF!</v>
      </c>
      <c r="BG58" s="1631" t="s">
        <v>707</v>
      </c>
      <c r="BH58" s="1830" t="s">
        <v>709</v>
      </c>
      <c r="BI58" s="1826" t="e">
        <f>#REF!</f>
        <v>#REF!</v>
      </c>
      <c r="BJ58" s="1828">
        <f>BJ46/BJ44</f>
        <v>1.3208297811878373</v>
      </c>
      <c r="BK58" s="1626"/>
      <c r="BL58" s="1599"/>
      <c r="BM58" s="1631"/>
      <c r="BN58" s="1830"/>
      <c r="BO58" s="1826"/>
      <c r="BP58" s="1828"/>
      <c r="BQ58" s="1626"/>
      <c r="BR58" s="1599"/>
      <c r="BS58" s="1631"/>
      <c r="BT58" s="1830"/>
      <c r="BU58" s="1826"/>
      <c r="BV58" s="1828"/>
      <c r="BW58" s="1626"/>
      <c r="BX58" s="1599"/>
      <c r="BZ58" s="1631"/>
      <c r="CA58" s="1830"/>
      <c r="CB58" s="1826"/>
      <c r="CC58" s="1828"/>
      <c r="CD58" s="1626"/>
      <c r="CE58" s="1599"/>
      <c r="CG58" s="1631"/>
      <c r="CH58" s="1830"/>
      <c r="CI58" s="1826"/>
      <c r="CJ58" s="1826"/>
      <c r="CK58" s="1826"/>
      <c r="CL58" s="1826"/>
      <c r="CM58" s="1828"/>
      <c r="CN58" s="1626"/>
      <c r="CO58" s="1599"/>
      <c r="CP58" s="1599"/>
      <c r="CQ58" s="1803"/>
      <c r="CR58" s="1599"/>
      <c r="CS58" s="1599"/>
      <c r="CT58" s="1599"/>
      <c r="CU58" s="1599"/>
      <c r="CV58" s="1599"/>
    </row>
    <row r="59" spans="2:137" ht="13.5" thickBot="1" x14ac:dyDescent="0.25">
      <c r="B59" s="1815" t="s">
        <v>88</v>
      </c>
      <c r="C59" s="1679"/>
      <c r="D59" s="1679"/>
      <c r="E59" s="1679"/>
      <c r="F59" s="1679"/>
      <c r="G59" s="1679"/>
      <c r="H59" s="1679"/>
      <c r="I59" s="1679"/>
      <c r="J59" s="1679"/>
      <c r="K59" s="1679"/>
      <c r="L59" s="1679"/>
      <c r="M59" s="1679"/>
      <c r="N59" s="1679"/>
      <c r="O59" s="1679"/>
      <c r="P59" s="1679"/>
      <c r="Q59" s="1679"/>
      <c r="R59" s="1679"/>
      <c r="S59" s="1679"/>
      <c r="T59" s="1679"/>
      <c r="U59" s="1679"/>
      <c r="V59" s="1679"/>
      <c r="W59" s="1679"/>
      <c r="X59" s="1679"/>
      <c r="Y59" s="1679"/>
      <c r="Z59" s="1679"/>
      <c r="AA59" s="1679"/>
      <c r="AB59" s="1679"/>
      <c r="AC59" s="1679"/>
      <c r="AD59" s="1679"/>
      <c r="AE59" s="1679"/>
      <c r="AF59" s="1679"/>
      <c r="AG59" s="1679"/>
      <c r="AH59" s="1679"/>
      <c r="AI59" s="1679"/>
      <c r="AJ59" s="1679"/>
      <c r="AK59" s="1679"/>
      <c r="AL59" s="1679"/>
      <c r="AM59" s="1679"/>
      <c r="AN59" s="1679"/>
      <c r="AO59" s="1679"/>
      <c r="AP59" s="1679"/>
      <c r="AQ59" s="1679"/>
      <c r="AR59" s="1679"/>
      <c r="AS59" s="1679"/>
      <c r="AT59" s="1679"/>
      <c r="AV59" s="1679"/>
      <c r="AW59" s="1679"/>
      <c r="AX59" s="1689" t="s">
        <v>669</v>
      </c>
      <c r="AY59" s="1831" t="s">
        <v>672</v>
      </c>
      <c r="AZ59" s="1827">
        <f>CR73</f>
        <v>0</v>
      </c>
      <c r="BA59" s="1689" t="s">
        <v>669</v>
      </c>
      <c r="BB59" s="1831" t="s">
        <v>672</v>
      </c>
      <c r="BC59" s="1827" t="e">
        <f>#REF!</f>
        <v>#REF!</v>
      </c>
      <c r="BD59" s="1689" t="s">
        <v>669</v>
      </c>
      <c r="BE59" s="1831" t="s">
        <v>672</v>
      </c>
      <c r="BF59" s="1827">
        <f>BI72</f>
        <v>5.7210216110019649</v>
      </c>
      <c r="BG59" s="1689" t="s">
        <v>708</v>
      </c>
      <c r="BH59" s="1831" t="s">
        <v>710</v>
      </c>
      <c r="BI59" s="1827">
        <f>BI72</f>
        <v>5.7210216110019649</v>
      </c>
      <c r="BJ59" s="1829">
        <f>BJ47/BJ44</f>
        <v>5.1579994316567204</v>
      </c>
      <c r="BK59" s="1681"/>
      <c r="BM59" s="1689"/>
      <c r="BN59" s="1831"/>
      <c r="BO59" s="1827"/>
      <c r="BP59" s="1829"/>
      <c r="BQ59" s="1681"/>
      <c r="BS59" s="1689"/>
      <c r="BT59" s="1831"/>
      <c r="BU59" s="1827"/>
      <c r="BV59" s="1829"/>
      <c r="BW59" s="1681"/>
      <c r="BZ59" s="1689"/>
      <c r="CA59" s="1831"/>
      <c r="CB59" s="1827"/>
      <c r="CC59" s="1829"/>
      <c r="CD59" s="1681"/>
      <c r="CG59" s="1689"/>
      <c r="CH59" s="1831"/>
      <c r="CI59" s="1827"/>
      <c r="CJ59" s="1827"/>
      <c r="CK59" s="1827"/>
      <c r="CL59" s="1827"/>
      <c r="CM59" s="1829"/>
      <c r="CN59" s="1681"/>
      <c r="CQ59" s="1804"/>
      <c r="DX59"/>
      <c r="DY59"/>
      <c r="DZ59"/>
      <c r="EA59"/>
      <c r="EB59"/>
      <c r="EC59"/>
      <c r="ED59"/>
      <c r="EE59"/>
    </row>
    <row r="60" spans="2:137" x14ac:dyDescent="0.2">
      <c r="B60" s="1833"/>
      <c r="C60" s="1599"/>
      <c r="D60" s="1599"/>
      <c r="E60" s="1599"/>
      <c r="F60" s="1599"/>
      <c r="H60" s="1599"/>
      <c r="I60" s="1599"/>
      <c r="J60" s="1599"/>
      <c r="K60" s="1599"/>
      <c r="M60" s="1599"/>
      <c r="N60" s="1599"/>
      <c r="O60" s="1599"/>
      <c r="P60" s="1599"/>
      <c r="Q60" s="1599"/>
      <c r="S60" s="1599"/>
      <c r="T60" s="1599"/>
      <c r="U60" s="1599"/>
      <c r="V60" s="1599"/>
      <c r="W60" s="1599"/>
      <c r="X60" s="1599"/>
      <c r="Y60" s="1599"/>
      <c r="Z60" s="1599"/>
      <c r="AA60" s="1599"/>
      <c r="AB60" s="1599"/>
      <c r="AC60" s="1599"/>
      <c r="AD60" s="1599"/>
      <c r="AE60" s="1599"/>
      <c r="AF60" s="1599"/>
      <c r="AG60" s="1599"/>
      <c r="AH60" s="1599"/>
      <c r="AI60" s="1599"/>
      <c r="AJ60" s="1599"/>
      <c r="AK60" s="1599"/>
      <c r="AL60" s="1599"/>
      <c r="AM60" s="1599"/>
      <c r="AN60" s="1599"/>
      <c r="AO60" s="1599"/>
      <c r="AP60" s="1599"/>
      <c r="AQ60" s="1599"/>
      <c r="AR60" s="1599"/>
      <c r="AS60" s="1599"/>
      <c r="AT60" s="1599"/>
      <c r="AV60" s="1599"/>
      <c r="AW60" s="1599"/>
      <c r="AX60" s="1669"/>
      <c r="AY60" s="1834"/>
      <c r="AZ60" s="1835"/>
      <c r="BA60" s="1835"/>
      <c r="BB60" s="1835"/>
      <c r="BC60" s="1835"/>
      <c r="BD60" s="1835"/>
      <c r="BE60" s="1835"/>
      <c r="BF60" s="1835"/>
      <c r="BG60" s="1835"/>
      <c r="BH60" s="1835"/>
      <c r="BI60" s="1835"/>
      <c r="BJ60" s="1836"/>
      <c r="BK60" s="1599"/>
      <c r="BM60" s="1835"/>
      <c r="BN60" s="1835"/>
      <c r="BO60" s="1835"/>
      <c r="BP60" s="1836"/>
      <c r="BQ60" s="1599"/>
      <c r="BS60" s="1835"/>
      <c r="BT60" s="1835"/>
      <c r="BU60" s="1835"/>
      <c r="BV60" s="1836"/>
      <c r="BW60" s="1599"/>
      <c r="BZ60" s="1835"/>
      <c r="CA60" s="1835"/>
      <c r="CB60" s="1835"/>
      <c r="CC60" s="1836"/>
      <c r="CD60" s="1599"/>
      <c r="CG60" s="1835"/>
      <c r="CH60" s="1835"/>
      <c r="CI60" s="1835"/>
      <c r="CJ60" s="1835"/>
      <c r="CK60" s="1835"/>
      <c r="CL60" s="1835"/>
      <c r="CM60" s="1836"/>
      <c r="CN60" s="1599"/>
      <c r="CS60" s="1804"/>
      <c r="DZ60"/>
      <c r="EA60"/>
      <c r="EB60"/>
      <c r="EC60"/>
      <c r="ED60"/>
      <c r="EE60"/>
      <c r="EF60"/>
      <c r="EG60"/>
    </row>
    <row r="61" spans="2:137" x14ac:dyDescent="0.2">
      <c r="CR61"/>
      <c r="CS61"/>
      <c r="CT61"/>
      <c r="CU61"/>
      <c r="DZ61"/>
      <c r="EA61"/>
      <c r="EB61"/>
      <c r="EC61"/>
      <c r="ED61"/>
      <c r="EE61"/>
      <c r="EF61"/>
      <c r="EG61"/>
    </row>
    <row r="62" spans="2:137" x14ac:dyDescent="0.2">
      <c r="BL62" s="1823"/>
      <c r="BR62" s="1823"/>
      <c r="BX62" s="1823"/>
      <c r="CE62" s="1823"/>
      <c r="CO62" s="1823"/>
      <c r="CP62" s="1707"/>
      <c r="CQ62" s="1707"/>
      <c r="CR62" s="1707"/>
      <c r="CS62" s="1800"/>
      <c r="CT62" s="1800"/>
    </row>
    <row r="63" spans="2:137" x14ac:dyDescent="0.2">
      <c r="BL63" s="1707"/>
      <c r="BR63" s="1707"/>
      <c r="BX63" s="1707"/>
      <c r="CE63" s="1707"/>
      <c r="CO63" s="1707"/>
      <c r="CP63" s="1707"/>
    </row>
    <row r="64" spans="2:137" x14ac:dyDescent="0.2">
      <c r="B64" s="1867"/>
      <c r="C64" s="1878"/>
      <c r="D64" s="1878"/>
      <c r="E64" s="1878"/>
      <c r="F64" s="1878"/>
      <c r="G64" s="1878"/>
      <c r="H64" s="1878"/>
      <c r="I64" s="1878"/>
      <c r="J64" s="1878"/>
      <c r="K64" s="1878"/>
      <c r="L64" s="1878"/>
      <c r="M64" s="1878"/>
      <c r="N64" s="1878"/>
      <c r="O64" s="1878"/>
      <c r="P64" s="1878"/>
      <c r="Q64" s="1878"/>
      <c r="R64" s="1878"/>
      <c r="S64" s="1878"/>
      <c r="T64" s="1878"/>
      <c r="U64" s="1878"/>
      <c r="V64" s="1878"/>
      <c r="W64" s="1878"/>
      <c r="X64" s="1878"/>
      <c r="Y64" s="1878"/>
      <c r="Z64" s="1878"/>
      <c r="AA64" s="1878"/>
      <c r="AB64" s="1878"/>
      <c r="AC64" s="1878"/>
      <c r="AD64" s="1878"/>
      <c r="AE64" s="1878"/>
      <c r="AF64" s="1878"/>
      <c r="AG64" s="1878"/>
      <c r="AH64" s="1878"/>
      <c r="AI64" s="1878"/>
      <c r="AJ64" s="1878"/>
      <c r="AK64" s="1878"/>
      <c r="AL64" s="1878"/>
      <c r="AM64" s="1878"/>
      <c r="AN64" s="1878"/>
      <c r="AO64" s="1878"/>
      <c r="AP64" s="1878"/>
      <c r="AQ64" s="1878"/>
      <c r="AR64" s="1878"/>
      <c r="AS64" s="1878"/>
      <c r="AT64" s="1878"/>
      <c r="AU64" s="1878"/>
      <c r="AV64" s="1878"/>
      <c r="AW64" s="1878"/>
      <c r="AX64" s="1878"/>
      <c r="AY64" s="1878"/>
      <c r="AZ64" s="1878"/>
      <c r="BA64" s="1878"/>
      <c r="BB64" s="1878"/>
      <c r="BC64" s="1878"/>
      <c r="BD64" s="1878"/>
      <c r="BE64" s="1878"/>
      <c r="BF64" s="1880"/>
      <c r="BG64" s="1868" t="s">
        <v>683</v>
      </c>
      <c r="BH64" s="1868" t="s">
        <v>684</v>
      </c>
      <c r="BI64" s="1868" t="s">
        <v>685</v>
      </c>
      <c r="BJ64" s="1868">
        <v>2015</v>
      </c>
      <c r="BK64" s="1868" t="s">
        <v>683</v>
      </c>
      <c r="BL64" s="1868" t="s">
        <v>684</v>
      </c>
      <c r="BM64" s="1868" t="s">
        <v>683</v>
      </c>
      <c r="BN64" s="1868" t="s">
        <v>684</v>
      </c>
      <c r="BO64" s="1868" t="s">
        <v>685</v>
      </c>
      <c r="BP64" s="1868">
        <v>2016</v>
      </c>
      <c r="BQ64" s="1868" t="s">
        <v>683</v>
      </c>
      <c r="BR64" s="1868" t="s">
        <v>684</v>
      </c>
      <c r="BS64" s="1868" t="s">
        <v>683</v>
      </c>
      <c r="BT64" s="1868" t="s">
        <v>684</v>
      </c>
      <c r="BU64" s="1868" t="s">
        <v>685</v>
      </c>
      <c r="BV64" s="1868">
        <v>2016</v>
      </c>
      <c r="BW64" s="1868" t="s">
        <v>683</v>
      </c>
      <c r="BX64" s="1869" t="s">
        <v>684</v>
      </c>
      <c r="BZ64" s="1970" t="s">
        <v>683</v>
      </c>
      <c r="CA64" s="1868" t="s">
        <v>684</v>
      </c>
      <c r="CB64" s="1868" t="s">
        <v>685</v>
      </c>
      <c r="CC64" s="1868">
        <v>2016</v>
      </c>
      <c r="CD64" s="1868" t="s">
        <v>683</v>
      </c>
      <c r="CE64" s="1869" t="s">
        <v>684</v>
      </c>
      <c r="CG64" s="1868" t="s">
        <v>683</v>
      </c>
      <c r="CH64" s="1868" t="s">
        <v>684</v>
      </c>
      <c r="CI64" s="1868" t="s">
        <v>685</v>
      </c>
      <c r="CJ64" s="1868" t="s">
        <v>683</v>
      </c>
      <c r="CK64" s="1868" t="s">
        <v>684</v>
      </c>
      <c r="CL64" s="1868" t="s">
        <v>685</v>
      </c>
      <c r="CM64" s="1868">
        <v>2017</v>
      </c>
      <c r="CN64" s="1868" t="s">
        <v>683</v>
      </c>
      <c r="CO64" s="1869" t="s">
        <v>684</v>
      </c>
      <c r="CP64" s="1824"/>
    </row>
    <row r="65" spans="2:98" x14ac:dyDescent="0.2">
      <c r="B65" s="1931" t="s">
        <v>152</v>
      </c>
      <c r="C65" s="1627"/>
      <c r="D65" s="1627"/>
      <c r="E65" s="1627"/>
      <c r="F65" s="1627"/>
      <c r="G65" s="1627"/>
      <c r="H65" s="1627"/>
      <c r="I65" s="1627"/>
      <c r="J65" s="1627"/>
      <c r="K65" s="1627"/>
      <c r="L65" s="1627"/>
      <c r="M65" s="1627"/>
      <c r="N65" s="1627"/>
      <c r="O65" s="1627"/>
      <c r="P65" s="1627"/>
      <c r="Q65" s="1627"/>
      <c r="R65" s="1627"/>
      <c r="S65" s="1627"/>
      <c r="T65" s="1627"/>
      <c r="U65" s="1627"/>
      <c r="V65" s="1627"/>
      <c r="W65" s="1627"/>
      <c r="X65" s="1627"/>
      <c r="Y65" s="1627"/>
      <c r="Z65" s="1627"/>
      <c r="AA65" s="1627"/>
      <c r="AB65" s="1627"/>
      <c r="AC65" s="1627"/>
      <c r="AD65" s="1627"/>
      <c r="AE65" s="1627"/>
      <c r="AF65" s="1627"/>
      <c r="AG65" s="1627"/>
      <c r="AH65" s="1627"/>
      <c r="AI65" s="1627"/>
      <c r="AJ65" s="1627"/>
      <c r="AK65" s="1627"/>
      <c r="AL65" s="1627"/>
      <c r="AM65" s="1627"/>
      <c r="AN65" s="1627"/>
      <c r="AO65" s="1627"/>
      <c r="AP65" s="1627"/>
      <c r="AQ65" s="1627"/>
      <c r="AR65" s="1627"/>
      <c r="AS65" s="1627"/>
      <c r="AT65" s="1627"/>
      <c r="AU65" s="1627"/>
      <c r="AV65" s="1627"/>
      <c r="AW65" s="1627"/>
      <c r="AX65" s="1627"/>
      <c r="AY65" s="1627"/>
      <c r="AZ65" s="1627"/>
      <c r="BA65" s="1627"/>
      <c r="BB65" s="1627"/>
      <c r="BC65" s="1627"/>
      <c r="BD65" s="1627"/>
      <c r="BE65" s="1627"/>
      <c r="BF65" s="1932"/>
      <c r="BG65" s="1614"/>
      <c r="BH65" s="1614"/>
      <c r="BI65" s="1614"/>
      <c r="BJ65" s="1614"/>
      <c r="BK65" s="1614"/>
      <c r="BL65" s="1614"/>
      <c r="BM65" s="1614"/>
      <c r="BN65" s="1614"/>
      <c r="BO65" s="1614"/>
      <c r="BP65" s="1614"/>
      <c r="BQ65" s="1614"/>
      <c r="BR65" s="1614"/>
      <c r="BS65" s="1614">
        <v>6.95</v>
      </c>
      <c r="BT65" s="1614">
        <v>7.05</v>
      </c>
      <c r="BU65" s="1933">
        <f>AVERAGE(BS65:BT65)</f>
        <v>7</v>
      </c>
      <c r="BV65" s="1934">
        <f>Model!CG28</f>
        <v>6.3942865755533873</v>
      </c>
      <c r="BW65" s="1935">
        <f>BS65/BV65-1</f>
        <v>8.6907807130699233E-2</v>
      </c>
      <c r="BX65" s="1935">
        <f>BT65/BV65-1</f>
        <v>0.10254676838437837</v>
      </c>
      <c r="BZ65" s="1934">
        <v>7</v>
      </c>
      <c r="CA65" s="1934">
        <v>7.08</v>
      </c>
      <c r="CB65" s="1933">
        <f>AVERAGE(BZ65:CA65)</f>
        <v>7.04</v>
      </c>
      <c r="CC65" s="1934">
        <f>BV65</f>
        <v>6.3942865755533873</v>
      </c>
      <c r="CD65" s="1935">
        <f>BZ65/CC65-1</f>
        <v>9.4727287757538692E-2</v>
      </c>
      <c r="CE65" s="1935">
        <f>CA65/CC65-1</f>
        <v>0.10723845676048205</v>
      </c>
      <c r="CG65" s="1614"/>
      <c r="CH65" s="1614"/>
      <c r="CI65" s="1933"/>
      <c r="CJ65" s="1933">
        <v>9.27</v>
      </c>
      <c r="CK65" s="1933">
        <v>9.4700000000000006</v>
      </c>
      <c r="CL65" s="1933">
        <f t="shared" ref="CL65:CL70" si="1">AVERAGE(CJ65:CK65)</f>
        <v>9.370000000000001</v>
      </c>
      <c r="CM65" s="1934">
        <f>Model!CL28</f>
        <v>7.1258142033193153</v>
      </c>
      <c r="CN65" s="1935">
        <f>CJ65/CM65-1</f>
        <v>0.3009039718832256</v>
      </c>
      <c r="CO65" s="1935">
        <f>CK65/CM65-1</f>
        <v>0.32897093999289617</v>
      </c>
      <c r="CP65" s="1824"/>
    </row>
    <row r="66" spans="2:98" x14ac:dyDescent="0.2">
      <c r="B66" s="1877" t="s">
        <v>686</v>
      </c>
      <c r="BG66" s="1747">
        <v>1265</v>
      </c>
      <c r="BH66" s="1747">
        <v>1280</v>
      </c>
      <c r="BI66" s="1747">
        <f>AVERAGE(BG66:BH66)</f>
        <v>1272.5</v>
      </c>
      <c r="BJ66" s="1747">
        <f>Revenue!CB78</f>
        <v>1441.6</v>
      </c>
      <c r="BK66" s="1800">
        <f>BG66/$BJ66-1</f>
        <v>-0.12250277469478354</v>
      </c>
      <c r="BL66" s="1800">
        <f>BH66/$BJ66-1</f>
        <v>-0.11209766925638176</v>
      </c>
      <c r="BM66" s="1747">
        <v>1375</v>
      </c>
      <c r="BN66" s="1747">
        <v>1425</v>
      </c>
      <c r="BO66" s="1747">
        <f>AVERAGE(BM66:BN66)</f>
        <v>1400</v>
      </c>
      <c r="BP66" s="1747">
        <f>Revenue!CG78</f>
        <v>1407.6</v>
      </c>
      <c r="BQ66" s="1800">
        <f>BM66/BP66-1</f>
        <v>-2.3159988633134398E-2</v>
      </c>
      <c r="BR66" s="1800">
        <f>BN66/BP66-1</f>
        <v>1.2361466325660819E-2</v>
      </c>
      <c r="BS66" s="1747">
        <v>1385</v>
      </c>
      <c r="BT66" s="1747">
        <v>1415</v>
      </c>
      <c r="BU66" s="1747">
        <f>AVERAGE(BS66:BT66)</f>
        <v>1400</v>
      </c>
      <c r="BV66" s="1747">
        <f>Revenue!CG78</f>
        <v>1407.6</v>
      </c>
      <c r="BW66" s="1800">
        <f>BS66/BV66-1</f>
        <v>-1.6055697641375377E-2</v>
      </c>
      <c r="BX66" s="1800">
        <f>BT66/BV66-1</f>
        <v>5.2571753339016869E-3</v>
      </c>
      <c r="BZ66" s="1747">
        <v>1385</v>
      </c>
      <c r="CA66" s="1747">
        <v>1415</v>
      </c>
      <c r="CB66" s="1747">
        <f>AVERAGE(BZ66:CA66)</f>
        <v>1400</v>
      </c>
      <c r="CC66" s="1747">
        <f>BV66</f>
        <v>1407.6</v>
      </c>
      <c r="CD66" s="1800">
        <f>BZ66/CC66-1</f>
        <v>-1.6055697641375377E-2</v>
      </c>
      <c r="CE66" s="1800">
        <f>CA66/CC66-1</f>
        <v>5.2571753339016869E-3</v>
      </c>
      <c r="CG66" s="1747">
        <v>1125</v>
      </c>
      <c r="CH66" s="1747">
        <v>1165</v>
      </c>
      <c r="CI66" s="1747">
        <f>AVERAGE(CG66:CH66)</f>
        <v>1145</v>
      </c>
      <c r="CJ66" s="1747">
        <v>1345</v>
      </c>
      <c r="CK66" s="1747">
        <v>1395</v>
      </c>
      <c r="CL66" s="1747">
        <f t="shared" si="1"/>
        <v>1370</v>
      </c>
      <c r="CM66" s="1747">
        <f>Revenue!CL77</f>
        <v>1400.8999999999999</v>
      </c>
      <c r="CN66" s="1800">
        <f t="shared" ref="CN66:CN70" si="2">CJ66/CM66-1</f>
        <v>-3.9902919551716654E-2</v>
      </c>
      <c r="CO66" s="1800">
        <f t="shared" ref="CO66:CO70" si="3">CK66/CM66-1</f>
        <v>-4.2115782711112937E-3</v>
      </c>
      <c r="CP66" s="1707"/>
    </row>
    <row r="67" spans="2:98" x14ac:dyDescent="0.2">
      <c r="B67" s="1877" t="s">
        <v>467</v>
      </c>
      <c r="BG67" s="1747"/>
      <c r="BH67" s="1747"/>
      <c r="BI67" s="1747"/>
      <c r="BJ67" s="1747"/>
      <c r="BK67" s="1800"/>
      <c r="BL67" s="1800"/>
      <c r="BM67" s="1747"/>
      <c r="BN67" s="1747"/>
      <c r="BO67" s="1747"/>
      <c r="BP67" s="1747"/>
      <c r="BQ67" s="1800"/>
      <c r="BR67" s="1800"/>
      <c r="BS67" s="1747"/>
      <c r="BT67" s="1747"/>
      <c r="BU67" s="1747"/>
      <c r="BV67" s="1747"/>
      <c r="BW67" s="1800"/>
      <c r="BX67" s="1800"/>
      <c r="BZ67" s="1747"/>
      <c r="CA67" s="1747"/>
      <c r="CB67" s="1747"/>
      <c r="CC67" s="1747"/>
      <c r="CD67" s="1800"/>
      <c r="CE67" s="1800"/>
      <c r="CG67" s="1747">
        <v>80500</v>
      </c>
      <c r="CH67" s="1747">
        <v>83000</v>
      </c>
      <c r="CI67" s="1747">
        <f>AVERAGE(CG67:CH67)</f>
        <v>81750</v>
      </c>
      <c r="CJ67" s="1747">
        <v>99000</v>
      </c>
      <c r="CK67" s="1747">
        <v>102000</v>
      </c>
      <c r="CL67" s="1747">
        <f t="shared" si="1"/>
        <v>100500</v>
      </c>
      <c r="CM67" s="1747">
        <f>Model!CL11</f>
        <v>100286.2</v>
      </c>
      <c r="CN67" s="1800">
        <f t="shared" si="2"/>
        <v>-1.2825294008547483E-2</v>
      </c>
      <c r="CO67" s="1800">
        <f t="shared" si="3"/>
        <v>1.7089091021496472E-2</v>
      </c>
      <c r="CP67" s="1707"/>
    </row>
    <row r="68" spans="2:98" x14ac:dyDescent="0.2">
      <c r="B68" s="1877" t="s">
        <v>88</v>
      </c>
      <c r="BG68" s="1747">
        <v>7230</v>
      </c>
      <c r="BH68" s="1747">
        <v>7330</v>
      </c>
      <c r="BI68" s="1747">
        <f>AVERAGE(BG68:BH68)</f>
        <v>7280</v>
      </c>
      <c r="BJ68" s="1747">
        <f>Model!CB62</f>
        <v>7046.9</v>
      </c>
      <c r="BK68" s="1800">
        <f t="shared" ref="BK68:BK69" si="4">BG68/$BJ68-1</f>
        <v>2.5983056379401015E-2</v>
      </c>
      <c r="BL68" s="1800">
        <f t="shared" ref="BL68:BL69" si="5">BH68/$BJ68-1</f>
        <v>4.0173693397096644E-2</v>
      </c>
      <c r="BM68" s="1747">
        <v>7310</v>
      </c>
      <c r="BN68" s="1747">
        <v>7510</v>
      </c>
      <c r="BO68" s="1747">
        <f>AVERAGE(BM68:BN68)</f>
        <v>7410</v>
      </c>
      <c r="BP68" s="1747">
        <f>Model!CG62</f>
        <v>7260.4</v>
      </c>
      <c r="BQ68" s="1800">
        <f t="shared" ref="BQ68:BQ69" si="6">BM68/BP68-1</f>
        <v>6.8315795272988478E-3</v>
      </c>
      <c r="BR68" s="1800">
        <f t="shared" ref="BR68:BR69" si="7">BN68/BP68-1</f>
        <v>3.4378271169632546E-2</v>
      </c>
      <c r="BS68" s="1747">
        <v>7350</v>
      </c>
      <c r="BT68" s="1747">
        <v>7470</v>
      </c>
      <c r="BU68" s="1747">
        <f>AVERAGE(BS68:BT68)</f>
        <v>7410</v>
      </c>
      <c r="BV68" s="1747">
        <f>Model!CG62</f>
        <v>7260.4</v>
      </c>
      <c r="BW68" s="1800">
        <f t="shared" ref="BW68:BW70" si="8">BS68/BV68-1</f>
        <v>1.2340917855765632E-2</v>
      </c>
      <c r="BX68" s="1800">
        <f t="shared" ref="BX68:BX70" si="9">BT68/BV68-1</f>
        <v>2.8868932841165762E-2</v>
      </c>
      <c r="BZ68" s="1747">
        <v>7370</v>
      </c>
      <c r="CA68" s="1747">
        <v>7450</v>
      </c>
      <c r="CB68" s="1747">
        <f>AVERAGE(BZ68:CA68)</f>
        <v>7410</v>
      </c>
      <c r="CC68" s="1747">
        <f t="shared" ref="CC68:CC70" si="10">BV68</f>
        <v>7260.4</v>
      </c>
      <c r="CD68" s="1800">
        <f t="shared" ref="CD68:CD70" si="11">BZ68/CC68-1</f>
        <v>1.5095587019998913E-2</v>
      </c>
      <c r="CE68" s="1800">
        <f t="shared" ref="CE68:CE70" si="12">CA68/CC68-1</f>
        <v>2.6114263676932481E-2</v>
      </c>
      <c r="CG68" s="1747">
        <v>5250</v>
      </c>
      <c r="CH68" s="1747">
        <v>5400</v>
      </c>
      <c r="CI68" s="1747">
        <f>AVERAGE(CG68:CH68)</f>
        <v>5325</v>
      </c>
      <c r="CJ68" s="1747">
        <v>7600</v>
      </c>
      <c r="CK68" s="1747">
        <v>7800</v>
      </c>
      <c r="CL68" s="1747">
        <f t="shared" si="1"/>
        <v>7700</v>
      </c>
      <c r="CM68" s="1747">
        <v>7415.5</v>
      </c>
      <c r="CN68" s="1800">
        <f t="shared" si="2"/>
        <v>2.4880318252309408E-2</v>
      </c>
      <c r="CO68" s="1800">
        <f t="shared" si="3"/>
        <v>5.1850852943159609E-2</v>
      </c>
      <c r="CP68" s="1707"/>
    </row>
    <row r="69" spans="2:98" x14ac:dyDescent="0.2">
      <c r="B69" s="1598" t="s">
        <v>499</v>
      </c>
      <c r="BF69" s="1799"/>
      <c r="BG69" s="1707">
        <v>630</v>
      </c>
      <c r="BH69" s="1707">
        <v>635</v>
      </c>
      <c r="BJ69" s="1707">
        <f>Model!CB47</f>
        <v>695.3</v>
      </c>
      <c r="BK69" s="1800">
        <f t="shared" si="4"/>
        <v>-9.391629512440669E-2</v>
      </c>
      <c r="BL69" s="1800">
        <f t="shared" si="5"/>
        <v>-8.6725154609521016E-2</v>
      </c>
      <c r="BM69" s="1707">
        <v>575</v>
      </c>
      <c r="BN69" s="1707">
        <v>595</v>
      </c>
      <c r="BO69" s="1747">
        <f>AVERAGE(BM69:BN69)</f>
        <v>585</v>
      </c>
      <c r="BP69" s="1707">
        <f>Model!CG47</f>
        <v>631.5</v>
      </c>
      <c r="BQ69" s="1800">
        <f t="shared" si="6"/>
        <v>-8.9469517022961242E-2</v>
      </c>
      <c r="BR69" s="1800">
        <f t="shared" si="7"/>
        <v>-5.7798891528107688E-2</v>
      </c>
      <c r="BS69" s="1707">
        <v>580</v>
      </c>
      <c r="BT69" s="1707">
        <v>590</v>
      </c>
      <c r="BU69" s="1747">
        <f>AVERAGE(BS69:BT69)</f>
        <v>585</v>
      </c>
      <c r="BV69" s="1747">
        <f>Model!CG47</f>
        <v>631.5</v>
      </c>
      <c r="BW69" s="1800">
        <f t="shared" si="8"/>
        <v>-8.1551860649247798E-2</v>
      </c>
      <c r="BX69" s="1800">
        <f t="shared" si="9"/>
        <v>-6.5716547901821021E-2</v>
      </c>
      <c r="BZ69" s="1707">
        <v>580</v>
      </c>
      <c r="CA69" s="1707">
        <v>590</v>
      </c>
      <c r="CB69" s="1747">
        <f>AVERAGE(BZ69:CA69)</f>
        <v>585</v>
      </c>
      <c r="CC69" s="1747">
        <f t="shared" si="10"/>
        <v>631.5</v>
      </c>
      <c r="CD69" s="1800">
        <f t="shared" si="11"/>
        <v>-8.1551860649247798E-2</v>
      </c>
      <c r="CE69" s="1800">
        <f t="shared" si="12"/>
        <v>-6.5716547901821021E-2</v>
      </c>
      <c r="CG69" s="1707"/>
      <c r="CH69" s="1707"/>
      <c r="CI69" s="1747"/>
      <c r="CJ69" s="1747">
        <v>540</v>
      </c>
      <c r="CK69" s="1747">
        <v>560</v>
      </c>
      <c r="CL69" s="1747">
        <f t="shared" si="1"/>
        <v>550</v>
      </c>
      <c r="CM69" s="1747">
        <f>Model!CL47</f>
        <v>583.45000000000005</v>
      </c>
      <c r="CN69" s="1800">
        <f t="shared" si="2"/>
        <v>-7.447082012169004E-2</v>
      </c>
      <c r="CO69" s="1800">
        <f t="shared" si="3"/>
        <v>-4.0191961607678572E-2</v>
      </c>
    </row>
    <row r="70" spans="2:98" x14ac:dyDescent="0.2">
      <c r="B70" s="1598" t="s">
        <v>494</v>
      </c>
      <c r="BF70" s="1799"/>
      <c r="BG70" s="1707"/>
      <c r="BH70" s="1707"/>
      <c r="BJ70" s="1707"/>
      <c r="BK70" s="1800"/>
      <c r="BL70" s="1800"/>
      <c r="BM70" s="1707">
        <v>4700</v>
      </c>
      <c r="BN70" s="1707">
        <v>5200</v>
      </c>
      <c r="BO70" s="1747">
        <f>AVERAGE(BM70:BN70)</f>
        <v>4950</v>
      </c>
      <c r="BP70" s="1707">
        <f>Model!CG143</f>
        <v>4919.3999999999996</v>
      </c>
      <c r="BQ70" s="1800">
        <f t="shared" ref="BQ70" si="13">BM70/BP70-1</f>
        <v>-4.4598934829450654E-2</v>
      </c>
      <c r="BR70" s="1800">
        <f t="shared" ref="BR70" si="14">BN70/BP70-1</f>
        <v>5.7039476358905716E-2</v>
      </c>
      <c r="BS70" s="1747">
        <v>4700</v>
      </c>
      <c r="BT70" s="1747">
        <v>5200</v>
      </c>
      <c r="BU70" s="1747">
        <f>AVERAGE(BS70:BT70)</f>
        <v>4950</v>
      </c>
      <c r="BV70" s="1747">
        <f>Model!CG143</f>
        <v>4919.3999999999996</v>
      </c>
      <c r="BW70" s="1800">
        <f t="shared" si="8"/>
        <v>-4.4598934829450654E-2</v>
      </c>
      <c r="BX70" s="1800">
        <f t="shared" si="9"/>
        <v>5.7039476358905716E-2</v>
      </c>
      <c r="BZ70" s="1747">
        <v>4700</v>
      </c>
      <c r="CA70" s="1747">
        <v>5200</v>
      </c>
      <c r="CB70" s="1747">
        <f>AVERAGE(BZ70:CA70)</f>
        <v>4950</v>
      </c>
      <c r="CC70" s="1747">
        <f t="shared" si="10"/>
        <v>4919.3999999999996</v>
      </c>
      <c r="CD70" s="1800">
        <f t="shared" si="11"/>
        <v>-4.4598934829450654E-2</v>
      </c>
      <c r="CE70" s="1800">
        <f t="shared" si="12"/>
        <v>5.7039476358905716E-2</v>
      </c>
      <c r="CG70" s="1747"/>
      <c r="CH70" s="1747"/>
      <c r="CI70" s="1747"/>
      <c r="CJ70" s="1747">
        <v>5800</v>
      </c>
      <c r="CK70" s="1747">
        <v>6300</v>
      </c>
      <c r="CL70" s="1747">
        <f t="shared" si="1"/>
        <v>6050</v>
      </c>
      <c r="CM70" s="1747">
        <f>Model!CL143</f>
        <v>5351.3</v>
      </c>
      <c r="CN70" s="1800">
        <f t="shared" si="2"/>
        <v>8.3848784407527077E-2</v>
      </c>
      <c r="CO70" s="1800">
        <f t="shared" si="3"/>
        <v>0.17728402444265878</v>
      </c>
    </row>
    <row r="71" spans="2:98" x14ac:dyDescent="0.2">
      <c r="B71" s="1870" t="s">
        <v>687</v>
      </c>
      <c r="C71" s="1878"/>
      <c r="D71" s="1878"/>
      <c r="E71" s="1878"/>
      <c r="F71" s="1878"/>
      <c r="G71" s="1878"/>
      <c r="H71" s="1878"/>
      <c r="I71" s="1878"/>
      <c r="J71" s="1878"/>
      <c r="K71" s="1878"/>
      <c r="L71" s="1878"/>
      <c r="M71" s="1878"/>
      <c r="N71" s="1878"/>
      <c r="O71" s="1878"/>
      <c r="P71" s="1878"/>
      <c r="Q71" s="1878"/>
      <c r="R71" s="1878"/>
      <c r="S71" s="1878"/>
      <c r="T71" s="1878"/>
      <c r="U71" s="1878"/>
      <c r="V71" s="1878"/>
      <c r="W71" s="1878"/>
      <c r="X71" s="1878"/>
      <c r="Y71" s="1878"/>
      <c r="Z71" s="1878"/>
      <c r="AA71" s="1878"/>
      <c r="AB71" s="1878"/>
      <c r="AC71" s="1878"/>
      <c r="AD71" s="1878"/>
      <c r="AE71" s="1878"/>
      <c r="AF71" s="1878"/>
      <c r="AG71" s="1878"/>
      <c r="AH71" s="1878"/>
      <c r="AI71" s="1878"/>
      <c r="AJ71" s="1878"/>
      <c r="AK71" s="1878"/>
      <c r="AL71" s="1878"/>
      <c r="AM71" s="1878"/>
      <c r="AN71" s="1878"/>
      <c r="AO71" s="1878"/>
      <c r="AP71" s="1878"/>
      <c r="AQ71" s="1878"/>
      <c r="AR71" s="1878"/>
      <c r="AS71" s="1878"/>
      <c r="AT71" s="1878"/>
      <c r="AU71" s="1878"/>
      <c r="AV71" s="1878"/>
      <c r="AW71" s="1878"/>
      <c r="AX71" s="1878"/>
      <c r="AY71" s="1878"/>
      <c r="AZ71" s="1878"/>
      <c r="BA71" s="1878"/>
      <c r="BB71" s="1878"/>
      <c r="BC71" s="1878"/>
      <c r="BD71" s="1878"/>
      <c r="BE71" s="1878"/>
      <c r="BF71" s="1878"/>
      <c r="BG71" s="1871"/>
      <c r="BH71" s="1871"/>
      <c r="BI71" s="1871"/>
      <c r="BJ71" s="1871"/>
      <c r="BK71" s="1878"/>
      <c r="BL71" s="1878"/>
      <c r="BM71" s="1871"/>
      <c r="BN71" s="1871"/>
      <c r="BO71" s="1871"/>
      <c r="BP71" s="1871"/>
      <c r="BQ71" s="1878"/>
      <c r="BR71" s="1878"/>
      <c r="BS71" s="1871"/>
      <c r="BT71" s="1871"/>
      <c r="BU71" s="1871"/>
      <c r="BV71" s="1871"/>
      <c r="BW71" s="1878"/>
      <c r="BX71" s="1879"/>
      <c r="BZ71" s="1870"/>
      <c r="CA71" s="1871"/>
      <c r="CB71" s="1871"/>
      <c r="CC71" s="1871"/>
      <c r="CD71" s="1878"/>
      <c r="CE71" s="1879"/>
      <c r="CG71" s="1871"/>
      <c r="CH71" s="1871"/>
      <c r="CI71" s="1871"/>
      <c r="CJ71" s="1871"/>
      <c r="CK71" s="1871"/>
      <c r="CL71" s="1871"/>
      <c r="CM71" s="1871"/>
      <c r="CN71" s="1878"/>
      <c r="CO71" s="1879"/>
    </row>
    <row r="72" spans="2:98" x14ac:dyDescent="0.2">
      <c r="B72" s="1808" t="s">
        <v>782</v>
      </c>
      <c r="BG72" s="1752">
        <f>BG68/BH66</f>
        <v>5.6484375</v>
      </c>
      <c r="BH72" s="1752">
        <f>BH68/BG66</f>
        <v>5.7944664031620556</v>
      </c>
      <c r="BI72" s="1752">
        <f>BI68/BI66</f>
        <v>5.7210216110019649</v>
      </c>
      <c r="BJ72" s="1752">
        <f>'Per claim analysis'!CB13</f>
        <v>4.8882491675915647</v>
      </c>
      <c r="BK72" s="1800">
        <f t="shared" ref="BK72" si="15">BG72/$BJ72-1</f>
        <v>0.15551341724730028</v>
      </c>
      <c r="BL72" s="1800">
        <f t="shared" ref="BL72" si="16">BH72/$BJ72-1</f>
        <v>0.18538687462549763</v>
      </c>
      <c r="BM72" s="1752">
        <f>BM68/BN66</f>
        <v>5.1298245614035087</v>
      </c>
      <c r="BN72" s="1752">
        <f>BN68/BM66</f>
        <v>5.4618181818181819</v>
      </c>
      <c r="BO72" s="1752">
        <f>BO68/BO66</f>
        <v>5.2928571428571427</v>
      </c>
      <c r="BP72" s="1752">
        <f>'Per claim analysis'!CG13</f>
        <v>5.1579994316567204</v>
      </c>
      <c r="BQ72" s="1800">
        <f t="shared" ref="BQ72" si="17">BM72/$BJ72-1</f>
        <v>4.9419615393903493E-2</v>
      </c>
      <c r="BR72" s="1800">
        <f t="shared" ref="BR72" si="18">BN72/$BJ72-1</f>
        <v>0.11733628842598742</v>
      </c>
      <c r="BS72" s="1752">
        <f>BS68/BT66</f>
        <v>5.1943462897526498</v>
      </c>
      <c r="BT72" s="1752">
        <f>BT68/BS66</f>
        <v>5.3935018050541519</v>
      </c>
      <c r="BU72" s="1752">
        <f>BU68/BU66</f>
        <v>5.2928571428571427</v>
      </c>
      <c r="BV72" s="1752">
        <f ca="1">'Per claim analysis'!CM13</f>
        <v>4.5777430847639158</v>
      </c>
      <c r="BW72" s="1800">
        <f t="shared" ref="BW72" si="19">BS72/$BJ72-1</f>
        <v>6.2618968810032927E-2</v>
      </c>
      <c r="BX72" s="1800">
        <f t="shared" ref="BX72" si="20">BT72/$BJ72-1</f>
        <v>0.10336065534718331</v>
      </c>
      <c r="BZ72" s="1752">
        <f>BZ68/CA66</f>
        <v>5.2084805653710244</v>
      </c>
      <c r="CA72" s="1752">
        <f>CA68/BZ66</f>
        <v>5.3790613718411553</v>
      </c>
      <c r="CB72" s="1752">
        <f>CB68/CB66</f>
        <v>5.2928571428571427</v>
      </c>
      <c r="CC72" s="1752">
        <f ca="1">BV72</f>
        <v>4.5777430847639158</v>
      </c>
      <c r="CD72" s="1800">
        <f t="shared" ref="CD72" si="21">BZ72/$BJ72-1</f>
        <v>6.5510448997271098E-2</v>
      </c>
      <c r="CE72" s="1800">
        <f t="shared" ref="CE72" si="22">CA72/$BJ72-1</f>
        <v>0.10040654382014935</v>
      </c>
      <c r="CG72" s="1752">
        <f>CG68/CH66</f>
        <v>4.5064377682403434</v>
      </c>
      <c r="CH72" s="1752">
        <f>CH68/CG66</f>
        <v>4.8</v>
      </c>
      <c r="CI72" s="1752">
        <f>CI68/CI66</f>
        <v>4.6506550218340612</v>
      </c>
      <c r="CJ72" s="1752">
        <f>CJ68/CK66</f>
        <v>5.4480286738351253</v>
      </c>
      <c r="CK72" s="1752">
        <f>CK68/CJ66</f>
        <v>5.7992565055762082</v>
      </c>
      <c r="CL72" s="1752">
        <f>CL68/CL66</f>
        <v>5.6204379562043796</v>
      </c>
      <c r="CM72" s="1752">
        <f ca="1">'Per claim analysis'!DA13</f>
        <v>5.3303337647281426</v>
      </c>
      <c r="CN72" s="1800">
        <f t="shared" ref="CN72" si="23">CG72/$BJ72-1</f>
        <v>-7.8108006826366316E-2</v>
      </c>
      <c r="CO72" s="1800">
        <f t="shared" ref="CO72" si="24">CH72/$BJ72-1</f>
        <v>-1.8053328413912495E-2</v>
      </c>
      <c r="CP72" s="1825"/>
      <c r="CQ72" s="1825"/>
    </row>
    <row r="73" spans="2:98" ht="15" x14ac:dyDescent="0.25">
      <c r="U73" s="1887">
        <f>+Model!CC28</f>
        <v>1.2031706941665383</v>
      </c>
      <c r="V73" s="1887"/>
      <c r="W73" s="1887">
        <f>+Model!CD28</f>
        <v>1.571024067956583</v>
      </c>
      <c r="X73" s="1887">
        <f>+Model!CE28</f>
        <v>1.7407112103332802</v>
      </c>
      <c r="Y73" s="1887">
        <f>+BG73-X73-W73-U73</f>
        <v>1.8450940275435992</v>
      </c>
      <c r="BG73" s="1887">
        <v>6.36</v>
      </c>
      <c r="BH73" s="1887">
        <v>6.42</v>
      </c>
      <c r="BI73" s="1887">
        <f>AVERAGE(BG73:BH73)</f>
        <v>6.3900000000000006</v>
      </c>
      <c r="BJ73" s="1808"/>
      <c r="BL73" s="1825"/>
      <c r="BM73" s="1887"/>
      <c r="BN73" s="1887"/>
      <c r="BO73" s="1887"/>
      <c r="BP73" s="1808"/>
      <c r="BR73" s="1825"/>
      <c r="BS73" s="1887"/>
      <c r="BT73" s="1887"/>
      <c r="BU73" s="1887"/>
      <c r="BV73" s="1808"/>
      <c r="BX73" s="1825"/>
      <c r="BZ73" s="1887"/>
      <c r="CA73" s="1887"/>
      <c r="CB73" s="1887"/>
      <c r="CC73" s="1808"/>
      <c r="CE73" s="1825"/>
      <c r="CG73" s="1825"/>
      <c r="CH73" s="1825"/>
      <c r="CI73" s="1825"/>
      <c r="CJ73" s="1825"/>
      <c r="CK73" s="1825"/>
      <c r="CL73" s="1825"/>
      <c r="CM73" s="1825"/>
      <c r="CN73" s="1825"/>
      <c r="CO73" s="1825"/>
      <c r="CP73" s="1825"/>
      <c r="CQ73" s="1825"/>
      <c r="CR73" s="1825"/>
      <c r="CS73" s="1799"/>
      <c r="CT73" s="1799"/>
    </row>
    <row r="74" spans="2:98" ht="15" x14ac:dyDescent="0.25">
      <c r="Y74" s="1887">
        <f>+BH73-X73-W73-U73</f>
        <v>1.9050940275435979</v>
      </c>
    </row>
    <row r="75" spans="2:98" x14ac:dyDescent="0.2">
      <c r="CB75" s="1747">
        <f>SUM(Model!CH62:CJ62)</f>
        <v>5267.7000000000007</v>
      </c>
      <c r="CJ75" s="1981">
        <f>CJ65-1.6</f>
        <v>7.67</v>
      </c>
      <c r="CK75" s="1981">
        <f>CK65-1.6</f>
        <v>7.870000000000001</v>
      </c>
    </row>
    <row r="76" spans="2:98" x14ac:dyDescent="0.2">
      <c r="CB76" s="1747">
        <f>CB68-CB75</f>
        <v>2142.2999999999993</v>
      </c>
      <c r="CJ76" s="1981">
        <v>7.1</v>
      </c>
      <c r="CK76" s="1981">
        <v>7.1</v>
      </c>
    </row>
    <row r="77" spans="2:98" x14ac:dyDescent="0.2">
      <c r="CJ77" s="1598">
        <f>CJ75/CJ76-1</f>
        <v>8.0281690140845186E-2</v>
      </c>
      <c r="CK77" s="1598">
        <f>CK75/CK76-1</f>
        <v>0.10845070422535241</v>
      </c>
    </row>
    <row r="78" spans="2:98" x14ac:dyDescent="0.2">
      <c r="BK78" s="1865"/>
      <c r="CB78" s="1753">
        <f>15/CB68</f>
        <v>2.0242914979757085E-3</v>
      </c>
    </row>
    <row r="81" spans="56:58" x14ac:dyDescent="0.2">
      <c r="BD81" s="1598">
        <v>6.36</v>
      </c>
      <c r="BE81" s="1598">
        <v>6.33</v>
      </c>
    </row>
    <row r="82" spans="56:58" x14ac:dyDescent="0.2">
      <c r="BD82" s="1598">
        <v>6.42</v>
      </c>
      <c r="BE82" s="1598">
        <v>6.43</v>
      </c>
    </row>
    <row r="83" spans="56:58" x14ac:dyDescent="0.2">
      <c r="BD83" s="1598">
        <f>AVERAGE(BD81:BD82)</f>
        <v>6.3900000000000006</v>
      </c>
      <c r="BE83" s="1598">
        <f>AVERAGE(BE81:BE82)</f>
        <v>6.38</v>
      </c>
      <c r="BF83" s="1598">
        <f>BD83-BE83</f>
        <v>1.0000000000000675E-2</v>
      </c>
    </row>
  </sheetData>
  <mergeCells count="3">
    <mergeCell ref="AG36:AN36"/>
    <mergeCell ref="AG3:AN3"/>
    <mergeCell ref="AX3:AZ3"/>
  </mergeCells>
  <phoneticPr fontId="15" type="noConversion"/>
  <pageMargins left="0" right="0" top="0" bottom="0" header="0" footer="0"/>
  <pageSetup scale="42" orientation="landscape"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43"/>
  <sheetViews>
    <sheetView workbookViewId="0">
      <selection activeCell="B42" sqref="B42"/>
    </sheetView>
  </sheetViews>
  <sheetFormatPr defaultRowHeight="12.75" x14ac:dyDescent="0.2"/>
  <cols>
    <col min="1" max="1" width="29.5703125" style="1773" bestFit="1" customWidth="1"/>
    <col min="2" max="2" width="19.85546875" style="1999" customWidth="1"/>
    <col min="3" max="3" width="12" style="1773" bestFit="1" customWidth="1"/>
    <col min="4" max="256" width="9.140625" style="1773"/>
    <col min="257" max="257" width="29.5703125" style="1773" bestFit="1" customWidth="1"/>
    <col min="258" max="258" width="19.85546875" style="1773" customWidth="1"/>
    <col min="259" max="259" width="12" style="1773" bestFit="1" customWidth="1"/>
    <col min="260" max="512" width="9.140625" style="1773"/>
    <col min="513" max="513" width="29.5703125" style="1773" bestFit="1" customWidth="1"/>
    <col min="514" max="514" width="19.85546875" style="1773" customWidth="1"/>
    <col min="515" max="515" width="12" style="1773" bestFit="1" customWidth="1"/>
    <col min="516" max="768" width="9.140625" style="1773"/>
    <col min="769" max="769" width="29.5703125" style="1773" bestFit="1" customWidth="1"/>
    <col min="770" max="770" width="19.85546875" style="1773" customWidth="1"/>
    <col min="771" max="771" width="12" style="1773" bestFit="1" customWidth="1"/>
    <col min="772" max="1024" width="9.140625" style="1773"/>
    <col min="1025" max="1025" width="29.5703125" style="1773" bestFit="1" customWidth="1"/>
    <col min="1026" max="1026" width="19.85546875" style="1773" customWidth="1"/>
    <col min="1027" max="1027" width="12" style="1773" bestFit="1" customWidth="1"/>
    <col min="1028" max="1280" width="9.140625" style="1773"/>
    <col min="1281" max="1281" width="29.5703125" style="1773" bestFit="1" customWidth="1"/>
    <col min="1282" max="1282" width="19.85546875" style="1773" customWidth="1"/>
    <col min="1283" max="1283" width="12" style="1773" bestFit="1" customWidth="1"/>
    <col min="1284" max="1536" width="9.140625" style="1773"/>
    <col min="1537" max="1537" width="29.5703125" style="1773" bestFit="1" customWidth="1"/>
    <col min="1538" max="1538" width="19.85546875" style="1773" customWidth="1"/>
    <col min="1539" max="1539" width="12" style="1773" bestFit="1" customWidth="1"/>
    <col min="1540" max="1792" width="9.140625" style="1773"/>
    <col min="1793" max="1793" width="29.5703125" style="1773" bestFit="1" customWidth="1"/>
    <col min="1794" max="1794" width="19.85546875" style="1773" customWidth="1"/>
    <col min="1795" max="1795" width="12" style="1773" bestFit="1" customWidth="1"/>
    <col min="1796" max="2048" width="9.140625" style="1773"/>
    <col min="2049" max="2049" width="29.5703125" style="1773" bestFit="1" customWidth="1"/>
    <col min="2050" max="2050" width="19.85546875" style="1773" customWidth="1"/>
    <col min="2051" max="2051" width="12" style="1773" bestFit="1" customWidth="1"/>
    <col min="2052" max="2304" width="9.140625" style="1773"/>
    <col min="2305" max="2305" width="29.5703125" style="1773" bestFit="1" customWidth="1"/>
    <col min="2306" max="2306" width="19.85546875" style="1773" customWidth="1"/>
    <col min="2307" max="2307" width="12" style="1773" bestFit="1" customWidth="1"/>
    <col min="2308" max="2560" width="9.140625" style="1773"/>
    <col min="2561" max="2561" width="29.5703125" style="1773" bestFit="1" customWidth="1"/>
    <col min="2562" max="2562" width="19.85546875" style="1773" customWidth="1"/>
    <col min="2563" max="2563" width="12" style="1773" bestFit="1" customWidth="1"/>
    <col min="2564" max="2816" width="9.140625" style="1773"/>
    <col min="2817" max="2817" width="29.5703125" style="1773" bestFit="1" customWidth="1"/>
    <col min="2818" max="2818" width="19.85546875" style="1773" customWidth="1"/>
    <col min="2819" max="2819" width="12" style="1773" bestFit="1" customWidth="1"/>
    <col min="2820" max="3072" width="9.140625" style="1773"/>
    <col min="3073" max="3073" width="29.5703125" style="1773" bestFit="1" customWidth="1"/>
    <col min="3074" max="3074" width="19.85546875" style="1773" customWidth="1"/>
    <col min="3075" max="3075" width="12" style="1773" bestFit="1" customWidth="1"/>
    <col min="3076" max="3328" width="9.140625" style="1773"/>
    <col min="3329" max="3329" width="29.5703125" style="1773" bestFit="1" customWidth="1"/>
    <col min="3330" max="3330" width="19.85546875" style="1773" customWidth="1"/>
    <col min="3331" max="3331" width="12" style="1773" bestFit="1" customWidth="1"/>
    <col min="3332" max="3584" width="9.140625" style="1773"/>
    <col min="3585" max="3585" width="29.5703125" style="1773" bestFit="1" customWidth="1"/>
    <col min="3586" max="3586" width="19.85546875" style="1773" customWidth="1"/>
    <col min="3587" max="3587" width="12" style="1773" bestFit="1" customWidth="1"/>
    <col min="3588" max="3840" width="9.140625" style="1773"/>
    <col min="3841" max="3841" width="29.5703125" style="1773" bestFit="1" customWidth="1"/>
    <col min="3842" max="3842" width="19.85546875" style="1773" customWidth="1"/>
    <col min="3843" max="3843" width="12" style="1773" bestFit="1" customWidth="1"/>
    <col min="3844" max="4096" width="9.140625" style="1773"/>
    <col min="4097" max="4097" width="29.5703125" style="1773" bestFit="1" customWidth="1"/>
    <col min="4098" max="4098" width="19.85546875" style="1773" customWidth="1"/>
    <col min="4099" max="4099" width="12" style="1773" bestFit="1" customWidth="1"/>
    <col min="4100" max="4352" width="9.140625" style="1773"/>
    <col min="4353" max="4353" width="29.5703125" style="1773" bestFit="1" customWidth="1"/>
    <col min="4354" max="4354" width="19.85546875" style="1773" customWidth="1"/>
    <col min="4355" max="4355" width="12" style="1773" bestFit="1" customWidth="1"/>
    <col min="4356" max="4608" width="9.140625" style="1773"/>
    <col min="4609" max="4609" width="29.5703125" style="1773" bestFit="1" customWidth="1"/>
    <col min="4610" max="4610" width="19.85546875" style="1773" customWidth="1"/>
    <col min="4611" max="4611" width="12" style="1773" bestFit="1" customWidth="1"/>
    <col min="4612" max="4864" width="9.140625" style="1773"/>
    <col min="4865" max="4865" width="29.5703125" style="1773" bestFit="1" customWidth="1"/>
    <col min="4866" max="4866" width="19.85546875" style="1773" customWidth="1"/>
    <col min="4867" max="4867" width="12" style="1773" bestFit="1" customWidth="1"/>
    <col min="4868" max="5120" width="9.140625" style="1773"/>
    <col min="5121" max="5121" width="29.5703125" style="1773" bestFit="1" customWidth="1"/>
    <col min="5122" max="5122" width="19.85546875" style="1773" customWidth="1"/>
    <col min="5123" max="5123" width="12" style="1773" bestFit="1" customWidth="1"/>
    <col min="5124" max="5376" width="9.140625" style="1773"/>
    <col min="5377" max="5377" width="29.5703125" style="1773" bestFit="1" customWidth="1"/>
    <col min="5378" max="5378" width="19.85546875" style="1773" customWidth="1"/>
    <col min="5379" max="5379" width="12" style="1773" bestFit="1" customWidth="1"/>
    <col min="5380" max="5632" width="9.140625" style="1773"/>
    <col min="5633" max="5633" width="29.5703125" style="1773" bestFit="1" customWidth="1"/>
    <col min="5634" max="5634" width="19.85546875" style="1773" customWidth="1"/>
    <col min="5635" max="5635" width="12" style="1773" bestFit="1" customWidth="1"/>
    <col min="5636" max="5888" width="9.140625" style="1773"/>
    <col min="5889" max="5889" width="29.5703125" style="1773" bestFit="1" customWidth="1"/>
    <col min="5890" max="5890" width="19.85546875" style="1773" customWidth="1"/>
    <col min="5891" max="5891" width="12" style="1773" bestFit="1" customWidth="1"/>
    <col min="5892" max="6144" width="9.140625" style="1773"/>
    <col min="6145" max="6145" width="29.5703125" style="1773" bestFit="1" customWidth="1"/>
    <col min="6146" max="6146" width="19.85546875" style="1773" customWidth="1"/>
    <col min="6147" max="6147" width="12" style="1773" bestFit="1" customWidth="1"/>
    <col min="6148" max="6400" width="9.140625" style="1773"/>
    <col min="6401" max="6401" width="29.5703125" style="1773" bestFit="1" customWidth="1"/>
    <col min="6402" max="6402" width="19.85546875" style="1773" customWidth="1"/>
    <col min="6403" max="6403" width="12" style="1773" bestFit="1" customWidth="1"/>
    <col min="6404" max="6656" width="9.140625" style="1773"/>
    <col min="6657" max="6657" width="29.5703125" style="1773" bestFit="1" customWidth="1"/>
    <col min="6658" max="6658" width="19.85546875" style="1773" customWidth="1"/>
    <col min="6659" max="6659" width="12" style="1773" bestFit="1" customWidth="1"/>
    <col min="6660" max="6912" width="9.140625" style="1773"/>
    <col min="6913" max="6913" width="29.5703125" style="1773" bestFit="1" customWidth="1"/>
    <col min="6914" max="6914" width="19.85546875" style="1773" customWidth="1"/>
    <col min="6915" max="6915" width="12" style="1773" bestFit="1" customWidth="1"/>
    <col min="6916" max="7168" width="9.140625" style="1773"/>
    <col min="7169" max="7169" width="29.5703125" style="1773" bestFit="1" customWidth="1"/>
    <col min="7170" max="7170" width="19.85546875" style="1773" customWidth="1"/>
    <col min="7171" max="7171" width="12" style="1773" bestFit="1" customWidth="1"/>
    <col min="7172" max="7424" width="9.140625" style="1773"/>
    <col min="7425" max="7425" width="29.5703125" style="1773" bestFit="1" customWidth="1"/>
    <col min="7426" max="7426" width="19.85546875" style="1773" customWidth="1"/>
    <col min="7427" max="7427" width="12" style="1773" bestFit="1" customWidth="1"/>
    <col min="7428" max="7680" width="9.140625" style="1773"/>
    <col min="7681" max="7681" width="29.5703125" style="1773" bestFit="1" customWidth="1"/>
    <col min="7682" max="7682" width="19.85546875" style="1773" customWidth="1"/>
    <col min="7683" max="7683" width="12" style="1773" bestFit="1" customWidth="1"/>
    <col min="7684" max="7936" width="9.140625" style="1773"/>
    <col min="7937" max="7937" width="29.5703125" style="1773" bestFit="1" customWidth="1"/>
    <col min="7938" max="7938" width="19.85546875" style="1773" customWidth="1"/>
    <col min="7939" max="7939" width="12" style="1773" bestFit="1" customWidth="1"/>
    <col min="7940" max="8192" width="9.140625" style="1773"/>
    <col min="8193" max="8193" width="29.5703125" style="1773" bestFit="1" customWidth="1"/>
    <col min="8194" max="8194" width="19.85546875" style="1773" customWidth="1"/>
    <col min="8195" max="8195" width="12" style="1773" bestFit="1" customWidth="1"/>
    <col min="8196" max="8448" width="9.140625" style="1773"/>
    <col min="8449" max="8449" width="29.5703125" style="1773" bestFit="1" customWidth="1"/>
    <col min="8450" max="8450" width="19.85546875" style="1773" customWidth="1"/>
    <col min="8451" max="8451" width="12" style="1773" bestFit="1" customWidth="1"/>
    <col min="8452" max="8704" width="9.140625" style="1773"/>
    <col min="8705" max="8705" width="29.5703125" style="1773" bestFit="1" customWidth="1"/>
    <col min="8706" max="8706" width="19.85546875" style="1773" customWidth="1"/>
    <col min="8707" max="8707" width="12" style="1773" bestFit="1" customWidth="1"/>
    <col min="8708" max="8960" width="9.140625" style="1773"/>
    <col min="8961" max="8961" width="29.5703125" style="1773" bestFit="1" customWidth="1"/>
    <col min="8962" max="8962" width="19.85546875" style="1773" customWidth="1"/>
    <col min="8963" max="8963" width="12" style="1773" bestFit="1" customWidth="1"/>
    <col min="8964" max="9216" width="9.140625" style="1773"/>
    <col min="9217" max="9217" width="29.5703125" style="1773" bestFit="1" customWidth="1"/>
    <col min="9218" max="9218" width="19.85546875" style="1773" customWidth="1"/>
    <col min="9219" max="9219" width="12" style="1773" bestFit="1" customWidth="1"/>
    <col min="9220" max="9472" width="9.140625" style="1773"/>
    <col min="9473" max="9473" width="29.5703125" style="1773" bestFit="1" customWidth="1"/>
    <col min="9474" max="9474" width="19.85546875" style="1773" customWidth="1"/>
    <col min="9475" max="9475" width="12" style="1773" bestFit="1" customWidth="1"/>
    <col min="9476" max="9728" width="9.140625" style="1773"/>
    <col min="9729" max="9729" width="29.5703125" style="1773" bestFit="1" customWidth="1"/>
    <col min="9730" max="9730" width="19.85546875" style="1773" customWidth="1"/>
    <col min="9731" max="9731" width="12" style="1773" bestFit="1" customWidth="1"/>
    <col min="9732" max="9984" width="9.140625" style="1773"/>
    <col min="9985" max="9985" width="29.5703125" style="1773" bestFit="1" customWidth="1"/>
    <col min="9986" max="9986" width="19.85546875" style="1773" customWidth="1"/>
    <col min="9987" max="9987" width="12" style="1773" bestFit="1" customWidth="1"/>
    <col min="9988" max="10240" width="9.140625" style="1773"/>
    <col min="10241" max="10241" width="29.5703125" style="1773" bestFit="1" customWidth="1"/>
    <col min="10242" max="10242" width="19.85546875" style="1773" customWidth="1"/>
    <col min="10243" max="10243" width="12" style="1773" bestFit="1" customWidth="1"/>
    <col min="10244" max="10496" width="9.140625" style="1773"/>
    <col min="10497" max="10497" width="29.5703125" style="1773" bestFit="1" customWidth="1"/>
    <col min="10498" max="10498" width="19.85546875" style="1773" customWidth="1"/>
    <col min="10499" max="10499" width="12" style="1773" bestFit="1" customWidth="1"/>
    <col min="10500" max="10752" width="9.140625" style="1773"/>
    <col min="10753" max="10753" width="29.5703125" style="1773" bestFit="1" customWidth="1"/>
    <col min="10754" max="10754" width="19.85546875" style="1773" customWidth="1"/>
    <col min="10755" max="10755" width="12" style="1773" bestFit="1" customWidth="1"/>
    <col min="10756" max="11008" width="9.140625" style="1773"/>
    <col min="11009" max="11009" width="29.5703125" style="1773" bestFit="1" customWidth="1"/>
    <col min="11010" max="11010" width="19.85546875" style="1773" customWidth="1"/>
    <col min="11011" max="11011" width="12" style="1773" bestFit="1" customWidth="1"/>
    <col min="11012" max="11264" width="9.140625" style="1773"/>
    <col min="11265" max="11265" width="29.5703125" style="1773" bestFit="1" customWidth="1"/>
    <col min="11266" max="11266" width="19.85546875" style="1773" customWidth="1"/>
    <col min="11267" max="11267" width="12" style="1773" bestFit="1" customWidth="1"/>
    <col min="11268" max="11520" width="9.140625" style="1773"/>
    <col min="11521" max="11521" width="29.5703125" style="1773" bestFit="1" customWidth="1"/>
    <col min="11522" max="11522" width="19.85546875" style="1773" customWidth="1"/>
    <col min="11523" max="11523" width="12" style="1773" bestFit="1" customWidth="1"/>
    <col min="11524" max="11776" width="9.140625" style="1773"/>
    <col min="11777" max="11777" width="29.5703125" style="1773" bestFit="1" customWidth="1"/>
    <col min="11778" max="11778" width="19.85546875" style="1773" customWidth="1"/>
    <col min="11779" max="11779" width="12" style="1773" bestFit="1" customWidth="1"/>
    <col min="11780" max="12032" width="9.140625" style="1773"/>
    <col min="12033" max="12033" width="29.5703125" style="1773" bestFit="1" customWidth="1"/>
    <col min="12034" max="12034" width="19.85546875" style="1773" customWidth="1"/>
    <col min="12035" max="12035" width="12" style="1773" bestFit="1" customWidth="1"/>
    <col min="12036" max="12288" width="9.140625" style="1773"/>
    <col min="12289" max="12289" width="29.5703125" style="1773" bestFit="1" customWidth="1"/>
    <col min="12290" max="12290" width="19.85546875" style="1773" customWidth="1"/>
    <col min="12291" max="12291" width="12" style="1773" bestFit="1" customWidth="1"/>
    <col min="12292" max="12544" width="9.140625" style="1773"/>
    <col min="12545" max="12545" width="29.5703125" style="1773" bestFit="1" customWidth="1"/>
    <col min="12546" max="12546" width="19.85546875" style="1773" customWidth="1"/>
    <col min="12547" max="12547" width="12" style="1773" bestFit="1" customWidth="1"/>
    <col min="12548" max="12800" width="9.140625" style="1773"/>
    <col min="12801" max="12801" width="29.5703125" style="1773" bestFit="1" customWidth="1"/>
    <col min="12802" max="12802" width="19.85546875" style="1773" customWidth="1"/>
    <col min="12803" max="12803" width="12" style="1773" bestFit="1" customWidth="1"/>
    <col min="12804" max="13056" width="9.140625" style="1773"/>
    <col min="13057" max="13057" width="29.5703125" style="1773" bestFit="1" customWidth="1"/>
    <col min="13058" max="13058" width="19.85546875" style="1773" customWidth="1"/>
    <col min="13059" max="13059" width="12" style="1773" bestFit="1" customWidth="1"/>
    <col min="13060" max="13312" width="9.140625" style="1773"/>
    <col min="13313" max="13313" width="29.5703125" style="1773" bestFit="1" customWidth="1"/>
    <col min="13314" max="13314" width="19.85546875" style="1773" customWidth="1"/>
    <col min="13315" max="13315" width="12" style="1773" bestFit="1" customWidth="1"/>
    <col min="13316" max="13568" width="9.140625" style="1773"/>
    <col min="13569" max="13569" width="29.5703125" style="1773" bestFit="1" customWidth="1"/>
    <col min="13570" max="13570" width="19.85546875" style="1773" customWidth="1"/>
    <col min="13571" max="13571" width="12" style="1773" bestFit="1" customWidth="1"/>
    <col min="13572" max="13824" width="9.140625" style="1773"/>
    <col min="13825" max="13825" width="29.5703125" style="1773" bestFit="1" customWidth="1"/>
    <col min="13826" max="13826" width="19.85546875" style="1773" customWidth="1"/>
    <col min="13827" max="13827" width="12" style="1773" bestFit="1" customWidth="1"/>
    <col min="13828" max="14080" width="9.140625" style="1773"/>
    <col min="14081" max="14081" width="29.5703125" style="1773" bestFit="1" customWidth="1"/>
    <col min="14082" max="14082" width="19.85546875" style="1773" customWidth="1"/>
    <col min="14083" max="14083" width="12" style="1773" bestFit="1" customWidth="1"/>
    <col min="14084" max="14336" width="9.140625" style="1773"/>
    <col min="14337" max="14337" width="29.5703125" style="1773" bestFit="1" customWidth="1"/>
    <col min="14338" max="14338" width="19.85546875" style="1773" customWidth="1"/>
    <col min="14339" max="14339" width="12" style="1773" bestFit="1" customWidth="1"/>
    <col min="14340" max="14592" width="9.140625" style="1773"/>
    <col min="14593" max="14593" width="29.5703125" style="1773" bestFit="1" customWidth="1"/>
    <col min="14594" max="14594" width="19.85546875" style="1773" customWidth="1"/>
    <col min="14595" max="14595" width="12" style="1773" bestFit="1" customWidth="1"/>
    <col min="14596" max="14848" width="9.140625" style="1773"/>
    <col min="14849" max="14849" width="29.5703125" style="1773" bestFit="1" customWidth="1"/>
    <col min="14850" max="14850" width="19.85546875" style="1773" customWidth="1"/>
    <col min="14851" max="14851" width="12" style="1773" bestFit="1" customWidth="1"/>
    <col min="14852" max="15104" width="9.140625" style="1773"/>
    <col min="15105" max="15105" width="29.5703125" style="1773" bestFit="1" customWidth="1"/>
    <col min="15106" max="15106" width="19.85546875" style="1773" customWidth="1"/>
    <col min="15107" max="15107" width="12" style="1773" bestFit="1" customWidth="1"/>
    <col min="15108" max="15360" width="9.140625" style="1773"/>
    <col min="15361" max="15361" width="29.5703125" style="1773" bestFit="1" customWidth="1"/>
    <col min="15362" max="15362" width="19.85546875" style="1773" customWidth="1"/>
    <col min="15363" max="15363" width="12" style="1773" bestFit="1" customWidth="1"/>
    <col min="15364" max="15616" width="9.140625" style="1773"/>
    <col min="15617" max="15617" width="29.5703125" style="1773" bestFit="1" customWidth="1"/>
    <col min="15618" max="15618" width="19.85546875" style="1773" customWidth="1"/>
    <col min="15619" max="15619" width="12" style="1773" bestFit="1" customWidth="1"/>
    <col min="15620" max="15872" width="9.140625" style="1773"/>
    <col min="15873" max="15873" width="29.5703125" style="1773" bestFit="1" customWidth="1"/>
    <col min="15874" max="15874" width="19.85546875" style="1773" customWidth="1"/>
    <col min="15875" max="15875" width="12" style="1773" bestFit="1" customWidth="1"/>
    <col min="15876" max="16128" width="9.140625" style="1773"/>
    <col min="16129" max="16129" width="29.5703125" style="1773" bestFit="1" customWidth="1"/>
    <col min="16130" max="16130" width="19.85546875" style="1773" customWidth="1"/>
    <col min="16131" max="16131" width="12" style="1773" bestFit="1" customWidth="1"/>
    <col min="16132" max="16384" width="9.140625" style="1773"/>
  </cols>
  <sheetData>
    <row r="1" spans="1:2" x14ac:dyDescent="0.2">
      <c r="A1" s="1773" t="s">
        <v>1093</v>
      </c>
      <c r="B1" s="1998">
        <v>6.1</v>
      </c>
    </row>
    <row r="2" spans="1:2" x14ac:dyDescent="0.2">
      <c r="A2" s="1773" t="s">
        <v>1094</v>
      </c>
      <c r="B2" s="2002">
        <v>43203.650960648149</v>
      </c>
    </row>
    <row r="3" spans="1:2" x14ac:dyDescent="0.2">
      <c r="A3" s="1773" t="s">
        <v>1095</v>
      </c>
      <c r="B3" s="1999" t="s">
        <v>790</v>
      </c>
    </row>
    <row r="4" spans="1:2" x14ac:dyDescent="0.2">
      <c r="A4" s="1773" t="s">
        <v>1096</v>
      </c>
      <c r="B4" s="1999" t="s">
        <v>1097</v>
      </c>
    </row>
    <row r="5" spans="1:2" x14ac:dyDescent="0.2">
      <c r="A5" s="1773" t="s">
        <v>1098</v>
      </c>
      <c r="B5" s="1999" t="s">
        <v>718</v>
      </c>
    </row>
    <row r="6" spans="1:2" x14ac:dyDescent="0.2">
      <c r="A6" s="1773" t="s">
        <v>1099</v>
      </c>
    </row>
    <row r="7" spans="1:2" x14ac:dyDescent="0.2">
      <c r="A7" s="1773" t="s">
        <v>1100</v>
      </c>
      <c r="B7" s="1999" t="s">
        <v>1144</v>
      </c>
    </row>
    <row r="8" spans="1:2" x14ac:dyDescent="0.2">
      <c r="A8" s="1773" t="s">
        <v>1101</v>
      </c>
      <c r="B8" s="1999" t="s">
        <v>1102</v>
      </c>
    </row>
    <row r="9" spans="1:2" x14ac:dyDescent="0.2">
      <c r="A9" s="1773" t="s">
        <v>1103</v>
      </c>
      <c r="B9" s="1999" t="s">
        <v>1140</v>
      </c>
    </row>
    <row r="10" spans="1:2" x14ac:dyDescent="0.2">
      <c r="A10" s="1773" t="s">
        <v>1104</v>
      </c>
    </row>
    <row r="11" spans="1:2" x14ac:dyDescent="0.2">
      <c r="A11" s="1773" t="s">
        <v>1105</v>
      </c>
    </row>
    <row r="12" spans="1:2" x14ac:dyDescent="0.2">
      <c r="A12" s="1773" t="s">
        <v>1106</v>
      </c>
    </row>
    <row r="13" spans="1:2" x14ac:dyDescent="0.2">
      <c r="A13" s="1773" t="s">
        <v>1107</v>
      </c>
    </row>
    <row r="14" spans="1:2" x14ac:dyDescent="0.2">
      <c r="A14" s="1773" t="s">
        <v>1108</v>
      </c>
    </row>
    <row r="15" spans="1:2" x14ac:dyDescent="0.2">
      <c r="A15" s="1773" t="s">
        <v>1109</v>
      </c>
    </row>
    <row r="16" spans="1:2" x14ac:dyDescent="0.2">
      <c r="A16" s="1773" t="s">
        <v>1110</v>
      </c>
    </row>
    <row r="17" spans="1:4" x14ac:dyDescent="0.2">
      <c r="A17" s="1773" t="s">
        <v>1111</v>
      </c>
      <c r="B17" s="1999" t="s">
        <v>1141</v>
      </c>
    </row>
    <row r="18" spans="1:4" x14ac:dyDescent="0.2">
      <c r="A18" s="1773" t="s">
        <v>1112</v>
      </c>
      <c r="B18" s="1999" t="s">
        <v>789</v>
      </c>
    </row>
    <row r="19" spans="1:4" x14ac:dyDescent="0.2">
      <c r="A19" s="1773" t="s">
        <v>1113</v>
      </c>
      <c r="B19" s="1999" t="s">
        <v>435</v>
      </c>
    </row>
    <row r="20" spans="1:4" x14ac:dyDescent="0.2">
      <c r="A20" s="1773" t="s">
        <v>1114</v>
      </c>
      <c r="B20" s="2000" t="s">
        <v>1145</v>
      </c>
    </row>
    <row r="21" spans="1:4" x14ac:dyDescent="0.2">
      <c r="A21" s="1773" t="s">
        <v>1115</v>
      </c>
      <c r="B21" s="1999" t="s">
        <v>435</v>
      </c>
    </row>
    <row r="22" spans="1:4" x14ac:dyDescent="0.2">
      <c r="A22" s="1773" t="s">
        <v>1116</v>
      </c>
      <c r="B22" s="2000" t="s">
        <v>443</v>
      </c>
    </row>
    <row r="23" spans="1:4" x14ac:dyDescent="0.2">
      <c r="A23" s="1773" t="s">
        <v>437</v>
      </c>
      <c r="B23" s="1998">
        <v>71.13</v>
      </c>
    </row>
    <row r="24" spans="1:4" x14ac:dyDescent="0.2">
      <c r="A24" s="1773" t="s">
        <v>436</v>
      </c>
      <c r="B24" s="1999" t="s">
        <v>232</v>
      </c>
      <c r="D24" s="1773" t="s">
        <v>23</v>
      </c>
    </row>
    <row r="25" spans="1:4" x14ac:dyDescent="0.2">
      <c r="A25" s="1773" t="s">
        <v>1117</v>
      </c>
      <c r="B25" s="1999" t="s">
        <v>1146</v>
      </c>
    </row>
    <row r="26" spans="1:4" x14ac:dyDescent="0.2">
      <c r="A26" s="1773" t="s">
        <v>1118</v>
      </c>
      <c r="B26" s="1999">
        <v>0</v>
      </c>
    </row>
    <row r="27" spans="1:4" x14ac:dyDescent="0.2">
      <c r="A27" s="1773" t="s">
        <v>1119</v>
      </c>
      <c r="B27" s="1999" t="s">
        <v>1120</v>
      </c>
    </row>
    <row r="28" spans="1:4" x14ac:dyDescent="0.2">
      <c r="A28" s="1773" t="s">
        <v>1121</v>
      </c>
      <c r="B28" s="1999" t="s">
        <v>1122</v>
      </c>
    </row>
    <row r="29" spans="1:4" x14ac:dyDescent="0.2">
      <c r="A29" s="1773" t="s">
        <v>1123</v>
      </c>
    </row>
    <row r="30" spans="1:4" x14ac:dyDescent="0.2">
      <c r="A30" s="1773" t="s">
        <v>1124</v>
      </c>
    </row>
    <row r="31" spans="1:4" x14ac:dyDescent="0.2">
      <c r="A31" s="1773" t="s">
        <v>1125</v>
      </c>
    </row>
    <row r="32" spans="1:4" x14ac:dyDescent="0.2">
      <c r="A32" s="1773" t="s">
        <v>1126</v>
      </c>
      <c r="B32" s="1998"/>
    </row>
    <row r="33" spans="1:2" x14ac:dyDescent="0.2">
      <c r="A33" s="1773" t="s">
        <v>1127</v>
      </c>
      <c r="B33" s="1998"/>
    </row>
    <row r="34" spans="1:2" x14ac:dyDescent="0.2">
      <c r="A34" s="1773" t="s">
        <v>1128</v>
      </c>
      <c r="B34" s="1998"/>
    </row>
    <row r="35" spans="1:2" x14ac:dyDescent="0.2">
      <c r="A35" s="1773" t="s">
        <v>1129</v>
      </c>
      <c r="B35" s="1999">
        <v>1000000</v>
      </c>
    </row>
    <row r="36" spans="1:2" x14ac:dyDescent="0.2">
      <c r="A36" s="1773" t="s">
        <v>1130</v>
      </c>
      <c r="B36" s="1999" t="s">
        <v>1142</v>
      </c>
    </row>
    <row r="37" spans="1:2" x14ac:dyDescent="0.2">
      <c r="A37" s="1773" t="s">
        <v>1131</v>
      </c>
      <c r="B37" s="1999" t="s">
        <v>1132</v>
      </c>
    </row>
    <row r="38" spans="1:2" x14ac:dyDescent="0.2">
      <c r="A38" s="1773" t="s">
        <v>1133</v>
      </c>
      <c r="B38" s="1999" t="s">
        <v>1134</v>
      </c>
    </row>
    <row r="39" spans="1:2" x14ac:dyDescent="0.2">
      <c r="A39" s="1773" t="s">
        <v>1135</v>
      </c>
      <c r="B39" s="1999" t="s">
        <v>1143</v>
      </c>
    </row>
    <row r="40" spans="1:2" x14ac:dyDescent="0.2">
      <c r="A40" s="1773" t="s">
        <v>1136</v>
      </c>
      <c r="B40" s="1999">
        <v>1500005520</v>
      </c>
    </row>
    <row r="41" spans="1:2" x14ac:dyDescent="0.2">
      <c r="A41" s="1773" t="s">
        <v>1137</v>
      </c>
      <c r="B41" s="1999">
        <v>1</v>
      </c>
    </row>
    <row r="42" spans="1:2" x14ac:dyDescent="0.2">
      <c r="A42" s="2001" t="s">
        <v>1138</v>
      </c>
    </row>
    <row r="43" spans="1:2" x14ac:dyDescent="0.2">
      <c r="A43" s="1773" t="s">
        <v>1139</v>
      </c>
    </row>
  </sheetData>
  <pageMargins left="0.75" right="0.75" top="1" bottom="1" header="0.5" footer="0.5"/>
  <pageSetup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13"/>
  <sheetViews>
    <sheetView workbookViewId="0">
      <selection activeCell="E11" sqref="E11"/>
    </sheetView>
  </sheetViews>
  <sheetFormatPr defaultRowHeight="12.75" x14ac:dyDescent="0.2"/>
  <cols>
    <col min="1" max="1" width="28.5703125" style="1773" bestFit="1" customWidth="1"/>
    <col min="2" max="256" width="9.140625" style="1773"/>
    <col min="257" max="257" width="28.5703125" style="1773" bestFit="1" customWidth="1"/>
    <col min="258" max="512" width="9.140625" style="1773"/>
    <col min="513" max="513" width="28.5703125" style="1773" bestFit="1" customWidth="1"/>
    <col min="514" max="768" width="9.140625" style="1773"/>
    <col min="769" max="769" width="28.5703125" style="1773" bestFit="1" customWidth="1"/>
    <col min="770" max="1024" width="9.140625" style="1773"/>
    <col min="1025" max="1025" width="28.5703125" style="1773" bestFit="1" customWidth="1"/>
    <col min="1026" max="1280" width="9.140625" style="1773"/>
    <col min="1281" max="1281" width="28.5703125" style="1773" bestFit="1" customWidth="1"/>
    <col min="1282" max="1536" width="9.140625" style="1773"/>
    <col min="1537" max="1537" width="28.5703125" style="1773" bestFit="1" customWidth="1"/>
    <col min="1538" max="1792" width="9.140625" style="1773"/>
    <col min="1793" max="1793" width="28.5703125" style="1773" bestFit="1" customWidth="1"/>
    <col min="1794" max="2048" width="9.140625" style="1773"/>
    <col min="2049" max="2049" width="28.5703125" style="1773" bestFit="1" customWidth="1"/>
    <col min="2050" max="2304" width="9.140625" style="1773"/>
    <col min="2305" max="2305" width="28.5703125" style="1773" bestFit="1" customWidth="1"/>
    <col min="2306" max="2560" width="9.140625" style="1773"/>
    <col min="2561" max="2561" width="28.5703125" style="1773" bestFit="1" customWidth="1"/>
    <col min="2562" max="2816" width="9.140625" style="1773"/>
    <col min="2817" max="2817" width="28.5703125" style="1773" bestFit="1" customWidth="1"/>
    <col min="2818" max="3072" width="9.140625" style="1773"/>
    <col min="3073" max="3073" width="28.5703125" style="1773" bestFit="1" customWidth="1"/>
    <col min="3074" max="3328" width="9.140625" style="1773"/>
    <col min="3329" max="3329" width="28.5703125" style="1773" bestFit="1" customWidth="1"/>
    <col min="3330" max="3584" width="9.140625" style="1773"/>
    <col min="3585" max="3585" width="28.5703125" style="1773" bestFit="1" customWidth="1"/>
    <col min="3586" max="3840" width="9.140625" style="1773"/>
    <col min="3841" max="3841" width="28.5703125" style="1773" bestFit="1" customWidth="1"/>
    <col min="3842" max="4096" width="9.140625" style="1773"/>
    <col min="4097" max="4097" width="28.5703125" style="1773" bestFit="1" customWidth="1"/>
    <col min="4098" max="4352" width="9.140625" style="1773"/>
    <col min="4353" max="4353" width="28.5703125" style="1773" bestFit="1" customWidth="1"/>
    <col min="4354" max="4608" width="9.140625" style="1773"/>
    <col min="4609" max="4609" width="28.5703125" style="1773" bestFit="1" customWidth="1"/>
    <col min="4610" max="4864" width="9.140625" style="1773"/>
    <col min="4865" max="4865" width="28.5703125" style="1773" bestFit="1" customWidth="1"/>
    <col min="4866" max="5120" width="9.140625" style="1773"/>
    <col min="5121" max="5121" width="28.5703125" style="1773" bestFit="1" customWidth="1"/>
    <col min="5122" max="5376" width="9.140625" style="1773"/>
    <col min="5377" max="5377" width="28.5703125" style="1773" bestFit="1" customWidth="1"/>
    <col min="5378" max="5632" width="9.140625" style="1773"/>
    <col min="5633" max="5633" width="28.5703125" style="1773" bestFit="1" customWidth="1"/>
    <col min="5634" max="5888" width="9.140625" style="1773"/>
    <col min="5889" max="5889" width="28.5703125" style="1773" bestFit="1" customWidth="1"/>
    <col min="5890" max="6144" width="9.140625" style="1773"/>
    <col min="6145" max="6145" width="28.5703125" style="1773" bestFit="1" customWidth="1"/>
    <col min="6146" max="6400" width="9.140625" style="1773"/>
    <col min="6401" max="6401" width="28.5703125" style="1773" bestFit="1" customWidth="1"/>
    <col min="6402" max="6656" width="9.140625" style="1773"/>
    <col min="6657" max="6657" width="28.5703125" style="1773" bestFit="1" customWidth="1"/>
    <col min="6658" max="6912" width="9.140625" style="1773"/>
    <col min="6913" max="6913" width="28.5703125" style="1773" bestFit="1" customWidth="1"/>
    <col min="6914" max="7168" width="9.140625" style="1773"/>
    <col min="7169" max="7169" width="28.5703125" style="1773" bestFit="1" customWidth="1"/>
    <col min="7170" max="7424" width="9.140625" style="1773"/>
    <col min="7425" max="7425" width="28.5703125" style="1773" bestFit="1" customWidth="1"/>
    <col min="7426" max="7680" width="9.140625" style="1773"/>
    <col min="7681" max="7681" width="28.5703125" style="1773" bestFit="1" customWidth="1"/>
    <col min="7682" max="7936" width="9.140625" style="1773"/>
    <col min="7937" max="7937" width="28.5703125" style="1773" bestFit="1" customWidth="1"/>
    <col min="7938" max="8192" width="9.140625" style="1773"/>
    <col min="8193" max="8193" width="28.5703125" style="1773" bestFit="1" customWidth="1"/>
    <col min="8194" max="8448" width="9.140625" style="1773"/>
    <col min="8449" max="8449" width="28.5703125" style="1773" bestFit="1" customWidth="1"/>
    <col min="8450" max="8704" width="9.140625" style="1773"/>
    <col min="8705" max="8705" width="28.5703125" style="1773" bestFit="1" customWidth="1"/>
    <col min="8706" max="8960" width="9.140625" style="1773"/>
    <col min="8961" max="8961" width="28.5703125" style="1773" bestFit="1" customWidth="1"/>
    <col min="8962" max="9216" width="9.140625" style="1773"/>
    <col min="9217" max="9217" width="28.5703125" style="1773" bestFit="1" customWidth="1"/>
    <col min="9218" max="9472" width="9.140625" style="1773"/>
    <col min="9473" max="9473" width="28.5703125" style="1773" bestFit="1" customWidth="1"/>
    <col min="9474" max="9728" width="9.140625" style="1773"/>
    <col min="9729" max="9729" width="28.5703125" style="1773" bestFit="1" customWidth="1"/>
    <col min="9730" max="9984" width="9.140625" style="1773"/>
    <col min="9985" max="9985" width="28.5703125" style="1773" bestFit="1" customWidth="1"/>
    <col min="9986" max="10240" width="9.140625" style="1773"/>
    <col min="10241" max="10241" width="28.5703125" style="1773" bestFit="1" customWidth="1"/>
    <col min="10242" max="10496" width="9.140625" style="1773"/>
    <col min="10497" max="10497" width="28.5703125" style="1773" bestFit="1" customWidth="1"/>
    <col min="10498" max="10752" width="9.140625" style="1773"/>
    <col min="10753" max="10753" width="28.5703125" style="1773" bestFit="1" customWidth="1"/>
    <col min="10754" max="11008" width="9.140625" style="1773"/>
    <col min="11009" max="11009" width="28.5703125" style="1773" bestFit="1" customWidth="1"/>
    <col min="11010" max="11264" width="9.140625" style="1773"/>
    <col min="11265" max="11265" width="28.5703125" style="1773" bestFit="1" customWidth="1"/>
    <col min="11266" max="11520" width="9.140625" style="1773"/>
    <col min="11521" max="11521" width="28.5703125" style="1773" bestFit="1" customWidth="1"/>
    <col min="11522" max="11776" width="9.140625" style="1773"/>
    <col min="11777" max="11777" width="28.5703125" style="1773" bestFit="1" customWidth="1"/>
    <col min="11778" max="12032" width="9.140625" style="1773"/>
    <col min="12033" max="12033" width="28.5703125" style="1773" bestFit="1" customWidth="1"/>
    <col min="12034" max="12288" width="9.140625" style="1773"/>
    <col min="12289" max="12289" width="28.5703125" style="1773" bestFit="1" customWidth="1"/>
    <col min="12290" max="12544" width="9.140625" style="1773"/>
    <col min="12545" max="12545" width="28.5703125" style="1773" bestFit="1" customWidth="1"/>
    <col min="12546" max="12800" width="9.140625" style="1773"/>
    <col min="12801" max="12801" width="28.5703125" style="1773" bestFit="1" customWidth="1"/>
    <col min="12802" max="13056" width="9.140625" style="1773"/>
    <col min="13057" max="13057" width="28.5703125" style="1773" bestFit="1" customWidth="1"/>
    <col min="13058" max="13312" width="9.140625" style="1773"/>
    <col min="13313" max="13313" width="28.5703125" style="1773" bestFit="1" customWidth="1"/>
    <col min="13314" max="13568" width="9.140625" style="1773"/>
    <col min="13569" max="13569" width="28.5703125" style="1773" bestFit="1" customWidth="1"/>
    <col min="13570" max="13824" width="9.140625" style="1773"/>
    <col min="13825" max="13825" width="28.5703125" style="1773" bestFit="1" customWidth="1"/>
    <col min="13826" max="14080" width="9.140625" style="1773"/>
    <col min="14081" max="14081" width="28.5703125" style="1773" bestFit="1" customWidth="1"/>
    <col min="14082" max="14336" width="9.140625" style="1773"/>
    <col min="14337" max="14337" width="28.5703125" style="1773" bestFit="1" customWidth="1"/>
    <col min="14338" max="14592" width="9.140625" style="1773"/>
    <col min="14593" max="14593" width="28.5703125" style="1773" bestFit="1" customWidth="1"/>
    <col min="14594" max="14848" width="9.140625" style="1773"/>
    <col min="14849" max="14849" width="28.5703125" style="1773" bestFit="1" customWidth="1"/>
    <col min="14850" max="15104" width="9.140625" style="1773"/>
    <col min="15105" max="15105" width="28.5703125" style="1773" bestFit="1" customWidth="1"/>
    <col min="15106" max="15360" width="9.140625" style="1773"/>
    <col min="15361" max="15361" width="28.5703125" style="1773" bestFit="1" customWidth="1"/>
    <col min="15362" max="15616" width="9.140625" style="1773"/>
    <col min="15617" max="15617" width="28.5703125" style="1773" bestFit="1" customWidth="1"/>
    <col min="15618" max="15872" width="9.140625" style="1773"/>
    <col min="15873" max="15873" width="28.5703125" style="1773" bestFit="1" customWidth="1"/>
    <col min="15874" max="16128" width="9.140625" style="1773"/>
    <col min="16129" max="16129" width="28.5703125" style="1773" bestFit="1" customWidth="1"/>
    <col min="16130" max="16384" width="9.140625" style="1773"/>
  </cols>
  <sheetData>
    <row r="1" spans="1:1" x14ac:dyDescent="0.2">
      <c r="A1" s="2003" t="s">
        <v>1147</v>
      </c>
    </row>
    <row r="2" spans="1:1" x14ac:dyDescent="0.2">
      <c r="A2" s="2003" t="s">
        <v>1152</v>
      </c>
    </row>
    <row r="3" spans="1:1" x14ac:dyDescent="0.2">
      <c r="A3" s="2003" t="s">
        <v>1153</v>
      </c>
    </row>
    <row r="4" spans="1:1" x14ac:dyDescent="0.2">
      <c r="A4" s="2003" t="s">
        <v>1154</v>
      </c>
    </row>
    <row r="5" spans="1:1" x14ac:dyDescent="0.2">
      <c r="A5" s="2003" t="s">
        <v>1155</v>
      </c>
    </row>
    <row r="6" spans="1:1" x14ac:dyDescent="0.2">
      <c r="A6" s="2003" t="s">
        <v>1148</v>
      </c>
    </row>
    <row r="7" spans="1:1" x14ac:dyDescent="0.2">
      <c r="A7" s="2003" t="s">
        <v>1156</v>
      </c>
    </row>
    <row r="8" spans="1:1" x14ac:dyDescent="0.2">
      <c r="A8" s="2003" t="s">
        <v>1157</v>
      </c>
    </row>
    <row r="9" spans="1:1" x14ac:dyDescent="0.2">
      <c r="A9" s="2003" t="s">
        <v>1158</v>
      </c>
    </row>
    <row r="10" spans="1:1" x14ac:dyDescent="0.2">
      <c r="A10" s="2003" t="s">
        <v>1149</v>
      </c>
    </row>
    <row r="11" spans="1:1" x14ac:dyDescent="0.2">
      <c r="A11" s="2003" t="s">
        <v>1159</v>
      </c>
    </row>
    <row r="12" spans="1:1" x14ac:dyDescent="0.2">
      <c r="A12" s="2003" t="s">
        <v>1150</v>
      </c>
    </row>
    <row r="13" spans="1:1" x14ac:dyDescent="0.2">
      <c r="A13" s="2003" t="s">
        <v>1151</v>
      </c>
    </row>
  </sheetData>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B1"/>
  <sheetViews>
    <sheetView workbookViewId="0"/>
  </sheetViews>
  <sheetFormatPr defaultRowHeight="12.75" x14ac:dyDescent="0.2"/>
  <sheetData>
    <row r="1" spans="1:2" x14ac:dyDescent="0.2">
      <c r="B1" t="s">
        <v>217</v>
      </c>
    </row>
  </sheetData>
  <phoneticPr fontId="15" type="noConversion"/>
  <pageMargins left="0.75" right="0.75" top="1" bottom="1" header="0.5" footer="0.5"/>
  <pageSetup orientation="portrait" r:id="rId1"/>
  <headerFooter alignWithMargins="0"/>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Z2"/>
  <sheetViews>
    <sheetView workbookViewId="0"/>
  </sheetViews>
  <sheetFormatPr defaultRowHeight="12.75" x14ac:dyDescent="0.2"/>
  <sheetData>
    <row r="1" spans="1:26" x14ac:dyDescent="0.2">
      <c r="A1" t="s">
        <v>514</v>
      </c>
    </row>
    <row r="2" spans="1:26" x14ac:dyDescent="0.2">
      <c r="A2" s="682" t="s">
        <v>513</v>
      </c>
      <c r="B2" s="682" t="s">
        <v>501</v>
      </c>
      <c r="C2" s="682" t="s">
        <v>353</v>
      </c>
      <c r="D2" s="682" t="s">
        <v>443</v>
      </c>
      <c r="E2" s="682" t="s">
        <v>510</v>
      </c>
      <c r="F2" s="682" t="s">
        <v>92</v>
      </c>
      <c r="G2" s="682" t="s">
        <v>511</v>
      </c>
      <c r="H2" s="682" t="s">
        <v>92</v>
      </c>
      <c r="I2" s="682" t="s">
        <v>350</v>
      </c>
      <c r="J2" s="682" t="s">
        <v>92</v>
      </c>
      <c r="K2" s="682" t="s">
        <v>351</v>
      </c>
      <c r="L2" s="682" t="s">
        <v>92</v>
      </c>
      <c r="M2" s="682" t="s">
        <v>346</v>
      </c>
      <c r="N2" s="682" t="s">
        <v>92</v>
      </c>
      <c r="O2" s="682" t="s">
        <v>512</v>
      </c>
      <c r="P2" s="682" t="s">
        <v>92</v>
      </c>
      <c r="Q2" s="682" t="s">
        <v>347</v>
      </c>
      <c r="R2" s="682" t="s">
        <v>92</v>
      </c>
      <c r="S2" s="682" t="s">
        <v>352</v>
      </c>
      <c r="T2" s="682" t="s">
        <v>757</v>
      </c>
      <c r="U2" s="682" t="s">
        <v>354</v>
      </c>
      <c r="V2" s="682" t="s">
        <v>232</v>
      </c>
      <c r="W2" s="682" t="s">
        <v>349</v>
      </c>
      <c r="X2" s="682" t="s">
        <v>92</v>
      </c>
      <c r="Y2" s="682" t="s">
        <v>348</v>
      </c>
      <c r="Z2" s="682" t="s">
        <v>92</v>
      </c>
    </row>
  </sheetData>
  <phoneticPr fontId="15" type="noConversion"/>
  <pageMargins left="0.75" right="0.75" top="1" bottom="1" header="0.5" footer="0.5"/>
  <pageSetup orientation="portrait" r:id="rId1"/>
  <headerFooter alignWithMargins="0"/>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item1.xml><?xml version="1.0" encoding="utf-8"?>
<lkmtd:Metadata xmlns:lkmtd="thomsonreuters.linking.metadatachange">
  <MetadataChanged>0</MetadataChanged>
</lkmtd:Metadata>
</file>

<file path=customXml/item2.xml><?xml version="1.0" encoding="utf-8"?>
<lk:Links xmlns:lk="thomsonreuters.linking.metadata"/>
</file>

<file path=customXml/itemProps1.xml><?xml version="1.0" encoding="utf-8"?>
<ds:datastoreItem xmlns:ds="http://schemas.openxmlformats.org/officeDocument/2006/customXml" ds:itemID="{7928D6FA-4B7B-4FE2-AB2E-84D27ADC2575}">
  <ds:schemaRefs>
    <ds:schemaRef ds:uri="thomsonreuters.linking.metadatachange"/>
  </ds:schemaRefs>
</ds:datastoreItem>
</file>

<file path=customXml/itemProps2.xml><?xml version="1.0" encoding="utf-8"?>
<ds:datastoreItem xmlns:ds="http://schemas.openxmlformats.org/officeDocument/2006/customXml" ds:itemID="{8376525F-F72C-4C7D-895F-58CC1CCB8247}">
  <ds:schemaRefs>
    <ds:schemaRef ds:uri="thomsonreuters.linking.metadat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116</vt:i4>
      </vt:variant>
    </vt:vector>
  </HeadingPairs>
  <TitlesOfParts>
    <vt:vector size="118" baseType="lpstr">
      <vt:lpstr>ImportantDisclosures</vt:lpstr>
      <vt:lpstr>CircularReferenceAlert</vt:lpstr>
      <vt:lpstr>AdditionalInstructions</vt:lpstr>
      <vt:lpstr>ImportantDisclosures!Address</vt:lpstr>
      <vt:lpstr>ModPubIndex!ANA</vt:lpstr>
      <vt:lpstr>ImportantDisclosures!Authors</vt:lpstr>
      <vt:lpstr>IndexInformation!Authors</vt:lpstr>
      <vt:lpstr>BALANCE_SHEET</vt:lpstr>
      <vt:lpstr>ModPubIndex!BRO</vt:lpstr>
      <vt:lpstr>CircularReferenceAlert!Buttons</vt:lpstr>
      <vt:lpstr>Model!cash</vt:lpstr>
      <vt:lpstr>CASH_FLOW_STATEMENT</vt:lpstr>
      <vt:lpstr>Circularity</vt:lpstr>
      <vt:lpstr>COGS_PBM</vt:lpstr>
      <vt:lpstr>CopyrightStamp</vt:lpstr>
      <vt:lpstr>ModPubIndex!COU</vt:lpstr>
      <vt:lpstr>IndexInformation!CQEnd</vt:lpstr>
      <vt:lpstr>IndexInformation!Currency</vt:lpstr>
      <vt:lpstr>IndexInformation!CurrentStockPrice</vt:lpstr>
      <vt:lpstr>IndexInformation!CurrQtrEPS</vt:lpstr>
      <vt:lpstr>IndexInformation!CurrYearEPS</vt:lpstr>
      <vt:lpstr>IndexInformation!CurrYearTotalRevenue</vt:lpstr>
      <vt:lpstr>IndexInformation!CurrYearTotalRevenueActual</vt:lpstr>
      <vt:lpstr>IndexInformation!CUSIP</vt:lpstr>
      <vt:lpstr>IndexInformation!CYEnd</vt:lpstr>
      <vt:lpstr>ImportantDisclosures!Date</vt:lpstr>
      <vt:lpstr>Model!Debt_Curr</vt:lpstr>
      <vt:lpstr>Model!Debt_Long_Term</vt:lpstr>
      <vt:lpstr>IndexInformation!Deleted</vt:lpstr>
      <vt:lpstr>IndexInformation!Description</vt:lpstr>
      <vt:lpstr>Model!dil_shrs_out</vt:lpstr>
      <vt:lpstr>IndexInformation!Discipline</vt:lpstr>
      <vt:lpstr>ModPubIndex!DISCIPLINE</vt:lpstr>
      <vt:lpstr>DisclosuresText</vt:lpstr>
      <vt:lpstr>IndexInformation!Distribution</vt:lpstr>
      <vt:lpstr>ModPubIndex!DOCDAT</vt:lpstr>
      <vt:lpstr>ModPubIndex!DOCTIME</vt:lpstr>
      <vt:lpstr>IndexInformation!DocType</vt:lpstr>
      <vt:lpstr>ModPubIndex!EMAIL_ALERT</vt:lpstr>
      <vt:lpstr>IndexInformation!EmailAlert</vt:lpstr>
      <vt:lpstr>IndexInformation!FiveYearGrowthRate</vt:lpstr>
      <vt:lpstr>IndexInformation!FollowingYearEPS</vt:lpstr>
      <vt:lpstr>IndexInformation!FollowingYearTotalRevenue</vt:lpstr>
      <vt:lpstr>IndexInformation!FollowingYearTotalRevenueActual</vt:lpstr>
      <vt:lpstr>ModPubIndex!HL</vt:lpstr>
      <vt:lpstr>INCOME_STATEMENT</vt:lpstr>
      <vt:lpstr>ModPubIndex!IND</vt:lpstr>
      <vt:lpstr>ImportantDisclosures!Industry</vt:lpstr>
      <vt:lpstr>IndustryId</vt:lpstr>
      <vt:lpstr>ImportantDisclosures!IndustryRating</vt:lpstr>
      <vt:lpstr>Model!Inv_turns</vt:lpstr>
      <vt:lpstr>IndexInformation!KeepVersions</vt:lpstr>
      <vt:lpstr>LanguageCode</vt:lpstr>
      <vt:lpstr>ImportantDisclosures!LastCell</vt:lpstr>
      <vt:lpstr>Linking_1</vt:lpstr>
      <vt:lpstr>Linking_3</vt:lpstr>
      <vt:lpstr>Linking_4</vt:lpstr>
      <vt:lpstr>Linking_5</vt:lpstr>
      <vt:lpstr>Linking_Range_1</vt:lpstr>
      <vt:lpstr>Linking_Range_10</vt:lpstr>
      <vt:lpstr>Linking_Range_12</vt:lpstr>
      <vt:lpstr>Linking_Range_13</vt:lpstr>
      <vt:lpstr>Guidance!Linking_Range_14</vt:lpstr>
      <vt:lpstr>Linking_Range_14</vt:lpstr>
      <vt:lpstr>Linking_Range_15</vt:lpstr>
      <vt:lpstr>Linking_Range_16</vt:lpstr>
      <vt:lpstr>Linking_Range_17</vt:lpstr>
      <vt:lpstr>Linking_Range_18</vt:lpstr>
      <vt:lpstr>Linking_Range_19</vt:lpstr>
      <vt:lpstr>Linking_Range_2</vt:lpstr>
      <vt:lpstr>Linking_Range_21</vt:lpstr>
      <vt:lpstr>Linking_Range_22</vt:lpstr>
      <vt:lpstr>Linking_Range_23</vt:lpstr>
      <vt:lpstr>Linking_Range_3</vt:lpstr>
      <vt:lpstr>Linking_Range_8</vt:lpstr>
      <vt:lpstr>Linking_Range_9</vt:lpstr>
      <vt:lpstr>IndexInformation!MacroVersion</vt:lpstr>
      <vt:lpstr>CircularReferenceAlert!MaxChange</vt:lpstr>
      <vt:lpstr>CircularReferenceAlert!MaxIterations</vt:lpstr>
      <vt:lpstr>ImportantDisclosures!ModelPrice</vt:lpstr>
      <vt:lpstr>IndexInformation!Multiplier</vt:lpstr>
      <vt:lpstr>IndexInformation!NextYearEPS</vt:lpstr>
      <vt:lpstr>IndexInformation!NextYearTotalRevenue</vt:lpstr>
      <vt:lpstr>IndexInformation!NextYearTotalRevenueActual</vt:lpstr>
      <vt:lpstr>ObjectType</vt:lpstr>
      <vt:lpstr>ModPubIndex!PANA</vt:lpstr>
      <vt:lpstr>IndexInformation!PathName</vt:lpstr>
      <vt:lpstr>'Gross Margin'!Print_Area</vt:lpstr>
      <vt:lpstr>Guidance!Print_Area</vt:lpstr>
      <vt:lpstr>Model!Print_Area</vt:lpstr>
      <vt:lpstr>PBM!Print_Area</vt:lpstr>
      <vt:lpstr>Revenue!Print_Area</vt:lpstr>
      <vt:lpstr>Scenarios!Print_Area</vt:lpstr>
      <vt:lpstr>Specialty!Print_Area</vt:lpstr>
      <vt:lpstr>PBM!Print_Titles</vt:lpstr>
      <vt:lpstr>Revenue!Print_Titles</vt:lpstr>
      <vt:lpstr>ModPubIndex!PRODUCT</vt:lpstr>
      <vt:lpstr>ModPubIndex!PSYM</vt:lpstr>
      <vt:lpstr>IndexInformation!PublishDate</vt:lpstr>
      <vt:lpstr>IndexInformation!Rating</vt:lpstr>
      <vt:lpstr>ImportantDisclosures!RatingsDefined</vt:lpstr>
      <vt:lpstr>IndexInformation!ResearchTopic</vt:lpstr>
      <vt:lpstr>Revenue!Rev_PBM</vt:lpstr>
      <vt:lpstr>IndexInformation!RIC</vt:lpstr>
      <vt:lpstr>IndexInformation!SEDOL</vt:lpstr>
      <vt:lpstr>SGA_PBM</vt:lpstr>
      <vt:lpstr>ImportantDisclosures!SourceDefined</vt:lpstr>
      <vt:lpstr>ImportantDisclosures!StockRating</vt:lpstr>
      <vt:lpstr>IndexInformation!SubjectCode</vt:lpstr>
      <vt:lpstr>SubmitterUserId</vt:lpstr>
      <vt:lpstr>ModPubIndex!SUPPRESSED</vt:lpstr>
      <vt:lpstr>ImportantDisclosures!TargetPrice</vt:lpstr>
      <vt:lpstr>TemplateRegion</vt:lpstr>
      <vt:lpstr>ImportantDisclosures!Ticker</vt:lpstr>
      <vt:lpstr>Ticker</vt:lpstr>
      <vt:lpstr>TickerRegion</vt:lpstr>
      <vt:lpstr>IndexInformation!Tickers</vt:lpstr>
      <vt:lpstr>IndexInformation!UpdateReason</vt:lpstr>
    </vt:vector>
  </TitlesOfParts>
  <Company>Morgan Stanley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2009-09-18T17:45:24Z</dcterms:created>
  <dc:creator>rickgold</dc:creator>
  <cp:lastModifiedBy>Teymouri, Ellie (COMPLIANCE)</cp:lastModifiedBy>
  <cp:lastPrinted>2018-01-04T23:40:30Z</cp:lastPrinted>
  <dcterms:modified xsi:type="dcterms:W3CDTF">2018-04-13T21:13:08Z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name="LinkingAutoNameNumberLinking_Range_" pid="2">
    <vt:lpwstr>23</vt:lpwstr>
  </property>
  <property fmtid="{D5CDD505-2E9C-101B-9397-08002B2CF9AE}" name="ERModPubTicket" pid="3">
    <vt:lpwstr>NA</vt:lpwstr>
  </property>
  <property fmtid="{D5CDD505-2E9C-101B-9397-08002B2CF9AE}" name="ERCompanyUploadState" pid="4">
    <vt:lpwstr>P</vt:lpwstr>
  </property>
  <property fmtid="{D5CDD505-2E9C-101B-9397-08002B2CF9AE}" name="ModelId" pid="5">
    <vt:lpwstr>761629</vt:lpwstr>
  </property>
  <property fmtid="{D5CDD505-2E9C-101B-9397-08002B2CF9AE}" name="ERModPubCompanyName" pid="6">
    <vt:lpwstr>Express Scripts, Inc.</vt:lpwstr>
  </property>
  <property fmtid="{D5CDD505-2E9C-101B-9397-08002B2CF9AE}" name="ERModPubMaxIterations" pid="7">
    <vt:i4>100</vt:i4>
  </property>
  <property fmtid="{D5CDD505-2E9C-101B-9397-08002B2CF9AE}" name="ERModPubMaxChange" pid="8">
    <vt:r8>0.001</vt:r8>
  </property>
  <property fmtid="{D5CDD505-2E9C-101B-9397-08002B2CF9AE}" name="MSDH34TAG" pid="9">
    <vt:lpwstr>.TEZUF76X5TAHATHESADREYAK-00-INB160+*94600-06=1a806b60/-3f52/-11e8/-b3f7/-7a79cfe26848,MD=20180413171342/-0400,ZZ=000Z-f0ec.</vt:lpwstr>
  </property>
</Properties>
</file>